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3725" windowHeight="5685" activeTab="3"/>
  </bookViews>
  <sheets>
    <sheet name="2013 MLB" sheetId="3" r:id="rId1"/>
    <sheet name="2014 MLB" sheetId="1" r:id="rId2"/>
    <sheet name="2015 MLB" sheetId="2" r:id="rId3"/>
    <sheet name="2015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4" l="1"/>
  <c r="Q89" i="4"/>
  <c r="P88" i="4"/>
  <c r="O87" i="4"/>
  <c r="N86" i="4"/>
  <c r="M85" i="4"/>
  <c r="L84" i="4"/>
  <c r="K83" i="4"/>
  <c r="J82" i="4"/>
  <c r="I81" i="4"/>
  <c r="H80" i="4"/>
  <c r="G79" i="4"/>
  <c r="F78" i="4"/>
  <c r="E77" i="4"/>
  <c r="D76" i="4"/>
  <c r="K90" i="4"/>
  <c r="I83" i="4"/>
  <c r="G83" i="4"/>
  <c r="K81" i="4"/>
  <c r="G81" i="4"/>
  <c r="Q79" i="4"/>
  <c r="K79" i="4"/>
  <c r="I79" i="4"/>
  <c r="H79" i="4"/>
  <c r="Q76" i="4"/>
  <c r="H76" i="4"/>
  <c r="R37" i="4"/>
  <c r="R52" i="4" s="1"/>
  <c r="R89" i="4" s="1"/>
  <c r="Q37" i="4"/>
  <c r="Q53" i="4" s="1"/>
  <c r="Q90" i="4" s="1"/>
  <c r="P37" i="4"/>
  <c r="P53" i="4" s="1"/>
  <c r="P90" i="4" s="1"/>
  <c r="O37" i="4"/>
  <c r="O51" i="4" s="1"/>
  <c r="N37" i="4"/>
  <c r="N53" i="4" s="1"/>
  <c r="M37" i="4"/>
  <c r="M52" i="4" s="1"/>
  <c r="M70" i="4" s="1"/>
  <c r="L37" i="4"/>
  <c r="L50" i="4" s="1"/>
  <c r="L87" i="4" s="1"/>
  <c r="K37" i="4"/>
  <c r="K52" i="4" s="1"/>
  <c r="K89" i="4" s="1"/>
  <c r="J37" i="4"/>
  <c r="J53" i="4" s="1"/>
  <c r="J90" i="4" s="1"/>
  <c r="I37" i="4"/>
  <c r="H37" i="4"/>
  <c r="H53" i="4" s="1"/>
  <c r="G37" i="4"/>
  <c r="G51" i="4" s="1"/>
  <c r="G88" i="4" s="1"/>
  <c r="F37" i="4"/>
  <c r="F53" i="4" s="1"/>
  <c r="F90" i="4" s="1"/>
  <c r="E37" i="4"/>
  <c r="E49" i="4" s="1"/>
  <c r="E86" i="4" s="1"/>
  <c r="D37" i="4"/>
  <c r="D53" i="4" s="1"/>
  <c r="D90" i="4" s="1"/>
  <c r="C78" i="4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77" i="4"/>
  <c r="F75" i="4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E75" i="4"/>
  <c r="B54" i="4"/>
  <c r="R53" i="4"/>
  <c r="R71" i="4" s="1"/>
  <c r="K53" i="4"/>
  <c r="I53" i="4"/>
  <c r="I90" i="4" s="1"/>
  <c r="G53" i="4"/>
  <c r="G90" i="4" s="1"/>
  <c r="Q52" i="4"/>
  <c r="P52" i="4"/>
  <c r="P70" i="4" s="1"/>
  <c r="N52" i="4"/>
  <c r="N70" i="4" s="1"/>
  <c r="I52" i="4"/>
  <c r="I89" i="4" s="1"/>
  <c r="H52" i="4"/>
  <c r="H89" i="4" s="1"/>
  <c r="Q51" i="4"/>
  <c r="Q69" i="4" s="1"/>
  <c r="K51" i="4"/>
  <c r="K69" i="4" s="1"/>
  <c r="I51" i="4"/>
  <c r="I88" i="4" s="1"/>
  <c r="H51" i="4"/>
  <c r="H88" i="4" s="1"/>
  <c r="P50" i="4"/>
  <c r="P87" i="4" s="1"/>
  <c r="K50" i="4"/>
  <c r="K87" i="4" s="1"/>
  <c r="I50" i="4"/>
  <c r="I87" i="4" s="1"/>
  <c r="H50" i="4"/>
  <c r="H68" i="4" s="1"/>
  <c r="G50" i="4"/>
  <c r="G68" i="4" s="1"/>
  <c r="Q49" i="4"/>
  <c r="Q67" i="4" s="1"/>
  <c r="K49" i="4"/>
  <c r="K67" i="4" s="1"/>
  <c r="I49" i="4"/>
  <c r="I67" i="4" s="1"/>
  <c r="H49" i="4"/>
  <c r="H67" i="4" s="1"/>
  <c r="G49" i="4"/>
  <c r="G67" i="4" s="1"/>
  <c r="Q48" i="4"/>
  <c r="Q66" i="4" s="1"/>
  <c r="N48" i="4"/>
  <c r="N85" i="4" s="1"/>
  <c r="K48" i="4"/>
  <c r="K66" i="4" s="1"/>
  <c r="I48" i="4"/>
  <c r="I66" i="4" s="1"/>
  <c r="H48" i="4"/>
  <c r="H66" i="4" s="1"/>
  <c r="Q47" i="4"/>
  <c r="Q84" i="4" s="1"/>
  <c r="P47" i="4"/>
  <c r="P84" i="4" s="1"/>
  <c r="N47" i="4"/>
  <c r="N84" i="4" s="1"/>
  <c r="K47" i="4"/>
  <c r="K65" i="4" s="1"/>
  <c r="I47" i="4"/>
  <c r="I84" i="4" s="1"/>
  <c r="H47" i="4"/>
  <c r="H65" i="4" s="1"/>
  <c r="Q46" i="4"/>
  <c r="Q83" i="4" s="1"/>
  <c r="K46" i="4"/>
  <c r="I46" i="4"/>
  <c r="H46" i="4"/>
  <c r="H64" i="4" s="1"/>
  <c r="G46" i="4"/>
  <c r="Q45" i="4"/>
  <c r="Q63" i="4" s="1"/>
  <c r="P45" i="4"/>
  <c r="P82" i="4" s="1"/>
  <c r="K45" i="4"/>
  <c r="K82" i="4" s="1"/>
  <c r="I45" i="4"/>
  <c r="I63" i="4" s="1"/>
  <c r="H45" i="4"/>
  <c r="H82" i="4" s="1"/>
  <c r="G45" i="4"/>
  <c r="G63" i="4" s="1"/>
  <c r="R44" i="4"/>
  <c r="R81" i="4" s="1"/>
  <c r="Q44" i="4"/>
  <c r="Q81" i="4" s="1"/>
  <c r="P44" i="4"/>
  <c r="P62" i="4" s="1"/>
  <c r="N44" i="4"/>
  <c r="N81" i="4" s="1"/>
  <c r="K44" i="4"/>
  <c r="I44" i="4"/>
  <c r="I62" i="4" s="1"/>
  <c r="H44" i="4"/>
  <c r="H62" i="4" s="1"/>
  <c r="F44" i="4"/>
  <c r="F62" i="4" s="1"/>
  <c r="Q43" i="4"/>
  <c r="Q80" i="4" s="1"/>
  <c r="K43" i="4"/>
  <c r="K61" i="4" s="1"/>
  <c r="I43" i="4"/>
  <c r="I61" i="4" s="1"/>
  <c r="H43" i="4"/>
  <c r="H61" i="4" s="1"/>
  <c r="Q42" i="4"/>
  <c r="P42" i="4"/>
  <c r="P60" i="4" s="1"/>
  <c r="N42" i="4"/>
  <c r="N60" i="4" s="1"/>
  <c r="K42" i="4"/>
  <c r="K60" i="4" s="1"/>
  <c r="I42" i="4"/>
  <c r="H42" i="4"/>
  <c r="H60" i="4" s="1"/>
  <c r="G42" i="4"/>
  <c r="G60" i="4" s="1"/>
  <c r="Q41" i="4"/>
  <c r="Q78" i="4" s="1"/>
  <c r="K41" i="4"/>
  <c r="K59" i="4" s="1"/>
  <c r="I41" i="4"/>
  <c r="I59" i="4" s="1"/>
  <c r="H41" i="4"/>
  <c r="H59" i="4" s="1"/>
  <c r="G41" i="4"/>
  <c r="G59" i="4" s="1"/>
  <c r="F41" i="4"/>
  <c r="F59" i="4" s="1"/>
  <c r="E41" i="4"/>
  <c r="E59" i="4" s="1"/>
  <c r="R40" i="4"/>
  <c r="R77" i="4" s="1"/>
  <c r="Q40" i="4"/>
  <c r="Q77" i="4" s="1"/>
  <c r="N40" i="4"/>
  <c r="N77" i="4" s="1"/>
  <c r="L40" i="4"/>
  <c r="L77" i="4" s="1"/>
  <c r="K40" i="4"/>
  <c r="K77" i="4" s="1"/>
  <c r="J40" i="4"/>
  <c r="J58" i="4" s="1"/>
  <c r="I40" i="4"/>
  <c r="I77" i="4" s="1"/>
  <c r="H40" i="4"/>
  <c r="H58" i="4" s="1"/>
  <c r="G40" i="4"/>
  <c r="G58" i="4" s="1"/>
  <c r="F40" i="4"/>
  <c r="F77" i="4" s="1"/>
  <c r="E40" i="4"/>
  <c r="E58" i="4" s="1"/>
  <c r="Q39" i="4"/>
  <c r="P39" i="4"/>
  <c r="P76" i="4" s="1"/>
  <c r="K39" i="4"/>
  <c r="K57" i="4" s="1"/>
  <c r="I39" i="4"/>
  <c r="I76" i="4" s="1"/>
  <c r="H39" i="4"/>
  <c r="H57" i="4" s="1"/>
  <c r="Q70" i="4"/>
  <c r="I70" i="4"/>
  <c r="I69" i="4"/>
  <c r="P68" i="4"/>
  <c r="I68" i="4"/>
  <c r="Q64" i="4"/>
  <c r="K64" i="4"/>
  <c r="G64" i="4"/>
  <c r="Q62" i="4"/>
  <c r="K62" i="4"/>
  <c r="Q60" i="4"/>
  <c r="C58" i="4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E56" i="4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E38" i="4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C40" i="4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N39" i="4" l="1"/>
  <c r="N76" i="4" s="1"/>
  <c r="N41" i="4"/>
  <c r="N78" i="4" s="1"/>
  <c r="N43" i="4"/>
  <c r="N80" i="4" s="1"/>
  <c r="N46" i="4"/>
  <c r="N64" i="4" s="1"/>
  <c r="R46" i="4"/>
  <c r="R64" i="4" s="1"/>
  <c r="R62" i="4"/>
  <c r="R50" i="4"/>
  <c r="R68" i="4" s="1"/>
  <c r="J39" i="4"/>
  <c r="J57" i="4" s="1"/>
  <c r="K63" i="4"/>
  <c r="J41" i="4"/>
  <c r="J59" i="4" s="1"/>
  <c r="K85" i="4"/>
  <c r="Q82" i="4"/>
  <c r="Q85" i="4"/>
  <c r="M89" i="4"/>
  <c r="I85" i="4"/>
  <c r="R42" i="4"/>
  <c r="R45" i="4"/>
  <c r="R63" i="4" s="1"/>
  <c r="R48" i="4"/>
  <c r="R51" i="4"/>
  <c r="R88" i="4" s="1"/>
  <c r="R47" i="4"/>
  <c r="R65" i="4" s="1"/>
  <c r="L39" i="4"/>
  <c r="L57" i="4" s="1"/>
  <c r="L44" i="4"/>
  <c r="L47" i="4"/>
  <c r="L65" i="4" s="1"/>
  <c r="L48" i="4"/>
  <c r="L49" i="4"/>
  <c r="L67" i="4" s="1"/>
  <c r="L51" i="4"/>
  <c r="L69" i="4" s="1"/>
  <c r="L53" i="4"/>
  <c r="L42" i="4"/>
  <c r="L43" i="4"/>
  <c r="L61" i="4" s="1"/>
  <c r="L45" i="4"/>
  <c r="L63" i="4" s="1"/>
  <c r="L46" i="4"/>
  <c r="L52" i="4"/>
  <c r="L41" i="4"/>
  <c r="L59" i="4" s="1"/>
  <c r="K84" i="4"/>
  <c r="H71" i="4"/>
  <c r="H90" i="4"/>
  <c r="I80" i="4"/>
  <c r="K80" i="4"/>
  <c r="H85" i="4"/>
  <c r="H84" i="4"/>
  <c r="H70" i="4"/>
  <c r="H81" i="4"/>
  <c r="H83" i="4"/>
  <c r="L88" i="4"/>
  <c r="P79" i="4"/>
  <c r="P81" i="4"/>
  <c r="Q88" i="4"/>
  <c r="P89" i="4"/>
  <c r="K88" i="4"/>
  <c r="O40" i="4"/>
  <c r="O77" i="4" s="1"/>
  <c r="O52" i="4"/>
  <c r="O53" i="4"/>
  <c r="O90" i="4" s="1"/>
  <c r="G87" i="4"/>
  <c r="L68" i="4"/>
  <c r="O46" i="4"/>
  <c r="O83" i="4" s="1"/>
  <c r="O47" i="4"/>
  <c r="O84" i="4" s="1"/>
  <c r="O39" i="4"/>
  <c r="O76" i="4" s="1"/>
  <c r="O41" i="4"/>
  <c r="O78" i="4" s="1"/>
  <c r="O42" i="4"/>
  <c r="O60" i="4" s="1"/>
  <c r="O45" i="4"/>
  <c r="O82" i="4" s="1"/>
  <c r="O50" i="4"/>
  <c r="O68" i="4" s="1"/>
  <c r="O69" i="4"/>
  <c r="O88" i="4"/>
  <c r="R87" i="4"/>
  <c r="K68" i="4"/>
  <c r="O43" i="4"/>
  <c r="O80" i="4" s="1"/>
  <c r="O44" i="4"/>
  <c r="O48" i="4"/>
  <c r="O49" i="4"/>
  <c r="O67" i="4" s="1"/>
  <c r="H87" i="4"/>
  <c r="O79" i="4"/>
  <c r="N71" i="4"/>
  <c r="N90" i="4"/>
  <c r="N62" i="4"/>
  <c r="N45" i="4"/>
  <c r="N82" i="4" s="1"/>
  <c r="N49" i="4"/>
  <c r="N67" i="4" s="1"/>
  <c r="N50" i="4"/>
  <c r="N87" i="4" s="1"/>
  <c r="N51" i="4"/>
  <c r="K86" i="4"/>
  <c r="N79" i="4"/>
  <c r="G86" i="4"/>
  <c r="Q86" i="4"/>
  <c r="N89" i="4"/>
  <c r="I86" i="4"/>
  <c r="H86" i="4"/>
  <c r="H63" i="4"/>
  <c r="J44" i="4"/>
  <c r="J50" i="4"/>
  <c r="J87" i="4" s="1"/>
  <c r="J46" i="4"/>
  <c r="J64" i="4" s="1"/>
  <c r="J52" i="4"/>
  <c r="J42" i="4"/>
  <c r="J48" i="4"/>
  <c r="J85" i="4" s="1"/>
  <c r="J51" i="4"/>
  <c r="J88" i="4" s="1"/>
  <c r="G82" i="4"/>
  <c r="J43" i="4"/>
  <c r="J45" i="4"/>
  <c r="J63" i="4" s="1"/>
  <c r="J47" i="4"/>
  <c r="J49" i="4"/>
  <c r="J86" i="4" s="1"/>
  <c r="I82" i="4"/>
  <c r="K76" i="4"/>
  <c r="L58" i="4"/>
  <c r="D43" i="4"/>
  <c r="D50" i="4"/>
  <c r="D87" i="4" s="1"/>
  <c r="J77" i="4"/>
  <c r="G77" i="4"/>
  <c r="H77" i="4"/>
  <c r="F39" i="4"/>
  <c r="F76" i="4" s="1"/>
  <c r="F42" i="4"/>
  <c r="F60" i="4" s="1"/>
  <c r="F47" i="4"/>
  <c r="F65" i="4" s="1"/>
  <c r="F50" i="4"/>
  <c r="F43" i="4"/>
  <c r="F61" i="4" s="1"/>
  <c r="F45" i="4"/>
  <c r="F63" i="4" s="1"/>
  <c r="F46" i="4"/>
  <c r="F49" i="4"/>
  <c r="F67" i="4" s="1"/>
  <c r="F52" i="4"/>
  <c r="F70" i="4" s="1"/>
  <c r="I78" i="4"/>
  <c r="F48" i="4"/>
  <c r="F66" i="4" s="1"/>
  <c r="F51" i="4"/>
  <c r="F69" i="4" s="1"/>
  <c r="F81" i="4"/>
  <c r="F79" i="4"/>
  <c r="F85" i="4"/>
  <c r="E78" i="4"/>
  <c r="G78" i="4"/>
  <c r="K78" i="4"/>
  <c r="F84" i="4"/>
  <c r="H78" i="4"/>
  <c r="E39" i="4"/>
  <c r="E46" i="4"/>
  <c r="E83" i="4" s="1"/>
  <c r="E47" i="4"/>
  <c r="E84" i="4" s="1"/>
  <c r="E53" i="4"/>
  <c r="E90" i="4" s="1"/>
  <c r="E42" i="4"/>
  <c r="E79" i="4" s="1"/>
  <c r="E50" i="4"/>
  <c r="E87" i="4" s="1"/>
  <c r="E45" i="4"/>
  <c r="D44" i="4"/>
  <c r="D41" i="4"/>
  <c r="D47" i="4"/>
  <c r="P63" i="4"/>
  <c r="H69" i="4"/>
  <c r="R69" i="4"/>
  <c r="M50" i="4"/>
  <c r="M87" i="4" s="1"/>
  <c r="M53" i="4"/>
  <c r="M90" i="4" s="1"/>
  <c r="I65" i="4"/>
  <c r="M44" i="4"/>
  <c r="M41" i="4"/>
  <c r="M42" i="4"/>
  <c r="M40" i="4"/>
  <c r="M46" i="4"/>
  <c r="M83" i="4" s="1"/>
  <c r="N66" i="4"/>
  <c r="M45" i="4"/>
  <c r="M82" i="4" s="1"/>
  <c r="M39" i="4"/>
  <c r="M43" i="4"/>
  <c r="M80" i="4" s="1"/>
  <c r="M47" i="4"/>
  <c r="M84" i="4" s="1"/>
  <c r="M48" i="4"/>
  <c r="M66" i="4" s="1"/>
  <c r="M49" i="4"/>
  <c r="M86" i="4" s="1"/>
  <c r="M51" i="4"/>
  <c r="M88" i="4" s="1"/>
  <c r="E67" i="4"/>
  <c r="I58" i="4"/>
  <c r="E43" i="4"/>
  <c r="E80" i="4" s="1"/>
  <c r="E44" i="4"/>
  <c r="E81" i="4" s="1"/>
  <c r="E51" i="4"/>
  <c r="E88" i="4" s="1"/>
  <c r="E52" i="4"/>
  <c r="E89" i="4" s="1"/>
  <c r="E48" i="4"/>
  <c r="E85" i="4" s="1"/>
  <c r="I57" i="4"/>
  <c r="D39" i="4"/>
  <c r="D57" i="4" s="1"/>
  <c r="D42" i="4"/>
  <c r="D46" i="4"/>
  <c r="D48" i="4"/>
  <c r="D51" i="4"/>
  <c r="D88" i="4" s="1"/>
  <c r="D40" i="4"/>
  <c r="D45" i="4"/>
  <c r="D82" i="4" s="1"/>
  <c r="D49" i="4"/>
  <c r="D86" i="4" s="1"/>
  <c r="D52" i="4"/>
  <c r="R70" i="4"/>
  <c r="R39" i="4"/>
  <c r="R76" i="4" s="1"/>
  <c r="R41" i="4"/>
  <c r="R78" i="4" s="1"/>
  <c r="R43" i="4"/>
  <c r="R80" i="4" s="1"/>
  <c r="R49" i="4"/>
  <c r="R86" i="4" s="1"/>
  <c r="Q71" i="4"/>
  <c r="Q50" i="4"/>
  <c r="Q87" i="4" s="1"/>
  <c r="P71" i="4"/>
  <c r="P41" i="4"/>
  <c r="P78" i="4" s="1"/>
  <c r="P49" i="4"/>
  <c r="P86" i="4" s="1"/>
  <c r="P40" i="4"/>
  <c r="P77" i="4" s="1"/>
  <c r="P43" i="4"/>
  <c r="P80" i="4" s="1"/>
  <c r="P46" i="4"/>
  <c r="P83" i="4" s="1"/>
  <c r="P48" i="4"/>
  <c r="P85" i="4" s="1"/>
  <c r="P51" i="4"/>
  <c r="P69" i="4" s="1"/>
  <c r="O64" i="4"/>
  <c r="K70" i="4"/>
  <c r="K58" i="4"/>
  <c r="I64" i="4"/>
  <c r="I60" i="4"/>
  <c r="G69" i="4"/>
  <c r="G44" i="4"/>
  <c r="G48" i="4"/>
  <c r="G85" i="4" s="1"/>
  <c r="G52" i="4"/>
  <c r="G89" i="4" s="1"/>
  <c r="G39" i="4"/>
  <c r="G76" i="4" s="1"/>
  <c r="G43" i="4"/>
  <c r="G80" i="4" s="1"/>
  <c r="G47" i="4"/>
  <c r="G84" i="4" s="1"/>
  <c r="D68" i="4"/>
  <c r="N61" i="4"/>
  <c r="J71" i="4"/>
  <c r="P11" i="4"/>
  <c r="O11" i="4"/>
  <c r="N11" i="4"/>
  <c r="M11" i="4"/>
  <c r="L11" i="4"/>
  <c r="K16" i="4"/>
  <c r="M71" i="4" s="1"/>
  <c r="K15" i="4"/>
  <c r="K14" i="4"/>
  <c r="K13" i="4"/>
  <c r="K12" i="4"/>
  <c r="P10" i="4"/>
  <c r="O10" i="4"/>
  <c r="Q65" i="4" s="1"/>
  <c r="N10" i="4"/>
  <c r="P65" i="4" s="1"/>
  <c r="M10" i="4"/>
  <c r="L10" i="4"/>
  <c r="N65" i="4" s="1"/>
  <c r="J16" i="4"/>
  <c r="J15" i="4"/>
  <c r="J14" i="4"/>
  <c r="J13" i="4"/>
  <c r="J12" i="4"/>
  <c r="P9" i="4"/>
  <c r="O9" i="4"/>
  <c r="N9" i="4"/>
  <c r="M9" i="4"/>
  <c r="L9" i="4"/>
  <c r="I16" i="4"/>
  <c r="K71" i="4" s="1"/>
  <c r="I15" i="4"/>
  <c r="I14" i="4"/>
  <c r="I13" i="4"/>
  <c r="I12" i="4"/>
  <c r="P8" i="4"/>
  <c r="O8" i="4"/>
  <c r="N8" i="4"/>
  <c r="M8" i="4"/>
  <c r="L8" i="4"/>
  <c r="H16" i="4"/>
  <c r="H15" i="4"/>
  <c r="H14" i="4"/>
  <c r="H13" i="4"/>
  <c r="H12" i="4"/>
  <c r="P7" i="4"/>
  <c r="O7" i="4"/>
  <c r="N7" i="4"/>
  <c r="M7" i="4"/>
  <c r="L7" i="4"/>
  <c r="G16" i="4"/>
  <c r="I71" i="4" s="1"/>
  <c r="G15" i="4"/>
  <c r="G14" i="4"/>
  <c r="G13" i="4"/>
  <c r="G12" i="4"/>
  <c r="P6" i="4"/>
  <c r="O6" i="4"/>
  <c r="Q61" i="4" s="1"/>
  <c r="N6" i="4"/>
  <c r="M6" i="4"/>
  <c r="L6" i="4"/>
  <c r="F16" i="4"/>
  <c r="F15" i="4"/>
  <c r="F14" i="4"/>
  <c r="F13" i="4"/>
  <c r="F12" i="4"/>
  <c r="P5" i="4"/>
  <c r="O5" i="4"/>
  <c r="N5" i="4"/>
  <c r="M5" i="4"/>
  <c r="L5" i="4"/>
  <c r="E16" i="4"/>
  <c r="G71" i="4" s="1"/>
  <c r="E15" i="4"/>
  <c r="E14" i="4"/>
  <c r="E13" i="4"/>
  <c r="E12" i="4"/>
  <c r="P4" i="4"/>
  <c r="O4" i="4"/>
  <c r="Q59" i="4" s="1"/>
  <c r="N4" i="4"/>
  <c r="M4" i="4"/>
  <c r="L4" i="4"/>
  <c r="D16" i="4"/>
  <c r="F71" i="4" s="1"/>
  <c r="D15" i="4"/>
  <c r="D14" i="4"/>
  <c r="D13" i="4"/>
  <c r="D12" i="4"/>
  <c r="P3" i="4"/>
  <c r="R58" i="4" s="1"/>
  <c r="O3" i="4"/>
  <c r="Q58" i="4" s="1"/>
  <c r="N3" i="4"/>
  <c r="M3" i="4"/>
  <c r="L3" i="4"/>
  <c r="N58" i="4" s="1"/>
  <c r="C16" i="4"/>
  <c r="C15" i="4"/>
  <c r="C14" i="4"/>
  <c r="C13" i="4"/>
  <c r="C12" i="4"/>
  <c r="P2" i="4"/>
  <c r="O2" i="4"/>
  <c r="Q57" i="4" s="1"/>
  <c r="N2" i="4"/>
  <c r="P57" i="4" s="1"/>
  <c r="M2" i="4"/>
  <c r="L2" i="4"/>
  <c r="N57" i="4" s="1"/>
  <c r="B16" i="4"/>
  <c r="D71" i="4" s="1"/>
  <c r="B15" i="4"/>
  <c r="B14" i="4"/>
  <c r="B13" i="4"/>
  <c r="B12" i="4"/>
  <c r="O59" i="4" l="1"/>
  <c r="N59" i="4"/>
  <c r="N68" i="4"/>
  <c r="N83" i="4"/>
  <c r="O86" i="4"/>
  <c r="H72" i="4"/>
  <c r="O71" i="4"/>
  <c r="R83" i="4"/>
  <c r="L76" i="4"/>
  <c r="O65" i="4"/>
  <c r="L86" i="4"/>
  <c r="L80" i="4"/>
  <c r="J76" i="4"/>
  <c r="O58" i="4"/>
  <c r="J78" i="4"/>
  <c r="O63" i="4"/>
  <c r="J68" i="4"/>
  <c r="M60" i="4"/>
  <c r="M79" i="4"/>
  <c r="M62" i="4"/>
  <c r="M81" i="4"/>
  <c r="R84" i="4"/>
  <c r="R66" i="4"/>
  <c r="R85" i="4"/>
  <c r="R82" i="4"/>
  <c r="R60" i="4"/>
  <c r="R79" i="4"/>
  <c r="R91" i="4" s="1"/>
  <c r="L62" i="4"/>
  <c r="L81" i="4"/>
  <c r="E65" i="4"/>
  <c r="L89" i="4"/>
  <c r="L70" i="4"/>
  <c r="L60" i="4"/>
  <c r="L79" i="4"/>
  <c r="L66" i="4"/>
  <c r="L85" i="4"/>
  <c r="L78" i="4"/>
  <c r="L64" i="4"/>
  <c r="L83" i="4"/>
  <c r="L71" i="4"/>
  <c r="L90" i="4"/>
  <c r="L82" i="4"/>
  <c r="O61" i="4"/>
  <c r="O57" i="4"/>
  <c r="O89" i="4"/>
  <c r="O91" i="4" s="1"/>
  <c r="O70" i="4"/>
  <c r="O66" i="4"/>
  <c r="O85" i="4"/>
  <c r="O62" i="4"/>
  <c r="O81" i="4"/>
  <c r="M68" i="4"/>
  <c r="N63" i="4"/>
  <c r="N69" i="4"/>
  <c r="N88" i="4"/>
  <c r="F88" i="4"/>
  <c r="J66" i="4"/>
  <c r="J83" i="4"/>
  <c r="J81" i="4"/>
  <c r="J62" i="4"/>
  <c r="J67" i="4"/>
  <c r="J89" i="4"/>
  <c r="J70" i="4"/>
  <c r="J69" i="4"/>
  <c r="J65" i="4"/>
  <c r="J84" i="4"/>
  <c r="J60" i="4"/>
  <c r="J79" i="4"/>
  <c r="J61" i="4"/>
  <c r="J80" i="4"/>
  <c r="E64" i="4"/>
  <c r="D65" i="4"/>
  <c r="D84" i="4"/>
  <c r="D64" i="4"/>
  <c r="D83" i="4"/>
  <c r="D70" i="4"/>
  <c r="D89" i="4"/>
  <c r="M57" i="4"/>
  <c r="M76" i="4"/>
  <c r="D66" i="4"/>
  <c r="D85" i="4"/>
  <c r="D60" i="4"/>
  <c r="D79" i="4"/>
  <c r="D62" i="4"/>
  <c r="D81" i="4"/>
  <c r="D61" i="4"/>
  <c r="D80" i="4"/>
  <c r="D58" i="4"/>
  <c r="D77" i="4"/>
  <c r="E68" i="4"/>
  <c r="M58" i="4"/>
  <c r="M77" i="4"/>
  <c r="E57" i="4"/>
  <c r="E76" i="4"/>
  <c r="E63" i="4"/>
  <c r="E82" i="4"/>
  <c r="F89" i="4"/>
  <c r="F82" i="4"/>
  <c r="F80" i="4"/>
  <c r="F64" i="4"/>
  <c r="F83" i="4"/>
  <c r="F86" i="4"/>
  <c r="F87" i="4"/>
  <c r="F68" i="4"/>
  <c r="M59" i="4"/>
  <c r="M78" i="4"/>
  <c r="R59" i="4"/>
  <c r="D59" i="4"/>
  <c r="D78" i="4"/>
  <c r="P58" i="4"/>
  <c r="E71" i="4"/>
  <c r="E60" i="4"/>
  <c r="R57" i="4"/>
  <c r="I91" i="4"/>
  <c r="N91" i="4"/>
  <c r="K91" i="4"/>
  <c r="M64" i="4"/>
  <c r="M63" i="4"/>
  <c r="H91" i="4"/>
  <c r="M69" i="4"/>
  <c r="M61" i="4"/>
  <c r="M67" i="4"/>
  <c r="M65" i="4"/>
  <c r="K72" i="4"/>
  <c r="E69" i="4"/>
  <c r="E66" i="4"/>
  <c r="E62" i="4"/>
  <c r="E61" i="4"/>
  <c r="E70" i="4"/>
  <c r="I72" i="4"/>
  <c r="D67" i="4"/>
  <c r="D63" i="4"/>
  <c r="D69" i="4"/>
  <c r="R67" i="4"/>
  <c r="R61" i="4"/>
  <c r="Q91" i="4"/>
  <c r="Q68" i="4"/>
  <c r="Q72" i="4" s="1"/>
  <c r="P64" i="4"/>
  <c r="P59" i="4"/>
  <c r="P61" i="4"/>
  <c r="P66" i="4"/>
  <c r="P67" i="4"/>
  <c r="G57" i="4"/>
  <c r="G62" i="4"/>
  <c r="G65" i="4"/>
  <c r="G70" i="4"/>
  <c r="G61" i="4"/>
  <c r="G66" i="4"/>
  <c r="X23" i="3"/>
  <c r="X22" i="3"/>
  <c r="X21" i="3"/>
  <c r="Y21" i="3" s="1"/>
  <c r="X20" i="3"/>
  <c r="AA20" i="3" s="1"/>
  <c r="X19" i="3"/>
  <c r="W23" i="3"/>
  <c r="W22" i="3"/>
  <c r="W21" i="3"/>
  <c r="W20" i="3"/>
  <c r="W19" i="3"/>
  <c r="U23" i="3"/>
  <c r="AA23" i="3" s="1"/>
  <c r="U22" i="3"/>
  <c r="U21" i="3"/>
  <c r="U20" i="3"/>
  <c r="U19" i="3"/>
  <c r="T23" i="3"/>
  <c r="T22" i="3"/>
  <c r="T21" i="3"/>
  <c r="T20" i="3"/>
  <c r="T19" i="3"/>
  <c r="X18" i="3"/>
  <c r="X17" i="3"/>
  <c r="X16" i="3"/>
  <c r="X15" i="3"/>
  <c r="X14" i="3"/>
  <c r="W18" i="3"/>
  <c r="W17" i="3"/>
  <c r="W16" i="3"/>
  <c r="W15" i="3"/>
  <c r="W14" i="3"/>
  <c r="U18" i="3"/>
  <c r="U17" i="3"/>
  <c r="U16" i="3"/>
  <c r="U15" i="3"/>
  <c r="U14" i="3"/>
  <c r="T18" i="3"/>
  <c r="T17" i="3"/>
  <c r="T16" i="3"/>
  <c r="T15" i="3"/>
  <c r="T14" i="3"/>
  <c r="X13" i="3"/>
  <c r="X12" i="3"/>
  <c r="X11" i="3"/>
  <c r="AA11" i="3" s="1"/>
  <c r="X10" i="3"/>
  <c r="X9" i="3"/>
  <c r="W13" i="3"/>
  <c r="W12" i="3"/>
  <c r="W11" i="3"/>
  <c r="W10" i="3"/>
  <c r="W9" i="3"/>
  <c r="U13" i="3"/>
  <c r="U12" i="3"/>
  <c r="U11" i="3"/>
  <c r="U10" i="3"/>
  <c r="U9" i="3"/>
  <c r="AA9" i="3" s="1"/>
  <c r="T13" i="3"/>
  <c r="T12" i="3"/>
  <c r="T11" i="3"/>
  <c r="T10" i="3"/>
  <c r="T9" i="3"/>
  <c r="W43" i="3"/>
  <c r="X47" i="3"/>
  <c r="X46" i="3"/>
  <c r="X45" i="3"/>
  <c r="X44" i="3"/>
  <c r="X43" i="3"/>
  <c r="W47" i="3"/>
  <c r="W46" i="3"/>
  <c r="W45" i="3"/>
  <c r="W44" i="3"/>
  <c r="U43" i="3"/>
  <c r="U47" i="3"/>
  <c r="U46" i="3"/>
  <c r="U45" i="3"/>
  <c r="U44" i="3"/>
  <c r="T47" i="3"/>
  <c r="T43" i="3"/>
  <c r="T46" i="3"/>
  <c r="T45" i="3"/>
  <c r="T44" i="3"/>
  <c r="X42" i="3"/>
  <c r="X41" i="3"/>
  <c r="X40" i="3"/>
  <c r="Y40" i="3" s="1"/>
  <c r="X39" i="3"/>
  <c r="X38" i="3"/>
  <c r="Y38" i="3" s="1"/>
  <c r="W42" i="3"/>
  <c r="W41" i="3"/>
  <c r="W40" i="3"/>
  <c r="W39" i="3"/>
  <c r="W38" i="3"/>
  <c r="U42" i="3"/>
  <c r="U41" i="3"/>
  <c r="U40" i="3"/>
  <c r="U39" i="3"/>
  <c r="U38" i="3"/>
  <c r="T42" i="3"/>
  <c r="T41" i="3"/>
  <c r="T40" i="3"/>
  <c r="T38" i="3"/>
  <c r="T39" i="3"/>
  <c r="X37" i="3"/>
  <c r="X36" i="3"/>
  <c r="X35" i="3"/>
  <c r="X34" i="3"/>
  <c r="X33" i="3"/>
  <c r="W37" i="3"/>
  <c r="W36" i="3"/>
  <c r="W35" i="3"/>
  <c r="W34" i="3"/>
  <c r="W33" i="3"/>
  <c r="U37" i="3"/>
  <c r="U36" i="3"/>
  <c r="U35" i="3"/>
  <c r="U34" i="3"/>
  <c r="U33" i="3"/>
  <c r="T37" i="3"/>
  <c r="T36" i="3"/>
  <c r="T35" i="3"/>
  <c r="T34" i="3"/>
  <c r="T33" i="3"/>
  <c r="Y45" i="3"/>
  <c r="AA33" i="3"/>
  <c r="Y37" i="3"/>
  <c r="Y39" i="3"/>
  <c r="Y44" i="3"/>
  <c r="Y33" i="3"/>
  <c r="AA19" i="3"/>
  <c r="AA16" i="3"/>
  <c r="AA13" i="3"/>
  <c r="Y12" i="3"/>
  <c r="AA45" i="3"/>
  <c r="AA37" i="3"/>
  <c r="AA36" i="3"/>
  <c r="Q30" i="3"/>
  <c r="K30" i="3"/>
  <c r="E30" i="3"/>
  <c r="Q29" i="3"/>
  <c r="K29" i="3"/>
  <c r="E29" i="3"/>
  <c r="Q28" i="3"/>
  <c r="K28" i="3"/>
  <c r="E28" i="3"/>
  <c r="Q27" i="3"/>
  <c r="K27" i="3"/>
  <c r="E27" i="3"/>
  <c r="Q26" i="3"/>
  <c r="K26" i="3"/>
  <c r="E26" i="3"/>
  <c r="Y23" i="3"/>
  <c r="AA22" i="3"/>
  <c r="Y22" i="3"/>
  <c r="AA21" i="3"/>
  <c r="AA18" i="3"/>
  <c r="AA17" i="3"/>
  <c r="AA15" i="3"/>
  <c r="Y15" i="3"/>
  <c r="Y14" i="3"/>
  <c r="AA14" i="3"/>
  <c r="AA12" i="3"/>
  <c r="Y10" i="3"/>
  <c r="AA10" i="3"/>
  <c r="Q6" i="3"/>
  <c r="K6" i="3"/>
  <c r="E6" i="3"/>
  <c r="Q5" i="3"/>
  <c r="K5" i="3"/>
  <c r="E5" i="3"/>
  <c r="Q4" i="3"/>
  <c r="K4" i="3"/>
  <c r="E4" i="3"/>
  <c r="Q3" i="3"/>
  <c r="K3" i="3"/>
  <c r="E3" i="3"/>
  <c r="Q2" i="3"/>
  <c r="K2" i="3"/>
  <c r="E2" i="3"/>
  <c r="N72" i="4" l="1"/>
  <c r="O72" i="4"/>
  <c r="L91" i="4"/>
  <c r="J91" i="4"/>
  <c r="L72" i="4"/>
  <c r="J72" i="4"/>
  <c r="F91" i="4"/>
  <c r="F72" i="4"/>
  <c r="M91" i="4"/>
  <c r="R72" i="4"/>
  <c r="G91" i="4"/>
  <c r="P91" i="4"/>
  <c r="M72" i="4"/>
  <c r="G72" i="4"/>
  <c r="P72" i="4"/>
  <c r="E72" i="4"/>
  <c r="E91" i="4"/>
  <c r="D72" i="4"/>
  <c r="D91" i="4"/>
  <c r="Y41" i="3"/>
  <c r="Y42" i="3"/>
  <c r="Y43" i="3"/>
  <c r="AA40" i="3"/>
  <c r="AA41" i="3"/>
  <c r="Y34" i="3"/>
  <c r="Y35" i="3"/>
  <c r="Y36" i="3"/>
  <c r="AA44" i="3"/>
  <c r="Y46" i="3"/>
  <c r="Y47" i="3"/>
  <c r="Y9" i="3"/>
  <c r="Y11" i="3"/>
  <c r="Y13" i="3"/>
  <c r="Y17" i="3"/>
  <c r="Y18" i="3"/>
  <c r="Y19" i="3"/>
  <c r="Z15" i="3"/>
  <c r="V15" i="3"/>
  <c r="Z19" i="3"/>
  <c r="V19" i="3"/>
  <c r="Z23" i="3"/>
  <c r="V23" i="3"/>
  <c r="Z37" i="3"/>
  <c r="V37" i="3"/>
  <c r="Z41" i="3"/>
  <c r="V41" i="3"/>
  <c r="Z9" i="3"/>
  <c r="V9" i="3"/>
  <c r="Z11" i="3"/>
  <c r="V11" i="3"/>
  <c r="Z13" i="3"/>
  <c r="V13" i="3"/>
  <c r="Z20" i="3"/>
  <c r="V20" i="3"/>
  <c r="Z34" i="3"/>
  <c r="V34" i="3"/>
  <c r="Z38" i="3"/>
  <c r="V38" i="3"/>
  <c r="Z42" i="3"/>
  <c r="V42" i="3"/>
  <c r="Z46" i="3"/>
  <c r="V46" i="3"/>
  <c r="Z17" i="3"/>
  <c r="V17" i="3"/>
  <c r="Z10" i="3"/>
  <c r="V10" i="3"/>
  <c r="Z12" i="3"/>
  <c r="V12" i="3"/>
  <c r="Z14" i="3"/>
  <c r="V14" i="3"/>
  <c r="Y16" i="3"/>
  <c r="Z18" i="3"/>
  <c r="V18" i="3"/>
  <c r="Y20" i="3"/>
  <c r="Z22" i="3"/>
  <c r="V22" i="3"/>
  <c r="AA35" i="3"/>
  <c r="Z36" i="3"/>
  <c r="V36" i="3"/>
  <c r="AA39" i="3"/>
  <c r="Z40" i="3"/>
  <c r="V40" i="3"/>
  <c r="AA43" i="3"/>
  <c r="Z44" i="3"/>
  <c r="V44" i="3"/>
  <c r="AA47" i="3"/>
  <c r="Z33" i="3"/>
  <c r="V33" i="3"/>
  <c r="Z45" i="3"/>
  <c r="V45" i="3"/>
  <c r="Z16" i="3"/>
  <c r="V16" i="3"/>
  <c r="Z21" i="3"/>
  <c r="V21" i="3"/>
  <c r="AA34" i="3"/>
  <c r="Z35" i="3"/>
  <c r="V35" i="3"/>
  <c r="AA38" i="3"/>
  <c r="Z39" i="3"/>
  <c r="V39" i="3"/>
  <c r="AA42" i="3"/>
  <c r="Z43" i="3"/>
  <c r="V43" i="3"/>
  <c r="AA46" i="3"/>
  <c r="Z47" i="3"/>
  <c r="V47" i="3"/>
  <c r="X23" i="2"/>
  <c r="Y23" i="2" s="1"/>
  <c r="X22" i="2"/>
  <c r="X21" i="2"/>
  <c r="X20" i="2"/>
  <c r="X19" i="2"/>
  <c r="W23" i="2"/>
  <c r="W22" i="2"/>
  <c r="W21" i="2"/>
  <c r="W20" i="2"/>
  <c r="W19" i="2"/>
  <c r="U23" i="2"/>
  <c r="U22" i="2"/>
  <c r="U21" i="2"/>
  <c r="U20" i="2"/>
  <c r="U19" i="2"/>
  <c r="T23" i="2"/>
  <c r="V23" i="2" s="1"/>
  <c r="T22" i="2"/>
  <c r="Z22" i="2" s="1"/>
  <c r="T21" i="2"/>
  <c r="T20" i="2"/>
  <c r="T19" i="2"/>
  <c r="Z19" i="2" s="1"/>
  <c r="X18" i="2"/>
  <c r="Y18" i="2" s="1"/>
  <c r="X17" i="2"/>
  <c r="X16" i="2"/>
  <c r="X15" i="2"/>
  <c r="X14" i="2"/>
  <c r="AA14" i="2" s="1"/>
  <c r="W18" i="2"/>
  <c r="W17" i="2"/>
  <c r="Y17" i="2" s="1"/>
  <c r="W16" i="2"/>
  <c r="Y16" i="2" s="1"/>
  <c r="W15" i="2"/>
  <c r="Y15" i="2" s="1"/>
  <c r="W14" i="2"/>
  <c r="U18" i="2"/>
  <c r="U17" i="2"/>
  <c r="U16" i="2"/>
  <c r="U15" i="2"/>
  <c r="U14" i="2"/>
  <c r="T18" i="2"/>
  <c r="Z18" i="2" s="1"/>
  <c r="T17" i="2"/>
  <c r="T16" i="2"/>
  <c r="T15" i="2"/>
  <c r="T14" i="2"/>
  <c r="X11" i="2"/>
  <c r="U11" i="2"/>
  <c r="X13" i="2"/>
  <c r="X12" i="2"/>
  <c r="X10" i="2"/>
  <c r="Y10" i="2" s="1"/>
  <c r="X9" i="2"/>
  <c r="W13" i="2"/>
  <c r="Y13" i="2" s="1"/>
  <c r="W12" i="2"/>
  <c r="W11" i="2"/>
  <c r="Z11" i="2" s="1"/>
  <c r="W10" i="2"/>
  <c r="W9" i="2"/>
  <c r="Y9" i="2" s="1"/>
  <c r="U13" i="2"/>
  <c r="U12" i="2"/>
  <c r="U10" i="2"/>
  <c r="U9" i="2"/>
  <c r="T13" i="2"/>
  <c r="T12" i="2"/>
  <c r="T11" i="2"/>
  <c r="T10" i="2"/>
  <c r="T9" i="2"/>
  <c r="T37" i="2"/>
  <c r="T46" i="2"/>
  <c r="X47" i="2"/>
  <c r="X46" i="2"/>
  <c r="X45" i="2"/>
  <c r="X44" i="2"/>
  <c r="X43" i="2"/>
  <c r="W47" i="2"/>
  <c r="W46" i="2"/>
  <c r="Z46" i="2" s="1"/>
  <c r="W45" i="2"/>
  <c r="W44" i="2"/>
  <c r="W43" i="2"/>
  <c r="U47" i="2"/>
  <c r="AA47" i="2" s="1"/>
  <c r="U46" i="2"/>
  <c r="U45" i="2"/>
  <c r="U44" i="2"/>
  <c r="U43" i="2"/>
  <c r="T47" i="2"/>
  <c r="T45" i="2"/>
  <c r="T44" i="2"/>
  <c r="V44" i="2" s="1"/>
  <c r="T43" i="2"/>
  <c r="V43" i="2" s="1"/>
  <c r="X42" i="2"/>
  <c r="X41" i="2"/>
  <c r="X40" i="2"/>
  <c r="X39" i="2"/>
  <c r="X38" i="2"/>
  <c r="W42" i="2"/>
  <c r="W41" i="2"/>
  <c r="W40" i="2"/>
  <c r="W39" i="2"/>
  <c r="W38" i="2"/>
  <c r="U42" i="2"/>
  <c r="U41" i="2"/>
  <c r="U40" i="2"/>
  <c r="U39" i="2"/>
  <c r="U38" i="2"/>
  <c r="T42" i="2"/>
  <c r="T41" i="2"/>
  <c r="T40" i="2"/>
  <c r="T39" i="2"/>
  <c r="T38" i="2"/>
  <c r="X37" i="2"/>
  <c r="X36" i="2"/>
  <c r="X35" i="2"/>
  <c r="X34" i="2"/>
  <c r="X33" i="2"/>
  <c r="W37" i="2"/>
  <c r="W36" i="2"/>
  <c r="W35" i="2"/>
  <c r="W34" i="2"/>
  <c r="W33" i="2"/>
  <c r="U37" i="2"/>
  <c r="U36" i="2"/>
  <c r="U35" i="2"/>
  <c r="U34" i="2"/>
  <c r="U33" i="2"/>
  <c r="AA33" i="2" s="1"/>
  <c r="T36" i="2"/>
  <c r="V36" i="2" s="1"/>
  <c r="T35" i="2"/>
  <c r="T34" i="2"/>
  <c r="V34" i="2" s="1"/>
  <c r="T33" i="2"/>
  <c r="V33" i="2" s="1"/>
  <c r="AA41" i="2"/>
  <c r="Y12" i="2"/>
  <c r="Y21" i="2"/>
  <c r="V11" i="2"/>
  <c r="V46" i="2"/>
  <c r="AA46" i="2"/>
  <c r="Q30" i="2"/>
  <c r="K30" i="2"/>
  <c r="E30" i="2"/>
  <c r="Q29" i="2"/>
  <c r="K29" i="2"/>
  <c r="E29" i="2"/>
  <c r="Q28" i="2"/>
  <c r="K28" i="2"/>
  <c r="E28" i="2"/>
  <c r="Q27" i="2"/>
  <c r="K27" i="2"/>
  <c r="E27" i="2"/>
  <c r="Q26" i="2"/>
  <c r="K26" i="2"/>
  <c r="E26" i="2"/>
  <c r="Y22" i="2"/>
  <c r="Y20" i="2"/>
  <c r="V15" i="2"/>
  <c r="Z14" i="2"/>
  <c r="Z10" i="2"/>
  <c r="AA10" i="2"/>
  <c r="Q6" i="2"/>
  <c r="K6" i="2"/>
  <c r="E6" i="2"/>
  <c r="Q5" i="2"/>
  <c r="K5" i="2"/>
  <c r="E5" i="2"/>
  <c r="Q4" i="2"/>
  <c r="K4" i="2"/>
  <c r="E4" i="2"/>
  <c r="Q3" i="2"/>
  <c r="K3" i="2"/>
  <c r="E3" i="2"/>
  <c r="Q2" i="2"/>
  <c r="K2" i="2"/>
  <c r="E2" i="2"/>
  <c r="V37" i="1"/>
  <c r="V41" i="1"/>
  <c r="V45" i="1"/>
  <c r="X47" i="1"/>
  <c r="Y47" i="1" s="1"/>
  <c r="W47" i="1"/>
  <c r="U47" i="1"/>
  <c r="T47" i="1"/>
  <c r="V47" i="1" s="1"/>
  <c r="X46" i="1"/>
  <c r="W46" i="1"/>
  <c r="U46" i="1"/>
  <c r="T46" i="1"/>
  <c r="V46" i="1" s="1"/>
  <c r="X45" i="1"/>
  <c r="W45" i="1"/>
  <c r="Y45" i="1" s="1"/>
  <c r="U45" i="1"/>
  <c r="T45" i="1"/>
  <c r="X44" i="1"/>
  <c r="Y44" i="1" s="1"/>
  <c r="W44" i="1"/>
  <c r="U44" i="1"/>
  <c r="T44" i="1"/>
  <c r="V44" i="1" s="1"/>
  <c r="X43" i="1"/>
  <c r="AA43" i="1" s="1"/>
  <c r="W43" i="1"/>
  <c r="U43" i="1"/>
  <c r="T43" i="1"/>
  <c r="V43" i="1" s="1"/>
  <c r="X42" i="1"/>
  <c r="W42" i="1"/>
  <c r="Y42" i="1" s="1"/>
  <c r="U42" i="1"/>
  <c r="T42" i="1"/>
  <c r="Z42" i="1" s="1"/>
  <c r="X41" i="1"/>
  <c r="AA41" i="1" s="1"/>
  <c r="W41" i="1"/>
  <c r="Y41" i="1" s="1"/>
  <c r="U41" i="1"/>
  <c r="T41" i="1"/>
  <c r="Z41" i="1" s="1"/>
  <c r="X40" i="1"/>
  <c r="Y40" i="1" s="1"/>
  <c r="U40" i="1"/>
  <c r="W40" i="1"/>
  <c r="T40" i="1"/>
  <c r="V40" i="1" s="1"/>
  <c r="X39" i="1"/>
  <c r="AA39" i="1" s="1"/>
  <c r="W39" i="1"/>
  <c r="U39" i="1"/>
  <c r="T39" i="1"/>
  <c r="V39" i="1" s="1"/>
  <c r="T38" i="1"/>
  <c r="V38" i="1" s="1"/>
  <c r="X38" i="1"/>
  <c r="W38" i="1"/>
  <c r="U38" i="1"/>
  <c r="AA38" i="1" s="1"/>
  <c r="X37" i="1"/>
  <c r="W37" i="1"/>
  <c r="Y37" i="1" s="1"/>
  <c r="U37" i="1"/>
  <c r="T37" i="1"/>
  <c r="X36" i="1"/>
  <c r="Y36" i="1" s="1"/>
  <c r="W36" i="1"/>
  <c r="U36" i="1"/>
  <c r="T36" i="1"/>
  <c r="V36" i="1" s="1"/>
  <c r="X35" i="1"/>
  <c r="Y35" i="1" s="1"/>
  <c r="W35" i="1"/>
  <c r="U35" i="1"/>
  <c r="T35" i="1"/>
  <c r="V35" i="1" s="1"/>
  <c r="X34" i="1"/>
  <c r="AA34" i="1" s="1"/>
  <c r="W34" i="1"/>
  <c r="U34" i="1"/>
  <c r="T34" i="1"/>
  <c r="V34" i="1" s="1"/>
  <c r="X33" i="1"/>
  <c r="AA33" i="1" s="1"/>
  <c r="W33" i="1"/>
  <c r="AA36" i="1"/>
  <c r="Z35" i="1"/>
  <c r="U33" i="1"/>
  <c r="T33" i="1"/>
  <c r="V33" i="1" s="1"/>
  <c r="V10" i="1"/>
  <c r="V18" i="1"/>
  <c r="V22" i="1"/>
  <c r="X23" i="1"/>
  <c r="AA23" i="1" s="1"/>
  <c r="W23" i="1"/>
  <c r="Y23" i="1" s="1"/>
  <c r="U23" i="1"/>
  <c r="T23" i="1"/>
  <c r="V23" i="1" s="1"/>
  <c r="X22" i="1"/>
  <c r="W22" i="1"/>
  <c r="Z22" i="1" s="1"/>
  <c r="U22" i="1"/>
  <c r="AA22" i="1" s="1"/>
  <c r="T22" i="1"/>
  <c r="X21" i="1"/>
  <c r="AA21" i="1" s="1"/>
  <c r="W21" i="1"/>
  <c r="U21" i="1"/>
  <c r="T21" i="1"/>
  <c r="V21" i="1" s="1"/>
  <c r="X20" i="1"/>
  <c r="Y20" i="1" s="1"/>
  <c r="W20" i="1"/>
  <c r="U20" i="1"/>
  <c r="T20" i="1"/>
  <c r="V20" i="1" s="1"/>
  <c r="X19" i="1"/>
  <c r="W19" i="1"/>
  <c r="Y19" i="1" s="1"/>
  <c r="U19" i="1"/>
  <c r="T19" i="1"/>
  <c r="V19" i="1" s="1"/>
  <c r="X18" i="1"/>
  <c r="W18" i="1"/>
  <c r="U18" i="1"/>
  <c r="T18" i="1"/>
  <c r="W17" i="1"/>
  <c r="Y17" i="1" s="1"/>
  <c r="X17" i="1"/>
  <c r="U17" i="1"/>
  <c r="T17" i="1"/>
  <c r="V17" i="1" s="1"/>
  <c r="X16" i="1"/>
  <c r="Y16" i="1" s="1"/>
  <c r="W16" i="1"/>
  <c r="U16" i="1"/>
  <c r="T16" i="1"/>
  <c r="V16" i="1" s="1"/>
  <c r="X15" i="1"/>
  <c r="W15" i="1"/>
  <c r="Y15" i="1" s="1"/>
  <c r="U15" i="1"/>
  <c r="T15" i="1"/>
  <c r="V15" i="1" s="1"/>
  <c r="T14" i="1"/>
  <c r="V14" i="1" s="1"/>
  <c r="W14" i="1"/>
  <c r="X14" i="1"/>
  <c r="U14" i="1"/>
  <c r="X13" i="1"/>
  <c r="AA13" i="1" s="1"/>
  <c r="W13" i="1"/>
  <c r="U13" i="1"/>
  <c r="T13" i="1"/>
  <c r="V13" i="1" s="1"/>
  <c r="T12" i="1"/>
  <c r="V12" i="1" s="1"/>
  <c r="U12" i="1"/>
  <c r="AA12" i="1" s="1"/>
  <c r="X12" i="1"/>
  <c r="W12" i="1"/>
  <c r="Y12" i="1" s="1"/>
  <c r="U11" i="1"/>
  <c r="T11" i="1"/>
  <c r="V11" i="1" s="1"/>
  <c r="X11" i="1"/>
  <c r="AA11" i="1" s="1"/>
  <c r="W11" i="1"/>
  <c r="Y11" i="1" s="1"/>
  <c r="U10" i="1"/>
  <c r="T10" i="1"/>
  <c r="X10" i="1"/>
  <c r="AA10" i="1" s="1"/>
  <c r="W10" i="1"/>
  <c r="Z10" i="1" s="1"/>
  <c r="AA14" i="1"/>
  <c r="AA20" i="1"/>
  <c r="Z15" i="1"/>
  <c r="X9" i="1"/>
  <c r="W9" i="1"/>
  <c r="Y9" i="1" s="1"/>
  <c r="U9" i="1"/>
  <c r="AA9" i="1" s="1"/>
  <c r="T9" i="1"/>
  <c r="V9" i="1" s="1"/>
  <c r="Z44" i="1"/>
  <c r="Z47" i="1"/>
  <c r="Q30" i="1"/>
  <c r="K30" i="1"/>
  <c r="E30" i="1"/>
  <c r="Q29" i="1"/>
  <c r="K29" i="1"/>
  <c r="E29" i="1"/>
  <c r="Q28" i="1"/>
  <c r="K28" i="1"/>
  <c r="E28" i="1"/>
  <c r="Q27" i="1"/>
  <c r="K27" i="1"/>
  <c r="E27" i="1"/>
  <c r="Q26" i="1"/>
  <c r="K26" i="1"/>
  <c r="E26" i="1"/>
  <c r="T91" i="4" l="1"/>
  <c r="A36" i="4" s="1"/>
  <c r="T72" i="4"/>
  <c r="A35" i="4" s="1"/>
  <c r="Y11" i="2"/>
  <c r="V38" i="2"/>
  <c r="V42" i="2"/>
  <c r="V19" i="2"/>
  <c r="Y14" i="2"/>
  <c r="Z38" i="2"/>
  <c r="Z42" i="2"/>
  <c r="AA38" i="2"/>
  <c r="V41" i="2"/>
  <c r="Y19" i="2"/>
  <c r="AA42" i="2"/>
  <c r="V45" i="2"/>
  <c r="V47" i="2"/>
  <c r="AA34" i="2"/>
  <c r="Z16" i="2"/>
  <c r="AA18" i="2"/>
  <c r="Z9" i="2"/>
  <c r="AA44" i="2"/>
  <c r="AA45" i="2"/>
  <c r="AA40" i="2"/>
  <c r="AA37" i="2"/>
  <c r="V37" i="2"/>
  <c r="Z34" i="2"/>
  <c r="AA43" i="2"/>
  <c r="AA39" i="2"/>
  <c r="AA36" i="2"/>
  <c r="AA35" i="2"/>
  <c r="V39" i="2"/>
  <c r="V35" i="2"/>
  <c r="AA22" i="2"/>
  <c r="Z44" i="2"/>
  <c r="Z40" i="2"/>
  <c r="Z36" i="2"/>
  <c r="V40" i="2"/>
  <c r="Z17" i="2"/>
  <c r="Z13" i="2"/>
  <c r="Z21" i="2"/>
  <c r="Z20" i="2"/>
  <c r="Z12" i="2"/>
  <c r="Z23" i="2"/>
  <c r="Z15" i="2"/>
  <c r="Z33" i="2"/>
  <c r="Z35" i="2"/>
  <c r="Z37" i="2"/>
  <c r="Z39" i="2"/>
  <c r="Z41" i="2"/>
  <c r="Z43" i="2"/>
  <c r="Z45" i="2"/>
  <c r="Z47" i="2"/>
  <c r="AA9" i="2"/>
  <c r="V10" i="2"/>
  <c r="AA13" i="2"/>
  <c r="V14" i="2"/>
  <c r="AA17" i="2"/>
  <c r="V18" i="2"/>
  <c r="AA21" i="2"/>
  <c r="V22" i="2"/>
  <c r="V9" i="2"/>
  <c r="AA12" i="2"/>
  <c r="V13" i="2"/>
  <c r="AA16" i="2"/>
  <c r="V17" i="2"/>
  <c r="AA20" i="2"/>
  <c r="V21" i="2"/>
  <c r="AA11" i="2"/>
  <c r="V12" i="2"/>
  <c r="AA15" i="2"/>
  <c r="V16" i="2"/>
  <c r="AA19" i="2"/>
  <c r="V20" i="2"/>
  <c r="AA23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21" i="1"/>
  <c r="Y13" i="1"/>
  <c r="Y33" i="1"/>
  <c r="Z23" i="1"/>
  <c r="Y39" i="1"/>
  <c r="Z9" i="1"/>
  <c r="Z19" i="1"/>
  <c r="Z13" i="1"/>
  <c r="Z14" i="1"/>
  <c r="Z18" i="1"/>
  <c r="Z21" i="1"/>
  <c r="Y22" i="1"/>
  <c r="Y18" i="1"/>
  <c r="Y14" i="1"/>
  <c r="Y10" i="1"/>
  <c r="Z33" i="1"/>
  <c r="Z34" i="1"/>
  <c r="Z39" i="1"/>
  <c r="Z43" i="1"/>
  <c r="Z46" i="1"/>
  <c r="V42" i="1"/>
  <c r="Z11" i="1"/>
  <c r="AA35" i="1"/>
  <c r="Y43" i="1"/>
  <c r="Z20" i="1"/>
  <c r="Z12" i="1"/>
  <c r="AA19" i="1"/>
  <c r="Z38" i="1"/>
  <c r="Z40" i="1"/>
  <c r="AA42" i="1"/>
  <c r="AA45" i="1"/>
  <c r="Y46" i="1"/>
  <c r="Y38" i="1"/>
  <c r="Y34" i="1"/>
  <c r="AA47" i="1"/>
  <c r="AA46" i="1"/>
  <c r="Z45" i="1"/>
  <c r="AA44" i="1"/>
  <c r="AA40" i="1"/>
  <c r="AA37" i="1"/>
  <c r="Z37" i="1"/>
  <c r="Z36" i="1"/>
  <c r="AA18" i="1"/>
  <c r="AA17" i="1"/>
  <c r="Z17" i="1"/>
  <c r="AA16" i="1"/>
  <c r="Z16" i="1"/>
  <c r="AA15" i="1"/>
  <c r="Q3" i="1"/>
  <c r="Q4" i="1"/>
  <c r="Q5" i="1"/>
  <c r="Q6" i="1"/>
  <c r="Q2" i="1"/>
  <c r="K3" i="1"/>
  <c r="K4" i="1"/>
  <c r="K5" i="1"/>
  <c r="K6" i="1"/>
  <c r="K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<sst xmlns="http://schemas.openxmlformats.org/spreadsheetml/2006/main" count="638" uniqueCount="43">
  <si>
    <t>East</t>
  </si>
  <si>
    <t>BAL</t>
  </si>
  <si>
    <t>NYY</t>
  </si>
  <si>
    <t>TOR</t>
  </si>
  <si>
    <t>TBR</t>
  </si>
  <si>
    <t>BOS</t>
  </si>
  <si>
    <t>W</t>
  </si>
  <si>
    <t>L</t>
  </si>
  <si>
    <t>W-L%</t>
  </si>
  <si>
    <t>Central</t>
  </si>
  <si>
    <t>DET</t>
  </si>
  <si>
    <t>KCR</t>
  </si>
  <si>
    <t>CLE</t>
  </si>
  <si>
    <t>CHW</t>
  </si>
  <si>
    <t>MIN</t>
  </si>
  <si>
    <t>West</t>
  </si>
  <si>
    <t>LAA</t>
  </si>
  <si>
    <t>OAK</t>
  </si>
  <si>
    <t>SEA</t>
  </si>
  <si>
    <t>HOU</t>
  </si>
  <si>
    <t>TEX</t>
  </si>
  <si>
    <t>Strong</t>
  </si>
  <si>
    <t>Weak</t>
  </si>
  <si>
    <t>AL</t>
  </si>
  <si>
    <t>NL</t>
  </si>
  <si>
    <t>WSN</t>
  </si>
  <si>
    <t>ATL</t>
  </si>
  <si>
    <t>NYM</t>
  </si>
  <si>
    <t>MIA</t>
  </si>
  <si>
    <t>PHI</t>
  </si>
  <si>
    <t>STL</t>
  </si>
  <si>
    <t>PIT</t>
  </si>
  <si>
    <t>MIL</t>
  </si>
  <si>
    <t>CIN</t>
  </si>
  <si>
    <t>CHC</t>
  </si>
  <si>
    <t>LAD</t>
  </si>
  <si>
    <t>SFG</t>
  </si>
  <si>
    <t>SDP</t>
  </si>
  <si>
    <t>COL</t>
  </si>
  <si>
    <t>ARI</t>
  </si>
  <si>
    <t>Total</t>
  </si>
  <si>
    <t>VS. REST</t>
  </si>
  <si>
    <t>VS.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</si>
</sst>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double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indexed="64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auto="1"/>
      </top>
      <bottom/>
      <diagonal/>
    </border>
    <border>
      <left style="double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2" borderId="6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0" xfId="0" applyFill="1" applyBorder="1"/>
    <xf numFmtId="0" fontId="0" fillId="2" borderId="11" xfId="0" applyFill="1" applyBorder="1"/>
    <xf numFmtId="0" fontId="0" fillId="0" borderId="0" xfId="0" applyFill="1" applyBorder="1"/>
    <xf numFmtId="10" fontId="0" fillId="0" borderId="12" xfId="0" applyNumberFormat="1" applyBorder="1"/>
    <xf numFmtId="10" fontId="0" fillId="0" borderId="0" xfId="0" applyNumberFormat="1" applyBorder="1"/>
    <xf numFmtId="10" fontId="0" fillId="0" borderId="6" xfId="0" applyNumberFormat="1" applyBorder="1"/>
    <xf numFmtId="0" fontId="0" fillId="0" borderId="12" xfId="0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6" xfId="0" applyNumberFormat="1" applyBorder="1"/>
    <xf numFmtId="1" fontId="0" fillId="0" borderId="12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3" borderId="7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7" xfId="0" applyFill="1" applyBorder="1"/>
    <xf numFmtId="0" fontId="0" fillId="4" borderId="1" xfId="0" applyFill="1" applyBorder="1"/>
    <xf numFmtId="0" fontId="0" fillId="4" borderId="3" xfId="0" applyFill="1" applyBorder="1"/>
    <xf numFmtId="10" fontId="0" fillId="0" borderId="4" xfId="0" applyNumberFormat="1" applyBorder="1"/>
    <xf numFmtId="10" fontId="0" fillId="0" borderId="14" xfId="0" applyNumberFormat="1" applyBorder="1"/>
    <xf numFmtId="10" fontId="0" fillId="0" borderId="7" xfId="0" applyNumberFormat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0" fontId="0" fillId="0" borderId="22" xfId="0" applyBorder="1"/>
    <xf numFmtId="1" fontId="0" fillId="0" borderId="23" xfId="0" applyNumberFormat="1" applyBorder="1"/>
    <xf numFmtId="0" fontId="0" fillId="0" borderId="24" xfId="0" applyBorder="1"/>
    <xf numFmtId="0" fontId="0" fillId="3" borderId="25" xfId="0" applyFill="1" applyBorder="1"/>
    <xf numFmtId="0" fontId="0" fillId="0" borderId="26" xfId="0" applyBorder="1"/>
    <xf numFmtId="1" fontId="0" fillId="0" borderId="26" xfId="0" applyNumberFormat="1" applyBorder="1"/>
    <xf numFmtId="10" fontId="0" fillId="0" borderId="25" xfId="0" applyNumberFormat="1" applyBorder="1"/>
    <xf numFmtId="1" fontId="0" fillId="0" borderId="27" xfId="0" applyNumberFormat="1" applyBorder="1"/>
    <xf numFmtId="0" fontId="0" fillId="0" borderId="28" xfId="0" applyBorder="1"/>
    <xf numFmtId="0" fontId="0" fillId="0" borderId="1" xfId="0" applyFill="1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1" fontId="0" fillId="0" borderId="32" xfId="0" applyNumberFormat="1" applyBorder="1"/>
    <xf numFmtId="1" fontId="0" fillId="0" borderId="33" xfId="0" applyNumberFormat="1" applyBorder="1"/>
    <xf numFmtId="0" fontId="0" fillId="4" borderId="34" xfId="0" applyFill="1" applyBorder="1"/>
    <xf numFmtId="0" fontId="0" fillId="3" borderId="34" xfId="0" applyFill="1" applyBorder="1"/>
    <xf numFmtId="0" fontId="0" fillId="0" borderId="23" xfId="0" applyBorder="1"/>
    <xf numFmtId="0" fontId="0" fillId="4" borderId="25" xfId="0" applyFill="1" applyBorder="1"/>
    <xf numFmtId="10" fontId="0" fillId="0" borderId="26" xfId="0" applyNumberFormat="1" applyBorder="1"/>
    <xf numFmtId="0" fontId="0" fillId="0" borderId="35" xfId="0" applyBorder="1"/>
    <xf numFmtId="0" fontId="0" fillId="0" borderId="27" xfId="0" applyBorder="1"/>
    <xf numFmtId="0" fontId="0" fillId="3" borderId="14" xfId="0" applyFill="1" applyBorder="1"/>
    <xf numFmtId="0" fontId="0" fillId="0" borderId="32" xfId="0" applyBorder="1"/>
    <xf numFmtId="0" fontId="0" fillId="0" borderId="33" xfId="0" applyBorder="1"/>
    <xf numFmtId="0" fontId="0" fillId="0" borderId="3" xfId="0" applyFill="1" applyBorder="1"/>
    <xf numFmtId="0" fontId="0" fillId="4" borderId="14" xfId="0" applyFill="1" applyBorder="1"/>
    <xf numFmtId="164" fontId="0" fillId="2" borderId="0" xfId="0" applyNumberFormat="1" applyFill="1"/>
    <xf numFmtId="164" fontId="0" fillId="0" borderId="0" xfId="0" applyNumberFormat="1" applyFill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6" xfId="0" applyNumberFormat="1" applyBorder="1"/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2" borderId="9" xfId="0" applyNumberFormat="1" applyFill="1" applyBorder="1"/>
    <xf numFmtId="164" fontId="0" fillId="2" borderId="0" xfId="0" applyNumberFormat="1" applyFill="1" applyBorder="1"/>
    <xf numFmtId="164" fontId="0" fillId="2" borderId="11" xfId="0" applyNumberFormat="1" applyFill="1" applyBorder="1"/>
    <xf numFmtId="1" fontId="0" fillId="0" borderId="0" xfId="0" applyNumberFormat="1"/>
    <xf numFmtId="1" fontId="0" fillId="0" borderId="0" xfId="0" applyNumberFormat="1" applyFill="1" applyBorder="1"/>
    <xf numFmtId="164" fontId="0" fillId="0" borderId="23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5" borderId="0" xfId="0" applyNumberFormat="1" applyFill="1"/>
    <xf numFmtId="0" fontId="0" fillId="0" borderId="1" xfId="0" applyBorder="1" applyAlignment="1">
      <alignment horizontal="center"/>
    </xf>
    <xf numFmtId="1" fontId="0" fillId="0" borderId="36" xfId="0" applyNumberFormat="1" applyBorder="1"/>
    <xf numFmtId="0" fontId="0" fillId="0" borderId="29" xfId="0" applyBorder="1" applyAlignment="1">
      <alignment horizontal="center"/>
    </xf>
    <xf numFmtId="164" fontId="0" fillId="6" borderId="23" xfId="0" applyNumberFormat="1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1" fillId="0" borderId="0" xfId="0" applyFont="1"/>
    <xf numFmtId="0" fontId="1" fillId="0" borderId="23" xfId="0" applyFont="1" applyBorder="1"/>
    <xf numFmtId="0" fontId="1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Normal="100" workbookViewId="0"/>
  </sheetViews>
  <sheetFormatPr defaultRowHeight="15"/>
  <sheetData>
    <row r="1" spans="1:27">
      <c r="A1" t="s">
        <v>23</v>
      </c>
      <c r="C1" t="s">
        <v>6</v>
      </c>
      <c r="D1" t="s">
        <v>7</v>
      </c>
      <c r="E1" t="s">
        <v>8</v>
      </c>
      <c r="G1" t="s">
        <v>23</v>
      </c>
      <c r="I1" t="s">
        <v>6</v>
      </c>
      <c r="J1" t="s">
        <v>7</v>
      </c>
      <c r="K1" t="s">
        <v>8</v>
      </c>
      <c r="M1" t="s">
        <v>23</v>
      </c>
      <c r="O1" t="s">
        <v>6</v>
      </c>
      <c r="P1" t="s">
        <v>7</v>
      </c>
      <c r="Q1" t="s">
        <v>8</v>
      </c>
    </row>
    <row r="2" spans="1:27">
      <c r="A2" t="s">
        <v>0</v>
      </c>
      <c r="B2" s="4" t="s">
        <v>5</v>
      </c>
      <c r="C2">
        <v>97</v>
      </c>
      <c r="D2">
        <v>65</v>
      </c>
      <c r="E2" s="1">
        <f>C2/(C2+D2)</f>
        <v>0.59876543209876543</v>
      </c>
      <c r="G2" t="s">
        <v>9</v>
      </c>
      <c r="H2" s="4" t="s">
        <v>10</v>
      </c>
      <c r="I2">
        <v>93</v>
      </c>
      <c r="J2">
        <v>69</v>
      </c>
      <c r="K2" s="1">
        <f>I2/(I2+J2)</f>
        <v>0.57407407407407407</v>
      </c>
      <c r="M2" t="s">
        <v>15</v>
      </c>
      <c r="N2" s="4" t="s">
        <v>17</v>
      </c>
      <c r="O2">
        <v>96</v>
      </c>
      <c r="P2">
        <v>66</v>
      </c>
      <c r="Q2" s="1">
        <f>O2/(O2+P2)</f>
        <v>0.59259259259259256</v>
      </c>
    </row>
    <row r="3" spans="1:27">
      <c r="B3" s="4" t="s">
        <v>4</v>
      </c>
      <c r="C3">
        <v>92</v>
      </c>
      <c r="D3">
        <v>71</v>
      </c>
      <c r="E3" s="1">
        <f t="shared" ref="E3:E6" si="0">C3/(C3+D3)</f>
        <v>0.56441717791411039</v>
      </c>
      <c r="H3" s="4" t="s">
        <v>12</v>
      </c>
      <c r="I3">
        <v>92</v>
      </c>
      <c r="J3">
        <v>70</v>
      </c>
      <c r="K3" s="1">
        <f t="shared" ref="K3:K6" si="1">I3/(I3+J3)</f>
        <v>0.5679012345679012</v>
      </c>
      <c r="N3" s="4" t="s">
        <v>20</v>
      </c>
      <c r="O3">
        <v>91</v>
      </c>
      <c r="P3">
        <v>72</v>
      </c>
      <c r="Q3" s="1">
        <f t="shared" ref="Q3:Q6" si="2">O3/(O3+P3)</f>
        <v>0.55828220858895705</v>
      </c>
    </row>
    <row r="4" spans="1:27">
      <c r="B4" s="3" t="s">
        <v>1</v>
      </c>
      <c r="C4">
        <v>85</v>
      </c>
      <c r="D4">
        <v>77</v>
      </c>
      <c r="E4" s="1">
        <f t="shared" si="0"/>
        <v>0.52469135802469136</v>
      </c>
      <c r="H4" s="3" t="s">
        <v>11</v>
      </c>
      <c r="I4">
        <v>86</v>
      </c>
      <c r="J4">
        <v>76</v>
      </c>
      <c r="K4" s="1">
        <f t="shared" si="1"/>
        <v>0.53086419753086422</v>
      </c>
      <c r="N4" s="3" t="s">
        <v>16</v>
      </c>
      <c r="O4">
        <v>78</v>
      </c>
      <c r="P4">
        <v>84</v>
      </c>
      <c r="Q4" s="1">
        <f t="shared" si="2"/>
        <v>0.48148148148148145</v>
      </c>
    </row>
    <row r="5" spans="1:27">
      <c r="B5" s="3" t="s">
        <v>2</v>
      </c>
      <c r="C5">
        <v>85</v>
      </c>
      <c r="D5">
        <v>77</v>
      </c>
      <c r="E5" s="1">
        <f t="shared" si="0"/>
        <v>0.52469135802469136</v>
      </c>
      <c r="H5" s="3" t="s">
        <v>14</v>
      </c>
      <c r="I5">
        <v>66</v>
      </c>
      <c r="J5">
        <v>96</v>
      </c>
      <c r="K5" s="1">
        <f t="shared" si="1"/>
        <v>0.40740740740740738</v>
      </c>
      <c r="N5" s="3" t="s">
        <v>18</v>
      </c>
      <c r="O5">
        <v>71</v>
      </c>
      <c r="P5">
        <v>91</v>
      </c>
      <c r="Q5" s="1">
        <f t="shared" si="2"/>
        <v>0.43827160493827161</v>
      </c>
    </row>
    <row r="6" spans="1:27" ht="15.75" thickBot="1">
      <c r="B6" s="3" t="s">
        <v>3</v>
      </c>
      <c r="C6">
        <v>74</v>
      </c>
      <c r="D6">
        <v>88</v>
      </c>
      <c r="E6" s="1">
        <f t="shared" si="0"/>
        <v>0.4567901234567901</v>
      </c>
      <c r="H6" s="3" t="s">
        <v>13</v>
      </c>
      <c r="I6">
        <v>63</v>
      </c>
      <c r="J6">
        <v>99</v>
      </c>
      <c r="K6" s="1">
        <f t="shared" si="1"/>
        <v>0.3888888888888889</v>
      </c>
      <c r="N6" s="3" t="s">
        <v>19</v>
      </c>
      <c r="O6">
        <v>51</v>
      </c>
      <c r="P6">
        <v>111</v>
      </c>
      <c r="Q6" s="1">
        <f t="shared" si="2"/>
        <v>0.31481481481481483</v>
      </c>
    </row>
    <row r="7" spans="1:27">
      <c r="R7" s="45"/>
      <c r="S7" s="46"/>
      <c r="T7" s="47" t="s">
        <v>21</v>
      </c>
      <c r="U7" s="48"/>
      <c r="V7" s="46"/>
      <c r="W7" s="49" t="s">
        <v>22</v>
      </c>
      <c r="X7" s="48"/>
      <c r="Y7" s="46"/>
      <c r="Z7" s="48" t="s">
        <v>40</v>
      </c>
      <c r="AA7" s="50"/>
    </row>
    <row r="8" spans="1:27" ht="15.75" thickBot="1">
      <c r="A8" s="8" t="s">
        <v>23</v>
      </c>
      <c r="B8" s="5" t="s">
        <v>1</v>
      </c>
      <c r="C8" s="5" t="s">
        <v>5</v>
      </c>
      <c r="D8" s="5" t="s">
        <v>2</v>
      </c>
      <c r="E8" s="5" t="s">
        <v>4</v>
      </c>
      <c r="F8" s="5" t="s">
        <v>3</v>
      </c>
      <c r="G8" s="13" t="s">
        <v>13</v>
      </c>
      <c r="H8" s="5" t="s">
        <v>12</v>
      </c>
      <c r="I8" s="5" t="s">
        <v>10</v>
      </c>
      <c r="J8" s="5" t="s">
        <v>11</v>
      </c>
      <c r="K8" s="6" t="s">
        <v>14</v>
      </c>
      <c r="L8" s="5" t="s">
        <v>19</v>
      </c>
      <c r="M8" s="5" t="s">
        <v>16</v>
      </c>
      <c r="N8" s="5" t="s">
        <v>17</v>
      </c>
      <c r="O8" s="5" t="s">
        <v>18</v>
      </c>
      <c r="P8" s="5" t="s">
        <v>20</v>
      </c>
      <c r="R8" s="59" t="s">
        <v>23</v>
      </c>
      <c r="S8" s="8"/>
      <c r="T8" s="5" t="s">
        <v>6</v>
      </c>
      <c r="U8" s="5" t="s">
        <v>7</v>
      </c>
      <c r="V8" s="8" t="s">
        <v>8</v>
      </c>
      <c r="W8" s="5" t="s">
        <v>6</v>
      </c>
      <c r="X8" s="5" t="s">
        <v>7</v>
      </c>
      <c r="Y8" s="8" t="s">
        <v>8</v>
      </c>
      <c r="Z8" s="60" t="s">
        <v>6</v>
      </c>
      <c r="AA8" s="61" t="s">
        <v>7</v>
      </c>
    </row>
    <row r="9" spans="1:27" ht="15.75" thickTop="1">
      <c r="A9" s="9" t="s">
        <v>1</v>
      </c>
      <c r="B9" s="2">
        <v>0</v>
      </c>
      <c r="C9" s="21">
        <v>11</v>
      </c>
      <c r="D9" s="21">
        <v>9</v>
      </c>
      <c r="E9" s="21">
        <v>6</v>
      </c>
      <c r="F9" s="21">
        <v>10</v>
      </c>
      <c r="G9" s="14">
        <v>4</v>
      </c>
      <c r="H9" s="21">
        <v>3</v>
      </c>
      <c r="I9" s="21">
        <v>4</v>
      </c>
      <c r="J9" s="21">
        <v>3</v>
      </c>
      <c r="K9" s="7">
        <v>3</v>
      </c>
      <c r="L9" s="21">
        <v>4</v>
      </c>
      <c r="M9" s="21">
        <v>5</v>
      </c>
      <c r="N9" s="21">
        <v>5</v>
      </c>
      <c r="O9" s="21">
        <v>2</v>
      </c>
      <c r="P9" s="21">
        <v>5</v>
      </c>
      <c r="Q9" s="21"/>
      <c r="R9" s="51" t="s">
        <v>0</v>
      </c>
      <c r="S9" s="33" t="s">
        <v>1</v>
      </c>
      <c r="T9" s="15">
        <f>SUM(C9,E9,H9:I9,N9,P9)+2</f>
        <v>36</v>
      </c>
      <c r="U9" s="26">
        <f>SUM(B10,B12,B16,B15,B21,B23)+1</f>
        <v>32</v>
      </c>
      <c r="V9" s="42">
        <f>T9/SUM(T9:U9)</f>
        <v>0.52941176470588236</v>
      </c>
      <c r="W9" s="26">
        <f>SUM(B9,D9,F9,G9,J9:K9,L9,M9,O9)+0+2+2+2+3</f>
        <v>49</v>
      </c>
      <c r="X9" s="26">
        <f>SUM(B9,B11,B13:B14,B17:B20,B22)+3+1+2+1+1</f>
        <v>45</v>
      </c>
      <c r="Y9" s="42">
        <f>W9/SUM(W9:X9)</f>
        <v>0.52127659574468088</v>
      </c>
      <c r="Z9" s="26">
        <f>SUM(T9,W9)</f>
        <v>85</v>
      </c>
      <c r="AA9" s="52">
        <f>SUM(U9,X9)</f>
        <v>77</v>
      </c>
    </row>
    <row r="10" spans="1:27">
      <c r="A10" s="9" t="s">
        <v>5</v>
      </c>
      <c r="B10">
        <v>8</v>
      </c>
      <c r="C10" s="2">
        <v>0</v>
      </c>
      <c r="D10" s="21">
        <v>13</v>
      </c>
      <c r="E10" s="21">
        <v>12</v>
      </c>
      <c r="F10" s="21">
        <v>11</v>
      </c>
      <c r="G10" s="14">
        <v>4</v>
      </c>
      <c r="H10" s="21">
        <v>6</v>
      </c>
      <c r="I10" s="21">
        <v>3</v>
      </c>
      <c r="J10" s="21">
        <v>2</v>
      </c>
      <c r="K10" s="7">
        <v>4</v>
      </c>
      <c r="L10" s="21">
        <v>6</v>
      </c>
      <c r="M10" s="21">
        <v>3</v>
      </c>
      <c r="N10" s="21">
        <v>3</v>
      </c>
      <c r="O10" s="21">
        <v>6</v>
      </c>
      <c r="P10" s="21">
        <v>2</v>
      </c>
      <c r="Q10" s="15"/>
      <c r="R10" s="51"/>
      <c r="S10" s="32" t="s">
        <v>5</v>
      </c>
      <c r="T10" s="15">
        <f>SUM(C10,E10,H10:I10,N10,P10)+2</f>
        <v>28</v>
      </c>
      <c r="U10" s="26">
        <f>SUM(C10,C12,C16,C15,C21,C23)+1</f>
        <v>20</v>
      </c>
      <c r="V10" s="42">
        <f t="shared" ref="V10:V23" si="3">T10/SUM(T10:U10)</f>
        <v>0.58333333333333337</v>
      </c>
      <c r="W10" s="26">
        <f>SUM(B10,D10,F10,G10,J10:K10,L10,M10,O10)+2+3+2+3+2</f>
        <v>69</v>
      </c>
      <c r="X10" s="26">
        <f>SUM(C9,C11,C13:C14,C17:C20,C22)+1+1+2+0+1</f>
        <v>45</v>
      </c>
      <c r="Y10" s="42">
        <f t="shared" ref="Y10:Y23" si="4">W10/SUM(W10:X10)</f>
        <v>0.60526315789473684</v>
      </c>
      <c r="Z10" s="26">
        <f t="shared" ref="Z10:AA23" si="5">SUM(T10,W10)</f>
        <v>97</v>
      </c>
      <c r="AA10" s="52">
        <f t="shared" si="5"/>
        <v>65</v>
      </c>
    </row>
    <row r="11" spans="1:27">
      <c r="A11" s="9" t="s">
        <v>2</v>
      </c>
      <c r="B11">
        <v>10</v>
      </c>
      <c r="C11" s="21">
        <v>6</v>
      </c>
      <c r="D11" s="2">
        <v>0</v>
      </c>
      <c r="E11" s="21">
        <v>7</v>
      </c>
      <c r="F11" s="21">
        <v>14</v>
      </c>
      <c r="G11" s="14">
        <v>3</v>
      </c>
      <c r="H11" s="21">
        <v>6</v>
      </c>
      <c r="I11" s="21">
        <v>3</v>
      </c>
      <c r="J11" s="21">
        <v>5</v>
      </c>
      <c r="K11" s="7">
        <v>5</v>
      </c>
      <c r="L11" s="21">
        <v>5</v>
      </c>
      <c r="M11" s="21">
        <v>4</v>
      </c>
      <c r="N11" s="21">
        <v>1</v>
      </c>
      <c r="O11" s="21">
        <v>4</v>
      </c>
      <c r="P11" s="21">
        <v>3</v>
      </c>
      <c r="Q11" s="15"/>
      <c r="R11" s="51"/>
      <c r="S11" s="33" t="s">
        <v>2</v>
      </c>
      <c r="T11" s="15">
        <f>SUM(C11,E11,H11:I11,N11,P11)+2</f>
        <v>28</v>
      </c>
      <c r="U11" s="26">
        <f>SUM(D10,D12,D16,D15,D21,D23)+2</f>
        <v>40</v>
      </c>
      <c r="V11" s="42">
        <f t="shared" si="3"/>
        <v>0.41176470588235292</v>
      </c>
      <c r="W11" s="26">
        <f>SUM(B11,D11,F11,G11,J11:K11,L11,M11,O11)+2+2+0+1+2</f>
        <v>57</v>
      </c>
      <c r="X11" s="26">
        <f>SUM(D9,D11,D13:D14,D17:D20,D22)+1+1+4+2+1</f>
        <v>37</v>
      </c>
      <c r="Y11" s="42">
        <f t="shared" si="4"/>
        <v>0.6063829787234043</v>
      </c>
      <c r="Z11" s="26">
        <f t="shared" si="5"/>
        <v>85</v>
      </c>
      <c r="AA11" s="52">
        <f t="shared" si="5"/>
        <v>77</v>
      </c>
    </row>
    <row r="12" spans="1:27">
      <c r="A12" s="9" t="s">
        <v>4</v>
      </c>
      <c r="B12">
        <v>13</v>
      </c>
      <c r="C12" s="21">
        <v>7</v>
      </c>
      <c r="D12" s="21">
        <v>12</v>
      </c>
      <c r="E12" s="2">
        <v>0</v>
      </c>
      <c r="F12" s="21">
        <v>11</v>
      </c>
      <c r="G12" s="14">
        <v>5</v>
      </c>
      <c r="H12" s="21">
        <v>4</v>
      </c>
      <c r="I12" s="21">
        <v>3</v>
      </c>
      <c r="J12" s="21">
        <v>1</v>
      </c>
      <c r="K12" s="7">
        <v>6</v>
      </c>
      <c r="L12" s="21">
        <v>5</v>
      </c>
      <c r="M12" s="21">
        <v>3</v>
      </c>
      <c r="N12" s="21">
        <v>3</v>
      </c>
      <c r="O12" s="21">
        <v>3</v>
      </c>
      <c r="P12" s="21">
        <v>4</v>
      </c>
      <c r="Q12" s="15"/>
      <c r="R12" s="51"/>
      <c r="S12" s="32" t="s">
        <v>4</v>
      </c>
      <c r="T12" s="15">
        <f>SUM(C12,E12,H12:I12,N12,P12)+0</f>
        <v>21</v>
      </c>
      <c r="U12" s="26">
        <f>SUM(E10,E12,E16,E15,E21,E23)+3</f>
        <v>27</v>
      </c>
      <c r="V12" s="42">
        <f t="shared" si="3"/>
        <v>0.4375</v>
      </c>
      <c r="W12" s="26">
        <f>SUM(B12,D12,F12,G12,J12:K12,L12,M12,O12)+1+2+4+3+2</f>
        <v>71</v>
      </c>
      <c r="X12" s="26">
        <f>SUM(E9,E11,E13:E14,E17:E20,E22)+3+1+0+0+1</f>
        <v>44</v>
      </c>
      <c r="Y12" s="42">
        <f t="shared" si="4"/>
        <v>0.61739130434782608</v>
      </c>
      <c r="Z12" s="26">
        <f t="shared" si="5"/>
        <v>92</v>
      </c>
      <c r="AA12" s="52">
        <f t="shared" si="5"/>
        <v>71</v>
      </c>
    </row>
    <row r="13" spans="1:27">
      <c r="A13" s="10" t="s">
        <v>3</v>
      </c>
      <c r="B13" s="11">
        <v>9</v>
      </c>
      <c r="C13" s="11">
        <v>8</v>
      </c>
      <c r="D13" s="11">
        <v>5</v>
      </c>
      <c r="E13" s="11">
        <v>8</v>
      </c>
      <c r="F13" s="12">
        <v>0</v>
      </c>
      <c r="G13" s="16">
        <v>3</v>
      </c>
      <c r="H13" s="11">
        <v>2</v>
      </c>
      <c r="I13" s="11">
        <v>2</v>
      </c>
      <c r="J13" s="11">
        <v>4</v>
      </c>
      <c r="K13" s="17">
        <v>5</v>
      </c>
      <c r="L13" s="11">
        <v>4</v>
      </c>
      <c r="M13" s="11">
        <v>1</v>
      </c>
      <c r="N13" s="11">
        <v>3</v>
      </c>
      <c r="O13" s="11">
        <v>3</v>
      </c>
      <c r="P13" s="11">
        <v>6</v>
      </c>
      <c r="Q13" s="15"/>
      <c r="R13" s="51"/>
      <c r="S13" s="34" t="s">
        <v>3</v>
      </c>
      <c r="T13" s="15">
        <f>SUM(C13,E13,H13:I13,N13,P13)+2+0</f>
        <v>31</v>
      </c>
      <c r="U13" s="26">
        <f>SUM(F10,F12,F16,F15,F21,F23)+2+3</f>
        <v>41</v>
      </c>
      <c r="V13" s="42">
        <f t="shared" si="3"/>
        <v>0.43055555555555558</v>
      </c>
      <c r="W13" s="26">
        <f>SUM(B13,D13,F13,G13,J13:K13,L13,M13,O13)+2+3+1+3</f>
        <v>43</v>
      </c>
      <c r="X13" s="26">
        <f>SUM(F9,F11,F13:F14,F17:F20,F22)+1+0+2+1</f>
        <v>47</v>
      </c>
      <c r="Y13" s="42">
        <f t="shared" si="4"/>
        <v>0.4777777777777778</v>
      </c>
      <c r="Z13" s="26">
        <f t="shared" si="5"/>
        <v>74</v>
      </c>
      <c r="AA13" s="52">
        <f t="shared" si="5"/>
        <v>88</v>
      </c>
    </row>
    <row r="14" spans="1:27">
      <c r="A14" s="9" t="s">
        <v>13</v>
      </c>
      <c r="B14" s="21">
        <v>3</v>
      </c>
      <c r="C14" s="21">
        <v>2</v>
      </c>
      <c r="D14" s="21">
        <v>3</v>
      </c>
      <c r="E14" s="21">
        <v>2</v>
      </c>
      <c r="F14" s="21">
        <v>4</v>
      </c>
      <c r="G14" s="18">
        <v>0</v>
      </c>
      <c r="H14" s="21">
        <v>2</v>
      </c>
      <c r="I14" s="21">
        <v>7</v>
      </c>
      <c r="J14" s="21">
        <v>9</v>
      </c>
      <c r="K14" s="7">
        <v>8</v>
      </c>
      <c r="L14" s="21">
        <v>3</v>
      </c>
      <c r="M14" s="21">
        <v>3</v>
      </c>
      <c r="N14" s="21">
        <v>2</v>
      </c>
      <c r="O14" s="21">
        <v>3</v>
      </c>
      <c r="P14" s="21">
        <v>4</v>
      </c>
      <c r="Q14" s="15"/>
      <c r="R14" s="62" t="s">
        <v>9</v>
      </c>
      <c r="S14" s="33" t="s">
        <v>13</v>
      </c>
      <c r="T14" s="35">
        <f>SUM(C14,E14,H14:I14,N14,P14)+2</f>
        <v>21</v>
      </c>
      <c r="U14" s="31">
        <f>SUM(G10,G12,G16,G15,G21,G23)+1</f>
        <v>46</v>
      </c>
      <c r="V14" s="43">
        <f t="shared" si="3"/>
        <v>0.31343283582089554</v>
      </c>
      <c r="W14" s="31">
        <f>SUM(B14,D14,F14,G14,J14:K14,L14,M14,O14)+0+3+2+1+0</f>
        <v>42</v>
      </c>
      <c r="X14" s="31">
        <f>SUM(G9,G11,G13:G14,G17:G20,G22)+4+0+2+2+3</f>
        <v>53</v>
      </c>
      <c r="Y14" s="43">
        <f t="shared" si="4"/>
        <v>0.44210526315789472</v>
      </c>
      <c r="Z14" s="27">
        <f>SUM(T14,W14)</f>
        <v>63</v>
      </c>
      <c r="AA14" s="64">
        <f t="shared" si="5"/>
        <v>99</v>
      </c>
    </row>
    <row r="15" spans="1:27">
      <c r="A15" s="9" t="s">
        <v>12</v>
      </c>
      <c r="B15" s="21">
        <v>4</v>
      </c>
      <c r="C15" s="21">
        <v>1</v>
      </c>
      <c r="D15" s="21">
        <v>1</v>
      </c>
      <c r="E15" s="21">
        <v>2</v>
      </c>
      <c r="F15" s="21">
        <v>4</v>
      </c>
      <c r="G15" s="14">
        <v>17</v>
      </c>
      <c r="H15" s="19">
        <v>0</v>
      </c>
      <c r="I15" s="21">
        <v>4</v>
      </c>
      <c r="J15" s="21">
        <v>10</v>
      </c>
      <c r="K15" s="7">
        <v>13</v>
      </c>
      <c r="L15" s="21">
        <v>6</v>
      </c>
      <c r="M15" s="21">
        <v>4</v>
      </c>
      <c r="N15" s="21">
        <v>5</v>
      </c>
      <c r="O15" s="21">
        <v>5</v>
      </c>
      <c r="P15" s="21">
        <v>5</v>
      </c>
      <c r="Q15" s="15"/>
      <c r="R15" s="51"/>
      <c r="S15" s="32" t="s">
        <v>12</v>
      </c>
      <c r="T15" s="36">
        <f>SUM(C15,E15,H15:I15,N15,P15)+0+2</f>
        <v>19</v>
      </c>
      <c r="U15" s="26">
        <f>SUM(H10,H12,H16,H15,H21,H23)+3+2</f>
        <v>33</v>
      </c>
      <c r="V15" s="42">
        <f t="shared" si="3"/>
        <v>0.36538461538461536</v>
      </c>
      <c r="W15" s="26">
        <f>SUM(B15,D15,F15,G15,J15:K15,L15,M15,O15)+2+2+3+2</f>
        <v>73</v>
      </c>
      <c r="X15" s="26">
        <f>SUM(H9,H11,H13:H14,H17:H20,H22)+1+1+1+1</f>
        <v>37</v>
      </c>
      <c r="Y15" s="42">
        <f t="shared" si="4"/>
        <v>0.66363636363636369</v>
      </c>
      <c r="Z15" s="28">
        <f t="shared" si="5"/>
        <v>92</v>
      </c>
      <c r="AA15" s="52">
        <f t="shared" si="5"/>
        <v>70</v>
      </c>
    </row>
    <row r="16" spans="1:27">
      <c r="A16" s="9" t="s">
        <v>10</v>
      </c>
      <c r="B16" s="21">
        <v>2</v>
      </c>
      <c r="C16" s="21">
        <v>4</v>
      </c>
      <c r="D16" s="21">
        <v>3</v>
      </c>
      <c r="E16" s="21">
        <v>3</v>
      </c>
      <c r="F16" s="21">
        <v>5</v>
      </c>
      <c r="G16" s="14">
        <v>12</v>
      </c>
      <c r="H16" s="21">
        <v>15</v>
      </c>
      <c r="I16" s="19">
        <v>0</v>
      </c>
      <c r="J16" s="21">
        <v>9</v>
      </c>
      <c r="K16" s="7">
        <v>11</v>
      </c>
      <c r="L16" s="21">
        <v>6</v>
      </c>
      <c r="M16" s="21">
        <v>0</v>
      </c>
      <c r="N16" s="21">
        <v>3</v>
      </c>
      <c r="O16" s="21">
        <v>5</v>
      </c>
      <c r="P16" s="21">
        <v>3</v>
      </c>
      <c r="Q16" s="15"/>
      <c r="R16" s="51"/>
      <c r="S16" s="32" t="s">
        <v>10</v>
      </c>
      <c r="T16" s="36">
        <f>SUM(C16,E16,H16:I16,N16,P16)+3+1</f>
        <v>32</v>
      </c>
      <c r="U16" s="26">
        <f>SUM(I10,I12,I16,I15,I21,I23)+0+3</f>
        <v>21</v>
      </c>
      <c r="V16" s="42">
        <f t="shared" si="3"/>
        <v>0.60377358490566035</v>
      </c>
      <c r="W16" s="26">
        <f>SUM(B16,D16,F16,G16,J16:K16,L16,M16,O16)+0+3+3+2</f>
        <v>61</v>
      </c>
      <c r="X16" s="26">
        <f>SUM(I9,I11,I13:I14,I17:I20,I22)+3+0+0+2</f>
        <v>48</v>
      </c>
      <c r="Y16" s="42">
        <f t="shared" si="4"/>
        <v>0.55963302752293576</v>
      </c>
      <c r="Z16" s="28">
        <f t="shared" si="5"/>
        <v>93</v>
      </c>
      <c r="AA16" s="52">
        <f t="shared" si="5"/>
        <v>69</v>
      </c>
    </row>
    <row r="17" spans="1:27">
      <c r="A17" s="9" t="s">
        <v>11</v>
      </c>
      <c r="B17" s="21">
        <v>4</v>
      </c>
      <c r="C17" s="21">
        <v>5</v>
      </c>
      <c r="D17" s="21">
        <v>2</v>
      </c>
      <c r="E17" s="21">
        <v>6</v>
      </c>
      <c r="F17" s="21">
        <v>2</v>
      </c>
      <c r="G17" s="14">
        <v>10</v>
      </c>
      <c r="H17" s="21">
        <v>9</v>
      </c>
      <c r="I17" s="21">
        <v>10</v>
      </c>
      <c r="J17" s="19">
        <v>0</v>
      </c>
      <c r="K17" s="7">
        <v>15</v>
      </c>
      <c r="L17" s="21">
        <v>4</v>
      </c>
      <c r="M17" s="21">
        <v>2</v>
      </c>
      <c r="N17" s="21">
        <v>1</v>
      </c>
      <c r="O17" s="21">
        <v>4</v>
      </c>
      <c r="P17" s="21">
        <v>3</v>
      </c>
      <c r="Q17" s="15"/>
      <c r="R17" s="51"/>
      <c r="S17" s="33" t="s">
        <v>11</v>
      </c>
      <c r="T17" s="36">
        <f>SUM(C17,E17,H17:I17,N17,P17)+2+1</f>
        <v>37</v>
      </c>
      <c r="U17" s="26">
        <f>SUM(J10,J12,J16,J15,J21,J23)+2+3</f>
        <v>35</v>
      </c>
      <c r="V17" s="42">
        <f t="shared" si="3"/>
        <v>0.51388888888888884</v>
      </c>
      <c r="W17" s="26">
        <f>SUM(B17,D17,F17,G17,J17:K17,L17,M17,O17)+1+2+2+1</f>
        <v>49</v>
      </c>
      <c r="X17" s="26">
        <f>SUM(J9,J11,J13:J14,J17:J20,J22)+2+1+1+2</f>
        <v>41</v>
      </c>
      <c r="Y17" s="42">
        <f t="shared" si="4"/>
        <v>0.5444444444444444</v>
      </c>
      <c r="Z17" s="28">
        <f t="shared" si="5"/>
        <v>86</v>
      </c>
      <c r="AA17" s="52">
        <f t="shared" si="5"/>
        <v>76</v>
      </c>
    </row>
    <row r="18" spans="1:27">
      <c r="A18" s="10" t="s">
        <v>14</v>
      </c>
      <c r="B18" s="11">
        <v>3</v>
      </c>
      <c r="C18" s="11">
        <v>3</v>
      </c>
      <c r="D18" s="11">
        <v>2</v>
      </c>
      <c r="E18" s="11">
        <v>1</v>
      </c>
      <c r="F18" s="11">
        <v>1</v>
      </c>
      <c r="G18" s="16">
        <v>11</v>
      </c>
      <c r="H18" s="11">
        <v>6</v>
      </c>
      <c r="I18" s="11">
        <v>8</v>
      </c>
      <c r="J18" s="11">
        <v>4</v>
      </c>
      <c r="K18" s="20">
        <v>0</v>
      </c>
      <c r="L18" s="11">
        <v>5</v>
      </c>
      <c r="M18" s="11">
        <v>5</v>
      </c>
      <c r="N18" s="11">
        <v>1</v>
      </c>
      <c r="O18" s="11">
        <v>4</v>
      </c>
      <c r="P18" s="11">
        <v>4</v>
      </c>
      <c r="Q18" s="15"/>
      <c r="R18" s="63"/>
      <c r="S18" s="34" t="s">
        <v>14</v>
      </c>
      <c r="T18" s="37">
        <f>SUM(C18,E18,H18:I18,N18,P18)+0</f>
        <v>23</v>
      </c>
      <c r="U18" s="30">
        <f>SUM(K10,K12,K16,K15,K21,K23)+3</f>
        <v>46</v>
      </c>
      <c r="V18" s="44">
        <f t="shared" si="3"/>
        <v>0.33333333333333331</v>
      </c>
      <c r="W18" s="30">
        <f>SUM(B18,D18,F18,G18,J18:K18,L18,M18,O18)+1+4+0+2+1</f>
        <v>43</v>
      </c>
      <c r="X18" s="30">
        <f>SUM(K9,K11,K13:K14,K17:K20,K22)+3+0+3+1+2</f>
        <v>50</v>
      </c>
      <c r="Y18" s="44">
        <f t="shared" si="4"/>
        <v>0.46236559139784944</v>
      </c>
      <c r="Z18" s="29">
        <f t="shared" si="5"/>
        <v>66</v>
      </c>
      <c r="AA18" s="65">
        <f t="shared" si="5"/>
        <v>96</v>
      </c>
    </row>
    <row r="19" spans="1:27">
      <c r="A19" s="9" t="s">
        <v>19</v>
      </c>
      <c r="B19" s="21">
        <v>2</v>
      </c>
      <c r="C19" s="21">
        <v>1</v>
      </c>
      <c r="D19" s="21">
        <v>1</v>
      </c>
      <c r="E19" s="21">
        <v>2</v>
      </c>
      <c r="F19" s="21">
        <v>3</v>
      </c>
      <c r="G19" s="14">
        <v>4</v>
      </c>
      <c r="H19" s="21">
        <v>1</v>
      </c>
      <c r="I19" s="21">
        <v>1</v>
      </c>
      <c r="J19" s="21">
        <v>2</v>
      </c>
      <c r="K19" s="7">
        <v>1</v>
      </c>
      <c r="L19" s="2">
        <v>0</v>
      </c>
      <c r="M19" s="21">
        <v>10</v>
      </c>
      <c r="N19" s="21">
        <v>4</v>
      </c>
      <c r="O19" s="21">
        <v>9</v>
      </c>
      <c r="P19" s="21">
        <v>2</v>
      </c>
      <c r="Q19" s="15"/>
      <c r="R19" s="51" t="s">
        <v>15</v>
      </c>
      <c r="S19" s="33" t="s">
        <v>19</v>
      </c>
      <c r="T19" s="15">
        <f>SUM(C19,E19,H19:I19,N19,P19)+0+1+1</f>
        <v>13</v>
      </c>
      <c r="U19" s="26">
        <f>SUM(L10,L12,L16,L15,L21,L23)+3+2+3</f>
        <v>63</v>
      </c>
      <c r="V19" s="42">
        <f t="shared" si="3"/>
        <v>0.17105263157894737</v>
      </c>
      <c r="W19" s="26">
        <f>SUM(B19,D19,F19,G19,J19:K19,L19,M19,O19)+1+3+2</f>
        <v>38</v>
      </c>
      <c r="X19" s="26">
        <f>SUM(L9,L11,L13:L14,L17:L20,L22)+2+1+1</f>
        <v>48</v>
      </c>
      <c r="Y19" s="42">
        <f t="shared" si="4"/>
        <v>0.44186046511627908</v>
      </c>
      <c r="Z19" s="26">
        <f t="shared" si="5"/>
        <v>51</v>
      </c>
      <c r="AA19" s="52">
        <f t="shared" si="5"/>
        <v>111</v>
      </c>
    </row>
    <row r="20" spans="1:27">
      <c r="A20" s="9" t="s">
        <v>16</v>
      </c>
      <c r="B20" s="21">
        <v>2</v>
      </c>
      <c r="C20" s="21">
        <v>3</v>
      </c>
      <c r="D20" s="21">
        <v>3</v>
      </c>
      <c r="E20" s="21">
        <v>4</v>
      </c>
      <c r="F20" s="21">
        <v>6</v>
      </c>
      <c r="G20" s="14">
        <v>4</v>
      </c>
      <c r="H20" s="21">
        <v>2</v>
      </c>
      <c r="I20" s="21">
        <v>6</v>
      </c>
      <c r="J20" s="21">
        <v>5</v>
      </c>
      <c r="K20" s="7">
        <v>1</v>
      </c>
      <c r="L20" s="21">
        <v>9</v>
      </c>
      <c r="M20" s="2">
        <v>0</v>
      </c>
      <c r="N20" s="21">
        <v>8</v>
      </c>
      <c r="O20" s="21">
        <v>11</v>
      </c>
      <c r="P20" s="21">
        <v>4</v>
      </c>
      <c r="Q20" s="15"/>
      <c r="R20" s="51"/>
      <c r="S20" s="33" t="s">
        <v>16</v>
      </c>
      <c r="T20" s="15">
        <f>SUM(C20,E20,H20:I20,N20,P20)+1+2+0+2</f>
        <v>32</v>
      </c>
      <c r="U20" s="26">
        <f>SUM(M10,M12,M16,M15,M21,M23)+2+2+3+1</f>
        <v>44</v>
      </c>
      <c r="V20" s="42">
        <f t="shared" si="3"/>
        <v>0.42105263157894735</v>
      </c>
      <c r="W20" s="26">
        <f>SUM(B20,D20,F20,G20,J20:K20,L20,M20,O20)+2+3</f>
        <v>46</v>
      </c>
      <c r="X20" s="26">
        <f>SUM(M9,M11,M13:M14,M17:M20,M22)+2+0</f>
        <v>40</v>
      </c>
      <c r="Y20" s="42">
        <f t="shared" si="4"/>
        <v>0.53488372093023251</v>
      </c>
      <c r="Z20" s="26">
        <f t="shared" si="5"/>
        <v>78</v>
      </c>
      <c r="AA20" s="52">
        <f t="shared" si="5"/>
        <v>84</v>
      </c>
    </row>
    <row r="21" spans="1:27">
      <c r="A21" s="9" t="s">
        <v>17</v>
      </c>
      <c r="B21" s="21">
        <v>2</v>
      </c>
      <c r="C21" s="21">
        <v>3</v>
      </c>
      <c r="D21" s="21">
        <v>5</v>
      </c>
      <c r="E21" s="21">
        <v>3</v>
      </c>
      <c r="F21" s="21">
        <v>4</v>
      </c>
      <c r="G21" s="14">
        <v>5</v>
      </c>
      <c r="H21" s="21">
        <v>2</v>
      </c>
      <c r="I21" s="21">
        <v>4</v>
      </c>
      <c r="J21" s="21">
        <v>5</v>
      </c>
      <c r="K21" s="7">
        <v>6</v>
      </c>
      <c r="L21" s="21">
        <v>15</v>
      </c>
      <c r="M21" s="21">
        <v>11</v>
      </c>
      <c r="N21" s="2">
        <v>0</v>
      </c>
      <c r="O21" s="21">
        <v>8</v>
      </c>
      <c r="P21" s="21">
        <v>10</v>
      </c>
      <c r="Q21" s="15"/>
      <c r="R21" s="51"/>
      <c r="S21" s="32" t="s">
        <v>17</v>
      </c>
      <c r="T21" s="15">
        <f>SUM(C21,E21,H21:I21,N21,P21)+2+2+2</f>
        <v>28</v>
      </c>
      <c r="U21" s="26">
        <f>SUM(N10,N12,N16,N15,N21,N23)+2+1+1</f>
        <v>27</v>
      </c>
      <c r="V21" s="42">
        <f t="shared" si="3"/>
        <v>0.50909090909090904</v>
      </c>
      <c r="W21" s="26">
        <f>SUM(B21,D21,F21,G21,J21:K21,L21,M21,O21)+2+2+3</f>
        <v>68</v>
      </c>
      <c r="X21" s="26">
        <f>SUM(N9,N11,N13:N14,N17:N20,N22)+1+1+1</f>
        <v>39</v>
      </c>
      <c r="Y21" s="42">
        <f t="shared" si="4"/>
        <v>0.63551401869158874</v>
      </c>
      <c r="Z21" s="26">
        <f t="shared" si="5"/>
        <v>96</v>
      </c>
      <c r="AA21" s="52">
        <f t="shared" si="5"/>
        <v>66</v>
      </c>
    </row>
    <row r="22" spans="1:27">
      <c r="A22" s="9" t="s">
        <v>18</v>
      </c>
      <c r="B22" s="21">
        <v>4</v>
      </c>
      <c r="C22" s="21">
        <v>1</v>
      </c>
      <c r="D22" s="21">
        <v>3</v>
      </c>
      <c r="E22" s="21">
        <v>3</v>
      </c>
      <c r="F22" s="21">
        <v>3</v>
      </c>
      <c r="G22" s="14">
        <v>3</v>
      </c>
      <c r="H22" s="21">
        <v>2</v>
      </c>
      <c r="I22" s="21">
        <v>2</v>
      </c>
      <c r="J22" s="21">
        <v>3</v>
      </c>
      <c r="K22" s="7">
        <v>3</v>
      </c>
      <c r="L22" s="21">
        <v>10</v>
      </c>
      <c r="M22" s="21">
        <v>8</v>
      </c>
      <c r="N22" s="21">
        <v>11</v>
      </c>
      <c r="O22" s="2">
        <v>0</v>
      </c>
      <c r="P22" s="21">
        <v>7</v>
      </c>
      <c r="Q22" s="15"/>
      <c r="R22" s="51"/>
      <c r="S22" s="33" t="s">
        <v>18</v>
      </c>
      <c r="T22" s="15">
        <f>SUM(C22,E22,H22:I22,N22,P22)+2+1+1</f>
        <v>30</v>
      </c>
      <c r="U22" s="26">
        <f>SUM(O10,O12,O16,O15,O21,O23)+1+3+2</f>
        <v>45</v>
      </c>
      <c r="V22" s="42">
        <f t="shared" si="3"/>
        <v>0.4</v>
      </c>
      <c r="W22" s="26">
        <f>SUM(B22,D22,F22,G22,J22:K22,L22,M22,O22)+1+1+2</f>
        <v>41</v>
      </c>
      <c r="X22" s="26">
        <f>SUM(O9,O11,O13:O14,O17:O20,O22)+2+2+2</f>
        <v>46</v>
      </c>
      <c r="Y22" s="42">
        <f t="shared" si="4"/>
        <v>0.47126436781609193</v>
      </c>
      <c r="Z22" s="26">
        <f t="shared" si="5"/>
        <v>71</v>
      </c>
      <c r="AA22" s="52">
        <f t="shared" si="5"/>
        <v>91</v>
      </c>
    </row>
    <row r="23" spans="1:27" ht="15.75" thickBot="1">
      <c r="A23" s="9" t="s">
        <v>20</v>
      </c>
      <c r="B23" s="21">
        <v>2</v>
      </c>
      <c r="C23" s="21">
        <v>4</v>
      </c>
      <c r="D23" s="21">
        <v>4</v>
      </c>
      <c r="E23" s="21">
        <v>4</v>
      </c>
      <c r="F23" s="21">
        <v>1</v>
      </c>
      <c r="G23" s="14">
        <v>2</v>
      </c>
      <c r="H23" s="21">
        <v>1</v>
      </c>
      <c r="I23" s="21">
        <v>4</v>
      </c>
      <c r="J23" s="21">
        <v>3</v>
      </c>
      <c r="K23" s="7">
        <v>3</v>
      </c>
      <c r="L23" s="21">
        <v>17</v>
      </c>
      <c r="M23" s="21">
        <v>15</v>
      </c>
      <c r="N23" s="21">
        <v>9</v>
      </c>
      <c r="O23" s="21">
        <v>12</v>
      </c>
      <c r="P23" s="2">
        <v>0</v>
      </c>
      <c r="Q23" s="15"/>
      <c r="R23" s="53"/>
      <c r="S23" s="69" t="s">
        <v>20</v>
      </c>
      <c r="T23" s="71">
        <f>SUM(C23,E23,H23:I23,N23,P23)+2+0+3</f>
        <v>27</v>
      </c>
      <c r="U23" s="56">
        <f>SUM(P10,P12,P16,P15,P21,P23)+1+3+0</f>
        <v>28</v>
      </c>
      <c r="V23" s="57">
        <f t="shared" si="3"/>
        <v>0.49090909090909091</v>
      </c>
      <c r="W23" s="56">
        <f>SUM(B23,D23,F23,G23,J23:K23,L23,M23,O23)+2+1+2</f>
        <v>64</v>
      </c>
      <c r="X23" s="56">
        <f>SUM(P9,P11,P13:P14,P17:P20,P22)+2+2+2</f>
        <v>44</v>
      </c>
      <c r="Y23" s="57">
        <f t="shared" si="4"/>
        <v>0.59259259259259256</v>
      </c>
      <c r="Z23" s="56">
        <f t="shared" si="5"/>
        <v>91</v>
      </c>
      <c r="AA23" s="58">
        <f t="shared" si="5"/>
        <v>72</v>
      </c>
    </row>
    <row r="24" spans="1:27">
      <c r="Q24" s="15"/>
      <c r="S24" s="15"/>
      <c r="T24" s="23"/>
      <c r="U24" s="23"/>
    </row>
    <row r="25" spans="1:27">
      <c r="A25" t="s">
        <v>24</v>
      </c>
      <c r="C25" t="s">
        <v>6</v>
      </c>
      <c r="D25" t="s">
        <v>7</v>
      </c>
      <c r="E25" t="s">
        <v>8</v>
      </c>
      <c r="G25" t="s">
        <v>24</v>
      </c>
      <c r="I25" t="s">
        <v>6</v>
      </c>
      <c r="J25" t="s">
        <v>7</v>
      </c>
      <c r="K25" t="s">
        <v>8</v>
      </c>
      <c r="M25" t="s">
        <v>24</v>
      </c>
      <c r="O25" t="s">
        <v>6</v>
      </c>
      <c r="P25" t="s">
        <v>7</v>
      </c>
      <c r="Q25" t="s">
        <v>8</v>
      </c>
    </row>
    <row r="26" spans="1:27">
      <c r="A26" t="s">
        <v>0</v>
      </c>
      <c r="B26" s="4" t="s">
        <v>26</v>
      </c>
      <c r="C26">
        <v>96</v>
      </c>
      <c r="D26">
        <v>66</v>
      </c>
      <c r="E26" s="1">
        <f>C26/SUM(C26:D26)</f>
        <v>0.59259259259259256</v>
      </c>
      <c r="G26" t="s">
        <v>9</v>
      </c>
      <c r="H26" s="4" t="s">
        <v>30</v>
      </c>
      <c r="I26">
        <v>97</v>
      </c>
      <c r="J26">
        <v>65</v>
      </c>
      <c r="K26" s="1">
        <f>I26/SUM(I26:J26)</f>
        <v>0.59876543209876543</v>
      </c>
      <c r="M26" t="s">
        <v>15</v>
      </c>
      <c r="N26" s="4" t="s">
        <v>35</v>
      </c>
      <c r="O26">
        <v>92</v>
      </c>
      <c r="P26">
        <v>70</v>
      </c>
      <c r="Q26" s="1">
        <f>O26/SUM(O26:P26)</f>
        <v>0.5679012345679012</v>
      </c>
    </row>
    <row r="27" spans="1:27">
      <c r="B27" s="3" t="s">
        <v>25</v>
      </c>
      <c r="C27">
        <v>86</v>
      </c>
      <c r="D27">
        <v>76</v>
      </c>
      <c r="E27" s="1">
        <f>C27/SUM(C27:D27)</f>
        <v>0.53086419753086422</v>
      </c>
      <c r="H27" s="4" t="s">
        <v>31</v>
      </c>
      <c r="I27">
        <v>94</v>
      </c>
      <c r="J27">
        <v>68</v>
      </c>
      <c r="K27" s="1">
        <f>I27/SUM(I27:J27)</f>
        <v>0.58024691358024694</v>
      </c>
      <c r="N27" s="3" t="s">
        <v>39</v>
      </c>
      <c r="O27">
        <v>81</v>
      </c>
      <c r="P27">
        <v>81</v>
      </c>
      <c r="Q27" s="1">
        <f>O27/SUM(O27:P27)</f>
        <v>0.5</v>
      </c>
    </row>
    <row r="28" spans="1:27">
      <c r="B28" s="3" t="s">
        <v>27</v>
      </c>
      <c r="C28">
        <v>74</v>
      </c>
      <c r="D28">
        <v>88</v>
      </c>
      <c r="E28" s="1">
        <f>C28/SUM(C28:D28)</f>
        <v>0.4567901234567901</v>
      </c>
      <c r="H28" s="4" t="s">
        <v>33</v>
      </c>
      <c r="I28">
        <v>90</v>
      </c>
      <c r="J28">
        <v>72</v>
      </c>
      <c r="K28" s="1">
        <f>I28/SUM(I28:J28)</f>
        <v>0.55555555555555558</v>
      </c>
      <c r="N28" s="3" t="s">
        <v>37</v>
      </c>
      <c r="O28">
        <v>76</v>
      </c>
      <c r="P28">
        <v>86</v>
      </c>
      <c r="Q28" s="1">
        <f>O28/SUM(O28:P28)</f>
        <v>0.46913580246913578</v>
      </c>
    </row>
    <row r="29" spans="1:27">
      <c r="B29" s="3" t="s">
        <v>29</v>
      </c>
      <c r="C29">
        <v>73</v>
      </c>
      <c r="D29">
        <v>89</v>
      </c>
      <c r="E29" s="1">
        <f>C29/SUM(C29:D29)</f>
        <v>0.45061728395061729</v>
      </c>
      <c r="H29" s="3" t="s">
        <v>32</v>
      </c>
      <c r="I29">
        <v>74</v>
      </c>
      <c r="J29">
        <v>88</v>
      </c>
      <c r="K29" s="1">
        <f>I29/SUM(I29:J29)</f>
        <v>0.4567901234567901</v>
      </c>
      <c r="N29" s="3" t="s">
        <v>36</v>
      </c>
      <c r="O29">
        <v>76</v>
      </c>
      <c r="P29">
        <v>86</v>
      </c>
      <c r="Q29" s="1">
        <f>O29/SUM(O29:P29)</f>
        <v>0.46913580246913578</v>
      </c>
    </row>
    <row r="30" spans="1:27" ht="15.75" thickBot="1">
      <c r="B30" s="3" t="s">
        <v>28</v>
      </c>
      <c r="C30">
        <v>62</v>
      </c>
      <c r="D30">
        <v>100</v>
      </c>
      <c r="E30" s="1">
        <f>C30/SUM(C30:D30)</f>
        <v>0.38271604938271603</v>
      </c>
      <c r="H30" s="3" t="s">
        <v>34</v>
      </c>
      <c r="I30">
        <v>66</v>
      </c>
      <c r="J30">
        <v>96</v>
      </c>
      <c r="K30" s="1">
        <f>I30/SUM(I30:J30)</f>
        <v>0.40740740740740738</v>
      </c>
      <c r="N30" s="3" t="s">
        <v>38</v>
      </c>
      <c r="O30">
        <v>74</v>
      </c>
      <c r="P30">
        <v>88</v>
      </c>
      <c r="Q30" s="1">
        <f>O30/SUM(O30:P30)</f>
        <v>0.4567901234567901</v>
      </c>
    </row>
    <row r="31" spans="1:27">
      <c r="R31" s="45"/>
      <c r="S31" s="48"/>
      <c r="T31" s="66" t="s">
        <v>21</v>
      </c>
      <c r="U31" s="48"/>
      <c r="V31" s="48"/>
      <c r="W31" s="67" t="s">
        <v>22</v>
      </c>
      <c r="X31" s="48"/>
      <c r="Y31" s="46"/>
      <c r="Z31" s="48" t="s">
        <v>40</v>
      </c>
      <c r="AA31" s="50"/>
    </row>
    <row r="32" spans="1:27" ht="15.75" thickBot="1">
      <c r="A32" s="8"/>
      <c r="B32" s="5" t="s">
        <v>26</v>
      </c>
      <c r="C32" s="5" t="s">
        <v>28</v>
      </c>
      <c r="D32" s="5" t="s">
        <v>27</v>
      </c>
      <c r="E32" s="5" t="s">
        <v>29</v>
      </c>
      <c r="F32" s="60" t="s">
        <v>25</v>
      </c>
      <c r="G32" s="13" t="s">
        <v>34</v>
      </c>
      <c r="H32" s="5" t="s">
        <v>33</v>
      </c>
      <c r="I32" s="5" t="s">
        <v>32</v>
      </c>
      <c r="J32" s="60" t="s">
        <v>31</v>
      </c>
      <c r="K32" s="76" t="s">
        <v>30</v>
      </c>
      <c r="L32" s="5" t="s">
        <v>39</v>
      </c>
      <c r="M32" s="5" t="s">
        <v>38</v>
      </c>
      <c r="N32" s="60" t="s">
        <v>35</v>
      </c>
      <c r="O32" s="5" t="s">
        <v>37</v>
      </c>
      <c r="P32" s="60" t="s">
        <v>36</v>
      </c>
      <c r="R32" s="59" t="s">
        <v>24</v>
      </c>
      <c r="S32" s="5"/>
      <c r="T32" s="38" t="s">
        <v>6</v>
      </c>
      <c r="U32" s="5" t="s">
        <v>7</v>
      </c>
      <c r="V32" s="5" t="s">
        <v>8</v>
      </c>
      <c r="W32" s="38" t="s">
        <v>6</v>
      </c>
      <c r="X32" s="5" t="s">
        <v>7</v>
      </c>
      <c r="Y32" s="8" t="s">
        <v>8</v>
      </c>
      <c r="Z32" s="60" t="s">
        <v>6</v>
      </c>
      <c r="AA32" s="61" t="s">
        <v>7</v>
      </c>
    </row>
    <row r="33" spans="1:27" ht="15.75" thickTop="1">
      <c r="A33" s="9" t="s">
        <v>26</v>
      </c>
      <c r="B33" s="2">
        <v>0</v>
      </c>
      <c r="C33" s="21">
        <v>13</v>
      </c>
      <c r="D33" s="21">
        <v>10</v>
      </c>
      <c r="E33" s="21">
        <v>11</v>
      </c>
      <c r="F33" s="21">
        <v>13</v>
      </c>
      <c r="G33" s="14">
        <v>5</v>
      </c>
      <c r="H33" s="21">
        <v>4</v>
      </c>
      <c r="I33" s="21">
        <v>2</v>
      </c>
      <c r="J33" s="21">
        <v>4</v>
      </c>
      <c r="K33" s="7">
        <v>4</v>
      </c>
      <c r="L33" s="21">
        <v>4</v>
      </c>
      <c r="M33" s="21">
        <v>6</v>
      </c>
      <c r="N33" s="21">
        <v>5</v>
      </c>
      <c r="O33" s="21">
        <v>1</v>
      </c>
      <c r="P33" s="21">
        <v>3</v>
      </c>
      <c r="R33" s="51" t="s">
        <v>0</v>
      </c>
      <c r="S33" s="32" t="s">
        <v>26</v>
      </c>
      <c r="T33" s="15">
        <f>SUM(B33,H33,J33:K33,N33)+3+0</f>
        <v>20</v>
      </c>
      <c r="U33" s="15">
        <f>SUM(B33,B39,B41:B42,B45)+0+3</f>
        <v>14</v>
      </c>
      <c r="V33" s="23">
        <f>T33/SUM(T33:U33)</f>
        <v>0.58823529411764708</v>
      </c>
      <c r="W33" s="36">
        <f>SUM(C33:G33,I33,L33:M33,O33:P33)+1+2+3+2</f>
        <v>76</v>
      </c>
      <c r="X33" s="15">
        <f>SUM(B34:B38,B40,B43:B44,B46:B47)+2+2+0+2</f>
        <v>52</v>
      </c>
      <c r="Y33" s="42">
        <f>W33/SUM(W33:X33)</f>
        <v>0.59375</v>
      </c>
      <c r="Z33" s="15">
        <f>SUM(T33,W33)</f>
        <v>96</v>
      </c>
      <c r="AA33" s="68">
        <f>SUM(U33,X33)</f>
        <v>66</v>
      </c>
    </row>
    <row r="34" spans="1:27">
      <c r="A34" s="9" t="s">
        <v>28</v>
      </c>
      <c r="B34">
        <v>6</v>
      </c>
      <c r="C34" s="2">
        <v>0</v>
      </c>
      <c r="D34" s="21">
        <v>11</v>
      </c>
      <c r="E34" s="21">
        <v>7</v>
      </c>
      <c r="F34" s="21">
        <v>5</v>
      </c>
      <c r="G34" s="14">
        <v>3</v>
      </c>
      <c r="H34" s="21">
        <v>1</v>
      </c>
      <c r="I34" s="21">
        <v>1</v>
      </c>
      <c r="J34" s="21">
        <v>2</v>
      </c>
      <c r="K34" s="7">
        <v>2</v>
      </c>
      <c r="L34" s="21">
        <v>2</v>
      </c>
      <c r="M34" s="21">
        <v>4</v>
      </c>
      <c r="N34" s="21">
        <v>2</v>
      </c>
      <c r="O34" s="21">
        <v>3</v>
      </c>
      <c r="P34" s="21">
        <v>4</v>
      </c>
      <c r="R34" s="51"/>
      <c r="S34" s="33" t="s">
        <v>28</v>
      </c>
      <c r="T34" s="15">
        <f>SUM(B34,H34,J34:K34,N34)+1+3+0</f>
        <v>17</v>
      </c>
      <c r="U34" s="15">
        <f>SUM(C33,C39,C41:C42,C45)+2+0+4</f>
        <v>38</v>
      </c>
      <c r="V34" s="23">
        <f t="shared" ref="V34:V47" si="6">T34/SUM(T34:U34)</f>
        <v>0.30909090909090908</v>
      </c>
      <c r="W34" s="36">
        <f>SUM(C34:G34,I34,L34:M34,O34:P34)+0+2+3</f>
        <v>45</v>
      </c>
      <c r="X34" s="15">
        <f>SUM(C34:C38,C40,C43:C44,C46:C47)+3+1+1</f>
        <v>62</v>
      </c>
      <c r="Y34" s="42">
        <f t="shared" ref="Y34:Y47" si="7">W34/SUM(W34:X34)</f>
        <v>0.42056074766355139</v>
      </c>
      <c r="Z34" s="15">
        <f t="shared" ref="Z34:AA47" si="8">SUM(T34,W34)</f>
        <v>62</v>
      </c>
      <c r="AA34" s="68">
        <f t="shared" si="8"/>
        <v>100</v>
      </c>
    </row>
    <row r="35" spans="1:27">
      <c r="A35" s="9" t="s">
        <v>27</v>
      </c>
      <c r="B35">
        <v>9</v>
      </c>
      <c r="C35" s="21">
        <v>8</v>
      </c>
      <c r="D35" s="2">
        <v>0</v>
      </c>
      <c r="E35" s="21">
        <v>10</v>
      </c>
      <c r="F35" s="21">
        <v>7</v>
      </c>
      <c r="G35" s="14">
        <v>3</v>
      </c>
      <c r="H35" s="21">
        <v>2</v>
      </c>
      <c r="I35" s="21">
        <v>3</v>
      </c>
      <c r="J35" s="21">
        <v>2</v>
      </c>
      <c r="K35" s="7">
        <v>2</v>
      </c>
      <c r="L35" s="21">
        <v>4</v>
      </c>
      <c r="M35" s="21">
        <v>4</v>
      </c>
      <c r="N35" s="21">
        <v>1</v>
      </c>
      <c r="O35" s="21">
        <v>4</v>
      </c>
      <c r="P35" s="21">
        <v>4</v>
      </c>
      <c r="R35" s="51"/>
      <c r="S35" s="33" t="s">
        <v>27</v>
      </c>
      <c r="T35" s="15">
        <f>SUM(B35,H35,J35:K35,N35)+1+0</f>
        <v>17</v>
      </c>
      <c r="U35" s="15">
        <f>SUM(D33,D39,D41:D42,D45)+2+3</f>
        <v>34</v>
      </c>
      <c r="V35" s="23">
        <f t="shared" si="6"/>
        <v>0.33333333333333331</v>
      </c>
      <c r="W35" s="36">
        <f>SUM(C35:G35,I35,L35:M35,O35:P35)+2+1+3+4</f>
        <v>57</v>
      </c>
      <c r="X35" s="15">
        <f>SUM(D34:D38,D40,D43:D44,D46:D47)+2+2+0+0</f>
        <v>54</v>
      </c>
      <c r="Y35" s="42">
        <f t="shared" si="7"/>
        <v>0.51351351351351349</v>
      </c>
      <c r="Z35" s="15">
        <f t="shared" si="8"/>
        <v>74</v>
      </c>
      <c r="AA35" s="68">
        <f t="shared" si="8"/>
        <v>88</v>
      </c>
    </row>
    <row r="36" spans="1:27">
      <c r="A36" s="9" t="s">
        <v>29</v>
      </c>
      <c r="B36">
        <v>8</v>
      </c>
      <c r="C36" s="21">
        <v>12</v>
      </c>
      <c r="D36" s="21">
        <v>9</v>
      </c>
      <c r="E36" s="2">
        <v>0</v>
      </c>
      <c r="F36" s="21">
        <v>8</v>
      </c>
      <c r="G36" s="14">
        <v>3</v>
      </c>
      <c r="H36" s="21">
        <v>2</v>
      </c>
      <c r="I36" s="21">
        <v>2</v>
      </c>
      <c r="J36" s="21">
        <v>3</v>
      </c>
      <c r="K36" s="7">
        <v>2</v>
      </c>
      <c r="L36" s="21">
        <v>4</v>
      </c>
      <c r="M36" s="21">
        <v>4</v>
      </c>
      <c r="N36" s="21">
        <v>2</v>
      </c>
      <c r="O36" s="21">
        <v>4</v>
      </c>
      <c r="P36" s="21">
        <v>3</v>
      </c>
      <c r="R36" s="51"/>
      <c r="S36" s="33" t="s">
        <v>29</v>
      </c>
      <c r="T36" s="15">
        <f>SUM(B36,H36,J36:K36,N36)+2+1+0</f>
        <v>20</v>
      </c>
      <c r="U36" s="15">
        <f>SUM(E33,E39,E41:E42,E45)+2+3+3</f>
        <v>37</v>
      </c>
      <c r="V36" s="23">
        <f t="shared" si="6"/>
        <v>0.35087719298245612</v>
      </c>
      <c r="W36" s="36">
        <f>SUM(C36:G36,I36,L36:M36,O36:P36)+2+1+1</f>
        <v>53</v>
      </c>
      <c r="X36" s="15">
        <f>SUM(E34:E38,E40,E43:E44,E46:E47)+1+2+2</f>
        <v>52</v>
      </c>
      <c r="Y36" s="42">
        <f t="shared" si="7"/>
        <v>0.50476190476190474</v>
      </c>
      <c r="Z36" s="15">
        <f t="shared" si="8"/>
        <v>73</v>
      </c>
      <c r="AA36" s="68">
        <f t="shared" si="8"/>
        <v>89</v>
      </c>
    </row>
    <row r="37" spans="1:27">
      <c r="A37" s="10" t="s">
        <v>25</v>
      </c>
      <c r="B37" s="11">
        <v>6</v>
      </c>
      <c r="C37" s="11">
        <v>14</v>
      </c>
      <c r="D37" s="11">
        <v>12</v>
      </c>
      <c r="E37" s="11">
        <v>11</v>
      </c>
      <c r="F37" s="12">
        <v>0</v>
      </c>
      <c r="G37" s="16">
        <v>4</v>
      </c>
      <c r="H37" s="11">
        <v>4</v>
      </c>
      <c r="I37" s="11">
        <v>4</v>
      </c>
      <c r="J37" s="11">
        <v>3</v>
      </c>
      <c r="K37" s="17">
        <v>0</v>
      </c>
      <c r="L37" s="11">
        <v>4</v>
      </c>
      <c r="M37" s="11">
        <v>4</v>
      </c>
      <c r="N37" s="11">
        <v>1</v>
      </c>
      <c r="O37" s="11">
        <v>5</v>
      </c>
      <c r="P37" s="11">
        <v>3</v>
      </c>
      <c r="R37" s="51"/>
      <c r="S37" s="33" t="s">
        <v>25</v>
      </c>
      <c r="T37" s="15">
        <f>SUM(B37,H37,J37:K37,N37)+1+2</f>
        <v>17</v>
      </c>
      <c r="U37" s="15">
        <f>SUM(F33,F39,F41:F42,F45)+2+2</f>
        <v>35</v>
      </c>
      <c r="V37" s="23">
        <f t="shared" si="6"/>
        <v>0.32692307692307693</v>
      </c>
      <c r="W37" s="36">
        <f>SUM(C37:G37,I37,L37:M37,O37:P37)+1+3+2+2</f>
        <v>69</v>
      </c>
      <c r="X37" s="15">
        <f>SUM(F34:F38,F40,F43:F44,F46:F47)+3+0+1+1</f>
        <v>41</v>
      </c>
      <c r="Y37" s="42">
        <f t="shared" si="7"/>
        <v>0.62727272727272732</v>
      </c>
      <c r="Z37" s="15">
        <f t="shared" si="8"/>
        <v>86</v>
      </c>
      <c r="AA37" s="68">
        <f t="shared" si="8"/>
        <v>76</v>
      </c>
    </row>
    <row r="38" spans="1:27">
      <c r="A38" s="9" t="s">
        <v>34</v>
      </c>
      <c r="B38" s="21">
        <v>1</v>
      </c>
      <c r="C38" s="21">
        <v>4</v>
      </c>
      <c r="D38" s="21">
        <v>3</v>
      </c>
      <c r="E38" s="21">
        <v>3</v>
      </c>
      <c r="F38" s="21">
        <v>3</v>
      </c>
      <c r="G38" s="18">
        <v>0</v>
      </c>
      <c r="H38" s="21">
        <v>5</v>
      </c>
      <c r="I38" s="21">
        <v>6</v>
      </c>
      <c r="J38" s="21">
        <v>7</v>
      </c>
      <c r="K38" s="7">
        <v>7</v>
      </c>
      <c r="L38" s="21">
        <v>3</v>
      </c>
      <c r="M38" s="21">
        <v>3</v>
      </c>
      <c r="N38" s="21">
        <v>1</v>
      </c>
      <c r="O38" s="21">
        <v>3</v>
      </c>
      <c r="P38" s="21">
        <v>4</v>
      </c>
      <c r="R38" s="62" t="s">
        <v>9</v>
      </c>
      <c r="S38" s="73" t="s">
        <v>34</v>
      </c>
      <c r="T38" s="35">
        <f>SUM(B38,H38,J38:K38,N38)+1+2</f>
        <v>24</v>
      </c>
      <c r="U38" s="25">
        <f>SUM(G33,G39,G41:G42,G45)+2+1</f>
        <v>52</v>
      </c>
      <c r="V38" s="22">
        <f t="shared" si="6"/>
        <v>0.31578947368421051</v>
      </c>
      <c r="W38" s="35">
        <f>SUM(C38:G38,I38,L38:M38,O38:P38)+4+2+2+2</f>
        <v>42</v>
      </c>
      <c r="X38" s="25">
        <f>SUM(G34:G38,G40,G43:G44,G46:G47)+1+2+1</f>
        <v>44</v>
      </c>
      <c r="Y38" s="43">
        <f t="shared" si="7"/>
        <v>0.48837209302325579</v>
      </c>
      <c r="Z38" s="25">
        <f t="shared" si="8"/>
        <v>66</v>
      </c>
      <c r="AA38" s="74">
        <f t="shared" si="8"/>
        <v>96</v>
      </c>
    </row>
    <row r="39" spans="1:27">
      <c r="A39" s="9" t="s">
        <v>33</v>
      </c>
      <c r="B39" s="21">
        <v>3</v>
      </c>
      <c r="C39" s="21">
        <v>6</v>
      </c>
      <c r="D39" s="21">
        <v>4</v>
      </c>
      <c r="E39" s="21">
        <v>4</v>
      </c>
      <c r="F39" s="21">
        <v>3</v>
      </c>
      <c r="G39" s="14">
        <v>14</v>
      </c>
      <c r="H39" s="19">
        <v>0</v>
      </c>
      <c r="I39" s="21">
        <v>10</v>
      </c>
      <c r="J39" s="21">
        <v>8</v>
      </c>
      <c r="K39" s="7">
        <v>8</v>
      </c>
      <c r="L39" s="21">
        <v>4</v>
      </c>
      <c r="M39" s="21">
        <v>2</v>
      </c>
      <c r="N39" s="21">
        <v>4</v>
      </c>
      <c r="O39" s="21">
        <v>3</v>
      </c>
      <c r="P39" s="21">
        <v>6</v>
      </c>
      <c r="R39" s="51"/>
      <c r="S39" s="32" t="s">
        <v>33</v>
      </c>
      <c r="T39" s="36">
        <f>SUM(B39,H39,J39:K39,N39)+2+2+1</f>
        <v>28</v>
      </c>
      <c r="U39" s="15">
        <f>SUM(H33,H39,H41:H42,H45)+2+2+2</f>
        <v>35</v>
      </c>
      <c r="V39" s="23">
        <f t="shared" si="6"/>
        <v>0.44444444444444442</v>
      </c>
      <c r="W39" s="36">
        <f>SUM(C39:G39,I39,L39:M39,O39:P39)+3+2+1</f>
        <v>62</v>
      </c>
      <c r="X39" s="15">
        <f>SUM(H34:H38,H40,H43:H44,H46:H47)+0+1+2</f>
        <v>37</v>
      </c>
      <c r="Y39" s="42">
        <f t="shared" si="7"/>
        <v>0.6262626262626263</v>
      </c>
      <c r="Z39" s="15">
        <f t="shared" si="8"/>
        <v>90</v>
      </c>
      <c r="AA39" s="68">
        <f t="shared" si="8"/>
        <v>72</v>
      </c>
    </row>
    <row r="40" spans="1:27">
      <c r="A40" s="9" t="s">
        <v>32</v>
      </c>
      <c r="B40" s="21">
        <v>4</v>
      </c>
      <c r="C40" s="21">
        <v>5</v>
      </c>
      <c r="D40" s="21">
        <v>4</v>
      </c>
      <c r="E40" s="21">
        <v>5</v>
      </c>
      <c r="F40" s="21">
        <v>3</v>
      </c>
      <c r="G40" s="14">
        <v>13</v>
      </c>
      <c r="H40" s="21">
        <v>9</v>
      </c>
      <c r="I40" s="19">
        <v>0</v>
      </c>
      <c r="J40" s="21">
        <v>7</v>
      </c>
      <c r="K40" s="7">
        <v>5</v>
      </c>
      <c r="L40" s="21">
        <v>1</v>
      </c>
      <c r="M40" s="21">
        <v>2</v>
      </c>
      <c r="N40" s="21">
        <v>2</v>
      </c>
      <c r="O40" s="21">
        <v>3</v>
      </c>
      <c r="P40" s="21">
        <v>5</v>
      </c>
      <c r="R40" s="51"/>
      <c r="S40" s="33" t="s">
        <v>32</v>
      </c>
      <c r="T40" s="36">
        <f>SUM(B40,H40,J40:K40,N40)+1+2</f>
        <v>30</v>
      </c>
      <c r="U40" s="15">
        <f>SUM(I33,I39,I41:I42,I45)+2+2</f>
        <v>46</v>
      </c>
      <c r="V40" s="23">
        <f t="shared" si="6"/>
        <v>0.39473684210526316</v>
      </c>
      <c r="W40" s="36">
        <f>SUM(C40:G40,I40,L40:M40,O40:P40)+1+0+0+2</f>
        <v>44</v>
      </c>
      <c r="X40" s="15">
        <f>SUM(I34:I38,I40,I43:I44,I46:I47)+2+3+4+1</f>
        <v>42</v>
      </c>
      <c r="Y40" s="42">
        <f t="shared" si="7"/>
        <v>0.51162790697674421</v>
      </c>
      <c r="Z40" s="15">
        <f t="shared" si="8"/>
        <v>74</v>
      </c>
      <c r="AA40" s="68">
        <f t="shared" si="8"/>
        <v>88</v>
      </c>
    </row>
    <row r="41" spans="1:27">
      <c r="A41" s="9" t="s">
        <v>31</v>
      </c>
      <c r="B41" s="21">
        <v>3</v>
      </c>
      <c r="C41" s="21">
        <v>4</v>
      </c>
      <c r="D41" s="21">
        <v>5</v>
      </c>
      <c r="E41" s="21">
        <v>4</v>
      </c>
      <c r="F41" s="21">
        <v>4</v>
      </c>
      <c r="G41" s="14">
        <v>12</v>
      </c>
      <c r="H41" s="21">
        <v>11</v>
      </c>
      <c r="I41" s="21">
        <v>12</v>
      </c>
      <c r="J41" s="19">
        <v>0</v>
      </c>
      <c r="K41" s="7">
        <v>10</v>
      </c>
      <c r="L41" s="21">
        <v>3</v>
      </c>
      <c r="M41" s="21">
        <v>2</v>
      </c>
      <c r="N41" s="21">
        <v>2</v>
      </c>
      <c r="O41" s="21">
        <v>3</v>
      </c>
      <c r="P41" s="21">
        <v>4</v>
      </c>
      <c r="R41" s="51"/>
      <c r="S41" s="32" t="s">
        <v>31</v>
      </c>
      <c r="T41" s="36">
        <f>SUM(B41,H41,J41:K41,N41)+3+1+3</f>
        <v>33</v>
      </c>
      <c r="U41" s="15">
        <f>SUM(J33,J39,J41:J42,J45)+1+2+0</f>
        <v>28</v>
      </c>
      <c r="V41" s="23">
        <f t="shared" si="6"/>
        <v>0.54098360655737709</v>
      </c>
      <c r="W41" s="36">
        <f>SUM(C41:G41,I41,L41:M41,O41:P41)+2+3+3</f>
        <v>61</v>
      </c>
      <c r="X41" s="15">
        <f>SUM(J34:J38,J40,J43:J44,J46:J47)+1+0+1</f>
        <v>40</v>
      </c>
      <c r="Y41" s="42">
        <f t="shared" si="7"/>
        <v>0.60396039603960394</v>
      </c>
      <c r="Z41" s="15">
        <f t="shared" si="8"/>
        <v>94</v>
      </c>
      <c r="AA41" s="68">
        <f t="shared" si="8"/>
        <v>68</v>
      </c>
    </row>
    <row r="42" spans="1:27">
      <c r="A42" s="10" t="s">
        <v>30</v>
      </c>
      <c r="B42" s="11">
        <v>3</v>
      </c>
      <c r="C42" s="11">
        <v>4</v>
      </c>
      <c r="D42" s="11">
        <v>5</v>
      </c>
      <c r="E42" s="11">
        <v>5</v>
      </c>
      <c r="F42" s="11">
        <v>6</v>
      </c>
      <c r="G42" s="16">
        <v>12</v>
      </c>
      <c r="H42" s="11">
        <v>11</v>
      </c>
      <c r="I42" s="11">
        <v>14</v>
      </c>
      <c r="J42" s="11">
        <v>9</v>
      </c>
      <c r="K42" s="20">
        <v>0</v>
      </c>
      <c r="L42" s="11">
        <v>3</v>
      </c>
      <c r="M42" s="11">
        <v>4</v>
      </c>
      <c r="N42" s="11">
        <v>3</v>
      </c>
      <c r="O42" s="11">
        <v>4</v>
      </c>
      <c r="P42" s="11">
        <v>4</v>
      </c>
      <c r="R42" s="63"/>
      <c r="S42" s="39" t="s">
        <v>30</v>
      </c>
      <c r="T42" s="37">
        <f>SUM(B42,H42,J42:K42,N42)+1+0</f>
        <v>27</v>
      </c>
      <c r="U42" s="11">
        <f>SUM(K33,K39,K41:K42,K45)+2+3</f>
        <v>31</v>
      </c>
      <c r="V42" s="24">
        <f t="shared" si="6"/>
        <v>0.46551724137931033</v>
      </c>
      <c r="W42" s="37">
        <f>SUM(C42:G42,I42,L42:M42,O42:P42)+3+3+1+2</f>
        <v>70</v>
      </c>
      <c r="X42" s="11">
        <f>SUM(K34:K38,K40,K43:K44,K46:K47)+1+1+2+1</f>
        <v>34</v>
      </c>
      <c r="Y42" s="44">
        <f t="shared" si="7"/>
        <v>0.67307692307692313</v>
      </c>
      <c r="Z42" s="11">
        <f t="shared" si="8"/>
        <v>97</v>
      </c>
      <c r="AA42" s="75">
        <f t="shared" si="8"/>
        <v>65</v>
      </c>
    </row>
    <row r="43" spans="1:27">
      <c r="A43" s="9" t="s">
        <v>39</v>
      </c>
      <c r="B43" s="21">
        <v>2</v>
      </c>
      <c r="C43" s="21">
        <v>4</v>
      </c>
      <c r="D43" s="21">
        <v>3</v>
      </c>
      <c r="E43" s="21">
        <v>3</v>
      </c>
      <c r="F43" s="21">
        <v>2</v>
      </c>
      <c r="G43" s="14">
        <v>4</v>
      </c>
      <c r="H43" s="21">
        <v>3</v>
      </c>
      <c r="I43" s="21">
        <v>6</v>
      </c>
      <c r="J43" s="21">
        <v>3</v>
      </c>
      <c r="K43" s="7">
        <v>4</v>
      </c>
      <c r="L43" s="2">
        <v>0</v>
      </c>
      <c r="M43" s="21">
        <v>12</v>
      </c>
      <c r="N43" s="21">
        <v>10</v>
      </c>
      <c r="O43" s="21">
        <v>7</v>
      </c>
      <c r="P43" s="21">
        <v>7</v>
      </c>
      <c r="R43" s="51" t="s">
        <v>15</v>
      </c>
      <c r="S43" s="33" t="s">
        <v>39</v>
      </c>
      <c r="T43" s="15">
        <f>SUM(B43,H43,J43:K43,N43)+1+3+2</f>
        <v>28</v>
      </c>
      <c r="U43" s="15">
        <f>SUM(L33,L39,L41:L42,L45)+2+1+2</f>
        <v>28</v>
      </c>
      <c r="V43" s="23">
        <f t="shared" si="6"/>
        <v>0.5</v>
      </c>
      <c r="W43" s="36">
        <f>SUM(C43:G43,I43,L43:M43,O43:P43)+3+1+1</f>
        <v>53</v>
      </c>
      <c r="X43" s="15">
        <f>SUM(L34:L38,L40,L43:L44,L46:L47)+0+2+2</f>
        <v>53</v>
      </c>
      <c r="Y43" s="42">
        <f t="shared" si="7"/>
        <v>0.5</v>
      </c>
      <c r="Z43" s="15">
        <f t="shared" si="8"/>
        <v>81</v>
      </c>
      <c r="AA43" s="68">
        <f t="shared" si="8"/>
        <v>81</v>
      </c>
    </row>
    <row r="44" spans="1:27">
      <c r="A44" s="9" t="s">
        <v>38</v>
      </c>
      <c r="B44" s="21">
        <v>1</v>
      </c>
      <c r="C44" s="21">
        <v>3</v>
      </c>
      <c r="D44" s="21">
        <v>3</v>
      </c>
      <c r="E44" s="21">
        <v>3</v>
      </c>
      <c r="F44" s="21">
        <v>3</v>
      </c>
      <c r="G44" s="14">
        <v>3</v>
      </c>
      <c r="H44" s="21">
        <v>4</v>
      </c>
      <c r="I44" s="21">
        <v>4</v>
      </c>
      <c r="J44" s="21">
        <v>4</v>
      </c>
      <c r="K44" s="7">
        <v>3</v>
      </c>
      <c r="L44" s="21">
        <v>7</v>
      </c>
      <c r="M44" s="2">
        <v>0</v>
      </c>
      <c r="N44" s="21">
        <v>10</v>
      </c>
      <c r="O44" s="21">
        <v>12</v>
      </c>
      <c r="P44" s="21">
        <v>9</v>
      </c>
      <c r="R44" s="51"/>
      <c r="S44" s="33" t="s">
        <v>38</v>
      </c>
      <c r="T44" s="15">
        <f>SUM(B44,H44,J44:K44,N44)+1+1</f>
        <v>24</v>
      </c>
      <c r="U44" s="15">
        <f>SUM(M33,M39,M41:M42,M45)+3+2</f>
        <v>28</v>
      </c>
      <c r="V44" s="23">
        <f t="shared" si="6"/>
        <v>0.46153846153846156</v>
      </c>
      <c r="W44" s="36">
        <f>SUM(C44:G44,I44,L44:M44,O44:P44)+1+1+1+0</f>
        <v>50</v>
      </c>
      <c r="X44" s="15">
        <f>SUM(M34:M38,M40,M43:M44,M46:M47)+2+2+3+3</f>
        <v>60</v>
      </c>
      <c r="Y44" s="42">
        <f t="shared" si="7"/>
        <v>0.45454545454545453</v>
      </c>
      <c r="Z44" s="15">
        <f t="shared" si="8"/>
        <v>74</v>
      </c>
      <c r="AA44" s="68">
        <f t="shared" si="8"/>
        <v>88</v>
      </c>
    </row>
    <row r="45" spans="1:27">
      <c r="A45" s="9" t="s">
        <v>35</v>
      </c>
      <c r="B45" s="21">
        <v>2</v>
      </c>
      <c r="C45" s="21">
        <v>5</v>
      </c>
      <c r="D45" s="21">
        <v>5</v>
      </c>
      <c r="E45" s="21">
        <v>5</v>
      </c>
      <c r="F45" s="21">
        <v>5</v>
      </c>
      <c r="G45" s="14">
        <v>6</v>
      </c>
      <c r="H45" s="21">
        <v>3</v>
      </c>
      <c r="I45" s="21">
        <v>4</v>
      </c>
      <c r="J45" s="21">
        <v>4</v>
      </c>
      <c r="K45" s="7">
        <v>4</v>
      </c>
      <c r="L45" s="21">
        <v>9</v>
      </c>
      <c r="M45" s="21">
        <v>9</v>
      </c>
      <c r="N45" s="2">
        <v>0</v>
      </c>
      <c r="O45" s="21">
        <v>11</v>
      </c>
      <c r="P45" s="21">
        <v>8</v>
      </c>
      <c r="R45" s="51"/>
      <c r="S45" s="32" t="s">
        <v>35</v>
      </c>
      <c r="T45" s="15">
        <f>SUM(B45,H45,J45:K45,N45)+1+3</f>
        <v>17</v>
      </c>
      <c r="U45" s="15">
        <f>SUM(N33,N39,N41:N42,N45)+2+0</f>
        <v>16</v>
      </c>
      <c r="V45" s="23">
        <f t="shared" si="6"/>
        <v>0.51515151515151514</v>
      </c>
      <c r="W45" s="36">
        <f>SUM(C45:G45,I45,L45:M45,O45:P45)+1+2+2+3</f>
        <v>75</v>
      </c>
      <c r="X45" s="15">
        <f>SUM(N34:N38,N40,N43:N44,N46:N47)+2+2+2+0</f>
        <v>54</v>
      </c>
      <c r="Y45" s="42">
        <f t="shared" si="7"/>
        <v>0.58139534883720934</v>
      </c>
      <c r="Z45" s="15">
        <f t="shared" si="8"/>
        <v>92</v>
      </c>
      <c r="AA45" s="68">
        <f t="shared" si="8"/>
        <v>70</v>
      </c>
    </row>
    <row r="46" spans="1:27">
      <c r="A46" s="9" t="s">
        <v>37</v>
      </c>
      <c r="B46" s="21">
        <v>5</v>
      </c>
      <c r="C46" s="21">
        <v>4</v>
      </c>
      <c r="D46" s="21">
        <v>3</v>
      </c>
      <c r="E46" s="21">
        <v>2</v>
      </c>
      <c r="F46" s="21">
        <v>2</v>
      </c>
      <c r="G46" s="14">
        <v>4</v>
      </c>
      <c r="H46" s="21">
        <v>3</v>
      </c>
      <c r="I46" s="21">
        <v>4</v>
      </c>
      <c r="J46" s="21">
        <v>4</v>
      </c>
      <c r="K46" s="7">
        <v>2</v>
      </c>
      <c r="L46" s="21">
        <v>12</v>
      </c>
      <c r="M46" s="21">
        <v>7</v>
      </c>
      <c r="N46" s="21">
        <v>8</v>
      </c>
      <c r="O46" s="2">
        <v>0</v>
      </c>
      <c r="P46" s="21">
        <v>8</v>
      </c>
      <c r="R46" s="51"/>
      <c r="S46" s="33" t="s">
        <v>37</v>
      </c>
      <c r="T46" s="15">
        <f>SUM(B46,H46,J46:K46,N46)+0+0</f>
        <v>22</v>
      </c>
      <c r="U46" s="15">
        <f>SUM(O33,O39,O41:O42,O45)+3+3</f>
        <v>28</v>
      </c>
      <c r="V46" s="23">
        <f t="shared" si="6"/>
        <v>0.44</v>
      </c>
      <c r="W46" s="36">
        <f>SUM(C46:G46,I46,L46:M46,O46:P46)+2+2+2+2</f>
        <v>54</v>
      </c>
      <c r="X46" s="15">
        <f>SUM(O34:O38,O40,O43:O44,O46:O47)+2+1+2+1</f>
        <v>58</v>
      </c>
      <c r="Y46" s="42">
        <f t="shared" si="7"/>
        <v>0.48214285714285715</v>
      </c>
      <c r="Z46" s="15">
        <f t="shared" si="8"/>
        <v>76</v>
      </c>
      <c r="AA46" s="68">
        <f t="shared" si="8"/>
        <v>86</v>
      </c>
    </row>
    <row r="47" spans="1:27" ht="15.75" thickBot="1">
      <c r="A47" s="9" t="s">
        <v>36</v>
      </c>
      <c r="B47" s="21">
        <v>4</v>
      </c>
      <c r="C47" s="21">
        <v>3</v>
      </c>
      <c r="D47" s="21">
        <v>2</v>
      </c>
      <c r="E47" s="21">
        <v>3</v>
      </c>
      <c r="F47" s="21">
        <v>3</v>
      </c>
      <c r="G47" s="14">
        <v>3</v>
      </c>
      <c r="H47" s="21">
        <v>1</v>
      </c>
      <c r="I47" s="21">
        <v>2</v>
      </c>
      <c r="J47" s="21">
        <v>3</v>
      </c>
      <c r="K47" s="7">
        <v>2</v>
      </c>
      <c r="L47" s="21">
        <v>12</v>
      </c>
      <c r="M47" s="21">
        <v>10</v>
      </c>
      <c r="N47" s="21">
        <v>11</v>
      </c>
      <c r="O47" s="21">
        <v>11</v>
      </c>
      <c r="P47" s="2">
        <v>0</v>
      </c>
      <c r="R47" s="53"/>
      <c r="S47" s="54" t="s">
        <v>36</v>
      </c>
      <c r="T47" s="71">
        <f>SUM(B47,H47,J47:K47,N47)+1+1+1</f>
        <v>24</v>
      </c>
      <c r="U47" s="55">
        <f>SUM(P33,P39,P41:P42,P45)+2+2+3</f>
        <v>32</v>
      </c>
      <c r="V47" s="70">
        <f t="shared" si="6"/>
        <v>0.42857142857142855</v>
      </c>
      <c r="W47" s="71">
        <f>SUM(C47:G47,I47,L47:M47,O47:P47)+1+1+1</f>
        <v>52</v>
      </c>
      <c r="X47" s="55">
        <f>SUM(P34:P38,P40,P43:P44,P46:P47)+2+2+3</f>
        <v>54</v>
      </c>
      <c r="Y47" s="57">
        <f t="shared" si="7"/>
        <v>0.49056603773584906</v>
      </c>
      <c r="Z47" s="55">
        <f t="shared" si="8"/>
        <v>76</v>
      </c>
      <c r="AA47" s="72">
        <f t="shared" si="8"/>
        <v>86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/>
  </sheetViews>
  <sheetFormatPr defaultRowHeight="15"/>
  <sheetData>
    <row r="1" spans="1:27">
      <c r="A1" t="s">
        <v>23</v>
      </c>
      <c r="C1" t="s">
        <v>6</v>
      </c>
      <c r="D1" t="s">
        <v>7</v>
      </c>
      <c r="E1" t="s">
        <v>8</v>
      </c>
      <c r="G1" t="s">
        <v>23</v>
      </c>
      <c r="I1" t="s">
        <v>6</v>
      </c>
      <c r="J1" t="s">
        <v>7</v>
      </c>
      <c r="K1" t="s">
        <v>8</v>
      </c>
      <c r="M1" t="s">
        <v>23</v>
      </c>
      <c r="O1" t="s">
        <v>6</v>
      </c>
      <c r="P1" t="s">
        <v>7</v>
      </c>
      <c r="Q1" t="s">
        <v>8</v>
      </c>
    </row>
    <row r="2" spans="1:27">
      <c r="A2" t="s">
        <v>0</v>
      </c>
      <c r="B2" s="4" t="s">
        <v>1</v>
      </c>
      <c r="C2">
        <v>96</v>
      </c>
      <c r="D2">
        <v>66</v>
      </c>
      <c r="E2" s="1">
        <f>C2/(C2+D2)</f>
        <v>0.59259259259259256</v>
      </c>
      <c r="G2" t="s">
        <v>9</v>
      </c>
      <c r="H2" s="4" t="s">
        <v>10</v>
      </c>
      <c r="I2">
        <v>90</v>
      </c>
      <c r="J2">
        <v>72</v>
      </c>
      <c r="K2" s="1">
        <f>I2/(I2+J2)</f>
        <v>0.55555555555555558</v>
      </c>
      <c r="M2" t="s">
        <v>15</v>
      </c>
      <c r="N2" s="4" t="s">
        <v>16</v>
      </c>
      <c r="O2">
        <v>98</v>
      </c>
      <c r="P2">
        <v>64</v>
      </c>
      <c r="Q2" s="1">
        <f>O2/(O2+P2)</f>
        <v>0.60493827160493829</v>
      </c>
    </row>
    <row r="3" spans="1:27">
      <c r="B3" s="3" t="s">
        <v>2</v>
      </c>
      <c r="C3">
        <v>84</v>
      </c>
      <c r="D3">
        <v>78</v>
      </c>
      <c r="E3" s="1">
        <f t="shared" ref="E3:E6" si="0">C3/(C3+D3)</f>
        <v>0.51851851851851849</v>
      </c>
      <c r="H3" s="3" t="s">
        <v>11</v>
      </c>
      <c r="I3">
        <v>89</v>
      </c>
      <c r="J3">
        <v>73</v>
      </c>
      <c r="K3" s="1">
        <f t="shared" ref="K3:K6" si="1">I3/(I3+J3)</f>
        <v>0.54938271604938271</v>
      </c>
      <c r="N3" s="4" t="s">
        <v>17</v>
      </c>
      <c r="O3">
        <v>88</v>
      </c>
      <c r="P3">
        <v>74</v>
      </c>
      <c r="Q3" s="1">
        <f t="shared" ref="Q3:Q6" si="2">O3/(O3+P3)</f>
        <v>0.54320987654320985</v>
      </c>
    </row>
    <row r="4" spans="1:27">
      <c r="B4" s="3" t="s">
        <v>3</v>
      </c>
      <c r="C4">
        <v>83</v>
      </c>
      <c r="D4">
        <v>79</v>
      </c>
      <c r="E4" s="1">
        <f t="shared" si="0"/>
        <v>0.51234567901234573</v>
      </c>
      <c r="H4" s="3" t="s">
        <v>12</v>
      </c>
      <c r="I4">
        <v>85</v>
      </c>
      <c r="J4">
        <v>77</v>
      </c>
      <c r="K4" s="1">
        <f t="shared" si="1"/>
        <v>0.52469135802469136</v>
      </c>
      <c r="N4" s="3" t="s">
        <v>18</v>
      </c>
      <c r="O4">
        <v>87</v>
      </c>
      <c r="P4">
        <v>75</v>
      </c>
      <c r="Q4" s="1">
        <f t="shared" si="2"/>
        <v>0.53703703703703709</v>
      </c>
    </row>
    <row r="5" spans="1:27">
      <c r="B5" s="3" t="s">
        <v>4</v>
      </c>
      <c r="C5">
        <v>77</v>
      </c>
      <c r="D5">
        <v>85</v>
      </c>
      <c r="E5" s="1">
        <f t="shared" si="0"/>
        <v>0.47530864197530864</v>
      </c>
      <c r="H5" s="3" t="s">
        <v>13</v>
      </c>
      <c r="I5">
        <v>73</v>
      </c>
      <c r="J5">
        <v>89</v>
      </c>
      <c r="K5" s="1">
        <f t="shared" si="1"/>
        <v>0.45061728395061729</v>
      </c>
      <c r="N5" s="3" t="s">
        <v>19</v>
      </c>
      <c r="O5">
        <v>70</v>
      </c>
      <c r="P5">
        <v>92</v>
      </c>
      <c r="Q5" s="1">
        <f t="shared" si="2"/>
        <v>0.43209876543209874</v>
      </c>
    </row>
    <row r="6" spans="1:27" ht="15.75" thickBot="1">
      <c r="B6" s="3" t="s">
        <v>5</v>
      </c>
      <c r="C6">
        <v>71</v>
      </c>
      <c r="D6">
        <v>91</v>
      </c>
      <c r="E6" s="1">
        <f t="shared" si="0"/>
        <v>0.43827160493827161</v>
      </c>
      <c r="H6" s="3" t="s">
        <v>14</v>
      </c>
      <c r="I6">
        <v>70</v>
      </c>
      <c r="J6">
        <v>92</v>
      </c>
      <c r="K6" s="1">
        <f t="shared" si="1"/>
        <v>0.43209876543209874</v>
      </c>
      <c r="N6" s="3" t="s">
        <v>20</v>
      </c>
      <c r="O6">
        <v>67</v>
      </c>
      <c r="P6">
        <v>95</v>
      </c>
      <c r="Q6" s="1">
        <f t="shared" si="2"/>
        <v>0.41358024691358025</v>
      </c>
    </row>
    <row r="7" spans="1:27">
      <c r="R7" s="45"/>
      <c r="S7" s="46"/>
      <c r="T7" s="47" t="s">
        <v>21</v>
      </c>
      <c r="U7" s="48"/>
      <c r="V7" s="46"/>
      <c r="W7" s="49" t="s">
        <v>22</v>
      </c>
      <c r="X7" s="48"/>
      <c r="Y7" s="46"/>
      <c r="Z7" s="48" t="s">
        <v>40</v>
      </c>
      <c r="AA7" s="50"/>
    </row>
    <row r="8" spans="1:27" ht="15.75" thickBot="1">
      <c r="A8" s="8" t="s">
        <v>23</v>
      </c>
      <c r="B8" s="5" t="s">
        <v>1</v>
      </c>
      <c r="C8" s="5" t="s">
        <v>5</v>
      </c>
      <c r="D8" s="5" t="s">
        <v>2</v>
      </c>
      <c r="E8" s="5" t="s">
        <v>4</v>
      </c>
      <c r="F8" s="5" t="s">
        <v>3</v>
      </c>
      <c r="G8" s="13" t="s">
        <v>13</v>
      </c>
      <c r="H8" s="5" t="s">
        <v>12</v>
      </c>
      <c r="I8" s="5" t="s">
        <v>10</v>
      </c>
      <c r="J8" s="5" t="s">
        <v>11</v>
      </c>
      <c r="K8" s="6" t="s">
        <v>14</v>
      </c>
      <c r="L8" s="5" t="s">
        <v>19</v>
      </c>
      <c r="M8" s="5" t="s">
        <v>16</v>
      </c>
      <c r="N8" s="5" t="s">
        <v>17</v>
      </c>
      <c r="O8" s="5" t="s">
        <v>18</v>
      </c>
      <c r="P8" s="5" t="s">
        <v>20</v>
      </c>
      <c r="R8" s="59" t="s">
        <v>23</v>
      </c>
      <c r="S8" s="8"/>
      <c r="T8" s="5" t="s">
        <v>6</v>
      </c>
      <c r="U8" s="5" t="s">
        <v>7</v>
      </c>
      <c r="V8" s="8" t="s">
        <v>8</v>
      </c>
      <c r="W8" s="5" t="s">
        <v>6</v>
      </c>
      <c r="X8" s="5" t="s">
        <v>7</v>
      </c>
      <c r="Y8" s="8" t="s">
        <v>8</v>
      </c>
      <c r="Z8" s="60" t="s">
        <v>6</v>
      </c>
      <c r="AA8" s="61" t="s">
        <v>7</v>
      </c>
    </row>
    <row r="9" spans="1:27" ht="15.75" thickTop="1">
      <c r="A9" s="9" t="s">
        <v>1</v>
      </c>
      <c r="B9" s="2">
        <v>0</v>
      </c>
      <c r="C9">
        <v>11</v>
      </c>
      <c r="D9">
        <v>13</v>
      </c>
      <c r="E9">
        <v>12</v>
      </c>
      <c r="F9">
        <v>11</v>
      </c>
      <c r="G9" s="14">
        <v>5</v>
      </c>
      <c r="H9" s="15">
        <v>3</v>
      </c>
      <c r="I9" s="15">
        <v>1</v>
      </c>
      <c r="J9" s="15">
        <v>3</v>
      </c>
      <c r="K9" s="7">
        <v>4</v>
      </c>
      <c r="L9">
        <v>4</v>
      </c>
      <c r="M9">
        <v>4</v>
      </c>
      <c r="N9">
        <v>2</v>
      </c>
      <c r="O9">
        <v>5</v>
      </c>
      <c r="P9">
        <v>6</v>
      </c>
      <c r="Q9" s="21"/>
      <c r="R9" s="51" t="s">
        <v>0</v>
      </c>
      <c r="S9" s="32" t="s">
        <v>1</v>
      </c>
      <c r="T9" s="15">
        <f>SUM($B9,$I9,$M9:$N9)+3+2+3</f>
        <v>15</v>
      </c>
      <c r="U9" s="26">
        <f>SUM(B$9,B$16,B$20,B$21)+1+1+1</f>
        <v>14</v>
      </c>
      <c r="V9" s="42">
        <f>T9/SUM(T9:U9)</f>
        <v>0.51724137931034486</v>
      </c>
      <c r="W9" s="26">
        <f>SUM($C9:$H9,$J9:$L9,$O9:$P9)+3+1</f>
        <v>81</v>
      </c>
      <c r="X9" s="26">
        <f>SUM(B$10:B$15,B$17:B$19,B$22:B$23)+3+2</f>
        <v>52</v>
      </c>
      <c r="Y9" s="42">
        <f>W9/SUM(W9:X9)</f>
        <v>0.60902255639097747</v>
      </c>
      <c r="Z9" s="26">
        <f>SUM(T9,W9)</f>
        <v>96</v>
      </c>
      <c r="AA9" s="52">
        <f>SUM(U9,X9)</f>
        <v>66</v>
      </c>
    </row>
    <row r="10" spans="1:27">
      <c r="A10" s="9" t="s">
        <v>5</v>
      </c>
      <c r="B10">
        <v>8</v>
      </c>
      <c r="C10" s="2">
        <v>0</v>
      </c>
      <c r="D10">
        <v>7</v>
      </c>
      <c r="E10">
        <v>9</v>
      </c>
      <c r="F10">
        <v>7</v>
      </c>
      <c r="G10" s="14">
        <v>4</v>
      </c>
      <c r="H10" s="15">
        <v>2</v>
      </c>
      <c r="I10" s="15">
        <v>1</v>
      </c>
      <c r="J10" s="15">
        <v>6</v>
      </c>
      <c r="K10" s="7">
        <v>4</v>
      </c>
      <c r="L10">
        <v>4</v>
      </c>
      <c r="M10">
        <v>2</v>
      </c>
      <c r="N10">
        <v>3</v>
      </c>
      <c r="O10">
        <v>1</v>
      </c>
      <c r="P10">
        <v>4</v>
      </c>
      <c r="Q10" s="15"/>
      <c r="R10" s="51"/>
      <c r="S10" s="33" t="s">
        <v>5</v>
      </c>
      <c r="T10" s="15">
        <f>SUM($B10,$I10,$M10:$N10)+1</f>
        <v>15</v>
      </c>
      <c r="U10" s="26">
        <f>SUM(C$9,C$16,C$20,C$21)+3+2</f>
        <v>30</v>
      </c>
      <c r="V10" s="42">
        <f t="shared" ref="V10:V23" si="3">T10/SUM(T10:U10)</f>
        <v>0.33333333333333331</v>
      </c>
      <c r="W10" s="26">
        <f>SUM($C10:$H10,$J10:$L10,$O10:$P10)+4+4</f>
        <v>56</v>
      </c>
      <c r="X10" s="26">
        <f>SUM(C10:C15,C17:C19,C22:C23)+3+3</f>
        <v>61</v>
      </c>
      <c r="Y10" s="42">
        <f t="shared" ref="Y10:Y23" si="4">W10/SUM(W10:X10)</f>
        <v>0.47863247863247865</v>
      </c>
      <c r="Z10" s="26">
        <f t="shared" ref="Z10:Z23" si="5">SUM(T10,W10)</f>
        <v>71</v>
      </c>
      <c r="AA10" s="52">
        <f t="shared" ref="AA10:AA23" si="6">SUM(U10,X10)</f>
        <v>91</v>
      </c>
    </row>
    <row r="11" spans="1:27">
      <c r="A11" s="9" t="s">
        <v>2</v>
      </c>
      <c r="B11">
        <v>6</v>
      </c>
      <c r="C11">
        <v>12</v>
      </c>
      <c r="D11" s="2">
        <v>0</v>
      </c>
      <c r="E11">
        <v>8</v>
      </c>
      <c r="F11">
        <v>11</v>
      </c>
      <c r="G11" s="14">
        <v>5</v>
      </c>
      <c r="H11" s="15">
        <v>3</v>
      </c>
      <c r="I11" s="15">
        <v>4</v>
      </c>
      <c r="J11" s="15">
        <v>3</v>
      </c>
      <c r="K11" s="7">
        <v>4</v>
      </c>
      <c r="L11">
        <v>2</v>
      </c>
      <c r="M11">
        <v>4</v>
      </c>
      <c r="N11">
        <v>2</v>
      </c>
      <c r="O11">
        <v>3</v>
      </c>
      <c r="P11">
        <v>4</v>
      </c>
      <c r="Q11" s="15"/>
      <c r="R11" s="51"/>
      <c r="S11" s="33" t="s">
        <v>2</v>
      </c>
      <c r="T11" s="15">
        <f>SUM($B11,$I11,$M11:$N11)+2+2</f>
        <v>20</v>
      </c>
      <c r="U11" s="26">
        <f>SUM(D$9,D$16,D$20,D$21)+1+1</f>
        <v>24</v>
      </c>
      <c r="V11" s="42">
        <f t="shared" si="3"/>
        <v>0.45454545454545453</v>
      </c>
      <c r="W11" s="26">
        <f>SUM($C11:$H11,$J11:$L11,$O11:$P11)+3+3+1+2</f>
        <v>64</v>
      </c>
      <c r="X11" s="26">
        <f>SUM(D10:D15,D17:D19,D22:D23)+1+0+2+2</f>
        <v>54</v>
      </c>
      <c r="Y11" s="42">
        <f t="shared" si="4"/>
        <v>0.5423728813559322</v>
      </c>
      <c r="Z11" s="26">
        <f t="shared" si="5"/>
        <v>84</v>
      </c>
      <c r="AA11" s="52">
        <f t="shared" si="6"/>
        <v>78</v>
      </c>
    </row>
    <row r="12" spans="1:27">
      <c r="A12" s="9" t="s">
        <v>4</v>
      </c>
      <c r="B12">
        <v>7</v>
      </c>
      <c r="C12">
        <v>10</v>
      </c>
      <c r="D12">
        <v>11</v>
      </c>
      <c r="E12" s="2">
        <v>0</v>
      </c>
      <c r="F12">
        <v>8</v>
      </c>
      <c r="G12" s="14">
        <v>2</v>
      </c>
      <c r="H12" s="15">
        <v>2</v>
      </c>
      <c r="I12" s="15">
        <v>4</v>
      </c>
      <c r="J12" s="15">
        <v>2</v>
      </c>
      <c r="K12" s="7">
        <v>4</v>
      </c>
      <c r="L12">
        <v>5</v>
      </c>
      <c r="M12">
        <v>2</v>
      </c>
      <c r="N12">
        <v>2</v>
      </c>
      <c r="O12">
        <v>3</v>
      </c>
      <c r="P12">
        <v>5</v>
      </c>
      <c r="Q12" s="15"/>
      <c r="R12" s="51"/>
      <c r="S12" s="33" t="s">
        <v>4</v>
      </c>
      <c r="T12" s="15">
        <f>SUM($B12,$I12,$M12:$N12)+1+3</f>
        <v>19</v>
      </c>
      <c r="U12" s="26">
        <f>SUM(E$9,E$16,E$20,E$21)+2+1</f>
        <v>27</v>
      </c>
      <c r="V12" s="42">
        <f t="shared" si="3"/>
        <v>0.41304347826086957</v>
      </c>
      <c r="W12" s="26">
        <f>SUM($C12:$H12,$J12:$L12,$O12:$P12)+2+2+2</f>
        <v>58</v>
      </c>
      <c r="X12" s="26">
        <f>SUM(E10:E15,E17:E19,E22:E23)+1+1+4+1</f>
        <v>58</v>
      </c>
      <c r="Y12" s="42">
        <f t="shared" si="4"/>
        <v>0.5</v>
      </c>
      <c r="Z12" s="26">
        <f t="shared" si="5"/>
        <v>77</v>
      </c>
      <c r="AA12" s="52">
        <f t="shared" si="6"/>
        <v>85</v>
      </c>
    </row>
    <row r="13" spans="1:27">
      <c r="A13" s="10" t="s">
        <v>3</v>
      </c>
      <c r="B13" s="11">
        <v>8</v>
      </c>
      <c r="C13" s="11">
        <v>12</v>
      </c>
      <c r="D13" s="11">
        <v>8</v>
      </c>
      <c r="E13" s="11">
        <v>11</v>
      </c>
      <c r="F13" s="12">
        <v>0</v>
      </c>
      <c r="G13" s="16">
        <v>2</v>
      </c>
      <c r="H13" s="11">
        <v>4</v>
      </c>
      <c r="I13" s="11">
        <v>5</v>
      </c>
      <c r="J13" s="11">
        <v>3</v>
      </c>
      <c r="K13" s="17">
        <v>2</v>
      </c>
      <c r="L13" s="11">
        <v>3</v>
      </c>
      <c r="M13" s="11">
        <v>2</v>
      </c>
      <c r="N13" s="11">
        <v>3</v>
      </c>
      <c r="O13" s="11">
        <v>3</v>
      </c>
      <c r="P13" s="11">
        <v>4</v>
      </c>
      <c r="Q13" s="15"/>
      <c r="R13" s="51"/>
      <c r="S13" s="34" t="s">
        <v>3</v>
      </c>
      <c r="T13" s="15">
        <f>SUM($B13,$I13,$M13:$N13)+1+1</f>
        <v>20</v>
      </c>
      <c r="U13" s="30">
        <f>SUM(F$9,F$16,F$20,F$21)+2+2</f>
        <v>25</v>
      </c>
      <c r="V13" s="42">
        <f t="shared" si="3"/>
        <v>0.44444444444444442</v>
      </c>
      <c r="W13" s="29">
        <f>SUM($C13:$H13,$J13:$L13,$O13:$P13)+3+1+3+4</f>
        <v>63</v>
      </c>
      <c r="X13" s="26">
        <f>SUM(F10:F15,F17:F19,F22:F23)+0+2+1+0</f>
        <v>54</v>
      </c>
      <c r="Y13" s="42">
        <f t="shared" si="4"/>
        <v>0.53846153846153844</v>
      </c>
      <c r="Z13" s="26">
        <f t="shared" si="5"/>
        <v>83</v>
      </c>
      <c r="AA13" s="52">
        <f t="shared" si="6"/>
        <v>79</v>
      </c>
    </row>
    <row r="14" spans="1:27">
      <c r="A14" s="9" t="s">
        <v>13</v>
      </c>
      <c r="B14">
        <v>1</v>
      </c>
      <c r="C14">
        <v>3</v>
      </c>
      <c r="D14">
        <v>2</v>
      </c>
      <c r="E14">
        <v>5</v>
      </c>
      <c r="F14">
        <v>5</v>
      </c>
      <c r="G14" s="18">
        <v>0</v>
      </c>
      <c r="H14" s="15">
        <v>9</v>
      </c>
      <c r="I14" s="15">
        <v>9</v>
      </c>
      <c r="J14" s="15">
        <v>6</v>
      </c>
      <c r="K14" s="7">
        <v>9</v>
      </c>
      <c r="L14">
        <v>3</v>
      </c>
      <c r="M14">
        <v>1</v>
      </c>
      <c r="N14">
        <v>4</v>
      </c>
      <c r="O14">
        <v>3</v>
      </c>
      <c r="P14">
        <v>2</v>
      </c>
      <c r="Q14" s="15"/>
      <c r="R14" s="62" t="s">
        <v>9</v>
      </c>
      <c r="S14" s="33" t="s">
        <v>13</v>
      </c>
      <c r="T14" s="35">
        <f>SUM($B14,$I14,$M14:$N14)+2+3</f>
        <v>20</v>
      </c>
      <c r="U14" s="26">
        <f>SUM(G$9,G$16,G$20,G$21)+1+1</f>
        <v>25</v>
      </c>
      <c r="V14" s="43">
        <f t="shared" si="3"/>
        <v>0.44444444444444442</v>
      </c>
      <c r="W14" s="26">
        <f>SUM($C14:$H14,$J14:$L14,$O14:$P14)+1+3+1+1</f>
        <v>53</v>
      </c>
      <c r="X14" s="31">
        <f>SUM(G10:G15,G17:G19,G22:G23)+2+1+2+2</f>
        <v>64</v>
      </c>
      <c r="Y14" s="43">
        <f t="shared" si="4"/>
        <v>0.45299145299145299</v>
      </c>
      <c r="Z14" s="27">
        <f>SUM(T14,W14)</f>
        <v>73</v>
      </c>
      <c r="AA14" s="64">
        <f t="shared" si="6"/>
        <v>89</v>
      </c>
    </row>
    <row r="15" spans="1:27">
      <c r="A15" s="9" t="s">
        <v>12</v>
      </c>
      <c r="B15">
        <v>4</v>
      </c>
      <c r="C15">
        <v>5</v>
      </c>
      <c r="D15">
        <v>4</v>
      </c>
      <c r="E15">
        <v>4</v>
      </c>
      <c r="F15">
        <v>2</v>
      </c>
      <c r="G15" s="14">
        <v>10</v>
      </c>
      <c r="H15" s="19">
        <v>0</v>
      </c>
      <c r="I15" s="15">
        <v>8</v>
      </c>
      <c r="J15" s="15">
        <v>10</v>
      </c>
      <c r="K15" s="7">
        <v>11</v>
      </c>
      <c r="L15">
        <v>5</v>
      </c>
      <c r="M15">
        <v>2</v>
      </c>
      <c r="N15">
        <v>2</v>
      </c>
      <c r="O15">
        <v>2</v>
      </c>
      <c r="P15">
        <v>6</v>
      </c>
      <c r="Q15" s="15"/>
      <c r="R15" s="51"/>
      <c r="S15" s="33" t="s">
        <v>12</v>
      </c>
      <c r="T15" s="36">
        <f>SUM($B15,$I15,$M15:$N15)+2+0</f>
        <v>18</v>
      </c>
      <c r="U15" s="26">
        <f>SUM(H$9,H$16,H$20,H$21)+1+3</f>
        <v>27</v>
      </c>
      <c r="V15" s="42">
        <f t="shared" si="3"/>
        <v>0.4</v>
      </c>
      <c r="W15" s="26">
        <f>SUM($C15:$H15,$J15:$L15,$O15:$P15)+2+1+3+2</f>
        <v>67</v>
      </c>
      <c r="X15" s="26">
        <f>SUM(H10:H15,H17:H19,H22:H23)+2+3+0+1</f>
        <v>50</v>
      </c>
      <c r="Y15" s="42">
        <f t="shared" si="4"/>
        <v>0.57264957264957261</v>
      </c>
      <c r="Z15" s="28">
        <f t="shared" si="5"/>
        <v>85</v>
      </c>
      <c r="AA15" s="52">
        <f t="shared" si="6"/>
        <v>77</v>
      </c>
    </row>
    <row r="16" spans="1:27">
      <c r="A16" s="9" t="s">
        <v>10</v>
      </c>
      <c r="B16">
        <v>5</v>
      </c>
      <c r="C16">
        <v>5</v>
      </c>
      <c r="D16">
        <v>3</v>
      </c>
      <c r="E16">
        <v>3</v>
      </c>
      <c r="F16">
        <v>1</v>
      </c>
      <c r="G16" s="14">
        <v>10</v>
      </c>
      <c r="H16" s="15">
        <v>11</v>
      </c>
      <c r="I16" s="19">
        <v>0</v>
      </c>
      <c r="J16" s="15">
        <v>13</v>
      </c>
      <c r="K16" s="7">
        <v>9</v>
      </c>
      <c r="L16">
        <v>4</v>
      </c>
      <c r="M16">
        <v>3</v>
      </c>
      <c r="N16">
        <v>5</v>
      </c>
      <c r="O16">
        <v>2</v>
      </c>
      <c r="P16">
        <v>4</v>
      </c>
      <c r="Q16" s="15"/>
      <c r="R16" s="51"/>
      <c r="S16" s="32" t="s">
        <v>10</v>
      </c>
      <c r="T16" s="36">
        <f>SUM($B16,$I16,$M16:$N16)+3+2+1</f>
        <v>19</v>
      </c>
      <c r="U16" s="26">
        <f>SUM(I$9,I$16,I$20,I$21)+1+2+2</f>
        <v>12</v>
      </c>
      <c r="V16" s="42">
        <f t="shared" si="3"/>
        <v>0.61290322580645162</v>
      </c>
      <c r="W16" s="26">
        <f>SUM($C16:$H16,$J16:$L16,$O16:$P16)+2+3+1</f>
        <v>71</v>
      </c>
      <c r="X16" s="26">
        <f>SUM(I10:I15,I17:I19,I22:I23)+1+0+2</f>
        <v>60</v>
      </c>
      <c r="Y16" s="42">
        <f t="shared" si="4"/>
        <v>0.5419847328244275</v>
      </c>
      <c r="Z16" s="28">
        <f t="shared" si="5"/>
        <v>90</v>
      </c>
      <c r="AA16" s="52">
        <f t="shared" si="6"/>
        <v>72</v>
      </c>
    </row>
    <row r="17" spans="1:27">
      <c r="A17" s="9" t="s">
        <v>11</v>
      </c>
      <c r="B17">
        <v>4</v>
      </c>
      <c r="C17">
        <v>1</v>
      </c>
      <c r="D17">
        <v>4</v>
      </c>
      <c r="E17">
        <v>4</v>
      </c>
      <c r="F17">
        <v>4</v>
      </c>
      <c r="G17" s="14">
        <v>13</v>
      </c>
      <c r="H17" s="15">
        <v>9</v>
      </c>
      <c r="I17" s="15">
        <v>6</v>
      </c>
      <c r="J17" s="19">
        <v>0</v>
      </c>
      <c r="K17" s="7">
        <v>11</v>
      </c>
      <c r="L17">
        <v>3</v>
      </c>
      <c r="M17">
        <v>3</v>
      </c>
      <c r="N17">
        <v>5</v>
      </c>
      <c r="O17">
        <v>2</v>
      </c>
      <c r="P17">
        <v>5</v>
      </c>
      <c r="Q17" s="15"/>
      <c r="R17" s="51"/>
      <c r="S17" s="33" t="s">
        <v>11</v>
      </c>
      <c r="T17" s="36">
        <f>SUM($B17,$I17,$M17:$N17)+1+3+3</f>
        <v>25</v>
      </c>
      <c r="U17" s="26">
        <f>SUM(J$9,J$16,J$20,J$21)+2+0+1</f>
        <v>24</v>
      </c>
      <c r="V17" s="42">
        <f t="shared" si="3"/>
        <v>0.51020408163265307</v>
      </c>
      <c r="W17" s="26">
        <f>SUM($C17:$H17,$J17:$L17,$O17:$P17)+3+3+2</f>
        <v>64</v>
      </c>
      <c r="X17" s="26">
        <f>SUM(J10:J15,J17:J19,J22:J23)+0+1+1</f>
        <v>49</v>
      </c>
      <c r="Y17" s="42">
        <f t="shared" si="4"/>
        <v>0.5663716814159292</v>
      </c>
      <c r="Z17" s="28">
        <f t="shared" si="5"/>
        <v>89</v>
      </c>
      <c r="AA17" s="52">
        <f t="shared" si="6"/>
        <v>73</v>
      </c>
    </row>
    <row r="18" spans="1:27">
      <c r="A18" s="10" t="s">
        <v>14</v>
      </c>
      <c r="B18" s="11">
        <v>3</v>
      </c>
      <c r="C18" s="11">
        <v>2</v>
      </c>
      <c r="D18" s="11">
        <v>3</v>
      </c>
      <c r="E18" s="11">
        <v>2</v>
      </c>
      <c r="F18" s="11">
        <v>4</v>
      </c>
      <c r="G18" s="16">
        <v>10</v>
      </c>
      <c r="H18" s="11">
        <v>8</v>
      </c>
      <c r="I18" s="11">
        <v>10</v>
      </c>
      <c r="J18" s="11">
        <v>8</v>
      </c>
      <c r="K18" s="20">
        <v>0</v>
      </c>
      <c r="L18" s="11">
        <v>3</v>
      </c>
      <c r="M18" s="11">
        <v>0</v>
      </c>
      <c r="N18" s="11">
        <v>1</v>
      </c>
      <c r="O18" s="11">
        <v>5</v>
      </c>
      <c r="P18" s="11">
        <v>2</v>
      </c>
      <c r="Q18" s="15"/>
      <c r="R18" s="63"/>
      <c r="S18" s="34" t="s">
        <v>14</v>
      </c>
      <c r="T18" s="37">
        <f>SUM($B18,$I18,$M18:$N18)+0+0</f>
        <v>14</v>
      </c>
      <c r="U18" s="26">
        <f>SUM(K$9,K$16,K$20,K$21)+3+3</f>
        <v>32</v>
      </c>
      <c r="V18" s="44">
        <f t="shared" si="3"/>
        <v>0.30434782608695654</v>
      </c>
      <c r="W18" s="29">
        <f>SUM($C18:$H18,$J18:$L18,$O18:$P18)+2+2+2+3</f>
        <v>56</v>
      </c>
      <c r="X18" s="30">
        <f>SUM(K$10:K$15,K$17:K$19,K$22:K$23)+1+1+2+1</f>
        <v>60</v>
      </c>
      <c r="Y18" s="44">
        <f t="shared" si="4"/>
        <v>0.48275862068965519</v>
      </c>
      <c r="Z18" s="29">
        <f t="shared" si="5"/>
        <v>70</v>
      </c>
      <c r="AA18" s="65">
        <f t="shared" si="6"/>
        <v>92</v>
      </c>
    </row>
    <row r="19" spans="1:27">
      <c r="A19" s="9" t="s">
        <v>19</v>
      </c>
      <c r="B19">
        <v>3</v>
      </c>
      <c r="C19">
        <v>3</v>
      </c>
      <c r="D19">
        <v>4</v>
      </c>
      <c r="E19">
        <v>2</v>
      </c>
      <c r="F19">
        <v>4</v>
      </c>
      <c r="G19" s="14">
        <v>3</v>
      </c>
      <c r="H19" s="15">
        <v>2</v>
      </c>
      <c r="I19" s="15">
        <v>3</v>
      </c>
      <c r="J19" s="15">
        <v>3</v>
      </c>
      <c r="K19" s="7">
        <v>3</v>
      </c>
      <c r="L19" s="2">
        <v>0</v>
      </c>
      <c r="M19">
        <v>7</v>
      </c>
      <c r="N19">
        <v>8</v>
      </c>
      <c r="O19">
        <v>9</v>
      </c>
      <c r="P19">
        <v>11</v>
      </c>
      <c r="Q19" s="15"/>
      <c r="R19" s="51" t="s">
        <v>15</v>
      </c>
      <c r="S19" s="33" t="s">
        <v>19</v>
      </c>
      <c r="T19" s="15">
        <f>SUM($B19,$I19,$M19:$N19)+0</f>
        <v>21</v>
      </c>
      <c r="U19" s="31">
        <f>SUM(L$9,L$16,L$20,L$21)+4</f>
        <v>35</v>
      </c>
      <c r="V19" s="42">
        <f t="shared" si="3"/>
        <v>0.375</v>
      </c>
      <c r="W19" s="26">
        <f>SUM($C19:$H19,$J19:$L19,$O19:$P19)+3+1+0+1+0</f>
        <v>49</v>
      </c>
      <c r="X19" s="26">
        <f>SUM(L$10:L$15,L$17:L$19,L$22:L$23)+1+2+3+2+3</f>
        <v>57</v>
      </c>
      <c r="Y19" s="42">
        <f t="shared" si="4"/>
        <v>0.46226415094339623</v>
      </c>
      <c r="Z19" s="26">
        <f t="shared" si="5"/>
        <v>70</v>
      </c>
      <c r="AA19" s="52">
        <f t="shared" si="6"/>
        <v>92</v>
      </c>
    </row>
    <row r="20" spans="1:27">
      <c r="A20" s="9" t="s">
        <v>16</v>
      </c>
      <c r="B20">
        <v>2</v>
      </c>
      <c r="C20">
        <v>5</v>
      </c>
      <c r="D20">
        <v>2</v>
      </c>
      <c r="E20">
        <v>5</v>
      </c>
      <c r="F20">
        <v>5</v>
      </c>
      <c r="G20" s="14">
        <v>5</v>
      </c>
      <c r="H20" s="15">
        <v>5</v>
      </c>
      <c r="I20" s="15">
        <v>4</v>
      </c>
      <c r="J20" s="15">
        <v>3</v>
      </c>
      <c r="K20" s="7">
        <v>7</v>
      </c>
      <c r="L20">
        <v>12</v>
      </c>
      <c r="M20" s="2">
        <v>0</v>
      </c>
      <c r="N20">
        <v>10</v>
      </c>
      <c r="O20">
        <v>7</v>
      </c>
      <c r="P20">
        <v>14</v>
      </c>
      <c r="Q20" s="15"/>
      <c r="R20" s="51"/>
      <c r="S20" s="32" t="s">
        <v>16</v>
      </c>
      <c r="T20" s="15">
        <f>SUM($B20,$I20,$M20:$N20)+1+2</f>
        <v>19</v>
      </c>
      <c r="U20" s="26">
        <f>SUM(M$9,M$16,M$20,M$21)+3+1</f>
        <v>20</v>
      </c>
      <c r="V20" s="42">
        <f t="shared" si="3"/>
        <v>0.48717948717948717</v>
      </c>
      <c r="W20" s="26">
        <f>SUM($C20:$H20,$J20:$L20,$O20:$P20)+1+2+2+4</f>
        <v>79</v>
      </c>
      <c r="X20" s="26">
        <f>SUM(M$10:M$15,M$17:M$19,M$22:M$23)+2+1+1+0</f>
        <v>44</v>
      </c>
      <c r="Y20" s="42">
        <f t="shared" si="4"/>
        <v>0.64227642276422769</v>
      </c>
      <c r="Z20" s="26">
        <f t="shared" si="5"/>
        <v>98</v>
      </c>
      <c r="AA20" s="52">
        <f t="shared" si="6"/>
        <v>64</v>
      </c>
    </row>
    <row r="21" spans="1:27">
      <c r="A21" s="9" t="s">
        <v>17</v>
      </c>
      <c r="B21">
        <v>4</v>
      </c>
      <c r="C21">
        <v>4</v>
      </c>
      <c r="D21">
        <v>4</v>
      </c>
      <c r="E21">
        <v>4</v>
      </c>
      <c r="F21">
        <v>4</v>
      </c>
      <c r="G21" s="14">
        <v>3</v>
      </c>
      <c r="H21" s="15">
        <v>4</v>
      </c>
      <c r="I21" s="15">
        <v>2</v>
      </c>
      <c r="J21" s="15">
        <v>2</v>
      </c>
      <c r="K21" s="7">
        <v>6</v>
      </c>
      <c r="L21">
        <v>11</v>
      </c>
      <c r="M21">
        <v>9</v>
      </c>
      <c r="N21" s="2">
        <v>0</v>
      </c>
      <c r="O21">
        <v>9</v>
      </c>
      <c r="P21">
        <v>9</v>
      </c>
      <c r="Q21" s="15"/>
      <c r="R21" s="51"/>
      <c r="S21" s="32" t="s">
        <v>17</v>
      </c>
      <c r="T21" s="15">
        <f>SUM($B21,$I21,$M21:$N21)+3+3</f>
        <v>21</v>
      </c>
      <c r="U21" s="26">
        <f>SUM(N$9,N$16,N$20,N$21)+1+0</f>
        <v>18</v>
      </c>
      <c r="V21" s="42">
        <f t="shared" si="3"/>
        <v>0.53846153846153844</v>
      </c>
      <c r="W21" s="26">
        <f>SUM($C21:$H21,$J21:$L21,$O21:$P21)+0+3+2+2</f>
        <v>67</v>
      </c>
      <c r="X21" s="26">
        <f>SUM(N$10:N$15,N$17:N$19,N$22:N$23)+3+0+2+1</f>
        <v>56</v>
      </c>
      <c r="Y21" s="42">
        <f t="shared" si="4"/>
        <v>0.54471544715447151</v>
      </c>
      <c r="Z21" s="26">
        <f t="shared" si="5"/>
        <v>88</v>
      </c>
      <c r="AA21" s="52">
        <f t="shared" si="6"/>
        <v>74</v>
      </c>
    </row>
    <row r="22" spans="1:27">
      <c r="A22" s="9" t="s">
        <v>18</v>
      </c>
      <c r="B22">
        <v>2</v>
      </c>
      <c r="C22">
        <v>5</v>
      </c>
      <c r="D22">
        <v>3</v>
      </c>
      <c r="E22">
        <v>4</v>
      </c>
      <c r="F22">
        <v>4</v>
      </c>
      <c r="G22" s="14">
        <v>4</v>
      </c>
      <c r="H22" s="15">
        <v>4</v>
      </c>
      <c r="I22" s="15">
        <v>4</v>
      </c>
      <c r="J22" s="15">
        <v>5</v>
      </c>
      <c r="K22" s="7">
        <v>2</v>
      </c>
      <c r="L22">
        <v>10</v>
      </c>
      <c r="M22">
        <v>12</v>
      </c>
      <c r="N22">
        <v>10</v>
      </c>
      <c r="O22" s="2">
        <v>0</v>
      </c>
      <c r="P22">
        <v>9</v>
      </c>
      <c r="Q22" s="15"/>
      <c r="R22" s="51"/>
      <c r="S22" s="33" t="s">
        <v>18</v>
      </c>
      <c r="T22" s="15">
        <f>SUM($B22,$I22,$M22:$N22)+1</f>
        <v>29</v>
      </c>
      <c r="U22" s="26">
        <f>SUM(O$9,O$16,O$20,O$21)+2</f>
        <v>25</v>
      </c>
      <c r="V22" s="42">
        <f t="shared" si="3"/>
        <v>0.53703703703703709</v>
      </c>
      <c r="W22" s="26">
        <f>SUM($C22:$H22,$J22:$L22,$O22:$P22)+4+0+1+1+2</f>
        <v>58</v>
      </c>
      <c r="X22" s="26">
        <f>SUM(O$10:O$15,O$17:O$19,O$22:O$23)+0+3+2+2+2</f>
        <v>50</v>
      </c>
      <c r="Y22" s="42">
        <f t="shared" si="4"/>
        <v>0.53703703703703709</v>
      </c>
      <c r="Z22" s="26">
        <f t="shared" si="5"/>
        <v>87</v>
      </c>
      <c r="AA22" s="52">
        <f t="shared" si="6"/>
        <v>75</v>
      </c>
    </row>
    <row r="23" spans="1:27" ht="15.75" thickBot="1">
      <c r="A23" s="9" t="s">
        <v>20</v>
      </c>
      <c r="B23">
        <v>1</v>
      </c>
      <c r="C23">
        <v>2</v>
      </c>
      <c r="D23">
        <v>3</v>
      </c>
      <c r="E23">
        <v>2</v>
      </c>
      <c r="F23">
        <v>2</v>
      </c>
      <c r="G23" s="14">
        <v>4</v>
      </c>
      <c r="H23" s="15">
        <v>1</v>
      </c>
      <c r="I23" s="15">
        <v>3</v>
      </c>
      <c r="J23" s="15">
        <v>1</v>
      </c>
      <c r="K23" s="7">
        <v>5</v>
      </c>
      <c r="L23">
        <v>8</v>
      </c>
      <c r="M23">
        <v>5</v>
      </c>
      <c r="N23">
        <v>10</v>
      </c>
      <c r="O23">
        <v>10</v>
      </c>
      <c r="P23" s="2">
        <v>0</v>
      </c>
      <c r="Q23" s="15"/>
      <c r="R23" s="53"/>
      <c r="S23" s="54" t="s">
        <v>20</v>
      </c>
      <c r="T23" s="55">
        <f>SUM($B23,$I23,$M23:$N23)+1</f>
        <v>20</v>
      </c>
      <c r="U23" s="56">
        <f>SUM(P$9,P$16,P$20,P$21)+2</f>
        <v>35</v>
      </c>
      <c r="V23" s="57">
        <f t="shared" si="3"/>
        <v>0.36363636363636365</v>
      </c>
      <c r="W23" s="56">
        <f>SUM($C23:$H23,$J23:$L23,$O23:$P23)+3+1+2+1+2</f>
        <v>47</v>
      </c>
      <c r="X23" s="56">
        <f>SUM(P$10:P$15,P$17:P$19,P$22:P$23)+0+3+2+2+1</f>
        <v>60</v>
      </c>
      <c r="Y23" s="57">
        <f t="shared" si="4"/>
        <v>0.43925233644859812</v>
      </c>
      <c r="Z23" s="56">
        <f t="shared" si="5"/>
        <v>67</v>
      </c>
      <c r="AA23" s="58">
        <f t="shared" si="6"/>
        <v>95</v>
      </c>
    </row>
    <row r="24" spans="1:27">
      <c r="Q24" s="15"/>
      <c r="S24" s="15"/>
      <c r="T24" s="23"/>
      <c r="U24" s="23"/>
    </row>
    <row r="25" spans="1:27">
      <c r="A25" t="s">
        <v>24</v>
      </c>
      <c r="C25" t="s">
        <v>6</v>
      </c>
      <c r="D25" t="s">
        <v>7</v>
      </c>
      <c r="E25" t="s">
        <v>8</v>
      </c>
      <c r="G25" t="s">
        <v>24</v>
      </c>
      <c r="I25" t="s">
        <v>6</v>
      </c>
      <c r="J25" t="s">
        <v>7</v>
      </c>
      <c r="K25" t="s">
        <v>8</v>
      </c>
      <c r="M25" t="s">
        <v>24</v>
      </c>
      <c r="O25" t="s">
        <v>6</v>
      </c>
      <c r="P25" t="s">
        <v>7</v>
      </c>
      <c r="Q25" t="s">
        <v>8</v>
      </c>
    </row>
    <row r="26" spans="1:27">
      <c r="A26" t="s">
        <v>0</v>
      </c>
      <c r="B26" s="4" t="s">
        <v>25</v>
      </c>
      <c r="C26">
        <v>96</v>
      </c>
      <c r="D26">
        <v>66</v>
      </c>
      <c r="E26" s="1">
        <f>C26/SUM(C26:D26)</f>
        <v>0.59259259259259256</v>
      </c>
      <c r="G26" t="s">
        <v>9</v>
      </c>
      <c r="H26" s="4" t="s">
        <v>30</v>
      </c>
      <c r="I26">
        <v>90</v>
      </c>
      <c r="J26">
        <v>72</v>
      </c>
      <c r="K26" s="1">
        <f>I26/SUM(I26:J26)</f>
        <v>0.55555555555555558</v>
      </c>
      <c r="M26" t="s">
        <v>15</v>
      </c>
      <c r="N26" s="4" t="s">
        <v>35</v>
      </c>
      <c r="O26">
        <v>94</v>
      </c>
      <c r="P26">
        <v>68</v>
      </c>
      <c r="Q26" s="1">
        <f>O26/SUM(O26:P26)</f>
        <v>0.58024691358024694</v>
      </c>
    </row>
    <row r="27" spans="1:27">
      <c r="B27" s="3" t="s">
        <v>26</v>
      </c>
      <c r="C27">
        <v>79</v>
      </c>
      <c r="D27">
        <v>83</v>
      </c>
      <c r="E27" s="1">
        <f>C27/SUM(C27:D27)</f>
        <v>0.48765432098765432</v>
      </c>
      <c r="H27" s="4" t="s">
        <v>31</v>
      </c>
      <c r="I27">
        <v>88</v>
      </c>
      <c r="J27">
        <v>74</v>
      </c>
      <c r="K27" s="1">
        <f>I27/SUM(I27:J27)</f>
        <v>0.54320987654320985</v>
      </c>
      <c r="N27" s="4" t="s">
        <v>36</v>
      </c>
      <c r="O27">
        <v>88</v>
      </c>
      <c r="P27">
        <v>74</v>
      </c>
      <c r="Q27" s="1">
        <f>O27/SUM(O27:P27)</f>
        <v>0.54320987654320985</v>
      </c>
    </row>
    <row r="28" spans="1:27">
      <c r="B28" s="3" t="s">
        <v>27</v>
      </c>
      <c r="C28">
        <v>79</v>
      </c>
      <c r="D28">
        <v>83</v>
      </c>
      <c r="E28" s="1">
        <f>C28/SUM(C28:D28)</f>
        <v>0.48765432098765432</v>
      </c>
      <c r="H28" s="3" t="s">
        <v>32</v>
      </c>
      <c r="I28">
        <v>82</v>
      </c>
      <c r="J28">
        <v>80</v>
      </c>
      <c r="K28" s="1">
        <f>I28/SUM(I28:J28)</f>
        <v>0.50617283950617287</v>
      </c>
      <c r="N28" s="3" t="s">
        <v>37</v>
      </c>
      <c r="O28">
        <v>77</v>
      </c>
      <c r="P28">
        <v>85</v>
      </c>
      <c r="Q28" s="1">
        <f>O28/SUM(O28:P28)</f>
        <v>0.47530864197530864</v>
      </c>
    </row>
    <row r="29" spans="1:27">
      <c r="B29" s="3" t="s">
        <v>28</v>
      </c>
      <c r="C29">
        <v>77</v>
      </c>
      <c r="D29">
        <v>85</v>
      </c>
      <c r="E29" s="1">
        <f>C29/SUM(C29:D29)</f>
        <v>0.47530864197530864</v>
      </c>
      <c r="H29" s="3" t="s">
        <v>33</v>
      </c>
      <c r="I29">
        <v>76</v>
      </c>
      <c r="J29">
        <v>86</v>
      </c>
      <c r="K29" s="1">
        <f>I29/SUM(I29:J29)</f>
        <v>0.46913580246913578</v>
      </c>
      <c r="N29" s="3" t="s">
        <v>38</v>
      </c>
      <c r="O29">
        <v>66</v>
      </c>
      <c r="P29">
        <v>96</v>
      </c>
      <c r="Q29" s="1">
        <f>O29/SUM(O29:P29)</f>
        <v>0.40740740740740738</v>
      </c>
    </row>
    <row r="30" spans="1:27" ht="15.75" thickBot="1">
      <c r="B30" s="3" t="s">
        <v>29</v>
      </c>
      <c r="C30">
        <v>73</v>
      </c>
      <c r="D30">
        <v>89</v>
      </c>
      <c r="E30" s="1">
        <f>C30/SUM(C30:D30)</f>
        <v>0.45061728395061729</v>
      </c>
      <c r="H30" s="3" t="s">
        <v>34</v>
      </c>
      <c r="I30">
        <v>73</v>
      </c>
      <c r="J30">
        <v>89</v>
      </c>
      <c r="K30" s="1">
        <f>I30/SUM(I30:J30)</f>
        <v>0.45061728395061729</v>
      </c>
      <c r="N30" s="3" t="s">
        <v>39</v>
      </c>
      <c r="O30">
        <v>64</v>
      </c>
      <c r="P30">
        <v>98</v>
      </c>
      <c r="Q30" s="1">
        <f>O30/SUM(O30:P30)</f>
        <v>0.39506172839506171</v>
      </c>
    </row>
    <row r="31" spans="1:27">
      <c r="R31" s="45"/>
      <c r="S31" s="48"/>
      <c r="T31" s="66" t="s">
        <v>21</v>
      </c>
      <c r="U31" s="48"/>
      <c r="V31" s="48"/>
      <c r="W31" s="67" t="s">
        <v>22</v>
      </c>
      <c r="X31" s="48"/>
      <c r="Y31" s="46"/>
      <c r="Z31" s="48" t="s">
        <v>40</v>
      </c>
      <c r="AA31" s="50"/>
    </row>
    <row r="32" spans="1:27" ht="15.75" thickBot="1">
      <c r="A32" s="8"/>
      <c r="B32" s="5" t="s">
        <v>26</v>
      </c>
      <c r="C32" s="5" t="s">
        <v>28</v>
      </c>
      <c r="D32" s="5" t="s">
        <v>27</v>
      </c>
      <c r="E32" s="5" t="s">
        <v>29</v>
      </c>
      <c r="F32" s="40" t="s">
        <v>25</v>
      </c>
      <c r="G32" s="13" t="s">
        <v>34</v>
      </c>
      <c r="H32" s="5" t="s">
        <v>33</v>
      </c>
      <c r="I32" s="5" t="s">
        <v>32</v>
      </c>
      <c r="J32" s="40" t="s">
        <v>31</v>
      </c>
      <c r="K32" s="41" t="s">
        <v>30</v>
      </c>
      <c r="L32" s="5" t="s">
        <v>39</v>
      </c>
      <c r="M32" s="5" t="s">
        <v>38</v>
      </c>
      <c r="N32" s="40" t="s">
        <v>35</v>
      </c>
      <c r="O32" s="5" t="s">
        <v>37</v>
      </c>
      <c r="P32" s="40" t="s">
        <v>36</v>
      </c>
      <c r="R32" s="59" t="s">
        <v>24</v>
      </c>
      <c r="S32" s="5"/>
      <c r="T32" s="38" t="s">
        <v>6</v>
      </c>
      <c r="U32" s="5" t="s">
        <v>7</v>
      </c>
      <c r="V32" s="5" t="s">
        <v>8</v>
      </c>
      <c r="W32" s="38" t="s">
        <v>6</v>
      </c>
      <c r="X32" s="5" t="s">
        <v>7</v>
      </c>
      <c r="Y32" s="8" t="s">
        <v>8</v>
      </c>
      <c r="Z32" s="60" t="s">
        <v>6</v>
      </c>
      <c r="AA32" s="61" t="s">
        <v>7</v>
      </c>
    </row>
    <row r="33" spans="1:27" ht="15.75" thickTop="1">
      <c r="A33" s="9" t="s">
        <v>26</v>
      </c>
      <c r="B33" s="2">
        <v>0</v>
      </c>
      <c r="C33">
        <v>9</v>
      </c>
      <c r="D33">
        <v>9</v>
      </c>
      <c r="E33">
        <v>11</v>
      </c>
      <c r="F33">
        <v>11</v>
      </c>
      <c r="G33" s="14">
        <v>5</v>
      </c>
      <c r="H33" s="21">
        <v>5</v>
      </c>
      <c r="I33" s="21">
        <v>5</v>
      </c>
      <c r="J33" s="21">
        <v>3</v>
      </c>
      <c r="K33" s="7">
        <v>2</v>
      </c>
      <c r="L33" s="21">
        <v>3</v>
      </c>
      <c r="M33" s="21">
        <v>4</v>
      </c>
      <c r="N33" s="21">
        <v>1</v>
      </c>
      <c r="O33" s="21">
        <v>3</v>
      </c>
      <c r="P33" s="21">
        <v>1</v>
      </c>
      <c r="R33" s="51" t="s">
        <v>0</v>
      </c>
      <c r="S33" s="33" t="s">
        <v>26</v>
      </c>
      <c r="T33" s="15">
        <f>SUM($F33,$J33:$K33,$N33,$P33)+2+3</f>
        <v>23</v>
      </c>
      <c r="U33" s="15">
        <f>SUM(B$37,B$41:B$42,B$45,B$47)+1+0</f>
        <v>28</v>
      </c>
      <c r="V33" s="23">
        <f>T33/SUM(T33:U33)</f>
        <v>0.45098039215686275</v>
      </c>
      <c r="W33" s="36">
        <f>SUM($B33:$E33,$G33:$I33,$L33:$M33,$O33)+0+2+0+0</f>
        <v>56</v>
      </c>
      <c r="X33" s="15">
        <f>SUM(B$33:B$36,B$38:B$40,B$43:B$44,B$46)+4+1+4+3</f>
        <v>55</v>
      </c>
      <c r="Y33" s="42">
        <f>W33/SUM(W33:X33)</f>
        <v>0.50450450450450446</v>
      </c>
      <c r="Z33" s="15">
        <f>SUM(T33,W33)</f>
        <v>79</v>
      </c>
      <c r="AA33" s="68">
        <f>SUM(U33,X33)</f>
        <v>83</v>
      </c>
    </row>
    <row r="34" spans="1:27">
      <c r="A34" s="9" t="s">
        <v>28</v>
      </c>
      <c r="B34">
        <v>10</v>
      </c>
      <c r="C34" s="2">
        <v>0</v>
      </c>
      <c r="D34">
        <v>8</v>
      </c>
      <c r="E34">
        <v>9</v>
      </c>
      <c r="F34">
        <v>6</v>
      </c>
      <c r="G34" s="14">
        <v>2</v>
      </c>
      <c r="H34" s="21">
        <v>3</v>
      </c>
      <c r="I34" s="21">
        <v>3</v>
      </c>
      <c r="J34" s="21">
        <v>2</v>
      </c>
      <c r="K34" s="7">
        <v>4</v>
      </c>
      <c r="L34" s="21">
        <v>4</v>
      </c>
      <c r="M34" s="21">
        <v>4</v>
      </c>
      <c r="N34" s="21">
        <v>3</v>
      </c>
      <c r="O34" s="21">
        <v>3</v>
      </c>
      <c r="P34" s="21">
        <v>3</v>
      </c>
      <c r="R34" s="51"/>
      <c r="S34" s="33" t="s">
        <v>28</v>
      </c>
      <c r="T34" s="15">
        <f>SUM($F34,$J34:$K34,$N34,$P34)+1+0</f>
        <v>19</v>
      </c>
      <c r="U34" s="15">
        <f>SUM(C$37,C$41:C$42,C$45,C$47)+2+3</f>
        <v>31</v>
      </c>
      <c r="V34" s="23">
        <f t="shared" ref="V34:V47" si="7">T34/SUM(T34:U34)</f>
        <v>0.38</v>
      </c>
      <c r="W34" s="36">
        <f>SUM($B34:$E34,$G34:$I34,$L34:$M34,$O34)+3+3+4+2</f>
        <v>58</v>
      </c>
      <c r="X34" s="15">
        <f>SUM(C$33:C$36,C$38:C$40,C$43:C$44,C$46)+0+0+0+2</f>
        <v>54</v>
      </c>
      <c r="Y34" s="42">
        <f t="shared" ref="Y34:Y47" si="8">W34/SUM(W34:X34)</f>
        <v>0.5178571428571429</v>
      </c>
      <c r="Z34" s="15">
        <f t="shared" ref="Z34:Z47" si="9">SUM(T34,W34)</f>
        <v>77</v>
      </c>
      <c r="AA34" s="68">
        <f t="shared" ref="AA34:AA47" si="10">SUM(U34,X34)</f>
        <v>85</v>
      </c>
    </row>
    <row r="35" spans="1:27">
      <c r="A35" s="9" t="s">
        <v>27</v>
      </c>
      <c r="B35">
        <v>10</v>
      </c>
      <c r="C35">
        <v>11</v>
      </c>
      <c r="D35" s="2">
        <v>0</v>
      </c>
      <c r="E35">
        <v>13</v>
      </c>
      <c r="F35">
        <v>4</v>
      </c>
      <c r="G35" s="14">
        <v>2</v>
      </c>
      <c r="H35" s="21">
        <v>4</v>
      </c>
      <c r="I35" s="21">
        <v>3</v>
      </c>
      <c r="J35" s="21">
        <v>3</v>
      </c>
      <c r="K35" s="7">
        <v>4</v>
      </c>
      <c r="L35" s="21">
        <v>4</v>
      </c>
      <c r="M35" s="21">
        <v>4</v>
      </c>
      <c r="N35" s="21">
        <v>2</v>
      </c>
      <c r="O35" s="21">
        <v>3</v>
      </c>
      <c r="P35" s="21">
        <v>1</v>
      </c>
      <c r="R35" s="51"/>
      <c r="S35" s="33" t="s">
        <v>27</v>
      </c>
      <c r="T35" s="15">
        <f>SUM($F35,$J35:$K35,$N35,$P35)+1+2</f>
        <v>17</v>
      </c>
      <c r="U35" s="15">
        <f>SUM(D$37,D$41:D$42,D$45,D$47)+2+2</f>
        <v>36</v>
      </c>
      <c r="V35" s="23">
        <f t="shared" si="7"/>
        <v>0.32075471698113206</v>
      </c>
      <c r="W35" s="36">
        <f>SUM($B35:$E35,$G35:$I35,$L35:$M35,$O35)+2+2+2+2</f>
        <v>62</v>
      </c>
      <c r="X35" s="15">
        <f>SUM(D$33:D$36,D$38:D$40,D$43:D$44,D$46)+1+2+1+1</f>
        <v>47</v>
      </c>
      <c r="Y35" s="42">
        <f t="shared" si="8"/>
        <v>0.56880733944954132</v>
      </c>
      <c r="Z35" s="15">
        <f t="shared" si="9"/>
        <v>79</v>
      </c>
      <c r="AA35" s="68">
        <f t="shared" si="10"/>
        <v>83</v>
      </c>
    </row>
    <row r="36" spans="1:27">
      <c r="A36" s="9" t="s">
        <v>29</v>
      </c>
      <c r="B36">
        <v>8</v>
      </c>
      <c r="C36">
        <v>10</v>
      </c>
      <c r="D36">
        <v>6</v>
      </c>
      <c r="E36" s="2">
        <v>0</v>
      </c>
      <c r="F36">
        <v>10</v>
      </c>
      <c r="G36" s="14">
        <v>3</v>
      </c>
      <c r="H36" s="21">
        <v>3</v>
      </c>
      <c r="I36" s="21">
        <v>4</v>
      </c>
      <c r="J36" s="21">
        <v>1</v>
      </c>
      <c r="K36" s="7">
        <v>4</v>
      </c>
      <c r="L36" s="21">
        <v>4</v>
      </c>
      <c r="M36" s="21">
        <v>3</v>
      </c>
      <c r="N36" s="21">
        <v>4</v>
      </c>
      <c r="O36" s="21">
        <v>4</v>
      </c>
      <c r="P36" s="21">
        <v>2</v>
      </c>
      <c r="R36" s="51"/>
      <c r="S36" s="33" t="s">
        <v>29</v>
      </c>
      <c r="T36" s="15">
        <f>SUM($F36,$J36:$K36,$N36,$P36)+0+1</f>
        <v>22</v>
      </c>
      <c r="U36" s="15">
        <f>SUM(E$37,E$41:E$42,E$45,E$47)+4+2</f>
        <v>32</v>
      </c>
      <c r="V36" s="23">
        <f t="shared" si="7"/>
        <v>0.40740740740740738</v>
      </c>
      <c r="W36" s="36">
        <f>SUM($B36:$E36,$G36:$I36,$L36:$M36,$O36)+3+2+1+0</f>
        <v>51</v>
      </c>
      <c r="X36" s="15">
        <f>SUM(E$33:E$36,E$38:E$40,E$43:E$44,E$46)+0+1+2+4</f>
        <v>57</v>
      </c>
      <c r="Y36" s="42">
        <f t="shared" si="8"/>
        <v>0.47222222222222221</v>
      </c>
      <c r="Z36" s="15">
        <f t="shared" si="9"/>
        <v>73</v>
      </c>
      <c r="AA36" s="68">
        <f t="shared" si="10"/>
        <v>89</v>
      </c>
    </row>
    <row r="37" spans="1:27">
      <c r="A37" s="10" t="s">
        <v>25</v>
      </c>
      <c r="B37" s="11">
        <v>8</v>
      </c>
      <c r="C37" s="11">
        <v>13</v>
      </c>
      <c r="D37" s="11">
        <v>15</v>
      </c>
      <c r="E37" s="11">
        <v>9</v>
      </c>
      <c r="F37" s="12">
        <v>0</v>
      </c>
      <c r="G37" s="16">
        <v>4</v>
      </c>
      <c r="H37" s="11">
        <v>3</v>
      </c>
      <c r="I37" s="11">
        <v>4</v>
      </c>
      <c r="J37" s="11">
        <v>4</v>
      </c>
      <c r="K37" s="17">
        <v>2</v>
      </c>
      <c r="L37" s="11">
        <v>6</v>
      </c>
      <c r="M37" s="11">
        <v>5</v>
      </c>
      <c r="N37" s="11">
        <v>4</v>
      </c>
      <c r="O37" s="11">
        <v>4</v>
      </c>
      <c r="P37" s="11">
        <v>5</v>
      </c>
      <c r="R37" s="51"/>
      <c r="S37" s="32" t="s">
        <v>25</v>
      </c>
      <c r="T37" s="15">
        <f>SUM($F37,$J37:$K37,$N37,$P37)+1+1+0</f>
        <v>17</v>
      </c>
      <c r="U37" s="15">
        <f>SUM(F$37,F$41:F$42,F$45,F$47)+3+2+3</f>
        <v>20</v>
      </c>
      <c r="V37" s="23">
        <f t="shared" si="7"/>
        <v>0.45945945945945948</v>
      </c>
      <c r="W37" s="36">
        <f>SUM($B37:$E37,$G37:$I37,$L37:$M37,$O37)+4+2+2</f>
        <v>79</v>
      </c>
      <c r="X37" s="15">
        <f>SUM(F$33:F$36,F$38:F$40,F$43:F$44,F$46)+0+1+1</f>
        <v>46</v>
      </c>
      <c r="Y37" s="42">
        <f t="shared" si="8"/>
        <v>0.63200000000000001</v>
      </c>
      <c r="Z37" s="15">
        <f t="shared" si="9"/>
        <v>96</v>
      </c>
      <c r="AA37" s="68">
        <f t="shared" si="10"/>
        <v>66</v>
      </c>
    </row>
    <row r="38" spans="1:27">
      <c r="A38" s="9" t="s">
        <v>34</v>
      </c>
      <c r="B38" s="21">
        <v>1</v>
      </c>
      <c r="C38" s="21">
        <v>4</v>
      </c>
      <c r="D38" s="21">
        <v>5</v>
      </c>
      <c r="E38" s="21">
        <v>3</v>
      </c>
      <c r="F38" s="21">
        <v>3</v>
      </c>
      <c r="G38" s="18">
        <v>0</v>
      </c>
      <c r="H38" s="21">
        <v>8</v>
      </c>
      <c r="I38" s="21">
        <v>11</v>
      </c>
      <c r="J38" s="21">
        <v>5</v>
      </c>
      <c r="K38" s="7">
        <v>9</v>
      </c>
      <c r="L38" s="21">
        <v>2</v>
      </c>
      <c r="M38" s="21">
        <v>5</v>
      </c>
      <c r="N38" s="21">
        <v>3</v>
      </c>
      <c r="O38" s="21">
        <v>3</v>
      </c>
      <c r="P38" s="21">
        <v>2</v>
      </c>
      <c r="R38" s="62" t="s">
        <v>9</v>
      </c>
      <c r="S38" s="73" t="s">
        <v>34</v>
      </c>
      <c r="T38" s="35">
        <f>SUM($F38,$J38:$K38,$N38,$P38)+3</f>
        <v>25</v>
      </c>
      <c r="U38" s="25">
        <f>SUM(G$37,G$41:G$42,G$45,G$47)+0</f>
        <v>36</v>
      </c>
      <c r="V38" s="22">
        <f t="shared" si="7"/>
        <v>0.4098360655737705</v>
      </c>
      <c r="W38" s="35">
        <f>SUM($B38:$E38,$G38:$I38,$L38:$M38,$O38)+3+1+1+1+0</f>
        <v>48</v>
      </c>
      <c r="X38" s="25">
        <f>SUM(G$33:G$36,G$38:G$40,G$43:G$44,G$46)+0+3+3+2+3</f>
        <v>53</v>
      </c>
      <c r="Y38" s="43">
        <f t="shared" si="8"/>
        <v>0.47524752475247523</v>
      </c>
      <c r="Z38" s="25">
        <f t="shared" si="9"/>
        <v>73</v>
      </c>
      <c r="AA38" s="74">
        <f t="shared" si="10"/>
        <v>89</v>
      </c>
    </row>
    <row r="39" spans="1:27">
      <c r="A39" s="9" t="s">
        <v>33</v>
      </c>
      <c r="B39" s="21">
        <v>2</v>
      </c>
      <c r="C39" s="21">
        <v>4</v>
      </c>
      <c r="D39" s="21">
        <v>2</v>
      </c>
      <c r="E39" s="21">
        <v>3</v>
      </c>
      <c r="F39" s="21">
        <v>3</v>
      </c>
      <c r="G39" s="14">
        <v>11</v>
      </c>
      <c r="H39" s="19">
        <v>0</v>
      </c>
      <c r="I39" s="21">
        <v>10</v>
      </c>
      <c r="J39" s="21">
        <v>12</v>
      </c>
      <c r="K39" s="7">
        <v>7</v>
      </c>
      <c r="L39" s="21">
        <v>4</v>
      </c>
      <c r="M39" s="21">
        <v>3</v>
      </c>
      <c r="N39" s="21">
        <v>3</v>
      </c>
      <c r="O39" s="21">
        <v>1</v>
      </c>
      <c r="P39" s="21">
        <v>5</v>
      </c>
      <c r="R39" s="51"/>
      <c r="S39" s="33" t="s">
        <v>33</v>
      </c>
      <c r="T39" s="36">
        <f>SUM($F39,$J39:$K39,$N39,$P39)+0</f>
        <v>30</v>
      </c>
      <c r="U39" s="15">
        <f>SUM(H$37,H$41:H$42,H$45,H$47)+3</f>
        <v>31</v>
      </c>
      <c r="V39" s="23">
        <f t="shared" si="7"/>
        <v>0.49180327868852458</v>
      </c>
      <c r="W39" s="36">
        <f>SUM($B39:$E39,$G39:$I39,$L39:$M39,$O39)+0+3+0+1+2</f>
        <v>46</v>
      </c>
      <c r="X39" s="15">
        <f>SUM(H$33:H$36,H$38:H$40,H$43:H$44,H$46)+4+1+3+2+1</f>
        <v>55</v>
      </c>
      <c r="Y39" s="42">
        <f t="shared" si="8"/>
        <v>0.45544554455445546</v>
      </c>
      <c r="Z39" s="15">
        <f t="shared" si="9"/>
        <v>76</v>
      </c>
      <c r="AA39" s="68">
        <f t="shared" si="10"/>
        <v>86</v>
      </c>
    </row>
    <row r="40" spans="1:27">
      <c r="A40" s="9" t="s">
        <v>32</v>
      </c>
      <c r="B40" s="21">
        <v>2</v>
      </c>
      <c r="C40" s="21">
        <v>4</v>
      </c>
      <c r="D40" s="21">
        <v>4</v>
      </c>
      <c r="E40" s="21">
        <v>3</v>
      </c>
      <c r="F40" s="21">
        <v>2</v>
      </c>
      <c r="G40" s="14">
        <v>8</v>
      </c>
      <c r="H40" s="21">
        <v>9</v>
      </c>
      <c r="I40" s="19">
        <v>0</v>
      </c>
      <c r="J40" s="21">
        <v>12</v>
      </c>
      <c r="K40" s="7">
        <v>7</v>
      </c>
      <c r="L40" s="21">
        <v>4</v>
      </c>
      <c r="M40" s="21">
        <v>6</v>
      </c>
      <c r="N40" s="21">
        <v>5</v>
      </c>
      <c r="O40" s="21">
        <v>3</v>
      </c>
      <c r="P40" s="21">
        <v>2</v>
      </c>
      <c r="R40" s="51"/>
      <c r="S40" s="33" t="s">
        <v>32</v>
      </c>
      <c r="T40" s="36">
        <f>SUM($F40,$J40:$K40,$N40,$P40)+2</f>
        <v>30</v>
      </c>
      <c r="U40" s="15">
        <f>SUM(I$37,I$41:I$42,I$45,I$47)+1</f>
        <v>29</v>
      </c>
      <c r="V40" s="23">
        <f t="shared" si="7"/>
        <v>0.50847457627118642</v>
      </c>
      <c r="W40" s="36">
        <f>SUM($B40:$E40,$G40:$I40,$L40:$M40,$O40)+3+2+2+1+1</f>
        <v>52</v>
      </c>
      <c r="X40" s="15">
        <f>SUM(I$33:I$36,I$38:I$40,I$43:I$44,I$46)+0+2+1+2+3</f>
        <v>51</v>
      </c>
      <c r="Y40" s="42">
        <f t="shared" si="8"/>
        <v>0.50485436893203883</v>
      </c>
      <c r="Z40" s="15">
        <f t="shared" si="9"/>
        <v>82</v>
      </c>
      <c r="AA40" s="68">
        <f t="shared" si="10"/>
        <v>80</v>
      </c>
    </row>
    <row r="41" spans="1:27">
      <c r="A41" s="9" t="s">
        <v>31</v>
      </c>
      <c r="B41" s="21">
        <v>4</v>
      </c>
      <c r="C41" s="21">
        <v>4</v>
      </c>
      <c r="D41" s="21">
        <v>4</v>
      </c>
      <c r="E41" s="21">
        <v>6</v>
      </c>
      <c r="F41" s="21">
        <v>3</v>
      </c>
      <c r="G41" s="14">
        <v>14</v>
      </c>
      <c r="H41" s="21">
        <v>7</v>
      </c>
      <c r="I41" s="21">
        <v>7</v>
      </c>
      <c r="J41" s="19">
        <v>0</v>
      </c>
      <c r="K41" s="7">
        <v>8</v>
      </c>
      <c r="L41" s="21">
        <v>4</v>
      </c>
      <c r="M41" s="21">
        <v>4</v>
      </c>
      <c r="N41" s="21">
        <v>5</v>
      </c>
      <c r="O41" s="21">
        <v>3</v>
      </c>
      <c r="P41" s="21">
        <v>4</v>
      </c>
      <c r="R41" s="51"/>
      <c r="S41" s="32" t="s">
        <v>31</v>
      </c>
      <c r="T41" s="36">
        <f>SUM($F41,$J41:$K41,$N41,$P41)+1+2</f>
        <v>23</v>
      </c>
      <c r="U41" s="15">
        <f>SUM(J$37,J$41:J$42,J$45,J$47)+3+2</f>
        <v>24</v>
      </c>
      <c r="V41" s="23">
        <f t="shared" si="7"/>
        <v>0.48936170212765956</v>
      </c>
      <c r="W41" s="36">
        <f>SUM($B41:$E41,$G41:$I41,$L41:$M41,$O41)+3+1+2+2</f>
        <v>65</v>
      </c>
      <c r="X41" s="15">
        <f>SUM(J$33:J$36,J$38:J$40,J$43:J$44,J$46)+0+2+1+1</f>
        <v>50</v>
      </c>
      <c r="Y41" s="42">
        <f t="shared" si="8"/>
        <v>0.56521739130434778</v>
      </c>
      <c r="Z41" s="15">
        <f t="shared" si="9"/>
        <v>88</v>
      </c>
      <c r="AA41" s="68">
        <f t="shared" si="10"/>
        <v>74</v>
      </c>
    </row>
    <row r="42" spans="1:27">
      <c r="A42" s="10" t="s">
        <v>30</v>
      </c>
      <c r="B42" s="11">
        <v>4</v>
      </c>
      <c r="C42" s="11">
        <v>2</v>
      </c>
      <c r="D42" s="11">
        <v>3</v>
      </c>
      <c r="E42" s="11">
        <v>3</v>
      </c>
      <c r="F42" s="11">
        <v>5</v>
      </c>
      <c r="G42" s="16">
        <v>10</v>
      </c>
      <c r="H42" s="11">
        <v>12</v>
      </c>
      <c r="I42" s="11">
        <v>12</v>
      </c>
      <c r="J42" s="11">
        <v>11</v>
      </c>
      <c r="K42" s="20">
        <v>0</v>
      </c>
      <c r="L42" s="11">
        <v>5</v>
      </c>
      <c r="M42" s="11">
        <v>5</v>
      </c>
      <c r="N42" s="11">
        <v>3</v>
      </c>
      <c r="O42" s="11">
        <v>4</v>
      </c>
      <c r="P42" s="11">
        <v>3</v>
      </c>
      <c r="R42" s="63"/>
      <c r="S42" s="39" t="s">
        <v>30</v>
      </c>
      <c r="T42" s="37">
        <f>SUM($F42,$J42:$K42,$N42,$P42)+1</f>
        <v>23</v>
      </c>
      <c r="U42" s="11">
        <f>SUM(K$37,K$41:K$42,K$45,K$47)+2</f>
        <v>20</v>
      </c>
      <c r="V42" s="24">
        <f t="shared" si="7"/>
        <v>0.53488372093023251</v>
      </c>
      <c r="W42" s="37">
        <f>SUM($B42:$E42,$G42:$I42,$L42:$M42,$O42)+2+1+1+1+2</f>
        <v>67</v>
      </c>
      <c r="X42" s="11">
        <f>SUM(K$33:K$36,K$38:K$40,K$43:K$44,K$46)+1+3+2+3+1</f>
        <v>52</v>
      </c>
      <c r="Y42" s="44">
        <f t="shared" si="8"/>
        <v>0.56302521008403361</v>
      </c>
      <c r="Z42" s="11">
        <f t="shared" si="9"/>
        <v>90</v>
      </c>
      <c r="AA42" s="75">
        <f t="shared" si="10"/>
        <v>72</v>
      </c>
    </row>
    <row r="43" spans="1:27">
      <c r="A43" s="9" t="s">
        <v>39</v>
      </c>
      <c r="B43" s="21">
        <v>3</v>
      </c>
      <c r="C43" s="21">
        <v>3</v>
      </c>
      <c r="D43" s="21">
        <v>2</v>
      </c>
      <c r="E43" s="21">
        <v>2</v>
      </c>
      <c r="F43" s="21">
        <v>1</v>
      </c>
      <c r="G43" s="14">
        <v>5</v>
      </c>
      <c r="H43" s="21">
        <v>3</v>
      </c>
      <c r="I43" s="21">
        <v>3</v>
      </c>
      <c r="J43" s="21">
        <v>3</v>
      </c>
      <c r="K43" s="7">
        <v>1</v>
      </c>
      <c r="L43" s="2">
        <v>0</v>
      </c>
      <c r="M43" s="21">
        <v>9</v>
      </c>
      <c r="N43" s="21">
        <v>4</v>
      </c>
      <c r="O43" s="21">
        <v>12</v>
      </c>
      <c r="P43" s="21">
        <v>6</v>
      </c>
      <c r="R43" s="51" t="s">
        <v>15</v>
      </c>
      <c r="S43" s="33" t="s">
        <v>39</v>
      </c>
      <c r="T43" s="15">
        <f>SUM($F43,$J43:$K43,$N43,$P43)+1</f>
        <v>16</v>
      </c>
      <c r="U43" s="15">
        <f>SUM(L$37,L$41:L$42,L$45,L$47)+2</f>
        <v>45</v>
      </c>
      <c r="V43" s="23">
        <f t="shared" si="7"/>
        <v>0.26229508196721313</v>
      </c>
      <c r="W43" s="36">
        <f>SUM($B43:$E43,$G43:$I43,$L43:$M43,$O43)+2+2+1+0+1</f>
        <v>48</v>
      </c>
      <c r="X43" s="15">
        <f>SUM(L$33:L$36,L$38:L$40,L$43:L$44,L$46)+1+2+3+3+2</f>
        <v>53</v>
      </c>
      <c r="Y43" s="42">
        <f t="shared" si="8"/>
        <v>0.47524752475247523</v>
      </c>
      <c r="Z43" s="15">
        <f t="shared" si="9"/>
        <v>64</v>
      </c>
      <c r="AA43" s="68">
        <f t="shared" si="10"/>
        <v>98</v>
      </c>
    </row>
    <row r="44" spans="1:27">
      <c r="A44" s="9" t="s">
        <v>38</v>
      </c>
      <c r="B44" s="21">
        <v>3</v>
      </c>
      <c r="C44" s="21">
        <v>3</v>
      </c>
      <c r="D44" s="21">
        <v>3</v>
      </c>
      <c r="E44" s="21">
        <v>3</v>
      </c>
      <c r="F44" s="21">
        <v>1</v>
      </c>
      <c r="G44" s="14">
        <v>2</v>
      </c>
      <c r="H44" s="21">
        <v>4</v>
      </c>
      <c r="I44" s="21">
        <v>1</v>
      </c>
      <c r="J44" s="21">
        <v>2</v>
      </c>
      <c r="K44" s="7">
        <v>1</v>
      </c>
      <c r="L44" s="21">
        <v>10</v>
      </c>
      <c r="M44" s="2">
        <v>0</v>
      </c>
      <c r="N44" s="21">
        <v>6</v>
      </c>
      <c r="O44" s="21">
        <v>10</v>
      </c>
      <c r="P44" s="21">
        <v>10</v>
      </c>
      <c r="R44" s="51"/>
      <c r="S44" s="33" t="s">
        <v>38</v>
      </c>
      <c r="T44" s="15">
        <f>SUM($F44,$J44:$K44,$N44,$P44)+0</f>
        <v>20</v>
      </c>
      <c r="U44" s="15">
        <f>SUM(M$37,M$41:M$42,M$45,M$47)+3</f>
        <v>39</v>
      </c>
      <c r="V44" s="23">
        <f t="shared" si="7"/>
        <v>0.33898305084745761</v>
      </c>
      <c r="W44" s="36">
        <f>SUM($B44:$E44,$G44:$I44,$L44:$M44,$O44)+2+0+1+1+3</f>
        <v>46</v>
      </c>
      <c r="X44" s="15">
        <f>SUM(M$33:M$36,M$38:M$40,M$43:M$44,M$46)+1+3+3+2+1</f>
        <v>57</v>
      </c>
      <c r="Y44" s="42">
        <f t="shared" si="8"/>
        <v>0.44660194174757284</v>
      </c>
      <c r="Z44" s="15">
        <f t="shared" si="9"/>
        <v>66</v>
      </c>
      <c r="AA44" s="68">
        <f t="shared" si="10"/>
        <v>96</v>
      </c>
    </row>
    <row r="45" spans="1:27">
      <c r="A45" s="9" t="s">
        <v>35</v>
      </c>
      <c r="B45" s="21">
        <v>6</v>
      </c>
      <c r="C45" s="21">
        <v>3</v>
      </c>
      <c r="D45" s="21">
        <v>4</v>
      </c>
      <c r="E45" s="21">
        <v>3</v>
      </c>
      <c r="F45" s="21">
        <v>2</v>
      </c>
      <c r="G45" s="14">
        <v>4</v>
      </c>
      <c r="H45" s="21">
        <v>4</v>
      </c>
      <c r="I45" s="21">
        <v>1</v>
      </c>
      <c r="J45" s="21">
        <v>2</v>
      </c>
      <c r="K45" s="7">
        <v>4</v>
      </c>
      <c r="L45" s="21">
        <v>15</v>
      </c>
      <c r="M45" s="21">
        <v>13</v>
      </c>
      <c r="N45" s="2">
        <v>0</v>
      </c>
      <c r="O45" s="21">
        <v>12</v>
      </c>
      <c r="P45" s="21">
        <v>10</v>
      </c>
      <c r="R45" s="51"/>
      <c r="S45" s="32" t="s">
        <v>35</v>
      </c>
      <c r="T45" s="15">
        <f>SUM($F45,$J45:$K45,$N45,$P45)+1+3</f>
        <v>22</v>
      </c>
      <c r="U45" s="15">
        <f>SUM(N$37,N$41:N$42,N$45,N$47)+3+1</f>
        <v>25</v>
      </c>
      <c r="V45" s="23">
        <f t="shared" si="7"/>
        <v>0.46808510638297873</v>
      </c>
      <c r="W45" s="36">
        <f>SUM($B45:$E45,$G45:$I45,$L45:$M45,$O45)+1+1+2+3</f>
        <v>72</v>
      </c>
      <c r="X45" s="15">
        <f>SUM(N$33:N$36,N$38:N$40,N$43:N$44,N$46)+2+2+1+0</f>
        <v>43</v>
      </c>
      <c r="Y45" s="42">
        <f t="shared" si="8"/>
        <v>0.62608695652173918</v>
      </c>
      <c r="Z45" s="15">
        <f t="shared" si="9"/>
        <v>94</v>
      </c>
      <c r="AA45" s="68">
        <f t="shared" si="10"/>
        <v>68</v>
      </c>
    </row>
    <row r="46" spans="1:27">
      <c r="A46" s="9" t="s">
        <v>37</v>
      </c>
      <c r="B46" s="21">
        <v>4</v>
      </c>
      <c r="C46" s="21">
        <v>4</v>
      </c>
      <c r="D46" s="21">
        <v>3</v>
      </c>
      <c r="E46" s="21">
        <v>3</v>
      </c>
      <c r="F46" s="21">
        <v>3</v>
      </c>
      <c r="G46" s="14">
        <v>4</v>
      </c>
      <c r="H46" s="21">
        <v>5</v>
      </c>
      <c r="I46" s="21">
        <v>3</v>
      </c>
      <c r="J46" s="21">
        <v>3</v>
      </c>
      <c r="K46" s="7">
        <v>3</v>
      </c>
      <c r="L46" s="21">
        <v>7</v>
      </c>
      <c r="M46" s="21">
        <v>9</v>
      </c>
      <c r="N46" s="21">
        <v>7</v>
      </c>
      <c r="O46" s="2">
        <v>0</v>
      </c>
      <c r="P46" s="21">
        <v>10</v>
      </c>
      <c r="R46" s="51"/>
      <c r="S46" s="33" t="s">
        <v>37</v>
      </c>
      <c r="T46" s="15">
        <f>SUM($F46,$J46:$K46,$N46,$P46)+2</f>
        <v>28</v>
      </c>
      <c r="U46" s="15">
        <f>SUM(O$37,O41:O$42,O$45,O$47)+1</f>
        <v>33</v>
      </c>
      <c r="V46" s="23">
        <f t="shared" si="7"/>
        <v>0.45901639344262296</v>
      </c>
      <c r="W46" s="36">
        <f>SUM($B46:$E46,$G46:$I46,$L46:$M46,$O46)+2+1+1+1+2</f>
        <v>49</v>
      </c>
      <c r="X46" s="15">
        <f>SUM(O$33:O$36,O$38:O$40,O$43:O$44,O$46)+1+2+2+3+2</f>
        <v>52</v>
      </c>
      <c r="Y46" s="42">
        <f t="shared" si="8"/>
        <v>0.48514851485148514</v>
      </c>
      <c r="Z46" s="15">
        <f t="shared" si="9"/>
        <v>77</v>
      </c>
      <c r="AA46" s="68">
        <f t="shared" si="10"/>
        <v>85</v>
      </c>
    </row>
    <row r="47" spans="1:27" ht="15.75" thickBot="1">
      <c r="A47" s="9" t="s">
        <v>36</v>
      </c>
      <c r="B47" s="21">
        <v>5</v>
      </c>
      <c r="C47" s="21">
        <v>4</v>
      </c>
      <c r="D47" s="21">
        <v>6</v>
      </c>
      <c r="E47" s="21">
        <v>5</v>
      </c>
      <c r="F47" s="21">
        <v>2</v>
      </c>
      <c r="G47" s="14">
        <v>4</v>
      </c>
      <c r="H47" s="21">
        <v>2</v>
      </c>
      <c r="I47" s="21">
        <v>4</v>
      </c>
      <c r="J47" s="21">
        <v>2</v>
      </c>
      <c r="K47" s="7">
        <v>4</v>
      </c>
      <c r="L47" s="21">
        <v>13</v>
      </c>
      <c r="M47" s="21">
        <v>9</v>
      </c>
      <c r="N47" s="21">
        <v>9</v>
      </c>
      <c r="O47" s="21">
        <v>9</v>
      </c>
      <c r="P47" s="2">
        <v>0</v>
      </c>
      <c r="R47" s="53"/>
      <c r="S47" s="69" t="s">
        <v>36</v>
      </c>
      <c r="T47" s="55">
        <f>SUM($F47,$J47:$K47,$N47,$P47)+2+1</f>
        <v>20</v>
      </c>
      <c r="U47" s="55">
        <f>SUM(P$37,P$41:P$42,P$45,P$47)+1+3</f>
        <v>26</v>
      </c>
      <c r="V47" s="70">
        <f t="shared" si="7"/>
        <v>0.43478260869565216</v>
      </c>
      <c r="W47" s="71">
        <f>SUM($B47:$E47,$G47:$I47,$L47:$M47,$O47)+1+3+0+3</f>
        <v>68</v>
      </c>
      <c r="X47" s="55">
        <f>SUM(P$33:P$36,P$38:P$40,P$43:P$44,P$46)+3+0+3+0</f>
        <v>48</v>
      </c>
      <c r="Y47" s="57">
        <f t="shared" si="8"/>
        <v>0.58620689655172409</v>
      </c>
      <c r="Z47" s="55">
        <f t="shared" si="9"/>
        <v>88</v>
      </c>
      <c r="AA47" s="72">
        <f t="shared" si="10"/>
        <v>74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selection activeCell="E50" sqref="E50"/>
    </sheetView>
  </sheetViews>
  <sheetFormatPr defaultRowHeight="15"/>
  <sheetData>
    <row r="1" spans="1:28">
      <c r="A1" t="s">
        <v>23</v>
      </c>
      <c r="C1" t="s">
        <v>6</v>
      </c>
      <c r="D1" t="s">
        <v>7</v>
      </c>
      <c r="E1" t="s">
        <v>8</v>
      </c>
      <c r="G1" t="s">
        <v>23</v>
      </c>
      <c r="I1" t="s">
        <v>6</v>
      </c>
      <c r="J1" t="s">
        <v>7</v>
      </c>
      <c r="K1" t="s">
        <v>8</v>
      </c>
      <c r="M1" t="s">
        <v>23</v>
      </c>
      <c r="O1" t="s">
        <v>6</v>
      </c>
      <c r="P1" t="s">
        <v>7</v>
      </c>
      <c r="Q1" t="s">
        <v>8</v>
      </c>
    </row>
    <row r="2" spans="1:28">
      <c r="A2" t="s">
        <v>0</v>
      </c>
      <c r="B2" s="4" t="s">
        <v>3</v>
      </c>
      <c r="C2">
        <v>93</v>
      </c>
      <c r="D2">
        <v>69</v>
      </c>
      <c r="E2" s="1">
        <f>C2/(C2+D2)</f>
        <v>0.57407407407407407</v>
      </c>
      <c r="G2" t="s">
        <v>9</v>
      </c>
      <c r="H2" s="4" t="s">
        <v>11</v>
      </c>
      <c r="I2">
        <v>95</v>
      </c>
      <c r="J2">
        <v>67</v>
      </c>
      <c r="K2" s="1">
        <f>I2/(I2+J2)</f>
        <v>0.5864197530864198</v>
      </c>
      <c r="M2" t="s">
        <v>15</v>
      </c>
      <c r="N2" s="4" t="s">
        <v>20</v>
      </c>
      <c r="O2">
        <v>88</v>
      </c>
      <c r="P2">
        <v>74</v>
      </c>
      <c r="Q2" s="1">
        <f>O2/(O2+P2)</f>
        <v>0.54320987654320985</v>
      </c>
    </row>
    <row r="3" spans="1:28">
      <c r="B3" s="3" t="s">
        <v>2</v>
      </c>
      <c r="C3">
        <v>87</v>
      </c>
      <c r="D3">
        <v>75</v>
      </c>
      <c r="E3" s="1">
        <f>C3/(C3+D3)</f>
        <v>0.53703703703703709</v>
      </c>
      <c r="H3" s="3" t="s">
        <v>14</v>
      </c>
      <c r="I3">
        <v>83</v>
      </c>
      <c r="J3">
        <v>79</v>
      </c>
      <c r="K3" s="1">
        <f>I3/(I3+J3)</f>
        <v>0.51234567901234573</v>
      </c>
      <c r="N3" s="3" t="s">
        <v>19</v>
      </c>
      <c r="O3">
        <v>86</v>
      </c>
      <c r="P3">
        <v>76</v>
      </c>
      <c r="Q3" s="1">
        <f>O3/(O3+P3)</f>
        <v>0.53086419753086422</v>
      </c>
    </row>
    <row r="4" spans="1:28">
      <c r="B4" s="3" t="s">
        <v>1</v>
      </c>
      <c r="C4">
        <v>81</v>
      </c>
      <c r="D4">
        <v>81</v>
      </c>
      <c r="E4" s="1">
        <f>C4/(C4+D4)</f>
        <v>0.5</v>
      </c>
      <c r="H4" s="3" t="s">
        <v>12</v>
      </c>
      <c r="I4">
        <v>81</v>
      </c>
      <c r="J4">
        <v>80</v>
      </c>
      <c r="K4" s="1">
        <f>I4/(I4+J4)</f>
        <v>0.50310559006211175</v>
      </c>
      <c r="N4" s="3" t="s">
        <v>16</v>
      </c>
      <c r="O4">
        <v>85</v>
      </c>
      <c r="P4">
        <v>77</v>
      </c>
      <c r="Q4" s="1">
        <f>O4/(O4+P4)</f>
        <v>0.52469135802469136</v>
      </c>
    </row>
    <row r="5" spans="1:28">
      <c r="B5" s="3" t="s">
        <v>4</v>
      </c>
      <c r="C5">
        <v>80</v>
      </c>
      <c r="D5">
        <v>82</v>
      </c>
      <c r="E5" s="1">
        <f>C5/(C5+D5)</f>
        <v>0.49382716049382713</v>
      </c>
      <c r="H5" s="3" t="s">
        <v>13</v>
      </c>
      <c r="I5">
        <v>76</v>
      </c>
      <c r="J5">
        <v>86</v>
      </c>
      <c r="K5" s="1">
        <f>I5/(I5+J5)</f>
        <v>0.46913580246913578</v>
      </c>
      <c r="N5" s="3" t="s">
        <v>18</v>
      </c>
      <c r="O5">
        <v>76</v>
      </c>
      <c r="P5">
        <v>86</v>
      </c>
      <c r="Q5" s="1">
        <f>O5/(O5+P5)</f>
        <v>0.46913580246913578</v>
      </c>
    </row>
    <row r="6" spans="1:28" s="15" customFormat="1" ht="15.75" thickBot="1">
      <c r="A6"/>
      <c r="B6" s="3" t="s">
        <v>5</v>
      </c>
      <c r="C6">
        <v>78</v>
      </c>
      <c r="D6">
        <v>84</v>
      </c>
      <c r="E6" s="1">
        <f>C6/(C6+D6)</f>
        <v>0.48148148148148145</v>
      </c>
      <c r="F6"/>
      <c r="G6"/>
      <c r="H6" s="3" t="s">
        <v>10</v>
      </c>
      <c r="I6">
        <v>74</v>
      </c>
      <c r="J6">
        <v>87</v>
      </c>
      <c r="K6" s="1">
        <f>I6/(I6+J6)</f>
        <v>0.45962732919254656</v>
      </c>
      <c r="L6"/>
      <c r="M6"/>
      <c r="N6" s="3" t="s">
        <v>17</v>
      </c>
      <c r="O6">
        <v>68</v>
      </c>
      <c r="P6">
        <v>94</v>
      </c>
      <c r="Q6" s="1">
        <f>O6/(O6+P6)</f>
        <v>0.41975308641975306</v>
      </c>
      <c r="R6"/>
      <c r="S6"/>
      <c r="T6"/>
      <c r="U6"/>
      <c r="V6"/>
      <c r="W6"/>
      <c r="X6"/>
      <c r="Y6"/>
      <c r="Z6"/>
      <c r="AA6"/>
      <c r="AB6"/>
    </row>
    <row r="7" spans="1:28" s="15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45"/>
      <c r="S7" s="46"/>
      <c r="T7" s="47" t="s">
        <v>21</v>
      </c>
      <c r="U7" s="48"/>
      <c r="V7" s="46"/>
      <c r="W7" s="49" t="s">
        <v>22</v>
      </c>
      <c r="X7" s="48"/>
      <c r="Y7" s="46"/>
      <c r="Z7" s="48" t="s">
        <v>40</v>
      </c>
      <c r="AA7" s="50"/>
      <c r="AB7"/>
    </row>
    <row r="8" spans="1:28" s="15" customFormat="1" ht="15.75" thickBot="1">
      <c r="A8" s="8" t="s">
        <v>23</v>
      </c>
      <c r="B8" s="5" t="s">
        <v>1</v>
      </c>
      <c r="C8" s="5" t="s">
        <v>5</v>
      </c>
      <c r="D8" s="5" t="s">
        <v>2</v>
      </c>
      <c r="E8" s="5" t="s">
        <v>4</v>
      </c>
      <c r="F8" s="5" t="s">
        <v>3</v>
      </c>
      <c r="G8" s="13" t="s">
        <v>13</v>
      </c>
      <c r="H8" s="5" t="s">
        <v>12</v>
      </c>
      <c r="I8" s="5" t="s">
        <v>10</v>
      </c>
      <c r="J8" s="5" t="s">
        <v>11</v>
      </c>
      <c r="K8" s="6" t="s">
        <v>14</v>
      </c>
      <c r="L8" s="5" t="s">
        <v>19</v>
      </c>
      <c r="M8" s="5" t="s">
        <v>16</v>
      </c>
      <c r="N8" s="5" t="s">
        <v>17</v>
      </c>
      <c r="O8" s="5" t="s">
        <v>18</v>
      </c>
      <c r="P8" s="5" t="s">
        <v>20</v>
      </c>
      <c r="Q8"/>
      <c r="R8" s="59" t="s">
        <v>23</v>
      </c>
      <c r="S8" s="8"/>
      <c r="T8" s="5" t="s">
        <v>6</v>
      </c>
      <c r="U8" s="5" t="s">
        <v>7</v>
      </c>
      <c r="V8" s="8" t="s">
        <v>8</v>
      </c>
      <c r="W8" s="5" t="s">
        <v>6</v>
      </c>
      <c r="X8" s="5" t="s">
        <v>7</v>
      </c>
      <c r="Y8" s="8" t="s">
        <v>8</v>
      </c>
      <c r="Z8" s="60" t="s">
        <v>6</v>
      </c>
      <c r="AA8" s="61" t="s">
        <v>7</v>
      </c>
      <c r="AB8"/>
    </row>
    <row r="9" spans="1:28" s="15" customFormat="1" ht="15.75" thickTop="1">
      <c r="A9" s="9" t="s">
        <v>1</v>
      </c>
      <c r="B9" s="2">
        <v>0</v>
      </c>
      <c r="C9" s="21">
        <v>11</v>
      </c>
      <c r="D9" s="21">
        <v>10</v>
      </c>
      <c r="E9" s="21">
        <v>10</v>
      </c>
      <c r="F9" s="21">
        <v>8</v>
      </c>
      <c r="G9" s="14">
        <v>3</v>
      </c>
      <c r="H9" s="21">
        <v>5</v>
      </c>
      <c r="I9" s="21">
        <v>4</v>
      </c>
      <c r="J9" s="21">
        <v>3</v>
      </c>
      <c r="K9" s="7">
        <v>0</v>
      </c>
      <c r="L9" s="21">
        <v>3</v>
      </c>
      <c r="M9" s="21">
        <v>2</v>
      </c>
      <c r="N9" s="21">
        <v>6</v>
      </c>
      <c r="O9" s="21">
        <v>3</v>
      </c>
      <c r="P9" s="21">
        <v>1</v>
      </c>
      <c r="Q9" s="21"/>
      <c r="R9" s="51" t="s">
        <v>0</v>
      </c>
      <c r="S9" s="33" t="s">
        <v>1</v>
      </c>
      <c r="T9" s="15">
        <f>SUM($F9,$J9,$P9)+1</f>
        <v>13</v>
      </c>
      <c r="U9" s="26">
        <f>SUM(B$13,B$17,B$23)+3</f>
        <v>24</v>
      </c>
      <c r="V9" s="42">
        <f>T9/SUM(T9:U9)</f>
        <v>0.35135135135135137</v>
      </c>
      <c r="W9" s="26">
        <f>SUM($B9:$E9,$G9:$I9,$K9:$O9)+3+1+3+4</f>
        <v>68</v>
      </c>
      <c r="X9" s="26">
        <f>SUM(B$9:B$12,B$14:B$16,B$18:B$22)+0+2+1+2</f>
        <v>57</v>
      </c>
      <c r="Y9" s="42">
        <f>W9/SUM(W9:X9)</f>
        <v>0.54400000000000004</v>
      </c>
      <c r="Z9" s="26">
        <f>SUM(T9,W9)</f>
        <v>81</v>
      </c>
      <c r="AA9" s="52">
        <f>SUM(U9,X9)</f>
        <v>81</v>
      </c>
      <c r="AB9"/>
    </row>
    <row r="10" spans="1:28" s="15" customFormat="1">
      <c r="A10" s="9" t="s">
        <v>5</v>
      </c>
      <c r="B10">
        <v>8</v>
      </c>
      <c r="C10" s="2">
        <v>0</v>
      </c>
      <c r="D10" s="21">
        <v>8</v>
      </c>
      <c r="E10" s="21">
        <v>9</v>
      </c>
      <c r="F10" s="21">
        <v>10</v>
      </c>
      <c r="G10" s="14">
        <v>3</v>
      </c>
      <c r="H10" s="21">
        <v>2</v>
      </c>
      <c r="I10" s="21">
        <v>4</v>
      </c>
      <c r="J10" s="21">
        <v>4</v>
      </c>
      <c r="K10" s="7">
        <v>2</v>
      </c>
      <c r="L10" s="21">
        <v>2</v>
      </c>
      <c r="M10" s="21">
        <v>2</v>
      </c>
      <c r="N10" s="21">
        <v>5</v>
      </c>
      <c r="O10" s="21">
        <v>4</v>
      </c>
      <c r="P10" s="21">
        <v>2</v>
      </c>
      <c r="R10" s="51"/>
      <c r="S10" s="33" t="s">
        <v>5</v>
      </c>
      <c r="T10" s="15">
        <f>SUM($F10,$J10,$P10)+2</f>
        <v>18</v>
      </c>
      <c r="U10" s="26">
        <f>SUM(C$13,C$17,C$23)+1</f>
        <v>18</v>
      </c>
      <c r="V10" s="42">
        <f t="shared" ref="V10:V23" si="0">T10/SUM(T10:U10)</f>
        <v>0.5</v>
      </c>
      <c r="W10" s="26">
        <f>SUM($B10:$E10,$G10:$I10,$K10:$O10)+2+2+5+2</f>
        <v>60</v>
      </c>
      <c r="X10" s="26">
        <f>SUM(C$9:C$12,C$14:C$16,C$18:C$22)+2+2+1+1</f>
        <v>66</v>
      </c>
      <c r="Y10" s="42">
        <f t="shared" ref="Y10:Y23" si="1">W10/SUM(W10:X10)</f>
        <v>0.47619047619047616</v>
      </c>
      <c r="Z10" s="26">
        <f t="shared" ref="Z10:AA23" si="2">SUM(T10,W10)</f>
        <v>78</v>
      </c>
      <c r="AA10" s="52">
        <f t="shared" si="2"/>
        <v>84</v>
      </c>
      <c r="AB10"/>
    </row>
    <row r="11" spans="1:28" s="15" customFormat="1">
      <c r="A11" s="9" t="s">
        <v>2</v>
      </c>
      <c r="B11">
        <v>9</v>
      </c>
      <c r="C11" s="21">
        <v>11</v>
      </c>
      <c r="D11" s="2">
        <v>0</v>
      </c>
      <c r="E11" s="21">
        <v>12</v>
      </c>
      <c r="F11" s="21">
        <v>6</v>
      </c>
      <c r="G11" s="14">
        <v>5</v>
      </c>
      <c r="H11" s="21">
        <v>2</v>
      </c>
      <c r="I11" s="21">
        <v>5</v>
      </c>
      <c r="J11" s="21">
        <v>4</v>
      </c>
      <c r="K11" s="7">
        <v>5</v>
      </c>
      <c r="L11" s="21">
        <v>3</v>
      </c>
      <c r="M11" s="21">
        <v>4</v>
      </c>
      <c r="N11" s="21">
        <v>3</v>
      </c>
      <c r="O11" s="21">
        <v>5</v>
      </c>
      <c r="P11" s="21">
        <v>2</v>
      </c>
      <c r="R11" s="51"/>
      <c r="S11" s="33" t="s">
        <v>2</v>
      </c>
      <c r="T11" s="15">
        <f>SUM($F11,$J11,$P11)+4</f>
        <v>16</v>
      </c>
      <c r="U11" s="26">
        <f>SUM(D$13,D$17,D$23)+2</f>
        <v>22</v>
      </c>
      <c r="V11" s="42">
        <f t="shared" si="0"/>
        <v>0.42105263157894735</v>
      </c>
      <c r="W11" s="26">
        <f>SUM($B11:$E11,$G11:$I11,$K11:$O11)+3+2+1+1</f>
        <v>71</v>
      </c>
      <c r="X11" s="26">
        <f>SUM(D$9:D$12,D$14:D$16,D$18:D$22)+0+2+2+3</f>
        <v>53</v>
      </c>
      <c r="Y11" s="42">
        <f t="shared" si="1"/>
        <v>0.57258064516129037</v>
      </c>
      <c r="Z11" s="26">
        <f t="shared" si="2"/>
        <v>87</v>
      </c>
      <c r="AA11" s="52">
        <f t="shared" si="2"/>
        <v>75</v>
      </c>
      <c r="AB11"/>
    </row>
    <row r="12" spans="1:28" s="15" customFormat="1">
      <c r="A12" s="9" t="s">
        <v>4</v>
      </c>
      <c r="B12">
        <v>9</v>
      </c>
      <c r="C12" s="21">
        <v>10</v>
      </c>
      <c r="D12" s="21">
        <v>7</v>
      </c>
      <c r="E12" s="2">
        <v>0</v>
      </c>
      <c r="F12" s="21">
        <v>10</v>
      </c>
      <c r="G12" s="14">
        <v>5</v>
      </c>
      <c r="H12" s="21">
        <v>2</v>
      </c>
      <c r="I12" s="21">
        <v>3</v>
      </c>
      <c r="J12" s="21">
        <v>1</v>
      </c>
      <c r="K12" s="7">
        <v>2</v>
      </c>
      <c r="L12" s="21">
        <v>5</v>
      </c>
      <c r="M12" s="21">
        <v>3</v>
      </c>
      <c r="N12" s="21">
        <v>4</v>
      </c>
      <c r="O12" s="21">
        <v>3</v>
      </c>
      <c r="P12" s="21">
        <v>2</v>
      </c>
      <c r="R12" s="51"/>
      <c r="S12" s="33" t="s">
        <v>4</v>
      </c>
      <c r="T12" s="15">
        <f>SUM($F12,$J12,$P12)+2</f>
        <v>15</v>
      </c>
      <c r="U12" s="26">
        <f>SUM(E$13,E$17,E$23)+1</f>
        <v>21</v>
      </c>
      <c r="V12" s="42">
        <f t="shared" si="0"/>
        <v>0.41666666666666669</v>
      </c>
      <c r="W12" s="26">
        <f>SUM($B12:$E12,$G12:$I12,$K12:$O12)+3+5+1+3</f>
        <v>65</v>
      </c>
      <c r="X12" s="26">
        <f>SUM(E$9:E$12,E$14:E$16,E$18:E$22)+1+1+2+1</f>
        <v>61</v>
      </c>
      <c r="Y12" s="42">
        <f t="shared" si="1"/>
        <v>0.51587301587301593</v>
      </c>
      <c r="Z12" s="26">
        <f t="shared" si="2"/>
        <v>80</v>
      </c>
      <c r="AA12" s="52">
        <f t="shared" si="2"/>
        <v>82</v>
      </c>
      <c r="AB12"/>
    </row>
    <row r="13" spans="1:28" s="15" customFormat="1">
      <c r="A13" s="10" t="s">
        <v>3</v>
      </c>
      <c r="B13" s="11">
        <v>11</v>
      </c>
      <c r="C13" s="11">
        <v>9</v>
      </c>
      <c r="D13" s="11">
        <v>13</v>
      </c>
      <c r="E13" s="11">
        <v>9</v>
      </c>
      <c r="F13" s="12">
        <v>0</v>
      </c>
      <c r="G13" s="16">
        <v>3</v>
      </c>
      <c r="H13" s="11">
        <v>4</v>
      </c>
      <c r="I13" s="11">
        <v>4</v>
      </c>
      <c r="J13" s="11">
        <v>4</v>
      </c>
      <c r="K13" s="17">
        <v>5</v>
      </c>
      <c r="L13" s="11">
        <v>3</v>
      </c>
      <c r="M13" s="11">
        <v>5</v>
      </c>
      <c r="N13" s="11">
        <v>5</v>
      </c>
      <c r="O13" s="11">
        <v>2</v>
      </c>
      <c r="P13" s="11">
        <v>4</v>
      </c>
      <c r="R13" s="51"/>
      <c r="S13" s="39" t="s">
        <v>3</v>
      </c>
      <c r="T13" s="15">
        <f>SUM($F13,$J13,$P13)+2</f>
        <v>10</v>
      </c>
      <c r="U13" s="26">
        <f>SUM(F$13,F$17,F$23)+2</f>
        <v>7</v>
      </c>
      <c r="V13" s="42">
        <f t="shared" si="0"/>
        <v>0.58823529411764708</v>
      </c>
      <c r="W13" s="26">
        <f>SUM($B13:$E13,$G13:$I13,$K13:$O13)+3+3+2+2</f>
        <v>83</v>
      </c>
      <c r="X13" s="26">
        <f>SUM(F$9:F$12,F$14:F$16,F$18:F$22)+3+0+2+1</f>
        <v>62</v>
      </c>
      <c r="Y13" s="42">
        <f t="shared" si="1"/>
        <v>0.57241379310344831</v>
      </c>
      <c r="Z13" s="26">
        <f t="shared" si="2"/>
        <v>93</v>
      </c>
      <c r="AA13" s="52">
        <f t="shared" si="2"/>
        <v>69</v>
      </c>
      <c r="AB13"/>
    </row>
    <row r="14" spans="1:28" s="15" customFormat="1">
      <c r="A14" s="9" t="s">
        <v>13</v>
      </c>
      <c r="B14" s="21">
        <v>3</v>
      </c>
      <c r="C14" s="21">
        <v>4</v>
      </c>
      <c r="D14" s="21">
        <v>2</v>
      </c>
      <c r="E14" s="21">
        <v>1</v>
      </c>
      <c r="F14" s="21">
        <v>4</v>
      </c>
      <c r="G14" s="18">
        <v>0</v>
      </c>
      <c r="H14" s="21">
        <v>10</v>
      </c>
      <c r="I14" s="21">
        <v>9</v>
      </c>
      <c r="J14" s="21">
        <v>7</v>
      </c>
      <c r="K14" s="7">
        <v>6</v>
      </c>
      <c r="L14" s="21">
        <v>5</v>
      </c>
      <c r="M14" s="21">
        <v>4</v>
      </c>
      <c r="N14" s="21">
        <v>5</v>
      </c>
      <c r="O14" s="21">
        <v>4</v>
      </c>
      <c r="P14" s="21">
        <v>3</v>
      </c>
      <c r="R14" s="62" t="s">
        <v>9</v>
      </c>
      <c r="S14" s="33" t="s">
        <v>13</v>
      </c>
      <c r="T14" s="35">
        <f>SUM($F14,$J14,$P14)+3+0+2</f>
        <v>19</v>
      </c>
      <c r="U14" s="31">
        <f>SUM(G$13,G$17,G$23)+3+4+2</f>
        <v>27</v>
      </c>
      <c r="V14" s="43">
        <f t="shared" si="0"/>
        <v>0.41304347826086957</v>
      </c>
      <c r="W14" s="31">
        <f>SUM($B14:$E14,$G14:$I14,$K14:$O14)+2+2</f>
        <v>57</v>
      </c>
      <c r="X14" s="31">
        <f>SUM(G$9:G$12,G$14:G$16,G$18:G$22)+1+1</f>
        <v>59</v>
      </c>
      <c r="Y14" s="43">
        <f t="shared" si="1"/>
        <v>0.49137931034482757</v>
      </c>
      <c r="Z14" s="27">
        <f>SUM(T14,W14)</f>
        <v>76</v>
      </c>
      <c r="AA14" s="64">
        <f t="shared" si="2"/>
        <v>86</v>
      </c>
      <c r="AB14"/>
    </row>
    <row r="15" spans="1:28" s="15" customFormat="1">
      <c r="A15" s="9" t="s">
        <v>12</v>
      </c>
      <c r="B15" s="21">
        <v>1</v>
      </c>
      <c r="C15" s="21">
        <v>4</v>
      </c>
      <c r="D15" s="21">
        <v>5</v>
      </c>
      <c r="E15" s="21">
        <v>5</v>
      </c>
      <c r="F15" s="21">
        <v>3</v>
      </c>
      <c r="G15" s="14">
        <v>9</v>
      </c>
      <c r="H15" s="19">
        <v>0</v>
      </c>
      <c r="I15" s="21">
        <v>7</v>
      </c>
      <c r="J15" s="21">
        <v>9</v>
      </c>
      <c r="K15" s="7">
        <v>7</v>
      </c>
      <c r="L15" s="21">
        <v>5</v>
      </c>
      <c r="M15" s="21">
        <v>4</v>
      </c>
      <c r="N15" s="21">
        <v>3</v>
      </c>
      <c r="O15" s="21">
        <v>4</v>
      </c>
      <c r="P15" s="21">
        <v>3</v>
      </c>
      <c r="R15" s="51"/>
      <c r="S15" s="33" t="s">
        <v>12</v>
      </c>
      <c r="T15" s="36">
        <f>SUM($F15,$J15,$P15)+2+1+1</f>
        <v>19</v>
      </c>
      <c r="U15" s="26">
        <f>SUM(H$13,H$17,H$23)+2+2+2</f>
        <v>23</v>
      </c>
      <c r="V15" s="42">
        <f t="shared" si="0"/>
        <v>0.45238095238095238</v>
      </c>
      <c r="W15" s="26">
        <f>SUM($B15:$E15,$G15:$I15,$K15:$O15)+5+3</f>
        <v>62</v>
      </c>
      <c r="X15" s="26">
        <f>SUM(H$9:H$12,H$14:H$16,H$18:H$22)+1+1</f>
        <v>57</v>
      </c>
      <c r="Y15" s="42">
        <f t="shared" si="1"/>
        <v>0.52100840336134457</v>
      </c>
      <c r="Z15" s="28">
        <f t="shared" si="2"/>
        <v>81</v>
      </c>
      <c r="AA15" s="52">
        <f t="shared" si="2"/>
        <v>80</v>
      </c>
      <c r="AB15"/>
    </row>
    <row r="16" spans="1:28" s="15" customFormat="1">
      <c r="A16" s="9" t="s">
        <v>10</v>
      </c>
      <c r="B16" s="21">
        <v>3</v>
      </c>
      <c r="C16" s="21">
        <v>2</v>
      </c>
      <c r="D16" s="21">
        <v>2</v>
      </c>
      <c r="E16" s="21">
        <v>3</v>
      </c>
      <c r="F16" s="21">
        <v>2</v>
      </c>
      <c r="G16" s="14">
        <v>10</v>
      </c>
      <c r="H16" s="21">
        <v>11</v>
      </c>
      <c r="I16" s="19">
        <v>0</v>
      </c>
      <c r="J16" s="21">
        <v>9</v>
      </c>
      <c r="K16" s="7">
        <v>11</v>
      </c>
      <c r="L16" s="21">
        <v>3</v>
      </c>
      <c r="M16" s="21">
        <v>1</v>
      </c>
      <c r="N16" s="21">
        <v>2</v>
      </c>
      <c r="O16" s="21">
        <v>4</v>
      </c>
      <c r="P16" s="21">
        <v>2</v>
      </c>
      <c r="R16" s="51"/>
      <c r="S16" s="33" t="s">
        <v>10</v>
      </c>
      <c r="T16" s="36">
        <f>SUM($F16,$J16,$P16)+3+2+2</f>
        <v>20</v>
      </c>
      <c r="U16" s="26">
        <f>SUM(I$13,I$17,I$23)+1+4+1</f>
        <v>25</v>
      </c>
      <c r="V16" s="42">
        <f t="shared" si="0"/>
        <v>0.44444444444444442</v>
      </c>
      <c r="W16" s="26">
        <f>SUM($B16:$E16,$G16:$I16,$K16:$O16)+1+1</f>
        <v>54</v>
      </c>
      <c r="X16" s="26">
        <f>SUM(I$9:I$12,I$14:I$16,I$18:I$22)+3+2</f>
        <v>62</v>
      </c>
      <c r="Y16" s="42">
        <f t="shared" si="1"/>
        <v>0.46551724137931033</v>
      </c>
      <c r="Z16" s="28">
        <f t="shared" si="2"/>
        <v>74</v>
      </c>
      <c r="AA16" s="52">
        <f t="shared" si="2"/>
        <v>87</v>
      </c>
      <c r="AB16"/>
    </row>
    <row r="17" spans="1:28" s="15" customFormat="1">
      <c r="A17" s="9" t="s">
        <v>11</v>
      </c>
      <c r="B17" s="21">
        <v>4</v>
      </c>
      <c r="C17" s="21">
        <v>3</v>
      </c>
      <c r="D17" s="21">
        <v>2</v>
      </c>
      <c r="E17" s="21">
        <v>6</v>
      </c>
      <c r="F17" s="21">
        <v>3</v>
      </c>
      <c r="G17" s="14">
        <v>12</v>
      </c>
      <c r="H17" s="21">
        <v>10</v>
      </c>
      <c r="I17" s="21">
        <v>10</v>
      </c>
      <c r="J17" s="19">
        <v>0</v>
      </c>
      <c r="K17" s="7">
        <v>12</v>
      </c>
      <c r="L17" s="21">
        <v>2</v>
      </c>
      <c r="M17" s="21">
        <v>6</v>
      </c>
      <c r="N17" s="21">
        <v>5</v>
      </c>
      <c r="O17" s="21">
        <v>4</v>
      </c>
      <c r="P17" s="21">
        <v>3</v>
      </c>
      <c r="R17" s="51"/>
      <c r="S17" s="32" t="s">
        <v>11</v>
      </c>
      <c r="T17" s="36">
        <f>SUM($F17,$J17,$P17)+1+2+2</f>
        <v>11</v>
      </c>
      <c r="U17" s="26">
        <f>SUM(J$13,J$17,J$23)+2+1+4</f>
        <v>15</v>
      </c>
      <c r="V17" s="42">
        <f t="shared" si="0"/>
        <v>0.42307692307692307</v>
      </c>
      <c r="W17" s="26">
        <f>SUM($B17:$E17,$G17:$I17,$K17:$O17)+4+4</f>
        <v>84</v>
      </c>
      <c r="X17" s="26">
        <f>SUM(J$9:J$12,J$14:J$16,J$18:J$22)+0+0</f>
        <v>52</v>
      </c>
      <c r="Y17" s="42">
        <f t="shared" si="1"/>
        <v>0.61764705882352944</v>
      </c>
      <c r="Z17" s="28">
        <f t="shared" si="2"/>
        <v>95</v>
      </c>
      <c r="AA17" s="52">
        <f t="shared" si="2"/>
        <v>67</v>
      </c>
      <c r="AB17"/>
    </row>
    <row r="18" spans="1:28" s="15" customFormat="1">
      <c r="A18" s="10" t="s">
        <v>14</v>
      </c>
      <c r="B18" s="11">
        <v>7</v>
      </c>
      <c r="C18" s="11">
        <v>5</v>
      </c>
      <c r="D18" s="11">
        <v>1</v>
      </c>
      <c r="E18" s="11">
        <v>4</v>
      </c>
      <c r="F18" s="11">
        <v>2</v>
      </c>
      <c r="G18" s="16">
        <v>13</v>
      </c>
      <c r="H18" s="11">
        <v>12</v>
      </c>
      <c r="I18" s="11">
        <v>8</v>
      </c>
      <c r="J18" s="11">
        <v>7</v>
      </c>
      <c r="K18" s="20">
        <v>0</v>
      </c>
      <c r="L18" s="11">
        <v>3</v>
      </c>
      <c r="M18" s="11">
        <v>2</v>
      </c>
      <c r="N18" s="11">
        <v>4</v>
      </c>
      <c r="O18" s="11">
        <v>4</v>
      </c>
      <c r="P18" s="11">
        <v>3</v>
      </c>
      <c r="R18" s="63"/>
      <c r="S18" s="34" t="s">
        <v>14</v>
      </c>
      <c r="T18" s="37">
        <f>SUM($F18,$J18,$P18)+1+2+2</f>
        <v>17</v>
      </c>
      <c r="U18" s="30">
        <f>SUM(K$13,K$17,K$23)+2+2+2</f>
        <v>26</v>
      </c>
      <c r="V18" s="44">
        <f t="shared" si="0"/>
        <v>0.39534883720930231</v>
      </c>
      <c r="W18" s="30">
        <f>SUM($B18:$E18,$G18:$I18,$K18:$O18)+1+2</f>
        <v>66</v>
      </c>
      <c r="X18" s="30">
        <f>SUM(K$9:K$12,K$14:K$16,K$18:K$22)+2+4</f>
        <v>53</v>
      </c>
      <c r="Y18" s="44">
        <f t="shared" si="1"/>
        <v>0.55462184873949583</v>
      </c>
      <c r="Z18" s="29">
        <f t="shared" si="2"/>
        <v>83</v>
      </c>
      <c r="AA18" s="65">
        <f t="shared" si="2"/>
        <v>79</v>
      </c>
      <c r="AB18"/>
    </row>
    <row r="19" spans="1:28" s="15" customFormat="1">
      <c r="A19" s="9" t="s">
        <v>19</v>
      </c>
      <c r="B19" s="21">
        <v>4</v>
      </c>
      <c r="C19" s="21">
        <v>4</v>
      </c>
      <c r="D19" s="21">
        <v>4</v>
      </c>
      <c r="E19" s="21">
        <v>2</v>
      </c>
      <c r="F19" s="21">
        <v>4</v>
      </c>
      <c r="G19" s="14">
        <v>1</v>
      </c>
      <c r="H19" s="21">
        <v>2</v>
      </c>
      <c r="I19" s="21">
        <v>4</v>
      </c>
      <c r="J19" s="21">
        <v>4</v>
      </c>
      <c r="K19" s="7">
        <v>3</v>
      </c>
      <c r="L19" s="2">
        <v>0</v>
      </c>
      <c r="M19" s="21">
        <v>10</v>
      </c>
      <c r="N19" s="21">
        <v>10</v>
      </c>
      <c r="O19" s="21">
        <v>12</v>
      </c>
      <c r="P19" s="21">
        <v>6</v>
      </c>
      <c r="R19" s="51" t="s">
        <v>15</v>
      </c>
      <c r="S19" s="33" t="s">
        <v>19</v>
      </c>
      <c r="T19" s="15">
        <f>SUM($F19,$J19,$P19)+3</f>
        <v>17</v>
      </c>
      <c r="U19" s="26">
        <f>SUM(L$13,L$17,L$23)+0</f>
        <v>18</v>
      </c>
      <c r="V19" s="42">
        <f t="shared" si="0"/>
        <v>0.48571428571428571</v>
      </c>
      <c r="W19" s="26">
        <f>SUM($B19:$E19,$G19:$I19,$K19:$O19)+4+4+3+2</f>
        <v>69</v>
      </c>
      <c r="X19" s="26">
        <f>SUM(L$9:L$12,L$14:L$16,L$18:L$22)+2+0+0+2</f>
        <v>58</v>
      </c>
      <c r="Y19" s="42">
        <f t="shared" si="1"/>
        <v>0.54330708661417326</v>
      </c>
      <c r="Z19" s="26">
        <f t="shared" si="2"/>
        <v>86</v>
      </c>
      <c r="AA19" s="52">
        <f t="shared" si="2"/>
        <v>76</v>
      </c>
      <c r="AB19"/>
    </row>
    <row r="20" spans="1:28" s="15" customFormat="1">
      <c r="A20" s="9" t="s">
        <v>16</v>
      </c>
      <c r="B20" s="21">
        <v>4</v>
      </c>
      <c r="C20" s="21">
        <v>5</v>
      </c>
      <c r="D20" s="21">
        <v>2</v>
      </c>
      <c r="E20" s="21">
        <v>3</v>
      </c>
      <c r="F20" s="21">
        <v>2</v>
      </c>
      <c r="G20" s="14">
        <v>3</v>
      </c>
      <c r="H20" s="21">
        <v>2</v>
      </c>
      <c r="I20" s="21">
        <v>6</v>
      </c>
      <c r="J20" s="21">
        <v>1</v>
      </c>
      <c r="K20" s="7">
        <v>5</v>
      </c>
      <c r="L20" s="21">
        <v>9</v>
      </c>
      <c r="M20" s="2">
        <v>0</v>
      </c>
      <c r="N20" s="21">
        <v>11</v>
      </c>
      <c r="O20" s="21">
        <v>12</v>
      </c>
      <c r="P20" s="21">
        <v>12</v>
      </c>
      <c r="R20" s="51"/>
      <c r="S20" s="33" t="s">
        <v>16</v>
      </c>
      <c r="T20" s="15">
        <f>SUM($F20,$J20,$P20)+1</f>
        <v>16</v>
      </c>
      <c r="U20" s="26">
        <f>SUM(M$13,M$17,M$23)+5</f>
        <v>23</v>
      </c>
      <c r="V20" s="42">
        <f t="shared" si="0"/>
        <v>0.41025641025641024</v>
      </c>
      <c r="W20" s="26">
        <f>SUM($B20:$E20,$G20:$I20,$K20:$O20)+2+4+1+0</f>
        <v>69</v>
      </c>
      <c r="X20" s="26">
        <f>SUM(M$9:M$12,M$14:M$16,M$18:M$22)+2+0+2+3</f>
        <v>54</v>
      </c>
      <c r="Y20" s="42">
        <f t="shared" si="1"/>
        <v>0.56097560975609762</v>
      </c>
      <c r="Z20" s="26">
        <f t="shared" si="2"/>
        <v>85</v>
      </c>
      <c r="AA20" s="52">
        <f t="shared" si="2"/>
        <v>77</v>
      </c>
      <c r="AB20"/>
    </row>
    <row r="21" spans="1:28" s="15" customFormat="1">
      <c r="A21" s="9" t="s">
        <v>17</v>
      </c>
      <c r="B21" s="21">
        <v>1</v>
      </c>
      <c r="C21" s="21">
        <v>1</v>
      </c>
      <c r="D21" s="21">
        <v>4</v>
      </c>
      <c r="E21" s="21">
        <v>3</v>
      </c>
      <c r="F21" s="21">
        <v>1</v>
      </c>
      <c r="G21" s="14">
        <v>2</v>
      </c>
      <c r="H21" s="21">
        <v>4</v>
      </c>
      <c r="I21" s="21">
        <v>4</v>
      </c>
      <c r="J21" s="21">
        <v>1</v>
      </c>
      <c r="K21" s="7">
        <v>3</v>
      </c>
      <c r="L21" s="21">
        <v>9</v>
      </c>
      <c r="M21" s="21">
        <v>8</v>
      </c>
      <c r="N21" s="2">
        <v>0</v>
      </c>
      <c r="O21" s="21">
        <v>6</v>
      </c>
      <c r="P21" s="21">
        <v>10</v>
      </c>
      <c r="R21" s="51"/>
      <c r="S21" s="33" t="s">
        <v>17</v>
      </c>
      <c r="T21" s="15">
        <f>SUM($F21,$J21,$P21)+3</f>
        <v>15</v>
      </c>
      <c r="U21" s="26">
        <f>SUM(N$13,N$17,N$23)+1</f>
        <v>20</v>
      </c>
      <c r="V21" s="42">
        <f t="shared" si="0"/>
        <v>0.42857142857142855</v>
      </c>
      <c r="W21" s="26">
        <f>SUM($B21:$E21,$G21:$I21,$K21:$O21)+2+2+3+1</f>
        <v>53</v>
      </c>
      <c r="X21" s="26">
        <f>SUM(N$9:N$12,N$14:N$16,N$18:N$22)+1+1+1+5</f>
        <v>74</v>
      </c>
      <c r="Y21" s="42">
        <f t="shared" si="1"/>
        <v>0.41732283464566927</v>
      </c>
      <c r="Z21" s="26">
        <f t="shared" si="2"/>
        <v>68</v>
      </c>
      <c r="AA21" s="52">
        <f t="shared" si="2"/>
        <v>94</v>
      </c>
      <c r="AB21"/>
    </row>
    <row r="22" spans="1:28" s="15" customFormat="1">
      <c r="A22" s="9" t="s">
        <v>18</v>
      </c>
      <c r="B22" s="21">
        <v>3</v>
      </c>
      <c r="C22" s="21">
        <v>3</v>
      </c>
      <c r="D22" s="21">
        <v>1</v>
      </c>
      <c r="E22" s="21">
        <v>4</v>
      </c>
      <c r="F22" s="21">
        <v>4</v>
      </c>
      <c r="G22" s="14">
        <v>3</v>
      </c>
      <c r="H22" s="21">
        <v>3</v>
      </c>
      <c r="I22" s="21">
        <v>3</v>
      </c>
      <c r="J22" s="21">
        <v>2</v>
      </c>
      <c r="K22" s="7">
        <v>3</v>
      </c>
      <c r="L22" s="21">
        <v>7</v>
      </c>
      <c r="M22" s="21">
        <v>7</v>
      </c>
      <c r="N22" s="21">
        <v>13</v>
      </c>
      <c r="O22" s="2">
        <v>0</v>
      </c>
      <c r="P22" s="21">
        <v>12</v>
      </c>
      <c r="R22" s="51"/>
      <c r="S22" s="33" t="s">
        <v>18</v>
      </c>
      <c r="T22" s="15">
        <f>SUM($F22,$J22,$P22)+0</f>
        <v>18</v>
      </c>
      <c r="U22" s="26">
        <f>SUM(O$13,O$17,O$23)+3</f>
        <v>16</v>
      </c>
      <c r="V22" s="42">
        <f t="shared" si="0"/>
        <v>0.52941176470588236</v>
      </c>
      <c r="W22" s="26">
        <f>SUM($B22:$E22,$G22:$I22,$K22:$O22)+0+3+3+2</f>
        <v>58</v>
      </c>
      <c r="X22" s="26">
        <f>SUM(O$9:O$12,O$14:O$16,O$18:O$22)+3+3+1+2</f>
        <v>70</v>
      </c>
      <c r="Y22" s="42">
        <f t="shared" si="1"/>
        <v>0.453125</v>
      </c>
      <c r="Z22" s="26">
        <f t="shared" si="2"/>
        <v>76</v>
      </c>
      <c r="AA22" s="52">
        <f t="shared" si="2"/>
        <v>86</v>
      </c>
      <c r="AB22"/>
    </row>
    <row r="23" spans="1:28" s="15" customFormat="1" ht="15.75" thickBot="1">
      <c r="A23" s="9" t="s">
        <v>20</v>
      </c>
      <c r="B23" s="21">
        <v>6</v>
      </c>
      <c r="C23" s="21">
        <v>5</v>
      </c>
      <c r="D23" s="21">
        <v>5</v>
      </c>
      <c r="E23" s="21">
        <v>5</v>
      </c>
      <c r="F23" s="21">
        <v>2</v>
      </c>
      <c r="G23" s="14">
        <v>3</v>
      </c>
      <c r="H23" s="21">
        <v>3</v>
      </c>
      <c r="I23" s="21">
        <v>5</v>
      </c>
      <c r="J23" s="21">
        <v>4</v>
      </c>
      <c r="K23" s="7">
        <v>3</v>
      </c>
      <c r="L23" s="21">
        <v>13</v>
      </c>
      <c r="M23" s="21">
        <v>7</v>
      </c>
      <c r="N23" s="21">
        <v>9</v>
      </c>
      <c r="O23" s="21">
        <v>7</v>
      </c>
      <c r="P23" s="2">
        <v>0</v>
      </c>
      <c r="R23" s="53"/>
      <c r="S23" s="69" t="s">
        <v>20</v>
      </c>
      <c r="T23" s="71">
        <f>SUM($F23,$J23,$P23)+3</f>
        <v>9</v>
      </c>
      <c r="U23" s="56">
        <f>SUM(P$13,P$17,P$23)+1</f>
        <v>8</v>
      </c>
      <c r="V23" s="57">
        <f t="shared" si="0"/>
        <v>0.52941176470588236</v>
      </c>
      <c r="W23" s="56">
        <f>SUM($B23:$E23,$G23:$I23,$K23:$O23)+1+2+3+2</f>
        <v>79</v>
      </c>
      <c r="X23" s="56">
        <f>SUM(P$9:P$12,P$14:P$16,P$18:P$22)+3+1+3+1</f>
        <v>66</v>
      </c>
      <c r="Y23" s="57">
        <f t="shared" si="1"/>
        <v>0.54482758620689653</v>
      </c>
      <c r="Z23" s="56">
        <f t="shared" si="2"/>
        <v>88</v>
      </c>
      <c r="AA23" s="58">
        <f t="shared" si="2"/>
        <v>74</v>
      </c>
      <c r="AB23"/>
    </row>
    <row r="24" spans="1:28" s="1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R24"/>
      <c r="T24" s="23"/>
      <c r="U24" s="23"/>
      <c r="V24"/>
      <c r="W24"/>
      <c r="X24"/>
      <c r="Y24"/>
      <c r="Z24"/>
      <c r="AA24"/>
      <c r="AB24"/>
    </row>
    <row r="25" spans="1:28" s="15" customFormat="1">
      <c r="A25" t="s">
        <v>24</v>
      </c>
      <c r="B25"/>
      <c r="C25" t="s">
        <v>6</v>
      </c>
      <c r="D25" t="s">
        <v>7</v>
      </c>
      <c r="E25" t="s">
        <v>8</v>
      </c>
      <c r="F25"/>
      <c r="G25" t="s">
        <v>24</v>
      </c>
      <c r="H25"/>
      <c r="I25" t="s">
        <v>6</v>
      </c>
      <c r="J25" t="s">
        <v>7</v>
      </c>
      <c r="K25" t="s">
        <v>8</v>
      </c>
      <c r="L25"/>
      <c r="M25" t="s">
        <v>24</v>
      </c>
      <c r="N25"/>
      <c r="O25" t="s">
        <v>6</v>
      </c>
      <c r="P25" t="s">
        <v>7</v>
      </c>
      <c r="Q25" t="s">
        <v>8</v>
      </c>
      <c r="R25"/>
      <c r="S25"/>
      <c r="T25"/>
      <c r="U25"/>
      <c r="V25"/>
      <c r="W25"/>
      <c r="X25"/>
      <c r="Y25"/>
      <c r="Z25"/>
      <c r="AA25"/>
      <c r="AB25"/>
    </row>
    <row r="26" spans="1:28" s="15" customFormat="1">
      <c r="A26" t="s">
        <v>0</v>
      </c>
      <c r="B26" s="4" t="s">
        <v>27</v>
      </c>
      <c r="C26">
        <v>90</v>
      </c>
      <c r="D26">
        <v>72</v>
      </c>
      <c r="E26" s="1">
        <f>C26/SUM(C26:D26)</f>
        <v>0.55555555555555558</v>
      </c>
      <c r="F26"/>
      <c r="G26" t="s">
        <v>9</v>
      </c>
      <c r="H26" s="4" t="s">
        <v>30</v>
      </c>
      <c r="I26">
        <v>100</v>
      </c>
      <c r="J26">
        <v>62</v>
      </c>
      <c r="K26" s="1">
        <f>I26/SUM(I26:J26)</f>
        <v>0.61728395061728392</v>
      </c>
      <c r="L26"/>
      <c r="M26" t="s">
        <v>15</v>
      </c>
      <c r="N26" s="4" t="s">
        <v>35</v>
      </c>
      <c r="O26">
        <v>92</v>
      </c>
      <c r="P26">
        <v>70</v>
      </c>
      <c r="Q26" s="1">
        <f>O26/SUM(O26:P26)</f>
        <v>0.5679012345679012</v>
      </c>
      <c r="R26"/>
      <c r="S26"/>
      <c r="T26"/>
      <c r="U26"/>
      <c r="V26"/>
      <c r="W26"/>
      <c r="X26"/>
      <c r="Y26"/>
      <c r="Z26"/>
      <c r="AA26"/>
      <c r="AB26"/>
    </row>
    <row r="27" spans="1:28" s="15" customFormat="1">
      <c r="A27"/>
      <c r="B27" s="3" t="s">
        <v>25</v>
      </c>
      <c r="C27">
        <v>83</v>
      </c>
      <c r="D27">
        <v>79</v>
      </c>
      <c r="E27" s="1">
        <f>C27/SUM(C27:D27)</f>
        <v>0.51234567901234573</v>
      </c>
      <c r="F27"/>
      <c r="G27"/>
      <c r="H27" s="4" t="s">
        <v>31</v>
      </c>
      <c r="I27">
        <v>98</v>
      </c>
      <c r="J27">
        <v>64</v>
      </c>
      <c r="K27" s="1">
        <f>I27/SUM(I27:J27)</f>
        <v>0.60493827160493829</v>
      </c>
      <c r="L27"/>
      <c r="M27"/>
      <c r="N27" s="3" t="s">
        <v>36</v>
      </c>
      <c r="O27">
        <v>84</v>
      </c>
      <c r="P27">
        <v>78</v>
      </c>
      <c r="Q27" s="1">
        <f>O27/SUM(O27:P27)</f>
        <v>0.51851851851851849</v>
      </c>
      <c r="R27"/>
      <c r="S27"/>
      <c r="T27"/>
      <c r="U27"/>
      <c r="V27"/>
      <c r="W27"/>
      <c r="X27"/>
      <c r="Y27"/>
      <c r="Z27"/>
      <c r="AA27"/>
      <c r="AB27"/>
    </row>
    <row r="28" spans="1:28">
      <c r="B28" s="3" t="s">
        <v>28</v>
      </c>
      <c r="C28">
        <v>71</v>
      </c>
      <c r="D28">
        <v>91</v>
      </c>
      <c r="E28" s="1">
        <f>C28/SUM(C28:D28)</f>
        <v>0.43827160493827161</v>
      </c>
      <c r="H28" s="4" t="s">
        <v>34</v>
      </c>
      <c r="I28">
        <v>97</v>
      </c>
      <c r="J28">
        <v>65</v>
      </c>
      <c r="K28" s="1">
        <f>I28/SUM(I28:J28)</f>
        <v>0.59876543209876543</v>
      </c>
      <c r="N28" s="3" t="s">
        <v>39</v>
      </c>
      <c r="O28">
        <v>79</v>
      </c>
      <c r="P28">
        <v>83</v>
      </c>
      <c r="Q28" s="1">
        <f>O28/SUM(O28:P28)</f>
        <v>0.48765432098765432</v>
      </c>
    </row>
    <row r="29" spans="1:28">
      <c r="B29" s="3" t="s">
        <v>26</v>
      </c>
      <c r="C29">
        <v>67</v>
      </c>
      <c r="D29">
        <v>95</v>
      </c>
      <c r="E29" s="1">
        <f>C29/SUM(C29:D29)</f>
        <v>0.41358024691358025</v>
      </c>
      <c r="H29" s="3" t="s">
        <v>32</v>
      </c>
      <c r="I29">
        <v>68</v>
      </c>
      <c r="J29">
        <v>94</v>
      </c>
      <c r="K29" s="1">
        <f>I29/SUM(I29:J29)</f>
        <v>0.41975308641975306</v>
      </c>
      <c r="N29" s="3" t="s">
        <v>37</v>
      </c>
      <c r="O29">
        <v>74</v>
      </c>
      <c r="P29">
        <v>88</v>
      </c>
      <c r="Q29" s="1">
        <f>O29/SUM(O29:P29)</f>
        <v>0.4567901234567901</v>
      </c>
    </row>
    <row r="30" spans="1:28" ht="15.75" thickBot="1">
      <c r="B30" s="3" t="s">
        <v>29</v>
      </c>
      <c r="C30">
        <v>63</v>
      </c>
      <c r="D30">
        <v>99</v>
      </c>
      <c r="E30" s="1">
        <f>C30/SUM(C30:D30)</f>
        <v>0.3888888888888889</v>
      </c>
      <c r="H30" s="3" t="s">
        <v>33</v>
      </c>
      <c r="I30">
        <v>64</v>
      </c>
      <c r="J30">
        <v>98</v>
      </c>
      <c r="K30" s="1">
        <f>I30/SUM(I30:J30)</f>
        <v>0.39506172839506171</v>
      </c>
      <c r="N30" s="3" t="s">
        <v>38</v>
      </c>
      <c r="O30">
        <v>68</v>
      </c>
      <c r="P30">
        <v>94</v>
      </c>
      <c r="Q30" s="1">
        <f>O30/SUM(O30:P30)</f>
        <v>0.41975308641975306</v>
      </c>
    </row>
    <row r="31" spans="1:28">
      <c r="R31" s="45"/>
      <c r="S31" s="48"/>
      <c r="T31" s="66" t="s">
        <v>21</v>
      </c>
      <c r="U31" s="48"/>
      <c r="V31" s="48"/>
      <c r="W31" s="67" t="s">
        <v>22</v>
      </c>
      <c r="X31" s="48"/>
      <c r="Y31" s="46"/>
      <c r="Z31" s="48" t="s">
        <v>40</v>
      </c>
      <c r="AA31" s="50"/>
    </row>
    <row r="32" spans="1:28" ht="15.75" thickBot="1">
      <c r="A32" s="8" t="s">
        <v>24</v>
      </c>
      <c r="B32" s="5" t="s">
        <v>26</v>
      </c>
      <c r="C32" s="5" t="s">
        <v>28</v>
      </c>
      <c r="D32" s="5" t="s">
        <v>27</v>
      </c>
      <c r="E32" s="5" t="s">
        <v>29</v>
      </c>
      <c r="F32" s="60" t="s">
        <v>25</v>
      </c>
      <c r="G32" s="13" t="s">
        <v>34</v>
      </c>
      <c r="H32" s="5" t="s">
        <v>33</v>
      </c>
      <c r="I32" s="5" t="s">
        <v>32</v>
      </c>
      <c r="J32" s="60" t="s">
        <v>31</v>
      </c>
      <c r="K32" s="76" t="s">
        <v>30</v>
      </c>
      <c r="L32" s="5" t="s">
        <v>39</v>
      </c>
      <c r="M32" s="5" t="s">
        <v>38</v>
      </c>
      <c r="N32" s="60" t="s">
        <v>35</v>
      </c>
      <c r="O32" s="5" t="s">
        <v>37</v>
      </c>
      <c r="P32" s="60" t="s">
        <v>36</v>
      </c>
      <c r="R32" s="59" t="s">
        <v>24</v>
      </c>
      <c r="S32" s="5"/>
      <c r="T32" s="38" t="s">
        <v>6</v>
      </c>
      <c r="U32" s="5" t="s">
        <v>7</v>
      </c>
      <c r="V32" s="5" t="s">
        <v>8</v>
      </c>
      <c r="W32" s="38" t="s">
        <v>6</v>
      </c>
      <c r="X32" s="5" t="s">
        <v>7</v>
      </c>
      <c r="Y32" s="8" t="s">
        <v>8</v>
      </c>
      <c r="Z32" s="60" t="s">
        <v>6</v>
      </c>
      <c r="AA32" s="61" t="s">
        <v>7</v>
      </c>
    </row>
    <row r="33" spans="1:27" ht="15.75" thickTop="1">
      <c r="A33" s="9" t="s">
        <v>26</v>
      </c>
      <c r="B33" s="2">
        <v>0</v>
      </c>
      <c r="C33" s="21">
        <v>10</v>
      </c>
      <c r="D33" s="21">
        <v>8</v>
      </c>
      <c r="E33" s="21">
        <v>11</v>
      </c>
      <c r="F33" s="21">
        <v>5</v>
      </c>
      <c r="G33" s="14">
        <v>1</v>
      </c>
      <c r="H33" s="21">
        <v>3</v>
      </c>
      <c r="I33" s="21">
        <v>5</v>
      </c>
      <c r="J33" s="21">
        <v>2</v>
      </c>
      <c r="K33" s="7">
        <v>4</v>
      </c>
      <c r="L33" s="21">
        <v>3</v>
      </c>
      <c r="M33" s="21">
        <v>1</v>
      </c>
      <c r="N33" s="21">
        <v>3</v>
      </c>
      <c r="O33" s="21">
        <v>2</v>
      </c>
      <c r="P33" s="21">
        <v>3</v>
      </c>
      <c r="R33" s="51" t="s">
        <v>0</v>
      </c>
      <c r="S33" s="33" t="s">
        <v>26</v>
      </c>
      <c r="T33" s="15">
        <f>SUM($D33,$G33,$J33:$K33,$N33)+3</f>
        <v>21</v>
      </c>
      <c r="U33" s="15">
        <f>SUM(B$35,B$38,B$41:B$42,B$45)+3</f>
        <v>29</v>
      </c>
      <c r="V33" s="23">
        <f>T33/SUM(T33:U33)</f>
        <v>0.42</v>
      </c>
      <c r="W33" s="36">
        <f>SUM($B33:$C33,$E33:$F33,$H33:$I33,$L33:$M33,$O33:$P33)+0+2+0+1</f>
        <v>46</v>
      </c>
      <c r="X33" s="15">
        <f>SUM(B$33:B$34,B$36:B$37,B$39:B$40,B$43:B$44,B$46:B$47)+3+2+3+3</f>
        <v>66</v>
      </c>
      <c r="Y33" s="42">
        <f>W33/SUM(W33:X33)</f>
        <v>0.4107142857142857</v>
      </c>
      <c r="Z33" s="15">
        <f>SUM(T33,W33)</f>
        <v>67</v>
      </c>
      <c r="AA33" s="68">
        <f>SUM(U33,X33)</f>
        <v>95</v>
      </c>
    </row>
    <row r="34" spans="1:27">
      <c r="A34" s="9" t="s">
        <v>28</v>
      </c>
      <c r="B34">
        <v>9</v>
      </c>
      <c r="C34" s="2">
        <v>0</v>
      </c>
      <c r="D34" s="21">
        <v>8</v>
      </c>
      <c r="E34" s="21">
        <v>9</v>
      </c>
      <c r="F34" s="21">
        <v>9</v>
      </c>
      <c r="G34" s="14">
        <v>3</v>
      </c>
      <c r="H34" s="21">
        <v>4</v>
      </c>
      <c r="I34" s="21">
        <v>4</v>
      </c>
      <c r="J34" s="21">
        <v>1</v>
      </c>
      <c r="K34" s="7">
        <v>1</v>
      </c>
      <c r="L34" s="21">
        <v>2</v>
      </c>
      <c r="M34" s="21">
        <v>5</v>
      </c>
      <c r="N34" s="21">
        <v>2</v>
      </c>
      <c r="O34" s="21">
        <v>2</v>
      </c>
      <c r="P34" s="21">
        <v>5</v>
      </c>
      <c r="R34" s="51"/>
      <c r="S34" s="33" t="s">
        <v>28</v>
      </c>
      <c r="T34" s="15">
        <f>SUM($D34,$G34,$J34:$K34,$N34)+0</f>
        <v>15</v>
      </c>
      <c r="U34" s="15">
        <f>SUM(C$35,C$38,C$41:C$42,C$45)+3</f>
        <v>32</v>
      </c>
      <c r="V34" s="23">
        <f t="shared" ref="V34:V47" si="3">T34/SUM(T34:U34)</f>
        <v>0.31914893617021278</v>
      </c>
      <c r="W34" s="36">
        <f>SUM($B34:$C34,$E34:$F34,$H34:$I34,$L34:$M34,$O34:$P34)+2+2+2+1</f>
        <v>56</v>
      </c>
      <c r="X34" s="15">
        <f>SUM(C$33:C$34,C$36:C$37,C$39:C$40,C$43:C$44,C$46:C$47)+1+2+2+5</f>
        <v>59</v>
      </c>
      <c r="Y34" s="42">
        <f t="shared" ref="Y34:Y47" si="4">W34/SUM(W34:X34)</f>
        <v>0.48695652173913045</v>
      </c>
      <c r="Z34" s="15">
        <f t="shared" ref="Z34:AA47" si="5">SUM(T34,W34)</f>
        <v>71</v>
      </c>
      <c r="AA34" s="68">
        <f t="shared" si="5"/>
        <v>91</v>
      </c>
    </row>
    <row r="35" spans="1:27">
      <c r="A35" s="9" t="s">
        <v>27</v>
      </c>
      <c r="B35">
        <v>11</v>
      </c>
      <c r="C35" s="21">
        <v>11</v>
      </c>
      <c r="D35" s="2">
        <v>0</v>
      </c>
      <c r="E35" s="21">
        <v>14</v>
      </c>
      <c r="F35" s="21">
        <v>11</v>
      </c>
      <c r="G35" s="14">
        <v>0</v>
      </c>
      <c r="H35" s="21">
        <v>7</v>
      </c>
      <c r="I35" s="21">
        <v>3</v>
      </c>
      <c r="J35" s="21">
        <v>0</v>
      </c>
      <c r="K35" s="7">
        <v>3</v>
      </c>
      <c r="L35" s="21">
        <v>5</v>
      </c>
      <c r="M35" s="21">
        <v>7</v>
      </c>
      <c r="N35" s="21">
        <v>4</v>
      </c>
      <c r="O35" s="21">
        <v>2</v>
      </c>
      <c r="P35" s="21">
        <v>3</v>
      </c>
      <c r="R35" s="51"/>
      <c r="S35" s="32" t="s">
        <v>27</v>
      </c>
      <c r="T35" s="15">
        <f>SUM($D35,$G35,$J35:$K35,$N35)+2</f>
        <v>9</v>
      </c>
      <c r="U35" s="15">
        <f>SUM(D$35,D$38,D$41:D$42,D$45)+2</f>
        <v>22</v>
      </c>
      <c r="V35" s="23">
        <f t="shared" si="3"/>
        <v>0.29032258064516131</v>
      </c>
      <c r="W35" s="36">
        <f>SUM($B35:$C35,$E35:$F35,$H35:$I35,$L35:$M35,$O35:$P35)+3+1+2+1</f>
        <v>81</v>
      </c>
      <c r="X35" s="15">
        <f>SUM(D$33:D$34,D$36:D$37,D$39:D$40,D$43:D$44,D$46:D$47)+1+2+4+2</f>
        <v>50</v>
      </c>
      <c r="Y35" s="42">
        <f t="shared" si="4"/>
        <v>0.61832061068702293</v>
      </c>
      <c r="Z35" s="15">
        <f t="shared" si="5"/>
        <v>90</v>
      </c>
      <c r="AA35" s="68">
        <f t="shared" si="5"/>
        <v>72</v>
      </c>
    </row>
    <row r="36" spans="1:27">
      <c r="A36" s="9" t="s">
        <v>29</v>
      </c>
      <c r="B36">
        <v>8</v>
      </c>
      <c r="C36" s="21">
        <v>10</v>
      </c>
      <c r="D36" s="21">
        <v>5</v>
      </c>
      <c r="E36" s="2">
        <v>0</v>
      </c>
      <c r="F36" s="21">
        <v>7</v>
      </c>
      <c r="G36" s="14">
        <v>5</v>
      </c>
      <c r="H36" s="21">
        <v>2</v>
      </c>
      <c r="I36" s="21">
        <v>0</v>
      </c>
      <c r="J36" s="21">
        <v>2</v>
      </c>
      <c r="K36" s="7">
        <v>2</v>
      </c>
      <c r="L36" s="21">
        <v>4</v>
      </c>
      <c r="M36" s="21">
        <v>2</v>
      </c>
      <c r="N36" s="21">
        <v>2</v>
      </c>
      <c r="O36" s="21">
        <v>5</v>
      </c>
      <c r="P36" s="21">
        <v>1</v>
      </c>
      <c r="R36" s="51"/>
      <c r="S36" s="33" t="s">
        <v>29</v>
      </c>
      <c r="T36" s="15">
        <f>SUM($D36,$G36,$J36:$K36,$N36)+2</f>
        <v>18</v>
      </c>
      <c r="U36" s="15">
        <f>SUM(E$35,E$38,E$41:E$42,E$45)+2</f>
        <v>33</v>
      </c>
      <c r="V36" s="23">
        <f t="shared" si="3"/>
        <v>0.35294117647058826</v>
      </c>
      <c r="W36" s="36">
        <f>SUM($B36:$C36,$E36:$F36,$H36:$I36,$L36:$M36,$O36:$P36)+1+1+2+2</f>
        <v>45</v>
      </c>
      <c r="X36" s="15">
        <f>SUM(E$33:E$34,E$36:E$37,E$39:E$40,E$43:E$44,E$46:E$47)+3+5+1+1</f>
        <v>66</v>
      </c>
      <c r="Y36" s="42">
        <f t="shared" si="4"/>
        <v>0.40540540540540543</v>
      </c>
      <c r="Z36" s="15">
        <f t="shared" si="5"/>
        <v>63</v>
      </c>
      <c r="AA36" s="68">
        <f t="shared" si="5"/>
        <v>99</v>
      </c>
    </row>
    <row r="37" spans="1:27">
      <c r="A37" s="10" t="s">
        <v>25</v>
      </c>
      <c r="B37" s="11">
        <v>14</v>
      </c>
      <c r="C37" s="11">
        <v>10</v>
      </c>
      <c r="D37" s="11">
        <v>8</v>
      </c>
      <c r="E37" s="11">
        <v>12</v>
      </c>
      <c r="F37" s="12">
        <v>0</v>
      </c>
      <c r="G37" s="16">
        <v>3</v>
      </c>
      <c r="H37" s="11">
        <v>1</v>
      </c>
      <c r="I37" s="11">
        <v>4</v>
      </c>
      <c r="J37" s="11">
        <v>4</v>
      </c>
      <c r="K37" s="17">
        <v>2</v>
      </c>
      <c r="L37" s="11">
        <v>4</v>
      </c>
      <c r="M37" s="11">
        <v>3</v>
      </c>
      <c r="N37" s="11">
        <v>2</v>
      </c>
      <c r="O37" s="11">
        <v>5</v>
      </c>
      <c r="P37" s="11">
        <v>3</v>
      </c>
      <c r="R37" s="51"/>
      <c r="S37" s="33" t="s">
        <v>25</v>
      </c>
      <c r="T37" s="15">
        <f>SUM($D37,$G37,$J37:$K37,$N37)+1</f>
        <v>20</v>
      </c>
      <c r="U37" s="15">
        <f>SUM(F$35,F$38,F$41:F$42,F$45)+2</f>
        <v>28</v>
      </c>
      <c r="V37" s="23">
        <f t="shared" si="3"/>
        <v>0.41666666666666669</v>
      </c>
      <c r="W37" s="36">
        <f>SUM($B37:$C37,$E37:$F37,$H37:$I37,$L37:$M37,$O37:$P37)+2+1+3+1</f>
        <v>63</v>
      </c>
      <c r="X37" s="15">
        <f>SUM(F$33:F$34,F$36:F$37,F$39:F$40,F$43:F$44,F$46:F$47)+4+2+1+3</f>
        <v>51</v>
      </c>
      <c r="Y37" s="42">
        <f t="shared" si="4"/>
        <v>0.55263157894736847</v>
      </c>
      <c r="Z37" s="15">
        <f t="shared" si="5"/>
        <v>83</v>
      </c>
      <c r="AA37" s="68">
        <f t="shared" si="5"/>
        <v>79</v>
      </c>
    </row>
    <row r="38" spans="1:27">
      <c r="A38" s="9" t="s">
        <v>34</v>
      </c>
      <c r="B38" s="21">
        <v>6</v>
      </c>
      <c r="C38" s="21">
        <v>3</v>
      </c>
      <c r="D38" s="21">
        <v>7</v>
      </c>
      <c r="E38" s="21">
        <v>2</v>
      </c>
      <c r="F38" s="21">
        <v>4</v>
      </c>
      <c r="G38" s="18">
        <v>0</v>
      </c>
      <c r="H38" s="21">
        <v>13</v>
      </c>
      <c r="I38" s="21">
        <v>14</v>
      </c>
      <c r="J38" s="21">
        <v>11</v>
      </c>
      <c r="K38" s="7">
        <v>8</v>
      </c>
      <c r="L38" s="21">
        <v>4</v>
      </c>
      <c r="M38" s="21">
        <v>4</v>
      </c>
      <c r="N38" s="21">
        <v>3</v>
      </c>
      <c r="O38" s="21">
        <v>3</v>
      </c>
      <c r="P38" s="21">
        <v>5</v>
      </c>
      <c r="R38" s="62" t="s">
        <v>9</v>
      </c>
      <c r="S38" s="77" t="s">
        <v>34</v>
      </c>
      <c r="T38" s="35">
        <f>SUM($D38,$G38,$J38:$K38,$N38)+2</f>
        <v>31</v>
      </c>
      <c r="U38" s="25">
        <f>SUM(G$35,G$38,G$41:G$42,G$45)+1</f>
        <v>24</v>
      </c>
      <c r="V38" s="22">
        <f t="shared" si="3"/>
        <v>0.5636363636363636</v>
      </c>
      <c r="W38" s="35">
        <f>SUM($B38:$C38,$E38:$F38,$H38:$I38,$L38:$M38,$O38:$P38)+3+2+1+2</f>
        <v>66</v>
      </c>
      <c r="X38" s="25">
        <f>SUM(G$33:G$34,G$36:G$37,G$39:G$40,G$43:G$44,G$46:G$47)+3+2+3+1</f>
        <v>41</v>
      </c>
      <c r="Y38" s="43">
        <f t="shared" si="4"/>
        <v>0.61682242990654201</v>
      </c>
      <c r="Z38" s="25">
        <f t="shared" si="5"/>
        <v>97</v>
      </c>
      <c r="AA38" s="74">
        <f t="shared" si="5"/>
        <v>65</v>
      </c>
    </row>
    <row r="39" spans="1:27">
      <c r="A39" s="9" t="s">
        <v>33</v>
      </c>
      <c r="B39" s="21">
        <v>4</v>
      </c>
      <c r="C39" s="21">
        <v>3</v>
      </c>
      <c r="D39" s="21">
        <v>0</v>
      </c>
      <c r="E39" s="21">
        <v>4</v>
      </c>
      <c r="F39" s="21">
        <v>5</v>
      </c>
      <c r="G39" s="14">
        <v>6</v>
      </c>
      <c r="H39" s="19">
        <v>0</v>
      </c>
      <c r="I39" s="21">
        <v>9</v>
      </c>
      <c r="J39" s="21">
        <v>11</v>
      </c>
      <c r="K39" s="7">
        <v>7</v>
      </c>
      <c r="L39" s="21">
        <v>1</v>
      </c>
      <c r="M39" s="21">
        <v>2</v>
      </c>
      <c r="N39" s="21">
        <v>1</v>
      </c>
      <c r="O39" s="21">
        <v>2</v>
      </c>
      <c r="P39" s="21">
        <v>2</v>
      </c>
      <c r="R39" s="51"/>
      <c r="S39" s="33" t="s">
        <v>33</v>
      </c>
      <c r="T39" s="36">
        <f>SUM($D39,$G39,$J39:$K39,$N39)+0</f>
        <v>25</v>
      </c>
      <c r="U39" s="15">
        <f>SUM(H$35,H$38,H$41:H$42,H$45)+4</f>
        <v>50</v>
      </c>
      <c r="V39" s="23">
        <f t="shared" si="3"/>
        <v>0.33333333333333331</v>
      </c>
      <c r="W39" s="36">
        <f>SUM($B39:$C39,$E39:$F39,$H39:$I39,$L39:$M39,$O39:$P39)+1+1+3+2</f>
        <v>39</v>
      </c>
      <c r="X39" s="15">
        <f>SUM(H$33:H$34,H$36:H$37,H$39:H$40,H$43:H$44,H$46:H$47)+2+5+1+1</f>
        <v>48</v>
      </c>
      <c r="Y39" s="42">
        <f t="shared" si="4"/>
        <v>0.44827586206896552</v>
      </c>
      <c r="Z39" s="15">
        <f t="shared" si="5"/>
        <v>64</v>
      </c>
      <c r="AA39" s="68">
        <f t="shared" si="5"/>
        <v>98</v>
      </c>
    </row>
    <row r="40" spans="1:27">
      <c r="A40" s="9" t="s">
        <v>32</v>
      </c>
      <c r="B40" s="21">
        <v>2</v>
      </c>
      <c r="C40" s="21">
        <v>2</v>
      </c>
      <c r="D40" s="21">
        <v>3</v>
      </c>
      <c r="E40" s="21">
        <v>7</v>
      </c>
      <c r="F40" s="21">
        <v>3</v>
      </c>
      <c r="G40" s="14">
        <v>5</v>
      </c>
      <c r="H40" s="21">
        <v>10</v>
      </c>
      <c r="I40" s="19">
        <v>0</v>
      </c>
      <c r="J40" s="21">
        <v>10</v>
      </c>
      <c r="K40" s="7">
        <v>6</v>
      </c>
      <c r="L40" s="21">
        <v>2</v>
      </c>
      <c r="M40" s="21">
        <v>1</v>
      </c>
      <c r="N40" s="21">
        <v>3</v>
      </c>
      <c r="O40" s="21">
        <v>5</v>
      </c>
      <c r="P40" s="21">
        <v>1</v>
      </c>
      <c r="R40" s="51"/>
      <c r="S40" s="33" t="s">
        <v>32</v>
      </c>
      <c r="T40" s="36">
        <f>SUM($D40,$G40,$J40:$K40,$N40)+0</f>
        <v>27</v>
      </c>
      <c r="U40" s="15">
        <f>SUM(I$35,I$38,I$41:I$42,I$45)+4</f>
        <v>47</v>
      </c>
      <c r="V40" s="23">
        <f t="shared" si="3"/>
        <v>0.36486486486486486</v>
      </c>
      <c r="W40" s="36">
        <f>SUM($B40:$C40,$E40:$F40,$H40:$I40,$L40:$M40,$O40:$P40)+1+1+2+4</f>
        <v>41</v>
      </c>
      <c r="X40" s="15">
        <f>SUM(I$33:I$34,I$36:I$37,I$39:I$40,I$43:I$44,I$46:I$47)+2+3+1+2</f>
        <v>47</v>
      </c>
      <c r="Y40" s="42">
        <f t="shared" si="4"/>
        <v>0.46590909090909088</v>
      </c>
      <c r="Z40" s="15">
        <f t="shared" si="5"/>
        <v>68</v>
      </c>
      <c r="AA40" s="68">
        <f t="shared" si="5"/>
        <v>94</v>
      </c>
    </row>
    <row r="41" spans="1:27">
      <c r="A41" s="9" t="s">
        <v>31</v>
      </c>
      <c r="B41" s="21">
        <v>4</v>
      </c>
      <c r="C41" s="21">
        <v>6</v>
      </c>
      <c r="D41" s="21">
        <v>6</v>
      </c>
      <c r="E41" s="21">
        <v>5</v>
      </c>
      <c r="F41" s="21">
        <v>3</v>
      </c>
      <c r="G41" s="14">
        <v>8</v>
      </c>
      <c r="H41" s="21">
        <v>8</v>
      </c>
      <c r="I41" s="21">
        <v>9</v>
      </c>
      <c r="J41" s="19">
        <v>0</v>
      </c>
      <c r="K41" s="7">
        <v>9</v>
      </c>
      <c r="L41" s="21">
        <v>5</v>
      </c>
      <c r="M41" s="21">
        <v>6</v>
      </c>
      <c r="N41" s="21">
        <v>5</v>
      </c>
      <c r="O41" s="21">
        <v>5</v>
      </c>
      <c r="P41" s="21">
        <v>6</v>
      </c>
      <c r="R41" s="51"/>
      <c r="S41" s="32" t="s">
        <v>31</v>
      </c>
      <c r="T41" s="36">
        <f>SUM($D41,$G41,$J41:$K41,$N41)+1</f>
        <v>29</v>
      </c>
      <c r="U41" s="15">
        <f>SUM(J$35,J$38,J$41:J$42,J$45)+2</f>
        <v>24</v>
      </c>
      <c r="V41" s="23">
        <f t="shared" si="3"/>
        <v>0.54716981132075471</v>
      </c>
      <c r="W41" s="36">
        <f>SUM($B41:$C41,$E41:$F41,$H41:$I41,$L41:$M41,$O41:$P41)+4+2+4+2</f>
        <v>69</v>
      </c>
      <c r="X41" s="15">
        <f>SUM(J$33:J$34,J$36:J$37,J$39:J$40,J$43:J$44,J$46:J$47)+0+1+2+2</f>
        <v>40</v>
      </c>
      <c r="Y41" s="42">
        <f t="shared" si="4"/>
        <v>0.6330275229357798</v>
      </c>
      <c r="Z41" s="15">
        <f t="shared" si="5"/>
        <v>98</v>
      </c>
      <c r="AA41" s="68">
        <f t="shared" si="5"/>
        <v>64</v>
      </c>
    </row>
    <row r="42" spans="1:27">
      <c r="A42" s="10" t="s">
        <v>30</v>
      </c>
      <c r="B42" s="11">
        <v>2</v>
      </c>
      <c r="C42" s="11">
        <v>5</v>
      </c>
      <c r="D42" s="11">
        <v>4</v>
      </c>
      <c r="E42" s="11">
        <v>5</v>
      </c>
      <c r="F42" s="11">
        <v>4</v>
      </c>
      <c r="G42" s="16">
        <v>11</v>
      </c>
      <c r="H42" s="11">
        <v>12</v>
      </c>
      <c r="I42" s="11">
        <v>13</v>
      </c>
      <c r="J42" s="11">
        <v>10</v>
      </c>
      <c r="K42" s="20">
        <v>0</v>
      </c>
      <c r="L42" s="11">
        <v>7</v>
      </c>
      <c r="M42" s="11">
        <v>4</v>
      </c>
      <c r="N42" s="11">
        <v>5</v>
      </c>
      <c r="O42" s="11">
        <v>3</v>
      </c>
      <c r="P42" s="11">
        <v>4</v>
      </c>
      <c r="R42" s="63"/>
      <c r="S42" s="39" t="s">
        <v>30</v>
      </c>
      <c r="T42" s="37">
        <f>SUM($D42,$G42,$J42:$K42,$N42)+4</f>
        <v>34</v>
      </c>
      <c r="U42" s="11">
        <f>SUM(K$35,K$38,K$41:K$42,K$45)+2</f>
        <v>24</v>
      </c>
      <c r="V42" s="24">
        <f t="shared" si="3"/>
        <v>0.58620689655172409</v>
      </c>
      <c r="W42" s="37">
        <f>SUM($B42:$C42,$E42:$F42,$H42:$I42,$L42:$M42,$O42:$P42)+2+2+1+2</f>
        <v>66</v>
      </c>
      <c r="X42" s="11">
        <f>SUM(K$33:K$34,K$36:K$37,K$39:K$40,K$43:K$44,K$46:K$47)+2+1+2+2</f>
        <v>38</v>
      </c>
      <c r="Y42" s="44">
        <f t="shared" si="4"/>
        <v>0.63461538461538458</v>
      </c>
      <c r="Z42" s="11">
        <f t="shared" si="5"/>
        <v>100</v>
      </c>
      <c r="AA42" s="75">
        <f t="shared" si="5"/>
        <v>62</v>
      </c>
    </row>
    <row r="43" spans="1:27">
      <c r="A43" s="9" t="s">
        <v>39</v>
      </c>
      <c r="B43" s="21">
        <v>3</v>
      </c>
      <c r="C43" s="21">
        <v>5</v>
      </c>
      <c r="D43" s="21">
        <v>2</v>
      </c>
      <c r="E43" s="21">
        <v>2</v>
      </c>
      <c r="F43" s="21">
        <v>3</v>
      </c>
      <c r="G43" s="14">
        <v>2</v>
      </c>
      <c r="H43" s="21">
        <v>6</v>
      </c>
      <c r="I43" s="21">
        <v>5</v>
      </c>
      <c r="J43" s="21">
        <v>1</v>
      </c>
      <c r="K43" s="7">
        <v>0</v>
      </c>
      <c r="L43" s="2">
        <v>0</v>
      </c>
      <c r="M43" s="21">
        <v>13</v>
      </c>
      <c r="N43" s="21">
        <v>6</v>
      </c>
      <c r="O43" s="21">
        <v>9</v>
      </c>
      <c r="P43" s="21">
        <v>11</v>
      </c>
      <c r="R43" s="51" t="s">
        <v>15</v>
      </c>
      <c r="S43" s="33" t="s">
        <v>39</v>
      </c>
      <c r="T43" s="15">
        <f>SUM($D43,$G43,$J43:$K43,$N43)+3</f>
        <v>14</v>
      </c>
      <c r="U43" s="15">
        <f>SUM(L$35,L$38,L$41:L$42,L$45)+1</f>
        <v>35</v>
      </c>
      <c r="V43" s="23">
        <f t="shared" si="3"/>
        <v>0.2857142857142857</v>
      </c>
      <c r="W43" s="36">
        <f>SUM($B43:$C43,$E43:$F43,$H43:$I43,$L43:$M43,$O43:$P43)+2+2+1+3</f>
        <v>65</v>
      </c>
      <c r="X43" s="15">
        <f>SUM(L$33:L$34,L$36:L$37,L$39:L$40,L$43:L$44,L$46:L$47)+4+2+2+0</f>
        <v>48</v>
      </c>
      <c r="Y43" s="42">
        <f t="shared" si="4"/>
        <v>0.5752212389380531</v>
      </c>
      <c r="Z43" s="15">
        <f t="shared" si="5"/>
        <v>79</v>
      </c>
      <c r="AA43" s="68">
        <f t="shared" si="5"/>
        <v>83</v>
      </c>
    </row>
    <row r="44" spans="1:27">
      <c r="A44" s="9" t="s">
        <v>38</v>
      </c>
      <c r="B44" s="21">
        <v>6</v>
      </c>
      <c r="C44" s="21">
        <v>2</v>
      </c>
      <c r="D44" s="21">
        <v>0</v>
      </c>
      <c r="E44" s="21">
        <v>5</v>
      </c>
      <c r="F44" s="21">
        <v>3</v>
      </c>
      <c r="G44" s="14">
        <v>2</v>
      </c>
      <c r="H44" s="21">
        <v>4</v>
      </c>
      <c r="I44" s="21">
        <v>5</v>
      </c>
      <c r="J44" s="21">
        <v>1</v>
      </c>
      <c r="K44" s="7">
        <v>3</v>
      </c>
      <c r="L44" s="21">
        <v>6</v>
      </c>
      <c r="M44" s="2">
        <v>0</v>
      </c>
      <c r="N44" s="21">
        <v>8</v>
      </c>
      <c r="O44" s="21">
        <v>7</v>
      </c>
      <c r="P44" s="21">
        <v>11</v>
      </c>
      <c r="R44" s="51"/>
      <c r="S44" s="33" t="s">
        <v>38</v>
      </c>
      <c r="T44" s="15">
        <f>SUM($D44,$G44,$J44:$K44,$N44)+1</f>
        <v>15</v>
      </c>
      <c r="U44" s="15">
        <f>SUM(M$35,M$38,M$41:M$42,M$45)+2</f>
        <v>34</v>
      </c>
      <c r="V44" s="23">
        <f t="shared" si="3"/>
        <v>0.30612244897959184</v>
      </c>
      <c r="W44" s="36">
        <f>SUM($B44:$C44,$E44:$F44,$H44:$I44,$L44:$M44,$O44:$P44)+0+0+1+3</f>
        <v>53</v>
      </c>
      <c r="X44" s="15">
        <f>SUM(M$33:M$34,M$36:M$37,M$39:M$40,M$43:M$44,M$46:M$47)+4+4+2+3</f>
        <v>60</v>
      </c>
      <c r="Y44" s="42">
        <f t="shared" si="4"/>
        <v>0.46902654867256638</v>
      </c>
      <c r="Z44" s="15">
        <f t="shared" si="5"/>
        <v>68</v>
      </c>
      <c r="AA44" s="68">
        <f t="shared" si="5"/>
        <v>94</v>
      </c>
    </row>
    <row r="45" spans="1:27">
      <c r="A45" s="9" t="s">
        <v>35</v>
      </c>
      <c r="B45" s="21">
        <v>3</v>
      </c>
      <c r="C45" s="21">
        <v>4</v>
      </c>
      <c r="D45" s="21">
        <v>3</v>
      </c>
      <c r="E45" s="21">
        <v>5</v>
      </c>
      <c r="F45" s="21">
        <v>4</v>
      </c>
      <c r="G45" s="14">
        <v>4</v>
      </c>
      <c r="H45" s="21">
        <v>6</v>
      </c>
      <c r="I45" s="21">
        <v>4</v>
      </c>
      <c r="J45" s="21">
        <v>1</v>
      </c>
      <c r="K45" s="7">
        <v>2</v>
      </c>
      <c r="L45" s="21">
        <v>13</v>
      </c>
      <c r="M45" s="21">
        <v>11</v>
      </c>
      <c r="N45" s="2">
        <v>0</v>
      </c>
      <c r="O45" s="21">
        <v>14</v>
      </c>
      <c r="P45" s="21">
        <v>8</v>
      </c>
      <c r="R45" s="51"/>
      <c r="S45" s="32" t="s">
        <v>35</v>
      </c>
      <c r="T45" s="15">
        <f>SUM($D45,$G45,$J45:$K45,$N45)+1</f>
        <v>11</v>
      </c>
      <c r="U45" s="15">
        <f>SUM(N$35,N$38,N$41:N$42,N$45)+3</f>
        <v>20</v>
      </c>
      <c r="V45" s="23">
        <f t="shared" si="3"/>
        <v>0.35483870967741937</v>
      </c>
      <c r="W45" s="36">
        <f>SUM($B45:$C45,$E45:$F45,$H45:$I45,$L45:$M45,$O45:$P45)+0+5+1+3</f>
        <v>81</v>
      </c>
      <c r="X45" s="15">
        <f>SUM(N$33:N$34,N$36:N$37,N$39:N$40,N$43:N$44,N$46:N$47)+3+1+3+0</f>
        <v>50</v>
      </c>
      <c r="Y45" s="42">
        <f t="shared" si="4"/>
        <v>0.61832061068702293</v>
      </c>
      <c r="Z45" s="15">
        <f t="shared" si="5"/>
        <v>92</v>
      </c>
      <c r="AA45" s="68">
        <f t="shared" si="5"/>
        <v>70</v>
      </c>
    </row>
    <row r="46" spans="1:27">
      <c r="A46" s="9" t="s">
        <v>37</v>
      </c>
      <c r="B46" s="21">
        <v>5</v>
      </c>
      <c r="C46" s="21">
        <v>5</v>
      </c>
      <c r="D46" s="21">
        <v>4</v>
      </c>
      <c r="E46" s="21">
        <v>1</v>
      </c>
      <c r="F46" s="21">
        <v>2</v>
      </c>
      <c r="G46" s="14">
        <v>3</v>
      </c>
      <c r="H46" s="21">
        <v>4</v>
      </c>
      <c r="I46" s="21">
        <v>2</v>
      </c>
      <c r="J46" s="21">
        <v>2</v>
      </c>
      <c r="K46" s="7">
        <v>4</v>
      </c>
      <c r="L46" s="21">
        <v>10</v>
      </c>
      <c r="M46" s="21">
        <v>12</v>
      </c>
      <c r="N46" s="21">
        <v>5</v>
      </c>
      <c r="O46" s="2">
        <v>0</v>
      </c>
      <c r="P46" s="21">
        <v>8</v>
      </c>
      <c r="R46" s="51"/>
      <c r="S46" s="33" t="s">
        <v>37</v>
      </c>
      <c r="T46" s="15">
        <f>SUM($D46,$G46,$J46:$K46,$N46)+3</f>
        <v>21</v>
      </c>
      <c r="U46" s="15">
        <f>SUM(O$35,O$38,O$41:O$42,O$45)+3</f>
        <v>30</v>
      </c>
      <c r="V46" s="23">
        <f t="shared" si="3"/>
        <v>0.41176470588235292</v>
      </c>
      <c r="W46" s="36">
        <f>SUM($B46:$C46,$E46:$F46,$H46:$I46,$L46:$M46,$O46:$P46)+0+2+1+1</f>
        <v>53</v>
      </c>
      <c r="X46" s="15">
        <f>SUM(O$33:O$34,O$36:O$37,O$39:O$40,O$43:O$44,O$46:O$47)+3+1+3+3</f>
        <v>58</v>
      </c>
      <c r="Y46" s="42">
        <f t="shared" si="4"/>
        <v>0.47747747747747749</v>
      </c>
      <c r="Z46" s="15">
        <f t="shared" si="5"/>
        <v>74</v>
      </c>
      <c r="AA46" s="68">
        <f t="shared" si="5"/>
        <v>88</v>
      </c>
    </row>
    <row r="47" spans="1:27" ht="15.75" thickBot="1">
      <c r="A47" s="9" t="s">
        <v>36</v>
      </c>
      <c r="B47" s="21">
        <v>4</v>
      </c>
      <c r="C47" s="21">
        <v>2</v>
      </c>
      <c r="D47" s="21">
        <v>3</v>
      </c>
      <c r="E47" s="21">
        <v>5</v>
      </c>
      <c r="F47" s="21">
        <v>4</v>
      </c>
      <c r="G47" s="14">
        <v>2</v>
      </c>
      <c r="H47" s="21">
        <v>5</v>
      </c>
      <c r="I47" s="21">
        <v>5</v>
      </c>
      <c r="J47" s="21">
        <v>1</v>
      </c>
      <c r="K47" s="7">
        <v>2</v>
      </c>
      <c r="L47" s="21">
        <v>8</v>
      </c>
      <c r="M47" s="21">
        <v>8</v>
      </c>
      <c r="N47" s="21">
        <v>11</v>
      </c>
      <c r="O47" s="21">
        <v>11</v>
      </c>
      <c r="P47" s="2">
        <v>0</v>
      </c>
      <c r="R47" s="53"/>
      <c r="S47" s="54" t="s">
        <v>36</v>
      </c>
      <c r="T47" s="71">
        <f>SUM($D47,$G47,$J47:$K47,$N47)+1</f>
        <v>20</v>
      </c>
      <c r="U47" s="55">
        <f>SUM(P$35,P$38,P$41:P$42,P$45)+2</f>
        <v>28</v>
      </c>
      <c r="V47" s="70">
        <f t="shared" si="3"/>
        <v>0.41666666666666669</v>
      </c>
      <c r="W47" s="71">
        <f>SUM($B47:$C47,$E47:$F47,$H47:$I47,$L47:$M47,$O47:$P47)+2+3+5+2</f>
        <v>64</v>
      </c>
      <c r="X47" s="55">
        <f>SUM(P$33:P$34,P$36:P$37,P$39:P$40,P$43:P$44,P$46:P$47)+2+0+1+2</f>
        <v>50</v>
      </c>
      <c r="Y47" s="57">
        <f t="shared" si="4"/>
        <v>0.56140350877192979</v>
      </c>
      <c r="Z47" s="55">
        <f t="shared" si="5"/>
        <v>84</v>
      </c>
      <c r="AA47" s="72">
        <f t="shared" si="5"/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34" workbookViewId="0">
      <selection activeCell="B42" sqref="B42"/>
    </sheetView>
  </sheetViews>
  <sheetFormatPr defaultRowHeight="15"/>
  <sheetData>
    <row r="1" spans="1:16" ht="15.75" thickBot="1">
      <c r="A1" s="8" t="s">
        <v>23</v>
      </c>
      <c r="B1" s="5" t="s">
        <v>1</v>
      </c>
      <c r="C1" s="5" t="s">
        <v>5</v>
      </c>
      <c r="D1" s="5" t="s">
        <v>2</v>
      </c>
      <c r="E1" s="5" t="s">
        <v>4</v>
      </c>
      <c r="F1" s="5" t="s">
        <v>3</v>
      </c>
      <c r="G1" s="13" t="s">
        <v>13</v>
      </c>
      <c r="H1" s="5" t="s">
        <v>12</v>
      </c>
      <c r="I1" s="5" t="s">
        <v>10</v>
      </c>
      <c r="J1" s="5" t="s">
        <v>11</v>
      </c>
      <c r="K1" s="6" t="s">
        <v>14</v>
      </c>
      <c r="L1" s="5" t="s">
        <v>19</v>
      </c>
      <c r="M1" s="5" t="s">
        <v>16</v>
      </c>
      <c r="N1" s="5" t="s">
        <v>17</v>
      </c>
      <c r="O1" s="5" t="s">
        <v>18</v>
      </c>
      <c r="P1" s="5" t="s">
        <v>20</v>
      </c>
    </row>
    <row r="2" spans="1:16" ht="15.75" thickTop="1">
      <c r="A2" s="9" t="s">
        <v>1</v>
      </c>
      <c r="B2" s="78">
        <v>0</v>
      </c>
      <c r="C2" s="79">
        <v>0.57894736800000002</v>
      </c>
      <c r="D2" s="79">
        <v>0.52631578899999998</v>
      </c>
      <c r="E2" s="79">
        <v>0.52631578899999998</v>
      </c>
      <c r="F2" s="79">
        <v>0.42105263199999998</v>
      </c>
      <c r="G2" s="80">
        <v>0.5</v>
      </c>
      <c r="H2" s="79">
        <v>0.83333333300000001</v>
      </c>
      <c r="I2" s="79">
        <v>0.571428571</v>
      </c>
      <c r="J2" s="79">
        <v>0.428571429</v>
      </c>
      <c r="K2" s="81">
        <v>0</v>
      </c>
      <c r="L2" s="79">
        <f>3/7</f>
        <v>0.42857142857142855</v>
      </c>
      <c r="M2" s="79">
        <f>2/6</f>
        <v>0.33333333333333331</v>
      </c>
      <c r="N2" s="79">
        <f>6/7</f>
        <v>0.8571428571428571</v>
      </c>
      <c r="O2" s="79">
        <f>3/6</f>
        <v>0.5</v>
      </c>
      <c r="P2" s="79">
        <f>1/7</f>
        <v>0.14285714285714285</v>
      </c>
    </row>
    <row r="3" spans="1:16">
      <c r="A3" s="9" t="s">
        <v>5</v>
      </c>
      <c r="B3" s="82">
        <v>0.42105263199999998</v>
      </c>
      <c r="C3" s="78">
        <v>0</v>
      </c>
      <c r="D3" s="79">
        <v>0.42105263199999998</v>
      </c>
      <c r="E3" s="79">
        <v>0.47368421100000002</v>
      </c>
      <c r="F3" s="79">
        <v>0.52631578899999998</v>
      </c>
      <c r="G3" s="80">
        <v>0.428571429</v>
      </c>
      <c r="H3" s="79">
        <v>0.33333333300000001</v>
      </c>
      <c r="I3" s="79">
        <v>0.66666666699999999</v>
      </c>
      <c r="J3" s="79">
        <v>0.571428571</v>
      </c>
      <c r="K3" s="81">
        <v>0.28571428599999998</v>
      </c>
      <c r="L3" s="79">
        <f>2/6</f>
        <v>0.33333333333333331</v>
      </c>
      <c r="M3" s="79">
        <f>2/7</f>
        <v>0.2857142857142857</v>
      </c>
      <c r="N3" s="79">
        <f>5/6</f>
        <v>0.83333333333333337</v>
      </c>
      <c r="O3" s="79">
        <f>4/7</f>
        <v>0.5714285714285714</v>
      </c>
      <c r="P3" s="79">
        <f>2/7</f>
        <v>0.2857142857142857</v>
      </c>
    </row>
    <row r="4" spans="1:16">
      <c r="A4" s="9" t="s">
        <v>2</v>
      </c>
      <c r="B4" s="82">
        <v>0.47368421100000002</v>
      </c>
      <c r="C4" s="79">
        <v>0.57894736800000002</v>
      </c>
      <c r="D4" s="78">
        <v>0</v>
      </c>
      <c r="E4" s="79">
        <v>0.63157894699999995</v>
      </c>
      <c r="F4" s="79">
        <v>0.31578947400000001</v>
      </c>
      <c r="G4" s="80">
        <v>0.71428571399999996</v>
      </c>
      <c r="H4" s="79">
        <v>0.28571428599999998</v>
      </c>
      <c r="I4" s="79">
        <v>0.71428571399999996</v>
      </c>
      <c r="J4" s="79">
        <v>0.66666666699999999</v>
      </c>
      <c r="K4" s="81">
        <v>0.83333333300000001</v>
      </c>
      <c r="L4" s="79">
        <f>3/7</f>
        <v>0.42857142857142855</v>
      </c>
      <c r="M4" s="79">
        <f>4/6</f>
        <v>0.66666666666666663</v>
      </c>
      <c r="N4" s="79">
        <f>3/7</f>
        <v>0.42857142857142855</v>
      </c>
      <c r="O4" s="79">
        <f>5/6</f>
        <v>0.83333333333333337</v>
      </c>
      <c r="P4" s="79">
        <f>2/7</f>
        <v>0.2857142857142857</v>
      </c>
    </row>
    <row r="5" spans="1:16">
      <c r="A5" s="9" t="s">
        <v>4</v>
      </c>
      <c r="B5" s="82">
        <v>0.47368421100000002</v>
      </c>
      <c r="C5" s="79">
        <v>0.52631578899999998</v>
      </c>
      <c r="D5" s="79">
        <v>0.368421053</v>
      </c>
      <c r="E5" s="78">
        <v>0</v>
      </c>
      <c r="F5" s="79">
        <v>0.52631578899999998</v>
      </c>
      <c r="G5" s="80">
        <v>0.83333333300000001</v>
      </c>
      <c r="H5" s="79">
        <v>0.28571428599999998</v>
      </c>
      <c r="I5" s="79">
        <v>0.5</v>
      </c>
      <c r="J5" s="79">
        <v>0.14285714299999999</v>
      </c>
      <c r="K5" s="81">
        <v>0.33333333300000001</v>
      </c>
      <c r="L5" s="79">
        <f>5/7</f>
        <v>0.7142857142857143</v>
      </c>
      <c r="M5" s="79">
        <f>3/6</f>
        <v>0.5</v>
      </c>
      <c r="N5" s="79">
        <f>4/7</f>
        <v>0.5714285714285714</v>
      </c>
      <c r="O5" s="79">
        <f>3/7</f>
        <v>0.42857142857142855</v>
      </c>
      <c r="P5" s="79">
        <f>2/7</f>
        <v>0.2857142857142857</v>
      </c>
    </row>
    <row r="6" spans="1:16">
      <c r="A6" s="10" t="s">
        <v>3</v>
      </c>
      <c r="B6" s="83">
        <v>0.57894736800000002</v>
      </c>
      <c r="C6" s="83">
        <v>0.47368421100000002</v>
      </c>
      <c r="D6" s="83">
        <v>0.68421052599999999</v>
      </c>
      <c r="E6" s="83">
        <v>0.47368421100000002</v>
      </c>
      <c r="F6" s="84">
        <v>0</v>
      </c>
      <c r="G6" s="85">
        <v>0.428571429</v>
      </c>
      <c r="H6" s="83">
        <v>0.571428571</v>
      </c>
      <c r="I6" s="83">
        <v>0.66666666699999999</v>
      </c>
      <c r="J6" s="83">
        <v>0.571428571</v>
      </c>
      <c r="K6" s="86">
        <v>0.71428571399999996</v>
      </c>
      <c r="L6" s="83">
        <f>3/7</f>
        <v>0.42857142857142855</v>
      </c>
      <c r="M6" s="83">
        <f>5/7</f>
        <v>0.7142857142857143</v>
      </c>
      <c r="N6" s="83">
        <f>5/6</f>
        <v>0.83333333333333337</v>
      </c>
      <c r="O6" s="83">
        <f>2/6</f>
        <v>0.33333333333333331</v>
      </c>
      <c r="P6" s="83">
        <f>4/6</f>
        <v>0.66666666666666663</v>
      </c>
    </row>
    <row r="7" spans="1:16">
      <c r="A7" s="9" t="s">
        <v>13</v>
      </c>
      <c r="B7" s="79">
        <v>0.5</v>
      </c>
      <c r="C7" s="79">
        <v>0.571428571</v>
      </c>
      <c r="D7" s="79">
        <v>0.28571428599999998</v>
      </c>
      <c r="E7" s="79">
        <v>0.16666666699999999</v>
      </c>
      <c r="F7" s="79">
        <v>0.571428571</v>
      </c>
      <c r="G7" s="87">
        <v>0</v>
      </c>
      <c r="H7" s="79">
        <v>0.52631578899999998</v>
      </c>
      <c r="I7" s="79">
        <v>0.47368421100000002</v>
      </c>
      <c r="J7" s="79">
        <v>0.368421053</v>
      </c>
      <c r="K7" s="81">
        <v>0.31578947400000001</v>
      </c>
      <c r="L7" s="79">
        <f>5/6</f>
        <v>0.83333333333333337</v>
      </c>
      <c r="M7" s="79">
        <f>4/7</f>
        <v>0.5714285714285714</v>
      </c>
      <c r="N7" s="79">
        <f>5/7</f>
        <v>0.7142857142857143</v>
      </c>
      <c r="O7" s="79">
        <f>4/7</f>
        <v>0.5714285714285714</v>
      </c>
      <c r="P7" s="79">
        <f>3/6</f>
        <v>0.5</v>
      </c>
    </row>
    <row r="8" spans="1:16">
      <c r="A8" s="9" t="s">
        <v>12</v>
      </c>
      <c r="B8" s="79">
        <v>0.16666666699999999</v>
      </c>
      <c r="C8" s="79">
        <v>0.66666666699999999</v>
      </c>
      <c r="D8" s="79">
        <v>0.71428571399999996</v>
      </c>
      <c r="E8" s="79">
        <v>0.71428571399999996</v>
      </c>
      <c r="F8" s="79">
        <v>0.428571429</v>
      </c>
      <c r="G8" s="80">
        <v>0.47368421100000002</v>
      </c>
      <c r="H8" s="88">
        <v>0</v>
      </c>
      <c r="I8" s="79">
        <v>0.368421053</v>
      </c>
      <c r="J8" s="79">
        <v>0.47368421100000002</v>
      </c>
      <c r="K8" s="81">
        <v>0.368421053</v>
      </c>
      <c r="L8" s="79">
        <f>5/7</f>
        <v>0.7142857142857143</v>
      </c>
      <c r="M8" s="79">
        <f>4/6</f>
        <v>0.66666666666666663</v>
      </c>
      <c r="N8" s="79">
        <f>3/7</f>
        <v>0.42857142857142855</v>
      </c>
      <c r="O8" s="79">
        <f>4/7</f>
        <v>0.5714285714285714</v>
      </c>
      <c r="P8" s="79">
        <f>3/6</f>
        <v>0.5</v>
      </c>
    </row>
    <row r="9" spans="1:16">
      <c r="A9" s="9" t="s">
        <v>10</v>
      </c>
      <c r="B9" s="79">
        <v>0.428571429</v>
      </c>
      <c r="C9" s="79">
        <v>0.33333333300000001</v>
      </c>
      <c r="D9" s="79">
        <v>0.28571428599999998</v>
      </c>
      <c r="E9" s="79">
        <v>0.5</v>
      </c>
      <c r="F9" s="79">
        <v>0.33333333300000001</v>
      </c>
      <c r="G9" s="80">
        <v>0.52631578899999998</v>
      </c>
      <c r="H9" s="79">
        <v>0.57894736800000002</v>
      </c>
      <c r="I9" s="88">
        <v>0</v>
      </c>
      <c r="J9" s="79">
        <v>0.47368421100000002</v>
      </c>
      <c r="K9" s="81">
        <v>0.57894736800000002</v>
      </c>
      <c r="L9" s="79">
        <f>3/7</f>
        <v>0.42857142857142855</v>
      </c>
      <c r="M9" s="79">
        <f>1/7</f>
        <v>0.14285714285714285</v>
      </c>
      <c r="N9" s="79">
        <f>2/6</f>
        <v>0.33333333333333331</v>
      </c>
      <c r="O9" s="79">
        <f>4/7</f>
        <v>0.5714285714285714</v>
      </c>
      <c r="P9" s="79">
        <f>2/7</f>
        <v>0.2857142857142857</v>
      </c>
    </row>
    <row r="10" spans="1:16">
      <c r="A10" s="9" t="s">
        <v>11</v>
      </c>
      <c r="B10" s="79">
        <v>0.571428571</v>
      </c>
      <c r="C10" s="79">
        <v>0.428571429</v>
      </c>
      <c r="D10" s="79">
        <v>0.33333333300000001</v>
      </c>
      <c r="E10" s="79">
        <v>0.85714285700000004</v>
      </c>
      <c r="F10" s="79">
        <v>0.428571429</v>
      </c>
      <c r="G10" s="80">
        <v>0.63157894699999995</v>
      </c>
      <c r="H10" s="79">
        <v>0.52631578899999998</v>
      </c>
      <c r="I10" s="79">
        <v>0.52631578899999998</v>
      </c>
      <c r="J10" s="88">
        <v>0</v>
      </c>
      <c r="K10" s="81">
        <v>0.63157894699999995</v>
      </c>
      <c r="L10" s="79">
        <f>2/6</f>
        <v>0.33333333333333331</v>
      </c>
      <c r="M10" s="79">
        <f>6/7</f>
        <v>0.8571428571428571</v>
      </c>
      <c r="N10" s="79">
        <f>5/6</f>
        <v>0.83333333333333337</v>
      </c>
      <c r="O10" s="79">
        <f>4/6</f>
        <v>0.66666666666666663</v>
      </c>
      <c r="P10" s="79">
        <f>3/7</f>
        <v>0.42857142857142855</v>
      </c>
    </row>
    <row r="11" spans="1:16">
      <c r="A11" s="10" t="s">
        <v>14</v>
      </c>
      <c r="B11" s="83">
        <v>1</v>
      </c>
      <c r="C11" s="83">
        <v>0.71428571399999996</v>
      </c>
      <c r="D11" s="83">
        <v>0.16666666699999999</v>
      </c>
      <c r="E11" s="83">
        <v>0.66666666699999999</v>
      </c>
      <c r="F11" s="83">
        <v>0.28571428599999998</v>
      </c>
      <c r="G11" s="85">
        <v>0.68421052599999999</v>
      </c>
      <c r="H11" s="83">
        <v>0.63157894699999995</v>
      </c>
      <c r="I11" s="83">
        <v>0.42105263199999998</v>
      </c>
      <c r="J11" s="83">
        <v>0.368421053</v>
      </c>
      <c r="K11" s="89">
        <v>0</v>
      </c>
      <c r="L11" s="83">
        <f>3/6</f>
        <v>0.5</v>
      </c>
      <c r="M11" s="83">
        <f>2/7</f>
        <v>0.2857142857142857</v>
      </c>
      <c r="N11" s="83">
        <f>4/7</f>
        <v>0.5714285714285714</v>
      </c>
      <c r="O11" s="83">
        <f>4/7</f>
        <v>0.5714285714285714</v>
      </c>
      <c r="P11" s="83">
        <f>3/6</f>
        <v>0.5</v>
      </c>
    </row>
    <row r="12" spans="1:16">
      <c r="A12" s="9" t="s">
        <v>19</v>
      </c>
      <c r="B12" s="79">
        <f>4/7</f>
        <v>0.5714285714285714</v>
      </c>
      <c r="C12" s="79">
        <f>4/6</f>
        <v>0.66666666666666663</v>
      </c>
      <c r="D12" s="79">
        <f>4/7</f>
        <v>0.5714285714285714</v>
      </c>
      <c r="E12" s="79">
        <f>2/7</f>
        <v>0.2857142857142857</v>
      </c>
      <c r="F12" s="79">
        <f>4/7</f>
        <v>0.5714285714285714</v>
      </c>
      <c r="G12" s="80">
        <f>1/6</f>
        <v>0.16666666666666666</v>
      </c>
      <c r="H12" s="79">
        <f>2/7</f>
        <v>0.2857142857142857</v>
      </c>
      <c r="I12" s="79">
        <f>4/7</f>
        <v>0.5714285714285714</v>
      </c>
      <c r="J12" s="79">
        <f>4/6</f>
        <v>0.66666666666666663</v>
      </c>
      <c r="K12" s="81">
        <f>3/6</f>
        <v>0.5</v>
      </c>
      <c r="L12" s="78">
        <v>0</v>
      </c>
      <c r="M12" s="79">
        <v>0.52631578899999998</v>
      </c>
      <c r="N12" s="79">
        <v>0.52631578899999998</v>
      </c>
      <c r="O12" s="79">
        <v>0.63157894699999995</v>
      </c>
      <c r="P12" s="79">
        <v>0.31578947400000001</v>
      </c>
    </row>
    <row r="13" spans="1:16">
      <c r="A13" s="9" t="s">
        <v>16</v>
      </c>
      <c r="B13" s="79">
        <f>4/6</f>
        <v>0.66666666666666663</v>
      </c>
      <c r="C13" s="79">
        <f>5/7</f>
        <v>0.7142857142857143</v>
      </c>
      <c r="D13" s="79">
        <f>2/6</f>
        <v>0.33333333333333331</v>
      </c>
      <c r="E13" s="79">
        <f>3/6</f>
        <v>0.5</v>
      </c>
      <c r="F13" s="79">
        <f>2/7</f>
        <v>0.2857142857142857</v>
      </c>
      <c r="G13" s="80">
        <f>3/7</f>
        <v>0.42857142857142855</v>
      </c>
      <c r="H13" s="79">
        <f>2/6</f>
        <v>0.33333333333333331</v>
      </c>
      <c r="I13" s="79">
        <f>6/7</f>
        <v>0.8571428571428571</v>
      </c>
      <c r="J13" s="79">
        <f>1/7</f>
        <v>0.14285714285714285</v>
      </c>
      <c r="K13" s="81">
        <f>5/7</f>
        <v>0.7142857142857143</v>
      </c>
      <c r="L13" s="79">
        <v>0.47368421100000002</v>
      </c>
      <c r="M13" s="78">
        <v>0</v>
      </c>
      <c r="N13" s="79">
        <v>0.57894736800000002</v>
      </c>
      <c r="O13" s="79">
        <v>0.63157894699999995</v>
      </c>
      <c r="P13" s="79">
        <v>0.63157894699999995</v>
      </c>
    </row>
    <row r="14" spans="1:16">
      <c r="A14" s="9" t="s">
        <v>17</v>
      </c>
      <c r="B14" s="79">
        <f>1/7</f>
        <v>0.14285714285714285</v>
      </c>
      <c r="C14" s="79">
        <f>1/6</f>
        <v>0.16666666666666666</v>
      </c>
      <c r="D14" s="79">
        <f>4/7</f>
        <v>0.5714285714285714</v>
      </c>
      <c r="E14" s="79">
        <f>3/7</f>
        <v>0.42857142857142855</v>
      </c>
      <c r="F14" s="79">
        <f>1/6</f>
        <v>0.16666666666666666</v>
      </c>
      <c r="G14" s="80">
        <f>2/7</f>
        <v>0.2857142857142857</v>
      </c>
      <c r="H14" s="79">
        <f>4/7</f>
        <v>0.5714285714285714</v>
      </c>
      <c r="I14" s="79">
        <f>4/6</f>
        <v>0.66666666666666663</v>
      </c>
      <c r="J14" s="79">
        <f>1/6</f>
        <v>0.16666666666666666</v>
      </c>
      <c r="K14" s="81">
        <f>3/7</f>
        <v>0.42857142857142855</v>
      </c>
      <c r="L14" s="79">
        <v>0.47368421100000002</v>
      </c>
      <c r="M14" s="79">
        <v>0.42105263199999998</v>
      </c>
      <c r="N14" s="78">
        <v>0</v>
      </c>
      <c r="O14" s="79">
        <v>0.31578947400000001</v>
      </c>
      <c r="P14" s="79">
        <v>0.52631578899999998</v>
      </c>
    </row>
    <row r="15" spans="1:16">
      <c r="A15" s="9" t="s">
        <v>18</v>
      </c>
      <c r="B15" s="79">
        <f>3/6</f>
        <v>0.5</v>
      </c>
      <c r="C15" s="79">
        <f>3/7</f>
        <v>0.42857142857142855</v>
      </c>
      <c r="D15" s="79">
        <f>1/6</f>
        <v>0.16666666666666666</v>
      </c>
      <c r="E15" s="79">
        <f>4/7</f>
        <v>0.5714285714285714</v>
      </c>
      <c r="F15" s="79">
        <f>4/6</f>
        <v>0.66666666666666663</v>
      </c>
      <c r="G15" s="80">
        <f>3/7</f>
        <v>0.42857142857142855</v>
      </c>
      <c r="H15" s="79">
        <f>3/7</f>
        <v>0.42857142857142855</v>
      </c>
      <c r="I15" s="79">
        <f>3/7</f>
        <v>0.42857142857142855</v>
      </c>
      <c r="J15" s="79">
        <f>2/6</f>
        <v>0.33333333333333331</v>
      </c>
      <c r="K15" s="81">
        <f>3/7</f>
        <v>0.42857142857142855</v>
      </c>
      <c r="L15" s="79">
        <v>0.368421053</v>
      </c>
      <c r="M15" s="79">
        <v>0.368421053</v>
      </c>
      <c r="N15" s="79">
        <v>0.68421052599999999</v>
      </c>
      <c r="O15" s="78">
        <v>0</v>
      </c>
      <c r="P15" s="79">
        <v>0.63157894699999995</v>
      </c>
    </row>
    <row r="16" spans="1:16">
      <c r="A16" s="9" t="s">
        <v>20</v>
      </c>
      <c r="B16" s="79">
        <f>6/7</f>
        <v>0.8571428571428571</v>
      </c>
      <c r="C16" s="79">
        <f>5/7</f>
        <v>0.7142857142857143</v>
      </c>
      <c r="D16" s="79">
        <f>5/7</f>
        <v>0.7142857142857143</v>
      </c>
      <c r="E16" s="79">
        <f>5/7</f>
        <v>0.7142857142857143</v>
      </c>
      <c r="F16" s="79">
        <f>2/6</f>
        <v>0.33333333333333331</v>
      </c>
      <c r="G16" s="80">
        <f>3/6</f>
        <v>0.5</v>
      </c>
      <c r="H16" s="79">
        <f>3/6</f>
        <v>0.5</v>
      </c>
      <c r="I16" s="79">
        <f>5/7</f>
        <v>0.7142857142857143</v>
      </c>
      <c r="J16" s="79">
        <f>4/7</f>
        <v>0.5714285714285714</v>
      </c>
      <c r="K16" s="81">
        <f>3/6</f>
        <v>0.5</v>
      </c>
      <c r="L16" s="79">
        <v>0.68421052599999999</v>
      </c>
      <c r="M16" s="79">
        <v>0.368421053</v>
      </c>
      <c r="N16" s="79">
        <v>0.47368421100000002</v>
      </c>
      <c r="O16" s="79">
        <v>0.368421053</v>
      </c>
      <c r="P16" s="78">
        <v>0</v>
      </c>
    </row>
    <row r="18" spans="1:16" ht="15.75" thickBot="1">
      <c r="A18" s="8" t="s">
        <v>24</v>
      </c>
      <c r="B18" s="5" t="s">
        <v>26</v>
      </c>
      <c r="C18" s="5" t="s">
        <v>28</v>
      </c>
      <c r="D18" s="5" t="s">
        <v>27</v>
      </c>
      <c r="E18" s="5" t="s">
        <v>29</v>
      </c>
      <c r="F18" s="60" t="s">
        <v>25</v>
      </c>
      <c r="G18" s="13" t="s">
        <v>34</v>
      </c>
      <c r="H18" s="5" t="s">
        <v>33</v>
      </c>
      <c r="I18" s="5" t="s">
        <v>32</v>
      </c>
      <c r="J18" s="60" t="s">
        <v>31</v>
      </c>
      <c r="K18" s="76" t="s">
        <v>30</v>
      </c>
      <c r="L18" s="5" t="s">
        <v>39</v>
      </c>
      <c r="M18" s="5" t="s">
        <v>38</v>
      </c>
      <c r="N18" s="60" t="s">
        <v>35</v>
      </c>
      <c r="O18" s="5" t="s">
        <v>37</v>
      </c>
      <c r="P18" s="60" t="s">
        <v>36</v>
      </c>
    </row>
    <row r="19" spans="1:16" ht="15.75" thickTop="1">
      <c r="A19" s="9" t="s">
        <v>26</v>
      </c>
      <c r="B19" s="78">
        <v>0</v>
      </c>
      <c r="C19" s="79">
        <v>0.52631578899999998</v>
      </c>
      <c r="D19" s="79">
        <v>0.42105263199999998</v>
      </c>
      <c r="E19" s="79">
        <v>0.57894736800000002</v>
      </c>
      <c r="F19" s="79">
        <v>0.26315789499999998</v>
      </c>
      <c r="G19" s="80">
        <v>0.14285714299999999</v>
      </c>
      <c r="H19" s="79">
        <v>0.428571429</v>
      </c>
      <c r="I19" s="79">
        <v>0.71428571399999996</v>
      </c>
      <c r="J19" s="79">
        <v>0.33333333300000001</v>
      </c>
      <c r="K19" s="81">
        <v>0.66666666699999999</v>
      </c>
      <c r="L19" s="79">
        <v>0.5</v>
      </c>
      <c r="M19" s="79">
        <v>0.14285714299999999</v>
      </c>
      <c r="N19" s="79">
        <v>0.5</v>
      </c>
      <c r="O19" s="79">
        <v>0.28571428599999998</v>
      </c>
      <c r="P19" s="79">
        <v>0.428571429</v>
      </c>
    </row>
    <row r="20" spans="1:16">
      <c r="A20" s="9" t="s">
        <v>28</v>
      </c>
      <c r="B20" s="82">
        <v>0.47368421100000002</v>
      </c>
      <c r="C20" s="78">
        <v>0</v>
      </c>
      <c r="D20" s="79">
        <v>0.42105263199999998</v>
      </c>
      <c r="E20" s="79">
        <v>0.47368421100000002</v>
      </c>
      <c r="F20" s="79">
        <v>0.47368421100000002</v>
      </c>
      <c r="G20" s="80">
        <v>0.5</v>
      </c>
      <c r="H20" s="79">
        <v>0.571428571</v>
      </c>
      <c r="I20" s="79">
        <v>0.66666666699999999</v>
      </c>
      <c r="J20" s="79">
        <v>0.14285714299999999</v>
      </c>
      <c r="K20" s="81">
        <v>0.16666666699999999</v>
      </c>
      <c r="L20" s="79">
        <v>0.28571428599999998</v>
      </c>
      <c r="M20" s="79">
        <v>0.71428571399999996</v>
      </c>
      <c r="N20" s="79">
        <v>0.33333333300000001</v>
      </c>
      <c r="O20" s="79">
        <v>0.28571428599999998</v>
      </c>
      <c r="P20" s="79">
        <v>0.71428571399999996</v>
      </c>
    </row>
    <row r="21" spans="1:16">
      <c r="A21" s="9" t="s">
        <v>27</v>
      </c>
      <c r="B21" s="82">
        <v>0.57894736800000002</v>
      </c>
      <c r="C21" s="79">
        <v>0.57894736800000002</v>
      </c>
      <c r="D21" s="78">
        <v>0</v>
      </c>
      <c r="E21" s="79">
        <v>0.73684210500000002</v>
      </c>
      <c r="F21" s="79">
        <v>0.57894736800000002</v>
      </c>
      <c r="G21" s="80">
        <v>0</v>
      </c>
      <c r="H21" s="79">
        <v>1</v>
      </c>
      <c r="I21" s="79">
        <v>0.5</v>
      </c>
      <c r="J21" s="79">
        <v>0</v>
      </c>
      <c r="K21" s="81">
        <v>0.428571429</v>
      </c>
      <c r="L21" s="79">
        <v>0.71428571399999996</v>
      </c>
      <c r="M21" s="79">
        <v>1</v>
      </c>
      <c r="N21" s="79">
        <v>0.571428571</v>
      </c>
      <c r="O21" s="79">
        <v>0.33333333300000001</v>
      </c>
      <c r="P21" s="79">
        <v>0.5</v>
      </c>
    </row>
    <row r="22" spans="1:16">
      <c r="A22" s="9" t="s">
        <v>29</v>
      </c>
      <c r="B22" s="82">
        <v>0.42105263199999998</v>
      </c>
      <c r="C22" s="79">
        <v>0.52631578899999998</v>
      </c>
      <c r="D22" s="79">
        <v>0.26315789499999998</v>
      </c>
      <c r="E22" s="78">
        <v>0</v>
      </c>
      <c r="F22" s="79">
        <v>0.368421053</v>
      </c>
      <c r="G22" s="80">
        <v>0.71428571399999996</v>
      </c>
      <c r="H22" s="79">
        <v>0.33333333300000001</v>
      </c>
      <c r="I22" s="79">
        <v>0</v>
      </c>
      <c r="J22" s="79">
        <v>0.28571428599999998</v>
      </c>
      <c r="K22" s="81">
        <v>0.28571428599999998</v>
      </c>
      <c r="L22" s="79">
        <v>0.66666666699999999</v>
      </c>
      <c r="M22" s="79">
        <v>0.28571428599999998</v>
      </c>
      <c r="N22" s="79">
        <v>0.28571428599999998</v>
      </c>
      <c r="O22" s="79">
        <v>0.83333333300000001</v>
      </c>
      <c r="P22" s="79">
        <v>0.16666666699999999</v>
      </c>
    </row>
    <row r="23" spans="1:16">
      <c r="A23" s="10" t="s">
        <v>25</v>
      </c>
      <c r="B23" s="83">
        <v>0.73684210500000002</v>
      </c>
      <c r="C23" s="83">
        <v>0.52631578899999998</v>
      </c>
      <c r="D23" s="83">
        <v>0.42105263199999998</v>
      </c>
      <c r="E23" s="83">
        <v>0.63157894699999995</v>
      </c>
      <c r="F23" s="84">
        <v>0</v>
      </c>
      <c r="G23" s="85">
        <v>0.428571429</v>
      </c>
      <c r="H23" s="83">
        <v>0.16666666699999999</v>
      </c>
      <c r="I23" s="83">
        <v>0.571428571</v>
      </c>
      <c r="J23" s="83">
        <v>0.571428571</v>
      </c>
      <c r="K23" s="86">
        <v>0.33333333300000001</v>
      </c>
      <c r="L23" s="83">
        <v>0.571428571</v>
      </c>
      <c r="M23" s="83">
        <v>0.5</v>
      </c>
      <c r="N23" s="83">
        <v>0.33333333300000001</v>
      </c>
      <c r="O23" s="83">
        <v>0.71428571399999996</v>
      </c>
      <c r="P23" s="83">
        <v>0.428571429</v>
      </c>
    </row>
    <row r="24" spans="1:16">
      <c r="A24" s="9" t="s">
        <v>34</v>
      </c>
      <c r="B24" s="79">
        <v>0.85714285700000004</v>
      </c>
      <c r="C24" s="79">
        <v>0.5</v>
      </c>
      <c r="D24" s="79">
        <v>1</v>
      </c>
      <c r="E24" s="79">
        <v>0.28571428599999998</v>
      </c>
      <c r="F24" s="79">
        <v>0.571428571</v>
      </c>
      <c r="G24" s="87">
        <v>0</v>
      </c>
      <c r="H24" s="79">
        <v>0.68421052599999999</v>
      </c>
      <c r="I24" s="79">
        <v>0.73684210500000002</v>
      </c>
      <c r="J24" s="79">
        <v>0.57894736800000002</v>
      </c>
      <c r="K24" s="81">
        <v>0.42105263199999998</v>
      </c>
      <c r="L24" s="79">
        <v>0.66666666699999999</v>
      </c>
      <c r="M24" s="79">
        <v>0.66666666699999999</v>
      </c>
      <c r="N24" s="79">
        <v>0.428571429</v>
      </c>
      <c r="O24" s="79">
        <v>0.5</v>
      </c>
      <c r="P24" s="79">
        <v>0.71428571399999996</v>
      </c>
    </row>
    <row r="25" spans="1:16">
      <c r="A25" s="9" t="s">
        <v>33</v>
      </c>
      <c r="B25" s="79">
        <v>0.571428571</v>
      </c>
      <c r="C25" s="79">
        <v>0.428571429</v>
      </c>
      <c r="D25" s="79">
        <v>0</v>
      </c>
      <c r="E25" s="79">
        <v>0.66666666699999999</v>
      </c>
      <c r="F25" s="79">
        <v>0.83333333300000001</v>
      </c>
      <c r="G25" s="80">
        <v>0.31578947400000001</v>
      </c>
      <c r="H25" s="88">
        <v>0</v>
      </c>
      <c r="I25" s="79">
        <v>0.47368421100000002</v>
      </c>
      <c r="J25" s="79">
        <v>0.57894736800000002</v>
      </c>
      <c r="K25" s="81">
        <v>0.368421053</v>
      </c>
      <c r="L25" s="79">
        <v>0.14285714299999999</v>
      </c>
      <c r="M25" s="79">
        <v>0.33333333300000001</v>
      </c>
      <c r="N25" s="79">
        <v>0.14285714299999999</v>
      </c>
      <c r="O25" s="79">
        <v>0.33333333300000001</v>
      </c>
      <c r="P25" s="79">
        <v>0.28571428599999998</v>
      </c>
    </row>
    <row r="26" spans="1:16">
      <c r="A26" s="9" t="s">
        <v>32</v>
      </c>
      <c r="B26" s="79">
        <v>0.28571428599999998</v>
      </c>
      <c r="C26" s="79">
        <v>0.33333333300000001</v>
      </c>
      <c r="D26" s="79">
        <v>0.5</v>
      </c>
      <c r="E26" s="79">
        <v>1</v>
      </c>
      <c r="F26" s="79">
        <v>0.428571429</v>
      </c>
      <c r="G26" s="80">
        <v>0.26315789499999998</v>
      </c>
      <c r="H26" s="79">
        <v>0.52631578899999998</v>
      </c>
      <c r="I26" s="88">
        <v>0</v>
      </c>
      <c r="J26" s="79">
        <v>0.52631578899999998</v>
      </c>
      <c r="K26" s="81">
        <v>0.31578947400000001</v>
      </c>
      <c r="L26" s="79">
        <v>0.28571428599999998</v>
      </c>
      <c r="M26" s="79">
        <v>0.16666666699999999</v>
      </c>
      <c r="N26" s="79">
        <v>0.428571429</v>
      </c>
      <c r="O26" s="79">
        <v>0.71428571399999996</v>
      </c>
      <c r="P26" s="79">
        <v>0.16666666699999999</v>
      </c>
    </row>
    <row r="27" spans="1:16">
      <c r="A27" s="9" t="s">
        <v>31</v>
      </c>
      <c r="B27" s="79">
        <v>0.66666666699999999</v>
      </c>
      <c r="C27" s="79">
        <v>0.85714285700000004</v>
      </c>
      <c r="D27" s="79">
        <v>1</v>
      </c>
      <c r="E27" s="79">
        <v>0.71428571399999996</v>
      </c>
      <c r="F27" s="79">
        <v>0.428571429</v>
      </c>
      <c r="G27" s="80">
        <v>0.42105263199999998</v>
      </c>
      <c r="H27" s="79">
        <v>0.42105263199999998</v>
      </c>
      <c r="I27" s="79">
        <v>0.47368421100000002</v>
      </c>
      <c r="J27" s="88">
        <v>0</v>
      </c>
      <c r="K27" s="81">
        <v>0.47368421100000002</v>
      </c>
      <c r="L27" s="79">
        <v>0.83333333300000001</v>
      </c>
      <c r="M27" s="79">
        <v>0.85714285700000004</v>
      </c>
      <c r="N27" s="79">
        <v>0.83333333300000001</v>
      </c>
      <c r="O27" s="79">
        <v>0.71428571399999996</v>
      </c>
      <c r="P27" s="79">
        <v>0.85714285700000004</v>
      </c>
    </row>
    <row r="28" spans="1:16">
      <c r="A28" s="10" t="s">
        <v>30</v>
      </c>
      <c r="B28" s="83">
        <v>0.33333333300000001</v>
      </c>
      <c r="C28" s="83">
        <v>0.83333333300000001</v>
      </c>
      <c r="D28" s="83">
        <v>0.571428571</v>
      </c>
      <c r="E28" s="83">
        <v>0.71428571399999996</v>
      </c>
      <c r="F28" s="83">
        <v>0.66666666699999999</v>
      </c>
      <c r="G28" s="85">
        <v>0.57894736800000002</v>
      </c>
      <c r="H28" s="83">
        <v>0.63157894699999995</v>
      </c>
      <c r="I28" s="83">
        <v>0.68421052599999999</v>
      </c>
      <c r="J28" s="83">
        <v>0.52631578899999998</v>
      </c>
      <c r="K28" s="89">
        <v>0</v>
      </c>
      <c r="L28" s="83">
        <v>1</v>
      </c>
      <c r="M28" s="83">
        <v>0.571428571</v>
      </c>
      <c r="N28" s="83">
        <v>0.71428571399999996</v>
      </c>
      <c r="O28" s="83">
        <v>0.428571429</v>
      </c>
      <c r="P28" s="83">
        <v>0.66666666699999999</v>
      </c>
    </row>
    <row r="29" spans="1:16">
      <c r="A29" s="9" t="s">
        <v>39</v>
      </c>
      <c r="B29" s="79">
        <v>0.5</v>
      </c>
      <c r="C29" s="79">
        <v>0.71428571399999996</v>
      </c>
      <c r="D29" s="79">
        <v>0.28571428599999998</v>
      </c>
      <c r="E29" s="79">
        <v>0.33333333300000001</v>
      </c>
      <c r="F29" s="79">
        <v>0.428571429</v>
      </c>
      <c r="G29" s="80">
        <v>0.33333333300000001</v>
      </c>
      <c r="H29" s="79">
        <v>0.85714285700000004</v>
      </c>
      <c r="I29" s="79">
        <v>0.71428571399999996</v>
      </c>
      <c r="J29" s="79">
        <v>0.16666666699999999</v>
      </c>
      <c r="K29" s="81">
        <v>0</v>
      </c>
      <c r="L29" s="78">
        <v>0</v>
      </c>
      <c r="M29" s="79">
        <v>0.68421052599999999</v>
      </c>
      <c r="N29" s="79">
        <v>0.31578947400000001</v>
      </c>
      <c r="O29" s="79">
        <v>0.47368421100000002</v>
      </c>
      <c r="P29" s="79">
        <v>0.57894736800000002</v>
      </c>
    </row>
    <row r="30" spans="1:16">
      <c r="A30" s="9" t="s">
        <v>38</v>
      </c>
      <c r="B30" s="79">
        <v>0.85714285700000004</v>
      </c>
      <c r="C30" s="79">
        <v>0.28571428599999998</v>
      </c>
      <c r="D30" s="79">
        <v>0</v>
      </c>
      <c r="E30" s="79">
        <v>0.71428571399999996</v>
      </c>
      <c r="F30" s="79">
        <v>0.5</v>
      </c>
      <c r="G30" s="80">
        <v>0.33333333300000001</v>
      </c>
      <c r="H30" s="79">
        <v>0.66666666699999999</v>
      </c>
      <c r="I30" s="79">
        <v>0.83333333300000001</v>
      </c>
      <c r="J30" s="79">
        <v>0.14285714299999999</v>
      </c>
      <c r="K30" s="81">
        <v>0.428571429</v>
      </c>
      <c r="L30" s="79">
        <v>0.31578947400000001</v>
      </c>
      <c r="M30" s="78">
        <v>0</v>
      </c>
      <c r="N30" s="79">
        <v>0.42105263199999998</v>
      </c>
      <c r="O30" s="79">
        <v>0.368421053</v>
      </c>
      <c r="P30" s="79">
        <v>0.57894736800000002</v>
      </c>
    </row>
    <row r="31" spans="1:16">
      <c r="A31" s="9" t="s">
        <v>35</v>
      </c>
      <c r="B31" s="79">
        <v>0.5</v>
      </c>
      <c r="C31" s="79">
        <v>0.66666666699999999</v>
      </c>
      <c r="D31" s="79">
        <v>0.428571429</v>
      </c>
      <c r="E31" s="79">
        <v>0.71428571399999996</v>
      </c>
      <c r="F31" s="79">
        <v>0.66666666699999999</v>
      </c>
      <c r="G31" s="80">
        <v>0.571428571</v>
      </c>
      <c r="H31" s="79">
        <v>0.85714285700000004</v>
      </c>
      <c r="I31" s="79">
        <v>0.571428571</v>
      </c>
      <c r="J31" s="79">
        <v>0.16666666699999999</v>
      </c>
      <c r="K31" s="81">
        <v>0.28571428599999998</v>
      </c>
      <c r="L31" s="79">
        <v>0.68421052599999999</v>
      </c>
      <c r="M31" s="79">
        <v>0.57894736800000002</v>
      </c>
      <c r="N31" s="78">
        <v>0</v>
      </c>
      <c r="O31" s="79">
        <v>0.73684210500000002</v>
      </c>
      <c r="P31" s="79">
        <v>0.42105263199999998</v>
      </c>
    </row>
    <row r="32" spans="1:16">
      <c r="A32" s="9" t="s">
        <v>37</v>
      </c>
      <c r="B32" s="79">
        <v>0.71428571399999996</v>
      </c>
      <c r="C32" s="79">
        <v>0.71428571399999996</v>
      </c>
      <c r="D32" s="79">
        <v>0.66666666699999999</v>
      </c>
      <c r="E32" s="79">
        <v>0.16666666699999999</v>
      </c>
      <c r="F32" s="79">
        <v>0.28571428599999998</v>
      </c>
      <c r="G32" s="80">
        <v>0.5</v>
      </c>
      <c r="H32" s="79">
        <v>0.66666666699999999</v>
      </c>
      <c r="I32" s="79">
        <v>0.28571428599999998</v>
      </c>
      <c r="J32" s="79">
        <v>0.28571428599999998</v>
      </c>
      <c r="K32" s="81">
        <v>0.571428571</v>
      </c>
      <c r="L32" s="79">
        <v>0.52631578899999998</v>
      </c>
      <c r="M32" s="79">
        <v>0.63157894699999995</v>
      </c>
      <c r="N32" s="79">
        <v>0.26315789499999998</v>
      </c>
      <c r="O32" s="78">
        <v>0</v>
      </c>
      <c r="P32" s="79">
        <v>0.42105263199999998</v>
      </c>
    </row>
    <row r="33" spans="1:18">
      <c r="A33" s="9" t="s">
        <v>36</v>
      </c>
      <c r="B33" s="79">
        <v>0.571428571</v>
      </c>
      <c r="C33" s="79">
        <v>0.28571428599999998</v>
      </c>
      <c r="D33" s="79">
        <v>0.5</v>
      </c>
      <c r="E33" s="79">
        <v>0.83333333300000001</v>
      </c>
      <c r="F33" s="79">
        <v>0.571428571</v>
      </c>
      <c r="G33" s="80">
        <v>0.28571428599999998</v>
      </c>
      <c r="H33" s="79">
        <v>0.71428571399999996</v>
      </c>
      <c r="I33" s="79">
        <v>0.83333333300000001</v>
      </c>
      <c r="J33" s="79">
        <v>0.14285714299999999</v>
      </c>
      <c r="K33" s="81">
        <v>0.33333333300000001</v>
      </c>
      <c r="L33" s="79">
        <v>0.42105263199999998</v>
      </c>
      <c r="M33" s="79">
        <v>0.42105263199999998</v>
      </c>
      <c r="N33" s="79">
        <v>0.57894736800000002</v>
      </c>
      <c r="O33" s="79">
        <v>0.57894736800000002</v>
      </c>
      <c r="P33" s="78">
        <v>0</v>
      </c>
    </row>
    <row r="35" spans="1:18">
      <c r="A35" s="95">
        <f>T72</f>
        <v>0.59236158575324682</v>
      </c>
      <c r="B35" t="s">
        <v>41</v>
      </c>
    </row>
    <row r="36" spans="1:18" ht="15.75" thickBot="1">
      <c r="A36" s="99">
        <f>T91</f>
        <v>0.64578111939682536</v>
      </c>
      <c r="B36" t="s">
        <v>42</v>
      </c>
      <c r="D36" s="96" t="s">
        <v>1</v>
      </c>
      <c r="E36" s="96" t="s">
        <v>5</v>
      </c>
      <c r="F36" s="96" t="s">
        <v>2</v>
      </c>
      <c r="G36" s="96" t="s">
        <v>4</v>
      </c>
      <c r="H36" s="98" t="s">
        <v>3</v>
      </c>
      <c r="I36" s="96" t="s">
        <v>13</v>
      </c>
      <c r="J36" s="96" t="s">
        <v>12</v>
      </c>
      <c r="K36" s="96" t="s">
        <v>10</v>
      </c>
      <c r="L36" s="96" t="s">
        <v>11</v>
      </c>
      <c r="M36" s="98" t="s">
        <v>14</v>
      </c>
      <c r="N36" s="96" t="s">
        <v>19</v>
      </c>
      <c r="O36" s="96" t="s">
        <v>16</v>
      </c>
      <c r="P36" s="96" t="s">
        <v>17</v>
      </c>
      <c r="Q36" s="96" t="s">
        <v>18</v>
      </c>
      <c r="R36" s="96" t="s">
        <v>20</v>
      </c>
    </row>
    <row r="37" spans="1:18" ht="15.75" thickTop="1">
      <c r="A37" s="68"/>
      <c r="C37" s="90"/>
      <c r="D37" s="91">
        <f>B39</f>
        <v>0</v>
      </c>
      <c r="E37" s="90">
        <f>B40</f>
        <v>0</v>
      </c>
      <c r="F37" s="91">
        <f>B41</f>
        <v>1</v>
      </c>
      <c r="G37" s="91">
        <f>B42</f>
        <v>0</v>
      </c>
      <c r="H37" s="97">
        <f>B43</f>
        <v>1</v>
      </c>
      <c r="I37" s="90">
        <f>B44</f>
        <v>0</v>
      </c>
      <c r="J37" s="90">
        <f>B45</f>
        <v>0</v>
      </c>
      <c r="K37" s="90">
        <f>B46</f>
        <v>0</v>
      </c>
      <c r="L37" s="90">
        <f>B47</f>
        <v>1</v>
      </c>
      <c r="M37" s="52">
        <f>B48</f>
        <v>0</v>
      </c>
      <c r="N37" s="90">
        <f>B49</f>
        <v>0</v>
      </c>
      <c r="O37" s="90">
        <f>B50</f>
        <v>0</v>
      </c>
      <c r="P37" s="90">
        <f>B51</f>
        <v>0</v>
      </c>
      <c r="Q37" s="90">
        <f>B52</f>
        <v>0</v>
      </c>
      <c r="R37" s="90">
        <f>B53</f>
        <v>1</v>
      </c>
    </row>
    <row r="38" spans="1:18" ht="15.75" thickBot="1">
      <c r="A38" s="68"/>
      <c r="D38" s="103">
        <v>1</v>
      </c>
      <c r="E38" s="103">
        <f>D38+1</f>
        <v>2</v>
      </c>
      <c r="F38" s="103">
        <f t="shared" ref="F38:R38" si="0">E38+1</f>
        <v>3</v>
      </c>
      <c r="G38" s="103">
        <f t="shared" si="0"/>
        <v>4</v>
      </c>
      <c r="H38" s="104">
        <f t="shared" si="0"/>
        <v>5</v>
      </c>
      <c r="I38" s="103">
        <f t="shared" si="0"/>
        <v>6</v>
      </c>
      <c r="J38" s="103">
        <f t="shared" si="0"/>
        <v>7</v>
      </c>
      <c r="K38" s="103">
        <f t="shared" si="0"/>
        <v>8</v>
      </c>
      <c r="L38" s="103">
        <f t="shared" si="0"/>
        <v>9</v>
      </c>
      <c r="M38" s="104">
        <f t="shared" si="0"/>
        <v>10</v>
      </c>
      <c r="N38" s="103">
        <f t="shared" si="0"/>
        <v>11</v>
      </c>
      <c r="O38" s="103">
        <f t="shared" si="0"/>
        <v>12</v>
      </c>
      <c r="P38" s="103">
        <f t="shared" si="0"/>
        <v>13</v>
      </c>
      <c r="Q38" s="103">
        <f t="shared" si="0"/>
        <v>14</v>
      </c>
      <c r="R38" s="103">
        <f t="shared" si="0"/>
        <v>15</v>
      </c>
    </row>
    <row r="39" spans="1:18">
      <c r="A39" s="15" t="s">
        <v>1</v>
      </c>
      <c r="B39" s="100"/>
      <c r="C39" s="103">
        <v>1</v>
      </c>
      <c r="D39">
        <f>IF(AND($B39=1,D$37=0),1,0)</f>
        <v>0</v>
      </c>
      <c r="E39">
        <f t="shared" ref="E39:R53" si="1">IF(AND($B39=1,E$37=0),1,0)</f>
        <v>0</v>
      </c>
      <c r="F39">
        <f t="shared" si="1"/>
        <v>0</v>
      </c>
      <c r="G39">
        <f t="shared" si="1"/>
        <v>0</v>
      </c>
      <c r="H39" s="68">
        <f t="shared" si="1"/>
        <v>0</v>
      </c>
      <c r="I39">
        <f t="shared" si="1"/>
        <v>0</v>
      </c>
      <c r="J39">
        <f t="shared" si="1"/>
        <v>0</v>
      </c>
      <c r="K39">
        <f t="shared" si="1"/>
        <v>0</v>
      </c>
      <c r="L39">
        <f t="shared" si="1"/>
        <v>0</v>
      </c>
      <c r="M39" s="68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  <c r="Q39">
        <f t="shared" si="1"/>
        <v>0</v>
      </c>
      <c r="R39">
        <f t="shared" si="1"/>
        <v>0</v>
      </c>
    </row>
    <row r="40" spans="1:18">
      <c r="A40" s="15" t="s">
        <v>5</v>
      </c>
      <c r="B40" s="101"/>
      <c r="C40" s="103">
        <f>C39+1</f>
        <v>2</v>
      </c>
      <c r="D40">
        <f t="shared" ref="D40:R53" si="2">IF(AND($B40=1,D$37=0),1,0)</f>
        <v>0</v>
      </c>
      <c r="E40">
        <f t="shared" si="1"/>
        <v>0</v>
      </c>
      <c r="F40">
        <f t="shared" si="1"/>
        <v>0</v>
      </c>
      <c r="G40">
        <f t="shared" si="1"/>
        <v>0</v>
      </c>
      <c r="H40" s="68">
        <f t="shared" si="1"/>
        <v>0</v>
      </c>
      <c r="I40">
        <f t="shared" si="1"/>
        <v>0</v>
      </c>
      <c r="J40">
        <f t="shared" si="1"/>
        <v>0</v>
      </c>
      <c r="K40">
        <f t="shared" si="1"/>
        <v>0</v>
      </c>
      <c r="L40">
        <f t="shared" si="1"/>
        <v>0</v>
      </c>
      <c r="M40" s="68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  <c r="Q40">
        <f t="shared" si="1"/>
        <v>0</v>
      </c>
      <c r="R40">
        <f t="shared" si="1"/>
        <v>0</v>
      </c>
    </row>
    <row r="41" spans="1:18">
      <c r="A41" s="15" t="s">
        <v>2</v>
      </c>
      <c r="B41" s="101">
        <v>1</v>
      </c>
      <c r="C41" s="103">
        <f t="shared" ref="C41:C53" si="3">C40+1</f>
        <v>3</v>
      </c>
      <c r="D41">
        <f t="shared" si="2"/>
        <v>1</v>
      </c>
      <c r="E41">
        <f t="shared" si="1"/>
        <v>1</v>
      </c>
      <c r="F41">
        <f t="shared" si="1"/>
        <v>0</v>
      </c>
      <c r="G41">
        <f t="shared" si="1"/>
        <v>1</v>
      </c>
      <c r="H41" s="68">
        <f t="shared" si="1"/>
        <v>0</v>
      </c>
      <c r="I41">
        <f t="shared" si="1"/>
        <v>1</v>
      </c>
      <c r="J41">
        <f t="shared" si="1"/>
        <v>1</v>
      </c>
      <c r="K41">
        <f t="shared" si="1"/>
        <v>1</v>
      </c>
      <c r="L41">
        <f t="shared" si="1"/>
        <v>0</v>
      </c>
      <c r="M41" s="68">
        <f t="shared" si="1"/>
        <v>1</v>
      </c>
      <c r="N41">
        <f t="shared" si="1"/>
        <v>1</v>
      </c>
      <c r="O41">
        <f t="shared" si="1"/>
        <v>1</v>
      </c>
      <c r="P41">
        <f t="shared" si="1"/>
        <v>1</v>
      </c>
      <c r="Q41">
        <f t="shared" si="1"/>
        <v>1</v>
      </c>
      <c r="R41">
        <f t="shared" si="1"/>
        <v>0</v>
      </c>
    </row>
    <row r="42" spans="1:18">
      <c r="A42" s="15" t="s">
        <v>4</v>
      </c>
      <c r="B42" s="101"/>
      <c r="C42" s="103">
        <f t="shared" si="3"/>
        <v>4</v>
      </c>
      <c r="D42">
        <f t="shared" si="2"/>
        <v>0</v>
      </c>
      <c r="E42">
        <f t="shared" si="1"/>
        <v>0</v>
      </c>
      <c r="F42">
        <f t="shared" si="1"/>
        <v>0</v>
      </c>
      <c r="G42">
        <f t="shared" si="1"/>
        <v>0</v>
      </c>
      <c r="H42" s="68">
        <f t="shared" si="1"/>
        <v>0</v>
      </c>
      <c r="I42">
        <f t="shared" si="1"/>
        <v>0</v>
      </c>
      <c r="J42">
        <f t="shared" si="1"/>
        <v>0</v>
      </c>
      <c r="K42">
        <f t="shared" si="1"/>
        <v>0</v>
      </c>
      <c r="L42">
        <f t="shared" si="1"/>
        <v>0</v>
      </c>
      <c r="M42" s="68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  <c r="Q42">
        <f t="shared" si="1"/>
        <v>0</v>
      </c>
      <c r="R42">
        <f t="shared" si="1"/>
        <v>0</v>
      </c>
    </row>
    <row r="43" spans="1:18" ht="15.75" thickBot="1">
      <c r="A43" s="55" t="s">
        <v>3</v>
      </c>
      <c r="B43" s="102">
        <v>1</v>
      </c>
      <c r="C43" s="105">
        <f t="shared" si="3"/>
        <v>5</v>
      </c>
      <c r="D43" s="55">
        <f t="shared" si="2"/>
        <v>1</v>
      </c>
      <c r="E43" s="55">
        <f t="shared" si="1"/>
        <v>1</v>
      </c>
      <c r="F43" s="55">
        <f t="shared" si="1"/>
        <v>0</v>
      </c>
      <c r="G43" s="55">
        <f t="shared" si="1"/>
        <v>1</v>
      </c>
      <c r="H43" s="72">
        <f t="shared" si="1"/>
        <v>0</v>
      </c>
      <c r="I43" s="55">
        <f t="shared" si="1"/>
        <v>1</v>
      </c>
      <c r="J43" s="55">
        <f t="shared" si="1"/>
        <v>1</v>
      </c>
      <c r="K43" s="55">
        <f t="shared" si="1"/>
        <v>1</v>
      </c>
      <c r="L43" s="55">
        <f t="shared" si="1"/>
        <v>0</v>
      </c>
      <c r="M43" s="72">
        <f t="shared" si="1"/>
        <v>1</v>
      </c>
      <c r="N43" s="55">
        <f t="shared" si="1"/>
        <v>1</v>
      </c>
      <c r="O43" s="55">
        <f t="shared" si="1"/>
        <v>1</v>
      </c>
      <c r="P43" s="55">
        <f t="shared" si="1"/>
        <v>1</v>
      </c>
      <c r="Q43" s="55">
        <f t="shared" si="1"/>
        <v>1</v>
      </c>
      <c r="R43" s="55">
        <f t="shared" si="1"/>
        <v>0</v>
      </c>
    </row>
    <row r="44" spans="1:18">
      <c r="A44" s="15" t="s">
        <v>13</v>
      </c>
      <c r="B44" s="101"/>
      <c r="C44" s="103">
        <f t="shared" si="3"/>
        <v>6</v>
      </c>
      <c r="D44">
        <f t="shared" si="2"/>
        <v>0</v>
      </c>
      <c r="E44">
        <f t="shared" si="1"/>
        <v>0</v>
      </c>
      <c r="F44">
        <f t="shared" si="1"/>
        <v>0</v>
      </c>
      <c r="G44">
        <f t="shared" si="1"/>
        <v>0</v>
      </c>
      <c r="H44" s="68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>
        <f t="shared" si="1"/>
        <v>0</v>
      </c>
      <c r="M44" s="68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  <c r="Q44">
        <f t="shared" si="1"/>
        <v>0</v>
      </c>
      <c r="R44">
        <f t="shared" si="1"/>
        <v>0</v>
      </c>
    </row>
    <row r="45" spans="1:18">
      <c r="A45" s="15" t="s">
        <v>12</v>
      </c>
      <c r="B45" s="101"/>
      <c r="C45" s="103">
        <f t="shared" si="3"/>
        <v>7</v>
      </c>
      <c r="D45">
        <f t="shared" si="2"/>
        <v>0</v>
      </c>
      <c r="E45">
        <f t="shared" si="1"/>
        <v>0</v>
      </c>
      <c r="F45">
        <f t="shared" si="1"/>
        <v>0</v>
      </c>
      <c r="G45">
        <f t="shared" si="1"/>
        <v>0</v>
      </c>
      <c r="H45" s="68">
        <f t="shared" si="1"/>
        <v>0</v>
      </c>
      <c r="I45">
        <f t="shared" si="1"/>
        <v>0</v>
      </c>
      <c r="J45">
        <f t="shared" si="1"/>
        <v>0</v>
      </c>
      <c r="K45">
        <f t="shared" si="1"/>
        <v>0</v>
      </c>
      <c r="L45">
        <f t="shared" si="1"/>
        <v>0</v>
      </c>
      <c r="M45" s="68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  <c r="Q45">
        <f t="shared" si="1"/>
        <v>0</v>
      </c>
      <c r="R45">
        <f t="shared" si="1"/>
        <v>0</v>
      </c>
    </row>
    <row r="46" spans="1:18">
      <c r="A46" s="15" t="s">
        <v>10</v>
      </c>
      <c r="B46" s="101"/>
      <c r="C46" s="103">
        <f t="shared" si="3"/>
        <v>8</v>
      </c>
      <c r="D46">
        <f t="shared" si="2"/>
        <v>0</v>
      </c>
      <c r="E46">
        <f t="shared" si="1"/>
        <v>0</v>
      </c>
      <c r="F46">
        <f t="shared" si="1"/>
        <v>0</v>
      </c>
      <c r="G46">
        <f t="shared" si="1"/>
        <v>0</v>
      </c>
      <c r="H46" s="68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 s="68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</row>
    <row r="47" spans="1:18">
      <c r="A47" s="15" t="s">
        <v>11</v>
      </c>
      <c r="B47" s="101">
        <v>1</v>
      </c>
      <c r="C47" s="103">
        <f t="shared" si="3"/>
        <v>9</v>
      </c>
      <c r="D47">
        <f t="shared" si="2"/>
        <v>1</v>
      </c>
      <c r="E47">
        <f t="shared" si="1"/>
        <v>1</v>
      </c>
      <c r="F47">
        <f t="shared" si="1"/>
        <v>0</v>
      </c>
      <c r="G47">
        <f t="shared" si="1"/>
        <v>1</v>
      </c>
      <c r="H47" s="68">
        <f t="shared" si="1"/>
        <v>0</v>
      </c>
      <c r="I47">
        <f t="shared" si="1"/>
        <v>1</v>
      </c>
      <c r="J47">
        <f t="shared" si="1"/>
        <v>1</v>
      </c>
      <c r="K47">
        <f t="shared" si="1"/>
        <v>1</v>
      </c>
      <c r="L47">
        <f t="shared" si="1"/>
        <v>0</v>
      </c>
      <c r="M47" s="68">
        <f t="shared" si="1"/>
        <v>1</v>
      </c>
      <c r="N47">
        <f t="shared" si="1"/>
        <v>1</v>
      </c>
      <c r="O47">
        <f t="shared" si="1"/>
        <v>1</v>
      </c>
      <c r="P47">
        <f t="shared" si="1"/>
        <v>1</v>
      </c>
      <c r="Q47">
        <f t="shared" si="1"/>
        <v>1</v>
      </c>
      <c r="R47">
        <f t="shared" si="1"/>
        <v>0</v>
      </c>
    </row>
    <row r="48" spans="1:18" ht="15.75" thickBot="1">
      <c r="A48" s="55" t="s">
        <v>14</v>
      </c>
      <c r="B48" s="102"/>
      <c r="C48" s="105">
        <f t="shared" si="3"/>
        <v>10</v>
      </c>
      <c r="D48" s="55">
        <f t="shared" si="2"/>
        <v>0</v>
      </c>
      <c r="E48" s="55">
        <f t="shared" si="1"/>
        <v>0</v>
      </c>
      <c r="F48" s="55">
        <f t="shared" si="1"/>
        <v>0</v>
      </c>
      <c r="G48" s="55">
        <f t="shared" si="1"/>
        <v>0</v>
      </c>
      <c r="H48" s="72">
        <f t="shared" si="1"/>
        <v>0</v>
      </c>
      <c r="I48" s="55">
        <f t="shared" si="1"/>
        <v>0</v>
      </c>
      <c r="J48" s="55">
        <f t="shared" si="1"/>
        <v>0</v>
      </c>
      <c r="K48" s="55">
        <f t="shared" si="1"/>
        <v>0</v>
      </c>
      <c r="L48" s="55">
        <f t="shared" si="1"/>
        <v>0</v>
      </c>
      <c r="M48" s="72">
        <f t="shared" si="1"/>
        <v>0</v>
      </c>
      <c r="N48" s="55">
        <f t="shared" si="1"/>
        <v>0</v>
      </c>
      <c r="O48" s="55">
        <f t="shared" si="1"/>
        <v>0</v>
      </c>
      <c r="P48" s="55">
        <f t="shared" si="1"/>
        <v>0</v>
      </c>
      <c r="Q48" s="55">
        <f t="shared" si="1"/>
        <v>0</v>
      </c>
      <c r="R48" s="55">
        <f t="shared" si="1"/>
        <v>0</v>
      </c>
    </row>
    <row r="49" spans="1:18">
      <c r="A49" s="15" t="s">
        <v>19</v>
      </c>
      <c r="B49" s="101"/>
      <c r="C49" s="103">
        <f t="shared" si="3"/>
        <v>11</v>
      </c>
      <c r="D49">
        <f t="shared" si="2"/>
        <v>0</v>
      </c>
      <c r="E49">
        <f t="shared" si="1"/>
        <v>0</v>
      </c>
      <c r="F49">
        <f t="shared" si="1"/>
        <v>0</v>
      </c>
      <c r="G49">
        <f t="shared" si="1"/>
        <v>0</v>
      </c>
      <c r="H49" s="68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 s="68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</row>
    <row r="50" spans="1:18">
      <c r="A50" s="15" t="s">
        <v>16</v>
      </c>
      <c r="B50" s="101"/>
      <c r="C50" s="103">
        <f t="shared" si="3"/>
        <v>12</v>
      </c>
      <c r="D50">
        <f t="shared" si="2"/>
        <v>0</v>
      </c>
      <c r="E50">
        <f t="shared" si="1"/>
        <v>0</v>
      </c>
      <c r="F50">
        <f t="shared" si="1"/>
        <v>0</v>
      </c>
      <c r="G50">
        <f t="shared" si="1"/>
        <v>0</v>
      </c>
      <c r="H50" s="68">
        <f t="shared" si="1"/>
        <v>0</v>
      </c>
      <c r="I50">
        <f t="shared" si="1"/>
        <v>0</v>
      </c>
      <c r="J50">
        <f t="shared" si="1"/>
        <v>0</v>
      </c>
      <c r="K50">
        <f t="shared" si="1"/>
        <v>0</v>
      </c>
      <c r="L50">
        <f t="shared" si="1"/>
        <v>0</v>
      </c>
      <c r="M50" s="68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  <c r="Q50">
        <f t="shared" si="1"/>
        <v>0</v>
      </c>
      <c r="R50">
        <f t="shared" si="1"/>
        <v>0</v>
      </c>
    </row>
    <row r="51" spans="1:18">
      <c r="A51" s="15" t="s">
        <v>17</v>
      </c>
      <c r="B51" s="101"/>
      <c r="C51" s="103">
        <f t="shared" si="3"/>
        <v>13</v>
      </c>
      <c r="D51">
        <f t="shared" si="2"/>
        <v>0</v>
      </c>
      <c r="E51">
        <f t="shared" si="1"/>
        <v>0</v>
      </c>
      <c r="F51">
        <f t="shared" si="1"/>
        <v>0</v>
      </c>
      <c r="G51">
        <f t="shared" si="1"/>
        <v>0</v>
      </c>
      <c r="H51" s="68">
        <f t="shared" si="1"/>
        <v>0</v>
      </c>
      <c r="I51">
        <f t="shared" si="1"/>
        <v>0</v>
      </c>
      <c r="J51">
        <f t="shared" si="1"/>
        <v>0</v>
      </c>
      <c r="K51">
        <f t="shared" si="1"/>
        <v>0</v>
      </c>
      <c r="L51">
        <f t="shared" si="1"/>
        <v>0</v>
      </c>
      <c r="M51" s="68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0</v>
      </c>
    </row>
    <row r="52" spans="1:18">
      <c r="A52" s="15" t="s">
        <v>18</v>
      </c>
      <c r="B52" s="101"/>
      <c r="C52" s="103">
        <f t="shared" si="3"/>
        <v>14</v>
      </c>
      <c r="D52">
        <f t="shared" si="2"/>
        <v>0</v>
      </c>
      <c r="E52">
        <f t="shared" si="1"/>
        <v>0</v>
      </c>
      <c r="F52">
        <f t="shared" si="1"/>
        <v>0</v>
      </c>
      <c r="G52">
        <f t="shared" si="1"/>
        <v>0</v>
      </c>
      <c r="H52" s="68">
        <f t="shared" si="1"/>
        <v>0</v>
      </c>
      <c r="I52">
        <f t="shared" si="1"/>
        <v>0</v>
      </c>
      <c r="J52">
        <f t="shared" si="1"/>
        <v>0</v>
      </c>
      <c r="K52">
        <f t="shared" si="1"/>
        <v>0</v>
      </c>
      <c r="L52">
        <f t="shared" si="1"/>
        <v>0</v>
      </c>
      <c r="M52" s="68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</row>
    <row r="53" spans="1:18" ht="15.75" thickBot="1">
      <c r="A53" s="15" t="s">
        <v>20</v>
      </c>
      <c r="B53" s="102">
        <v>1</v>
      </c>
      <c r="C53" s="103">
        <f t="shared" si="3"/>
        <v>15</v>
      </c>
      <c r="D53">
        <f t="shared" si="2"/>
        <v>1</v>
      </c>
      <c r="E53">
        <f t="shared" si="1"/>
        <v>1</v>
      </c>
      <c r="F53">
        <f t="shared" si="1"/>
        <v>0</v>
      </c>
      <c r="G53">
        <f t="shared" si="1"/>
        <v>1</v>
      </c>
      <c r="H53" s="68">
        <f t="shared" si="1"/>
        <v>0</v>
      </c>
      <c r="I53">
        <f t="shared" si="1"/>
        <v>1</v>
      </c>
      <c r="J53">
        <f t="shared" si="1"/>
        <v>1</v>
      </c>
      <c r="K53">
        <f t="shared" si="1"/>
        <v>1</v>
      </c>
      <c r="L53">
        <f t="shared" si="1"/>
        <v>0</v>
      </c>
      <c r="M53" s="68">
        <f t="shared" si="1"/>
        <v>1</v>
      </c>
      <c r="N53">
        <f t="shared" si="1"/>
        <v>1</v>
      </c>
      <c r="O53">
        <f t="shared" si="1"/>
        <v>1</v>
      </c>
      <c r="P53">
        <f t="shared" si="1"/>
        <v>1</v>
      </c>
      <c r="Q53">
        <f t="shared" si="1"/>
        <v>1</v>
      </c>
      <c r="R53">
        <f t="shared" si="1"/>
        <v>0</v>
      </c>
    </row>
    <row r="54" spans="1:18">
      <c r="B54">
        <f>SUM(B39:B53)</f>
        <v>4</v>
      </c>
    </row>
    <row r="56" spans="1:18">
      <c r="D56">
        <v>1</v>
      </c>
      <c r="E56">
        <f>D56+1</f>
        <v>2</v>
      </c>
      <c r="F56">
        <f t="shared" ref="F56:R56" si="4">E56+1</f>
        <v>3</v>
      </c>
      <c r="G56">
        <f t="shared" si="4"/>
        <v>4</v>
      </c>
      <c r="H56" s="68">
        <f t="shared" si="4"/>
        <v>5</v>
      </c>
      <c r="I56">
        <f t="shared" si="4"/>
        <v>6</v>
      </c>
      <c r="J56">
        <f t="shared" si="4"/>
        <v>7</v>
      </c>
      <c r="K56">
        <f t="shared" si="4"/>
        <v>8</v>
      </c>
      <c r="L56">
        <f t="shared" si="4"/>
        <v>9</v>
      </c>
      <c r="M56" s="68">
        <f t="shared" si="4"/>
        <v>10</v>
      </c>
      <c r="N56">
        <f t="shared" si="4"/>
        <v>11</v>
      </c>
      <c r="O56">
        <f t="shared" si="4"/>
        <v>12</v>
      </c>
      <c r="P56">
        <f t="shared" si="4"/>
        <v>13</v>
      </c>
      <c r="Q56">
        <f t="shared" si="4"/>
        <v>14</v>
      </c>
      <c r="R56">
        <f t="shared" si="4"/>
        <v>15</v>
      </c>
    </row>
    <row r="57" spans="1:18">
      <c r="C57">
        <v>1</v>
      </c>
      <c r="D57" s="82" t="str">
        <f>IF(D39=1,B2,"")</f>
        <v/>
      </c>
      <c r="E57" s="82" t="str">
        <f>IF(E39=1,C2,"")</f>
        <v/>
      </c>
      <c r="F57" s="82"/>
      <c r="G57" s="82" t="str">
        <f>IF(G39=1,E2,"")</f>
        <v/>
      </c>
      <c r="H57" s="92" t="str">
        <f>IF(H39=1,F2,"")</f>
        <v/>
      </c>
      <c r="I57" s="82" t="str">
        <f>IF(I39=1,G2,"")</f>
        <v/>
      </c>
      <c r="J57" s="82" t="str">
        <f>IF(J39=1,H2,"")</f>
        <v/>
      </c>
      <c r="K57" s="82" t="str">
        <f>IF(K39=1,I2,"")</f>
        <v/>
      </c>
      <c r="L57" s="82" t="str">
        <f>IF(L39=1,J2,"")</f>
        <v/>
      </c>
      <c r="M57" s="92" t="str">
        <f>IF(M39=1,K2,"")</f>
        <v/>
      </c>
      <c r="N57" s="82" t="str">
        <f>IF(N39=1,L2,"")</f>
        <v/>
      </c>
      <c r="O57" s="82" t="str">
        <f>IF(O39=1,M2,"")</f>
        <v/>
      </c>
      <c r="P57" s="82" t="str">
        <f>IF(P39=1,N2,"")</f>
        <v/>
      </c>
      <c r="Q57" s="82" t="str">
        <f>IF(Q39=1,O2,"")</f>
        <v/>
      </c>
      <c r="R57" s="82" t="str">
        <f>IF(R39=1,P2,"")</f>
        <v/>
      </c>
    </row>
    <row r="58" spans="1:18">
      <c r="C58">
        <f>C57+1</f>
        <v>2</v>
      </c>
      <c r="D58" s="82" t="str">
        <f>IF(D40=1,B3,"")</f>
        <v/>
      </c>
      <c r="E58" s="82" t="str">
        <f>IF(E40=1,C3,"")</f>
        <v/>
      </c>
      <c r="F58" s="82"/>
      <c r="G58" s="82" t="str">
        <f>IF(G40=1,E3,"")</f>
        <v/>
      </c>
      <c r="H58" s="92" t="str">
        <f>IF(H40=1,F3,"")</f>
        <v/>
      </c>
      <c r="I58" s="82" t="str">
        <f>IF(I40=1,G3,"")</f>
        <v/>
      </c>
      <c r="J58" s="82" t="str">
        <f>IF(J40=1,H3,"")</f>
        <v/>
      </c>
      <c r="K58" s="82" t="str">
        <f>IF(K40=1,I3,"")</f>
        <v/>
      </c>
      <c r="L58" s="82" t="str">
        <f>IF(L40=1,J3,"")</f>
        <v/>
      </c>
      <c r="M58" s="92" t="str">
        <f>IF(M40=1,K3,"")</f>
        <v/>
      </c>
      <c r="N58" s="82" t="str">
        <f>IF(N40=1,L3,"")</f>
        <v/>
      </c>
      <c r="O58" s="82" t="str">
        <f>IF(O40=1,M3,"")</f>
        <v/>
      </c>
      <c r="P58" s="82" t="str">
        <f>IF(P40=1,N3,"")</f>
        <v/>
      </c>
      <c r="Q58" s="82" t="str">
        <f>IF(Q40=1,O3,"")</f>
        <v/>
      </c>
      <c r="R58" s="82" t="str">
        <f>IF(R40=1,P3,"")</f>
        <v/>
      </c>
    </row>
    <row r="59" spans="1:18">
      <c r="C59">
        <f t="shared" ref="C59:C71" si="5">C58+1</f>
        <v>3</v>
      </c>
      <c r="D59" s="82">
        <f>IF(D41=1,B4,"")</f>
        <v>0.47368421100000002</v>
      </c>
      <c r="E59" s="82">
        <f>IF(E41=1,C4,"")</f>
        <v>0.57894736800000002</v>
      </c>
      <c r="F59" s="82" t="str">
        <f>IF(F41=1,D4,"")</f>
        <v/>
      </c>
      <c r="G59" s="82">
        <f>IF(G41=1,E4,"")</f>
        <v>0.63157894699999995</v>
      </c>
      <c r="H59" s="92" t="str">
        <f>IF(H41=1,F4,"")</f>
        <v/>
      </c>
      <c r="I59" s="82">
        <f>IF(I41=1,G4,"")</f>
        <v>0.71428571399999996</v>
      </c>
      <c r="J59" s="82">
        <f>IF(J41=1,H4,"")</f>
        <v>0.28571428599999998</v>
      </c>
      <c r="K59" s="82">
        <f>IF(K41=1,I4,"")</f>
        <v>0.71428571399999996</v>
      </c>
      <c r="L59" s="82" t="str">
        <f>IF(L41=1,J4,"")</f>
        <v/>
      </c>
      <c r="M59" s="92">
        <f>IF(M41=1,K4,"")</f>
        <v>0.83333333300000001</v>
      </c>
      <c r="N59" s="82">
        <f>IF(N41=1,L4,"")</f>
        <v>0.42857142857142855</v>
      </c>
      <c r="O59" s="82">
        <f>IF(O41=1,M4,"")</f>
        <v>0.66666666666666663</v>
      </c>
      <c r="P59" s="82">
        <f>IF(P41=1,N4,"")</f>
        <v>0.42857142857142855</v>
      </c>
      <c r="Q59" s="82">
        <f>IF(Q41=1,O4,"")</f>
        <v>0.83333333333333337</v>
      </c>
      <c r="R59" s="82" t="str">
        <f>IF(R41=1,P4,"")</f>
        <v/>
      </c>
    </row>
    <row r="60" spans="1:18">
      <c r="C60">
        <f t="shared" si="5"/>
        <v>4</v>
      </c>
      <c r="D60" s="82" t="str">
        <f>IF(D42=1,B5,"")</f>
        <v/>
      </c>
      <c r="E60" s="82" t="str">
        <f>IF(E42=1,C5,"")</f>
        <v/>
      </c>
      <c r="F60" s="82" t="str">
        <f>IF(F42=1,D5,"")</f>
        <v/>
      </c>
      <c r="G60" s="82" t="str">
        <f>IF(G42=1,E5,"")</f>
        <v/>
      </c>
      <c r="H60" s="92" t="str">
        <f>IF(H42=1,F5,"")</f>
        <v/>
      </c>
      <c r="I60" s="82" t="str">
        <f>IF(I42=1,G5,"")</f>
        <v/>
      </c>
      <c r="J60" s="82" t="str">
        <f>IF(J42=1,H5,"")</f>
        <v/>
      </c>
      <c r="K60" s="82" t="str">
        <f>IF(K42=1,I5,"")</f>
        <v/>
      </c>
      <c r="L60" s="82" t="str">
        <f>IF(L42=1,J5,"")</f>
        <v/>
      </c>
      <c r="M60" s="92" t="str">
        <f>IF(M42=1,K5,"")</f>
        <v/>
      </c>
      <c r="N60" s="82" t="str">
        <f>IF(N42=1,L5,"")</f>
        <v/>
      </c>
      <c r="O60" s="82" t="str">
        <f>IF(O42=1,M5,"")</f>
        <v/>
      </c>
      <c r="P60" s="82" t="str">
        <f>IF(P42=1,N5,"")</f>
        <v/>
      </c>
      <c r="Q60" s="82" t="str">
        <f>IF(Q42=1,O5,"")</f>
        <v/>
      </c>
      <c r="R60" s="82" t="str">
        <f>IF(R42=1,P5,"")</f>
        <v/>
      </c>
    </row>
    <row r="61" spans="1:18" ht="15.75" thickBot="1">
      <c r="C61">
        <f t="shared" si="5"/>
        <v>5</v>
      </c>
      <c r="D61" s="93">
        <f>IF(D43=1,B6,"")</f>
        <v>0.57894736800000002</v>
      </c>
      <c r="E61" s="93">
        <f>IF(E43=1,C6,"")</f>
        <v>0.47368421100000002</v>
      </c>
      <c r="F61" s="93" t="str">
        <f>IF(F43=1,D6,"")</f>
        <v/>
      </c>
      <c r="G61" s="93">
        <f>IF(G43=1,E6,"")</f>
        <v>0.47368421100000002</v>
      </c>
      <c r="H61" s="94" t="str">
        <f>IF(H43=1,F6,"")</f>
        <v/>
      </c>
      <c r="I61" s="93">
        <f>IF(I43=1,G6,"")</f>
        <v>0.428571429</v>
      </c>
      <c r="J61" s="93">
        <f>IF(J43=1,H6,"")</f>
        <v>0.571428571</v>
      </c>
      <c r="K61" s="93">
        <f>IF(K43=1,I6,"")</f>
        <v>0.66666666699999999</v>
      </c>
      <c r="L61" s="93" t="str">
        <f>IF(L43=1,J6,"")</f>
        <v/>
      </c>
      <c r="M61" s="94">
        <f>IF(M43=1,K6,"")</f>
        <v>0.71428571399999996</v>
      </c>
      <c r="N61" s="93">
        <f>IF(N43=1,L6,"")</f>
        <v>0.42857142857142855</v>
      </c>
      <c r="O61" s="93">
        <f>IF(O43=1,M6,"")</f>
        <v>0.7142857142857143</v>
      </c>
      <c r="P61" s="93">
        <f>IF(P43=1,N6,"")</f>
        <v>0.83333333333333337</v>
      </c>
      <c r="Q61" s="93">
        <f>IF(Q43=1,O6,"")</f>
        <v>0.33333333333333331</v>
      </c>
      <c r="R61" s="93" t="str">
        <f>IF(R43=1,P6,"")</f>
        <v/>
      </c>
    </row>
    <row r="62" spans="1:18">
      <c r="C62">
        <f t="shared" si="5"/>
        <v>6</v>
      </c>
      <c r="D62" s="82" t="str">
        <f>IF(D44=1,B7,"")</f>
        <v/>
      </c>
      <c r="E62" s="82" t="str">
        <f>IF(E44=1,C7,"")</f>
        <v/>
      </c>
      <c r="F62" s="82" t="str">
        <f>IF(F44=1,D7,"")</f>
        <v/>
      </c>
      <c r="G62" s="82" t="str">
        <f>IF(G44=1,E7,"")</f>
        <v/>
      </c>
      <c r="H62" s="92" t="str">
        <f>IF(H44=1,F7,"")</f>
        <v/>
      </c>
      <c r="I62" s="82" t="str">
        <f>IF(I44=1,G7,"")</f>
        <v/>
      </c>
      <c r="J62" s="82" t="str">
        <f>IF(J44=1,H7,"")</f>
        <v/>
      </c>
      <c r="K62" s="82" t="str">
        <f>IF(K44=1,I7,"")</f>
        <v/>
      </c>
      <c r="L62" s="82" t="str">
        <f>IF(L44=1,J7,"")</f>
        <v/>
      </c>
      <c r="M62" s="92" t="str">
        <f>IF(M44=1,K7,"")</f>
        <v/>
      </c>
      <c r="N62" s="82" t="str">
        <f>IF(N44=1,L7,"")</f>
        <v/>
      </c>
      <c r="O62" s="82" t="str">
        <f>IF(O44=1,M7,"")</f>
        <v/>
      </c>
      <c r="P62" s="82" t="str">
        <f>IF(P44=1,N7,"")</f>
        <v/>
      </c>
      <c r="Q62" s="82" t="str">
        <f>IF(Q44=1,O7,"")</f>
        <v/>
      </c>
      <c r="R62" s="82" t="str">
        <f>IF(R44=1,P7,"")</f>
        <v/>
      </c>
    </row>
    <row r="63" spans="1:18">
      <c r="C63">
        <f t="shared" si="5"/>
        <v>7</v>
      </c>
      <c r="D63" s="82" t="str">
        <f>IF(D45=1,B8,"")</f>
        <v/>
      </c>
      <c r="E63" s="82" t="str">
        <f>IF(E45=1,C8,"")</f>
        <v/>
      </c>
      <c r="F63" s="82" t="str">
        <f>IF(F45=1,D8,"")</f>
        <v/>
      </c>
      <c r="G63" s="82" t="str">
        <f>IF(G45=1,E8,"")</f>
        <v/>
      </c>
      <c r="H63" s="92" t="str">
        <f>IF(H45=1,F8,"")</f>
        <v/>
      </c>
      <c r="I63" s="82" t="str">
        <f>IF(I45=1,G8,"")</f>
        <v/>
      </c>
      <c r="J63" s="82" t="str">
        <f>IF(J45=1,H8,"")</f>
        <v/>
      </c>
      <c r="K63" s="82" t="str">
        <f>IF(K45=1,I8,"")</f>
        <v/>
      </c>
      <c r="L63" s="82" t="str">
        <f>IF(L45=1,J8,"")</f>
        <v/>
      </c>
      <c r="M63" s="92" t="str">
        <f>IF(M45=1,K8,"")</f>
        <v/>
      </c>
      <c r="N63" s="82" t="str">
        <f>IF(N45=1,L8,"")</f>
        <v/>
      </c>
      <c r="O63" s="82" t="str">
        <f>IF(O45=1,M8,"")</f>
        <v/>
      </c>
      <c r="P63" s="82" t="str">
        <f>IF(P45=1,N8,"")</f>
        <v/>
      </c>
      <c r="Q63" s="82" t="str">
        <f>IF(Q45=1,O8,"")</f>
        <v/>
      </c>
      <c r="R63" s="82" t="str">
        <f>IF(R45=1,P8,"")</f>
        <v/>
      </c>
    </row>
    <row r="64" spans="1:18">
      <c r="C64">
        <f t="shared" si="5"/>
        <v>8</v>
      </c>
      <c r="D64" s="82" t="str">
        <f>IF(D46=1,B9,"")</f>
        <v/>
      </c>
      <c r="E64" s="82" t="str">
        <f>IF(E46=1,C9,"")</f>
        <v/>
      </c>
      <c r="F64" s="82" t="str">
        <f>IF(F46=1,D9,"")</f>
        <v/>
      </c>
      <c r="G64" s="82" t="str">
        <f>IF(G46=1,E9,"")</f>
        <v/>
      </c>
      <c r="H64" s="92" t="str">
        <f>IF(H46=1,F9,"")</f>
        <v/>
      </c>
      <c r="I64" s="82" t="str">
        <f>IF(I46=1,G9,"")</f>
        <v/>
      </c>
      <c r="J64" s="82" t="str">
        <f>IF(J46=1,H9,"")</f>
        <v/>
      </c>
      <c r="K64" s="82" t="str">
        <f>IF(K46=1,I9,"")</f>
        <v/>
      </c>
      <c r="L64" s="82" t="str">
        <f>IF(L46=1,J9,"")</f>
        <v/>
      </c>
      <c r="M64" s="92" t="str">
        <f>IF(M46=1,K9,"")</f>
        <v/>
      </c>
      <c r="N64" s="82" t="str">
        <f>IF(N46=1,L9,"")</f>
        <v/>
      </c>
      <c r="O64" s="82" t="str">
        <f>IF(O46=1,M9,"")</f>
        <v/>
      </c>
      <c r="P64" s="82" t="str">
        <f>IF(P46=1,N9,"")</f>
        <v/>
      </c>
      <c r="Q64" s="82" t="str">
        <f>IF(Q46=1,O9,"")</f>
        <v/>
      </c>
      <c r="R64" s="82" t="str">
        <f>IF(R46=1,P9,"")</f>
        <v/>
      </c>
    </row>
    <row r="65" spans="3:20">
      <c r="C65">
        <f t="shared" si="5"/>
        <v>9</v>
      </c>
      <c r="D65" s="82">
        <f>IF(D47=1,B10,"")</f>
        <v>0.571428571</v>
      </c>
      <c r="E65" s="82">
        <f>IF(E47=1,C10,"")</f>
        <v>0.428571429</v>
      </c>
      <c r="F65" s="82" t="str">
        <f>IF(F47=1,D10,"")</f>
        <v/>
      </c>
      <c r="G65" s="82">
        <f>IF(G47=1,E10,"")</f>
        <v>0.85714285700000004</v>
      </c>
      <c r="H65" s="92" t="str">
        <f>IF(H47=1,F10,"")</f>
        <v/>
      </c>
      <c r="I65" s="82">
        <f>IF(I47=1,G10,"")</f>
        <v>0.63157894699999995</v>
      </c>
      <c r="J65" s="82">
        <f>IF(J47=1,H10,"")</f>
        <v>0.52631578899999998</v>
      </c>
      <c r="K65" s="82">
        <f>IF(K47=1,I10,"")</f>
        <v>0.52631578899999998</v>
      </c>
      <c r="L65" s="82" t="str">
        <f>IF(L47=1,J10,"")</f>
        <v/>
      </c>
      <c r="M65" s="92">
        <f>IF(M47=1,K10,"")</f>
        <v>0.63157894699999995</v>
      </c>
      <c r="N65" s="82">
        <f>IF(N47=1,L10,"")</f>
        <v>0.33333333333333331</v>
      </c>
      <c r="O65" s="82">
        <f>IF(O47=1,M10,"")</f>
        <v>0.8571428571428571</v>
      </c>
      <c r="P65" s="82">
        <f>IF(P47=1,N10,"")</f>
        <v>0.83333333333333337</v>
      </c>
      <c r="Q65" s="82">
        <f>IF(Q47=1,O10,"")</f>
        <v>0.66666666666666663</v>
      </c>
      <c r="R65" s="82" t="str">
        <f>IF(R47=1,P10,"")</f>
        <v/>
      </c>
    </row>
    <row r="66" spans="3:20" ht="15.75" thickBot="1">
      <c r="C66">
        <f t="shared" si="5"/>
        <v>10</v>
      </c>
      <c r="D66" s="93" t="str">
        <f>IF(D48=1,B11,"")</f>
        <v/>
      </c>
      <c r="E66" s="93" t="str">
        <f>IF(E48=1,C11,"")</f>
        <v/>
      </c>
      <c r="F66" s="93" t="str">
        <f>IF(F48=1,D11,"")</f>
        <v/>
      </c>
      <c r="G66" s="93" t="str">
        <f>IF(G48=1,E11,"")</f>
        <v/>
      </c>
      <c r="H66" s="94" t="str">
        <f>IF(H48=1,F11,"")</f>
        <v/>
      </c>
      <c r="I66" s="93" t="str">
        <f>IF(I48=1,G11,"")</f>
        <v/>
      </c>
      <c r="J66" s="93" t="str">
        <f>IF(J48=1,H11,"")</f>
        <v/>
      </c>
      <c r="K66" s="93" t="str">
        <f>IF(K48=1,I11,"")</f>
        <v/>
      </c>
      <c r="L66" s="93" t="str">
        <f>IF(L48=1,J11,"")</f>
        <v/>
      </c>
      <c r="M66" s="94" t="str">
        <f>IF(M48=1,K11,"")</f>
        <v/>
      </c>
      <c r="N66" s="93" t="str">
        <f>IF(N48=1,L11,"")</f>
        <v/>
      </c>
      <c r="O66" s="93" t="str">
        <f>IF(O48=1,M11,"")</f>
        <v/>
      </c>
      <c r="P66" s="93" t="str">
        <f>IF(P48=1,N11,"")</f>
        <v/>
      </c>
      <c r="Q66" s="93" t="str">
        <f>IF(Q48=1,O11,"")</f>
        <v/>
      </c>
      <c r="R66" s="93" t="str">
        <f>IF(R48=1,P11,"")</f>
        <v/>
      </c>
    </row>
    <row r="67" spans="3:20">
      <c r="C67">
        <f t="shared" si="5"/>
        <v>11</v>
      </c>
      <c r="D67" s="82" t="str">
        <f>IF(D49=1,B12,"")</f>
        <v/>
      </c>
      <c r="E67" s="82" t="str">
        <f>IF(E49=1,C12,"")</f>
        <v/>
      </c>
      <c r="F67" s="82" t="str">
        <f>IF(F49=1,D12,"")</f>
        <v/>
      </c>
      <c r="G67" s="82" t="str">
        <f>IF(G49=1,E12,"")</f>
        <v/>
      </c>
      <c r="H67" s="92" t="str">
        <f>IF(H49=1,F12,"")</f>
        <v/>
      </c>
      <c r="I67" s="82" t="str">
        <f>IF(I49=1,G12,"")</f>
        <v/>
      </c>
      <c r="J67" s="82" t="str">
        <f>IF(J49=1,H12,"")</f>
        <v/>
      </c>
      <c r="K67" s="82" t="str">
        <f>IF(K49=1,I12,"")</f>
        <v/>
      </c>
      <c r="L67" s="82" t="str">
        <f>IF(L49=1,J12,"")</f>
        <v/>
      </c>
      <c r="M67" s="92" t="str">
        <f>IF(M49=1,K12,"")</f>
        <v/>
      </c>
      <c r="N67" s="82" t="str">
        <f>IF(N49=1,L12,"")</f>
        <v/>
      </c>
      <c r="O67" s="82" t="str">
        <f>IF(O49=1,M12,"")</f>
        <v/>
      </c>
      <c r="P67" s="82" t="str">
        <f>IF(P49=1,N12,"")</f>
        <v/>
      </c>
      <c r="Q67" s="82" t="str">
        <f>IF(Q49=1,O12,"")</f>
        <v/>
      </c>
      <c r="R67" s="82" t="str">
        <f>IF(R49=1,P12,"")</f>
        <v/>
      </c>
    </row>
    <row r="68" spans="3:20">
      <c r="C68">
        <f t="shared" si="5"/>
        <v>12</v>
      </c>
      <c r="D68" s="82" t="str">
        <f>IF(D50=1,B13,"")</f>
        <v/>
      </c>
      <c r="E68" s="82" t="str">
        <f>IF(E50=1,C13,"")</f>
        <v/>
      </c>
      <c r="F68" s="82" t="str">
        <f>IF(F50=1,D13,"")</f>
        <v/>
      </c>
      <c r="G68" s="82" t="str">
        <f>IF(G50=1,E13,"")</f>
        <v/>
      </c>
      <c r="H68" s="92" t="str">
        <f>IF(H50=1,F13,"")</f>
        <v/>
      </c>
      <c r="I68" s="82" t="str">
        <f>IF(I50=1,G13,"")</f>
        <v/>
      </c>
      <c r="J68" s="82" t="str">
        <f>IF(J50=1,H13,"")</f>
        <v/>
      </c>
      <c r="K68" s="82" t="str">
        <f>IF(K50=1,I13,"")</f>
        <v/>
      </c>
      <c r="L68" s="82" t="str">
        <f>IF(L50=1,J13,"")</f>
        <v/>
      </c>
      <c r="M68" s="92" t="str">
        <f>IF(M50=1,K13,"")</f>
        <v/>
      </c>
      <c r="N68" s="82" t="str">
        <f>IF(N50=1,L13,"")</f>
        <v/>
      </c>
      <c r="O68" s="82" t="str">
        <f>IF(O50=1,M13,"")</f>
        <v/>
      </c>
      <c r="P68" s="82" t="str">
        <f>IF(P50=1,N13,"")</f>
        <v/>
      </c>
      <c r="Q68" s="82" t="str">
        <f>IF(Q50=1,O13,"")</f>
        <v/>
      </c>
      <c r="R68" s="82" t="str">
        <f>IF(R50=1,P13,"")</f>
        <v/>
      </c>
    </row>
    <row r="69" spans="3:20">
      <c r="C69">
        <f t="shared" si="5"/>
        <v>13</v>
      </c>
      <c r="D69" s="82" t="str">
        <f>IF(D51=1,B14,"")</f>
        <v/>
      </c>
      <c r="E69" s="82" t="str">
        <f>IF(E51=1,C14,"")</f>
        <v/>
      </c>
      <c r="F69" s="82" t="str">
        <f>IF(F51=1,D14,"")</f>
        <v/>
      </c>
      <c r="G69" s="82" t="str">
        <f>IF(G51=1,E14,"")</f>
        <v/>
      </c>
      <c r="H69" s="92" t="str">
        <f>IF(H51=1,F14,"")</f>
        <v/>
      </c>
      <c r="I69" s="82" t="str">
        <f>IF(I51=1,G14,"")</f>
        <v/>
      </c>
      <c r="J69" s="82" t="str">
        <f>IF(J51=1,H14,"")</f>
        <v/>
      </c>
      <c r="K69" s="82" t="str">
        <f>IF(K51=1,I14,"")</f>
        <v/>
      </c>
      <c r="L69" s="82" t="str">
        <f>IF(L51=1,J14,"")</f>
        <v/>
      </c>
      <c r="M69" s="92" t="str">
        <f>IF(M51=1,K14,"")</f>
        <v/>
      </c>
      <c r="N69" s="82" t="str">
        <f>IF(N51=1,L14,"")</f>
        <v/>
      </c>
      <c r="O69" s="82" t="str">
        <f>IF(O51=1,M14,"")</f>
        <v/>
      </c>
      <c r="P69" s="82" t="str">
        <f>IF(P51=1,N14,"")</f>
        <v/>
      </c>
      <c r="Q69" s="82" t="str">
        <f>IF(Q51=1,O14,"")</f>
        <v/>
      </c>
      <c r="R69" s="82" t="str">
        <f>IF(R51=1,P14,"")</f>
        <v/>
      </c>
    </row>
    <row r="70" spans="3:20">
      <c r="C70">
        <f t="shared" si="5"/>
        <v>14</v>
      </c>
      <c r="D70" s="82" t="str">
        <f>IF(D52=1,B15,"")</f>
        <v/>
      </c>
      <c r="E70" s="82" t="str">
        <f>IF(E52=1,C15,"")</f>
        <v/>
      </c>
      <c r="F70" s="82" t="str">
        <f>IF(F52=1,D15,"")</f>
        <v/>
      </c>
      <c r="G70" s="82" t="str">
        <f>IF(G52=1,E15,"")</f>
        <v/>
      </c>
      <c r="H70" s="92" t="str">
        <f>IF(H52=1,F15,"")</f>
        <v/>
      </c>
      <c r="I70" s="82" t="str">
        <f>IF(I52=1,G15,"")</f>
        <v/>
      </c>
      <c r="J70" s="82" t="str">
        <f>IF(J52=1,H15,"")</f>
        <v/>
      </c>
      <c r="K70" s="82" t="str">
        <f>IF(K52=1,I15,"")</f>
        <v/>
      </c>
      <c r="L70" s="82" t="str">
        <f>IF(L52=1,J15,"")</f>
        <v/>
      </c>
      <c r="M70" s="92" t="str">
        <f>IF(M52=1,K15,"")</f>
        <v/>
      </c>
      <c r="N70" s="82" t="str">
        <f>IF(N52=1,L15,"")</f>
        <v/>
      </c>
      <c r="O70" s="82" t="str">
        <f>IF(O52=1,M15,"")</f>
        <v/>
      </c>
      <c r="P70" s="82" t="str">
        <f>IF(P52=1,N15,"")</f>
        <v/>
      </c>
      <c r="Q70" s="82" t="str">
        <f>IF(Q52=1,O15,"")</f>
        <v/>
      </c>
      <c r="R70" s="82" t="str">
        <f>IF(R52=1,P15,"")</f>
        <v/>
      </c>
    </row>
    <row r="71" spans="3:20">
      <c r="C71">
        <f t="shared" si="5"/>
        <v>15</v>
      </c>
      <c r="D71" s="82">
        <f>IF(D53=1,B16,"")</f>
        <v>0.8571428571428571</v>
      </c>
      <c r="E71" s="82">
        <f>IF(E53=1,C16,"")</f>
        <v>0.7142857142857143</v>
      </c>
      <c r="F71" s="82" t="str">
        <f>IF(F53=1,D16,"")</f>
        <v/>
      </c>
      <c r="G71" s="82">
        <f>IF(G53=1,E16,"")</f>
        <v>0.7142857142857143</v>
      </c>
      <c r="H71" s="92" t="str">
        <f>IF(H53=1,F16,"")</f>
        <v/>
      </c>
      <c r="I71" s="82">
        <f>IF(I53=1,G16,"")</f>
        <v>0.5</v>
      </c>
      <c r="J71" s="82">
        <f>IF(J53=1,H16,"")</f>
        <v>0.5</v>
      </c>
      <c r="K71" s="82">
        <f>IF(K53=1,I16,"")</f>
        <v>0.7142857142857143</v>
      </c>
      <c r="L71" s="82" t="str">
        <f>IF(L53=1,J16,"")</f>
        <v/>
      </c>
      <c r="M71" s="92">
        <f>IF(M53=1,K16,"")</f>
        <v>0.5</v>
      </c>
      <c r="N71" s="82">
        <f>IF(N53=1,L16,"")</f>
        <v>0.68421052599999999</v>
      </c>
      <c r="O71" s="82">
        <f>IF(O53=1,M16,"")</f>
        <v>0.368421053</v>
      </c>
      <c r="P71" s="82">
        <f>IF(P53=1,N16,"")</f>
        <v>0.47368421100000002</v>
      </c>
      <c r="Q71" s="82">
        <f>IF(Q53=1,O16,"")</f>
        <v>0.368421053</v>
      </c>
      <c r="R71" s="82" t="str">
        <f>IF(R53=1,P16,"")</f>
        <v/>
      </c>
    </row>
    <row r="72" spans="3:20">
      <c r="D72" s="82">
        <f t="shared" ref="D72:E72" si="6">SUM(D57:D71)</f>
        <v>2.4812030071428572</v>
      </c>
      <c r="E72" s="82">
        <f t="shared" si="6"/>
        <v>2.1954887222857145</v>
      </c>
      <c r="F72" s="82">
        <f>SUM(F57:F71)</f>
        <v>0</v>
      </c>
      <c r="G72" s="82">
        <f t="shared" ref="G72:R72" si="7">SUM(G57:G71)</f>
        <v>2.6766917292857144</v>
      </c>
      <c r="H72" s="92">
        <f t="shared" si="7"/>
        <v>0</v>
      </c>
      <c r="I72" s="82">
        <f t="shared" si="7"/>
        <v>2.27443609</v>
      </c>
      <c r="J72" s="82">
        <f t="shared" si="7"/>
        <v>1.8834586459999998</v>
      </c>
      <c r="K72" s="82">
        <f t="shared" si="7"/>
        <v>2.6215538842857145</v>
      </c>
      <c r="L72" s="82">
        <f t="shared" si="7"/>
        <v>0</v>
      </c>
      <c r="M72" s="92">
        <f t="shared" si="7"/>
        <v>2.6791979939999999</v>
      </c>
      <c r="N72" s="82">
        <f t="shared" si="7"/>
        <v>1.8746867164761905</v>
      </c>
      <c r="O72" s="82">
        <f t="shared" si="7"/>
        <v>2.6065162910952382</v>
      </c>
      <c r="P72" s="82">
        <f t="shared" si="7"/>
        <v>2.5689223062380955</v>
      </c>
      <c r="Q72" s="82">
        <f t="shared" si="7"/>
        <v>2.2017543863333335</v>
      </c>
      <c r="R72" s="82">
        <f t="shared" si="7"/>
        <v>0</v>
      </c>
      <c r="T72" s="82">
        <f>SUM(D72:S72)/(B54*(15-B54))</f>
        <v>0.59236158575324682</v>
      </c>
    </row>
    <row r="75" spans="3:20">
      <c r="D75">
        <v>1</v>
      </c>
      <c r="E75">
        <f>D75+1</f>
        <v>2</v>
      </c>
      <c r="F75">
        <f t="shared" ref="F75:R75" si="8">E75+1</f>
        <v>3</v>
      </c>
      <c r="G75">
        <f t="shared" si="8"/>
        <v>4</v>
      </c>
      <c r="H75" s="68">
        <f t="shared" si="8"/>
        <v>5</v>
      </c>
      <c r="I75">
        <f t="shared" si="8"/>
        <v>6</v>
      </c>
      <c r="J75">
        <f t="shared" si="8"/>
        <v>7</v>
      </c>
      <c r="K75">
        <f t="shared" si="8"/>
        <v>8</v>
      </c>
      <c r="L75">
        <f t="shared" si="8"/>
        <v>9</v>
      </c>
      <c r="M75" s="68">
        <f t="shared" si="8"/>
        <v>10</v>
      </c>
      <c r="N75">
        <f t="shared" si="8"/>
        <v>11</v>
      </c>
      <c r="O75">
        <f t="shared" si="8"/>
        <v>12</v>
      </c>
      <c r="P75">
        <f t="shared" si="8"/>
        <v>13</v>
      </c>
      <c r="Q75">
        <f t="shared" si="8"/>
        <v>14</v>
      </c>
      <c r="R75">
        <f t="shared" si="8"/>
        <v>15</v>
      </c>
    </row>
    <row r="76" spans="3:20">
      <c r="C76">
        <v>1</v>
      </c>
      <c r="D76" s="82" t="str">
        <f>""</f>
        <v/>
      </c>
      <c r="E76" s="82" t="str">
        <f>IF(AND(E39=0,E$37=1,$B39=1,C2&gt;0.5),C2,"")</f>
        <v/>
      </c>
      <c r="F76" s="82" t="str">
        <f t="shared" ref="F76:R76" si="9">IF(AND(F39=0,F$37=1,$B39=1,D2&gt;0.5),D2,"")</f>
        <v/>
      </c>
      <c r="G76" s="82" t="str">
        <f t="shared" si="9"/>
        <v/>
      </c>
      <c r="H76" s="92" t="str">
        <f t="shared" si="9"/>
        <v/>
      </c>
      <c r="I76" s="82" t="str">
        <f t="shared" si="9"/>
        <v/>
      </c>
      <c r="J76" s="82" t="str">
        <f t="shared" si="9"/>
        <v/>
      </c>
      <c r="K76" s="82" t="str">
        <f t="shared" si="9"/>
        <v/>
      </c>
      <c r="L76" s="82" t="str">
        <f t="shared" si="9"/>
        <v/>
      </c>
      <c r="M76" s="92" t="str">
        <f t="shared" si="9"/>
        <v/>
      </c>
      <c r="N76" s="82" t="str">
        <f t="shared" si="9"/>
        <v/>
      </c>
      <c r="O76" s="82" t="str">
        <f t="shared" si="9"/>
        <v/>
      </c>
      <c r="P76" s="82" t="str">
        <f t="shared" si="9"/>
        <v/>
      </c>
      <c r="Q76" s="82" t="str">
        <f t="shared" si="9"/>
        <v/>
      </c>
      <c r="R76" s="82" t="str">
        <f t="shared" si="9"/>
        <v/>
      </c>
    </row>
    <row r="77" spans="3:20">
      <c r="C77">
        <f>C76+1</f>
        <v>2</v>
      </c>
      <c r="D77" s="82" t="str">
        <f t="shared" ref="D76:D90" si="10">IF(AND(D40=0,D$37=1,$B40=1,B3&gt;0.5),B3,"")</f>
        <v/>
      </c>
      <c r="E77" s="82" t="str">
        <f>""</f>
        <v/>
      </c>
      <c r="F77" s="82" t="str">
        <f t="shared" ref="E77:R77" si="11">IF(AND(F40=0,F$37=1,$B40=1,D3&gt;0.5),D3,"")</f>
        <v/>
      </c>
      <c r="G77" s="82" t="str">
        <f t="shared" si="11"/>
        <v/>
      </c>
      <c r="H77" s="92" t="str">
        <f t="shared" si="11"/>
        <v/>
      </c>
      <c r="I77" s="82" t="str">
        <f t="shared" si="11"/>
        <v/>
      </c>
      <c r="J77" s="82" t="str">
        <f t="shared" si="11"/>
        <v/>
      </c>
      <c r="K77" s="82" t="str">
        <f t="shared" si="11"/>
        <v/>
      </c>
      <c r="L77" s="82" t="str">
        <f t="shared" si="11"/>
        <v/>
      </c>
      <c r="M77" s="92" t="str">
        <f t="shared" si="11"/>
        <v/>
      </c>
      <c r="N77" s="82" t="str">
        <f t="shared" si="11"/>
        <v/>
      </c>
      <c r="O77" s="82" t="str">
        <f t="shared" si="11"/>
        <v/>
      </c>
      <c r="P77" s="82" t="str">
        <f t="shared" si="11"/>
        <v/>
      </c>
      <c r="Q77" s="82" t="str">
        <f t="shared" si="11"/>
        <v/>
      </c>
      <c r="R77" s="82" t="str">
        <f t="shared" si="11"/>
        <v/>
      </c>
    </row>
    <row r="78" spans="3:20">
      <c r="C78">
        <f t="shared" ref="C78:C90" si="12">C77+1</f>
        <v>3</v>
      </c>
      <c r="D78" s="82" t="str">
        <f t="shared" si="10"/>
        <v/>
      </c>
      <c r="E78" s="82" t="str">
        <f t="shared" ref="E78:R78" si="13">IF(AND(E41=0,E$37=1,$B41=1,C4&gt;0.5),C4,"")</f>
        <v/>
      </c>
      <c r="F78" s="82" t="str">
        <f>""</f>
        <v/>
      </c>
      <c r="G78" s="82" t="str">
        <f t="shared" si="13"/>
        <v/>
      </c>
      <c r="H78" s="92" t="str">
        <f t="shared" si="13"/>
        <v/>
      </c>
      <c r="I78" s="82" t="str">
        <f t="shared" si="13"/>
        <v/>
      </c>
      <c r="J78" s="82" t="str">
        <f t="shared" si="13"/>
        <v/>
      </c>
      <c r="K78" s="82" t="str">
        <f t="shared" si="13"/>
        <v/>
      </c>
      <c r="L78" s="82">
        <f t="shared" si="13"/>
        <v>0.66666666699999999</v>
      </c>
      <c r="M78" s="92" t="str">
        <f t="shared" si="13"/>
        <v/>
      </c>
      <c r="N78" s="82" t="str">
        <f t="shared" si="13"/>
        <v/>
      </c>
      <c r="O78" s="82" t="str">
        <f t="shared" si="13"/>
        <v/>
      </c>
      <c r="P78" s="82" t="str">
        <f t="shared" si="13"/>
        <v/>
      </c>
      <c r="Q78" s="82" t="str">
        <f t="shared" si="13"/>
        <v/>
      </c>
      <c r="R78" s="82" t="str">
        <f t="shared" si="13"/>
        <v/>
      </c>
    </row>
    <row r="79" spans="3:20">
      <c r="C79">
        <f t="shared" si="12"/>
        <v>4</v>
      </c>
      <c r="D79" s="82" t="str">
        <f t="shared" si="10"/>
        <v/>
      </c>
      <c r="E79" s="82" t="str">
        <f t="shared" ref="E79:R79" si="14">IF(AND(E42=0,E$37=1,$B42=1,C5&gt;0.5),C5,"")</f>
        <v/>
      </c>
      <c r="F79" s="82" t="str">
        <f t="shared" si="14"/>
        <v/>
      </c>
      <c r="G79" s="82" t="str">
        <f>""</f>
        <v/>
      </c>
      <c r="H79" s="92" t="str">
        <f t="shared" si="14"/>
        <v/>
      </c>
      <c r="I79" s="82" t="str">
        <f t="shared" si="14"/>
        <v/>
      </c>
      <c r="J79" s="82" t="str">
        <f t="shared" si="14"/>
        <v/>
      </c>
      <c r="K79" s="82" t="str">
        <f t="shared" si="14"/>
        <v/>
      </c>
      <c r="L79" s="82" t="str">
        <f t="shared" si="14"/>
        <v/>
      </c>
      <c r="M79" s="92" t="str">
        <f t="shared" si="14"/>
        <v/>
      </c>
      <c r="N79" s="82" t="str">
        <f t="shared" si="14"/>
        <v/>
      </c>
      <c r="O79" s="82" t="str">
        <f t="shared" si="14"/>
        <v/>
      </c>
      <c r="P79" s="82" t="str">
        <f t="shared" si="14"/>
        <v/>
      </c>
      <c r="Q79" s="82" t="str">
        <f t="shared" si="14"/>
        <v/>
      </c>
      <c r="R79" s="82" t="str">
        <f t="shared" si="14"/>
        <v/>
      </c>
    </row>
    <row r="80" spans="3:20" ht="15.75" thickBot="1">
      <c r="C80">
        <f t="shared" si="12"/>
        <v>5</v>
      </c>
      <c r="D80" s="93" t="str">
        <f t="shared" si="10"/>
        <v/>
      </c>
      <c r="E80" s="93" t="str">
        <f t="shared" ref="E80:R80" si="15">IF(AND(E43=0,E$37=1,$B43=1,C6&gt;0.5),C6,"")</f>
        <v/>
      </c>
      <c r="F80" s="93">
        <f t="shared" si="15"/>
        <v>0.68421052599999999</v>
      </c>
      <c r="G80" s="93" t="str">
        <f t="shared" si="15"/>
        <v/>
      </c>
      <c r="H80" s="94" t="str">
        <f>""</f>
        <v/>
      </c>
      <c r="I80" s="93" t="str">
        <f t="shared" si="15"/>
        <v/>
      </c>
      <c r="J80" s="93" t="str">
        <f t="shared" si="15"/>
        <v/>
      </c>
      <c r="K80" s="93" t="str">
        <f t="shared" si="15"/>
        <v/>
      </c>
      <c r="L80" s="93">
        <f t="shared" si="15"/>
        <v>0.571428571</v>
      </c>
      <c r="M80" s="94" t="str">
        <f t="shared" si="15"/>
        <v/>
      </c>
      <c r="N80" s="93" t="str">
        <f t="shared" si="15"/>
        <v/>
      </c>
      <c r="O80" s="93" t="str">
        <f t="shared" si="15"/>
        <v/>
      </c>
      <c r="P80" s="93" t="str">
        <f t="shared" si="15"/>
        <v/>
      </c>
      <c r="Q80" s="93" t="str">
        <f t="shared" si="15"/>
        <v/>
      </c>
      <c r="R80" s="93">
        <f t="shared" si="15"/>
        <v>0.66666666666666663</v>
      </c>
    </row>
    <row r="81" spans="3:20">
      <c r="C81">
        <f t="shared" si="12"/>
        <v>6</v>
      </c>
      <c r="D81" s="82" t="str">
        <f t="shared" si="10"/>
        <v/>
      </c>
      <c r="E81" s="82" t="str">
        <f t="shared" ref="E81:R81" si="16">IF(AND(E44=0,E$37=1,$B44=1,C7&gt;0.5),C7,"")</f>
        <v/>
      </c>
      <c r="F81" s="82" t="str">
        <f t="shared" si="16"/>
        <v/>
      </c>
      <c r="G81" s="82" t="str">
        <f t="shared" si="16"/>
        <v/>
      </c>
      <c r="H81" s="92" t="str">
        <f t="shared" si="16"/>
        <v/>
      </c>
      <c r="I81" s="82" t="str">
        <f>""</f>
        <v/>
      </c>
      <c r="J81" s="82" t="str">
        <f t="shared" si="16"/>
        <v/>
      </c>
      <c r="K81" s="82" t="str">
        <f t="shared" si="16"/>
        <v/>
      </c>
      <c r="L81" s="82" t="str">
        <f t="shared" si="16"/>
        <v/>
      </c>
      <c r="M81" s="92" t="str">
        <f t="shared" si="16"/>
        <v/>
      </c>
      <c r="N81" s="82" t="str">
        <f t="shared" si="16"/>
        <v/>
      </c>
      <c r="O81" s="82" t="str">
        <f t="shared" si="16"/>
        <v/>
      </c>
      <c r="P81" s="82" t="str">
        <f t="shared" si="16"/>
        <v/>
      </c>
      <c r="Q81" s="82" t="str">
        <f t="shared" si="16"/>
        <v/>
      </c>
      <c r="R81" s="82" t="str">
        <f t="shared" si="16"/>
        <v/>
      </c>
    </row>
    <row r="82" spans="3:20">
      <c r="C82">
        <f t="shared" si="12"/>
        <v>7</v>
      </c>
      <c r="D82" s="82" t="str">
        <f t="shared" si="10"/>
        <v/>
      </c>
      <c r="E82" s="82" t="str">
        <f t="shared" ref="E82:R82" si="17">IF(AND(E45=0,E$37=1,$B45=1,C8&gt;0.5),C8,"")</f>
        <v/>
      </c>
      <c r="F82" s="82" t="str">
        <f t="shared" si="17"/>
        <v/>
      </c>
      <c r="G82" s="82" t="str">
        <f t="shared" si="17"/>
        <v/>
      </c>
      <c r="H82" s="92" t="str">
        <f t="shared" si="17"/>
        <v/>
      </c>
      <c r="I82" s="82" t="str">
        <f t="shared" si="17"/>
        <v/>
      </c>
      <c r="J82" s="82" t="str">
        <f>""</f>
        <v/>
      </c>
      <c r="K82" s="82" t="str">
        <f t="shared" si="17"/>
        <v/>
      </c>
      <c r="L82" s="82" t="str">
        <f t="shared" si="17"/>
        <v/>
      </c>
      <c r="M82" s="92" t="str">
        <f t="shared" si="17"/>
        <v/>
      </c>
      <c r="N82" s="82" t="str">
        <f t="shared" si="17"/>
        <v/>
      </c>
      <c r="O82" s="82" t="str">
        <f t="shared" si="17"/>
        <v/>
      </c>
      <c r="P82" s="82" t="str">
        <f t="shared" si="17"/>
        <v/>
      </c>
      <c r="Q82" s="82" t="str">
        <f t="shared" si="17"/>
        <v/>
      </c>
      <c r="R82" s="82" t="str">
        <f t="shared" si="17"/>
        <v/>
      </c>
    </row>
    <row r="83" spans="3:20">
      <c r="C83">
        <f t="shared" si="12"/>
        <v>8</v>
      </c>
      <c r="D83" s="82" t="str">
        <f t="shared" si="10"/>
        <v/>
      </c>
      <c r="E83" s="82" t="str">
        <f t="shared" ref="E83:R85" si="18">IF(AND(E46=0,E$37=1,$B46=1,C9&gt;0.5),C9,"")</f>
        <v/>
      </c>
      <c r="F83" s="82" t="str">
        <f t="shared" si="18"/>
        <v/>
      </c>
      <c r="G83" s="82" t="str">
        <f t="shared" si="18"/>
        <v/>
      </c>
      <c r="H83" s="92" t="str">
        <f t="shared" si="18"/>
        <v/>
      </c>
      <c r="I83" s="82" t="str">
        <f t="shared" si="18"/>
        <v/>
      </c>
      <c r="J83" s="82" t="str">
        <f t="shared" si="18"/>
        <v/>
      </c>
      <c r="K83" s="82" t="str">
        <f>""</f>
        <v/>
      </c>
      <c r="L83" s="82" t="str">
        <f t="shared" si="18"/>
        <v/>
      </c>
      <c r="M83" s="92" t="str">
        <f t="shared" si="18"/>
        <v/>
      </c>
      <c r="N83" s="82" t="str">
        <f t="shared" si="18"/>
        <v/>
      </c>
      <c r="O83" s="82" t="str">
        <f t="shared" si="18"/>
        <v/>
      </c>
      <c r="P83" s="82" t="str">
        <f t="shared" si="18"/>
        <v/>
      </c>
      <c r="Q83" s="82" t="str">
        <f t="shared" si="18"/>
        <v/>
      </c>
      <c r="R83" s="82" t="str">
        <f t="shared" si="18"/>
        <v/>
      </c>
    </row>
    <row r="84" spans="3:20">
      <c r="C84">
        <f t="shared" si="12"/>
        <v>9</v>
      </c>
      <c r="D84" s="82" t="str">
        <f t="shared" si="10"/>
        <v/>
      </c>
      <c r="E84" s="82" t="str">
        <f t="shared" ref="E84:R84" si="19">IF(AND(E47=0,E$37=1,$B47=1,C10&gt;0.5),C10,"")</f>
        <v/>
      </c>
      <c r="F84" s="82" t="str">
        <f t="shared" si="19"/>
        <v/>
      </c>
      <c r="G84" s="82" t="str">
        <f t="shared" si="19"/>
        <v/>
      </c>
      <c r="H84" s="92" t="str">
        <f t="shared" si="19"/>
        <v/>
      </c>
      <c r="I84" s="82" t="str">
        <f t="shared" si="19"/>
        <v/>
      </c>
      <c r="J84" s="82" t="str">
        <f t="shared" si="19"/>
        <v/>
      </c>
      <c r="K84" s="82" t="str">
        <f t="shared" si="19"/>
        <v/>
      </c>
      <c r="L84" s="82" t="str">
        <f>""</f>
        <v/>
      </c>
      <c r="M84" s="92" t="str">
        <f t="shared" si="19"/>
        <v/>
      </c>
      <c r="N84" s="82" t="str">
        <f t="shared" si="19"/>
        <v/>
      </c>
      <c r="O84" s="82" t="str">
        <f t="shared" si="19"/>
        <v/>
      </c>
      <c r="P84" s="82" t="str">
        <f t="shared" si="19"/>
        <v/>
      </c>
      <c r="Q84" s="82" t="str">
        <f t="shared" si="19"/>
        <v/>
      </c>
      <c r="R84" s="82" t="str">
        <f t="shared" si="19"/>
        <v/>
      </c>
    </row>
    <row r="85" spans="3:20" ht="15.75" thickBot="1">
      <c r="C85">
        <f t="shared" si="12"/>
        <v>10</v>
      </c>
      <c r="D85" s="93" t="str">
        <f t="shared" si="10"/>
        <v/>
      </c>
      <c r="E85" s="93" t="str">
        <f t="shared" ref="E85:R85" si="20">IF(AND(E48=0,E$37=1,$B48=1,C11&gt;0.5),C11,"")</f>
        <v/>
      </c>
      <c r="F85" s="93" t="str">
        <f t="shared" si="20"/>
        <v/>
      </c>
      <c r="G85" s="93" t="str">
        <f t="shared" si="20"/>
        <v/>
      </c>
      <c r="H85" s="94" t="str">
        <f t="shared" si="20"/>
        <v/>
      </c>
      <c r="I85" s="93" t="str">
        <f t="shared" si="20"/>
        <v/>
      </c>
      <c r="J85" s="93" t="str">
        <f t="shared" si="20"/>
        <v/>
      </c>
      <c r="K85" s="93" t="str">
        <f t="shared" si="20"/>
        <v/>
      </c>
      <c r="L85" s="93" t="str">
        <f t="shared" si="18"/>
        <v/>
      </c>
      <c r="M85" s="94" t="str">
        <f>""</f>
        <v/>
      </c>
      <c r="N85" s="93" t="str">
        <f t="shared" si="20"/>
        <v/>
      </c>
      <c r="O85" s="93" t="str">
        <f t="shared" si="20"/>
        <v/>
      </c>
      <c r="P85" s="93" t="str">
        <f t="shared" si="20"/>
        <v/>
      </c>
      <c r="Q85" s="93" t="str">
        <f t="shared" si="20"/>
        <v/>
      </c>
      <c r="R85" s="93" t="str">
        <f t="shared" si="20"/>
        <v/>
      </c>
    </row>
    <row r="86" spans="3:20">
      <c r="C86">
        <f t="shared" si="12"/>
        <v>11</v>
      </c>
      <c r="D86" s="82" t="str">
        <f t="shared" si="10"/>
        <v/>
      </c>
      <c r="E86" s="82" t="str">
        <f t="shared" ref="E86:R86" si="21">IF(AND(E49=0,E$37=1,$B49=1,C12&gt;0.5),C12,"")</f>
        <v/>
      </c>
      <c r="F86" s="82" t="str">
        <f t="shared" si="21"/>
        <v/>
      </c>
      <c r="G86" s="82" t="str">
        <f t="shared" si="21"/>
        <v/>
      </c>
      <c r="H86" s="92" t="str">
        <f t="shared" si="21"/>
        <v/>
      </c>
      <c r="I86" s="82" t="str">
        <f t="shared" si="21"/>
        <v/>
      </c>
      <c r="J86" s="82" t="str">
        <f t="shared" si="21"/>
        <v/>
      </c>
      <c r="K86" s="82" t="str">
        <f t="shared" si="21"/>
        <v/>
      </c>
      <c r="L86" s="82" t="str">
        <f t="shared" si="21"/>
        <v/>
      </c>
      <c r="M86" s="92" t="str">
        <f t="shared" si="21"/>
        <v/>
      </c>
      <c r="N86" s="82" t="str">
        <f>""</f>
        <v/>
      </c>
      <c r="O86" s="82" t="str">
        <f t="shared" si="21"/>
        <v/>
      </c>
      <c r="P86" s="82" t="str">
        <f t="shared" si="21"/>
        <v/>
      </c>
      <c r="Q86" s="82" t="str">
        <f t="shared" si="21"/>
        <v/>
      </c>
      <c r="R86" s="82" t="str">
        <f t="shared" si="21"/>
        <v/>
      </c>
    </row>
    <row r="87" spans="3:20">
      <c r="C87">
        <f t="shared" si="12"/>
        <v>12</v>
      </c>
      <c r="D87" s="82" t="str">
        <f t="shared" si="10"/>
        <v/>
      </c>
      <c r="E87" s="82" t="str">
        <f t="shared" ref="E87:R87" si="22">IF(AND(E50=0,E$37=1,$B50=1,C13&gt;0.5),C13,"")</f>
        <v/>
      </c>
      <c r="F87" s="82" t="str">
        <f t="shared" si="22"/>
        <v/>
      </c>
      <c r="G87" s="82" t="str">
        <f t="shared" si="22"/>
        <v/>
      </c>
      <c r="H87" s="92" t="str">
        <f t="shared" si="22"/>
        <v/>
      </c>
      <c r="I87" s="82" t="str">
        <f t="shared" si="22"/>
        <v/>
      </c>
      <c r="J87" s="82" t="str">
        <f t="shared" si="22"/>
        <v/>
      </c>
      <c r="K87" s="82" t="str">
        <f t="shared" si="22"/>
        <v/>
      </c>
      <c r="L87" s="82" t="str">
        <f t="shared" si="22"/>
        <v/>
      </c>
      <c r="M87" s="92" t="str">
        <f t="shared" si="22"/>
        <v/>
      </c>
      <c r="N87" s="82" t="str">
        <f t="shared" si="22"/>
        <v/>
      </c>
      <c r="O87" s="82" t="str">
        <f>""</f>
        <v/>
      </c>
      <c r="P87" s="82" t="str">
        <f t="shared" si="22"/>
        <v/>
      </c>
      <c r="Q87" s="82" t="str">
        <f t="shared" si="22"/>
        <v/>
      </c>
      <c r="R87" s="82" t="str">
        <f t="shared" si="22"/>
        <v/>
      </c>
    </row>
    <row r="88" spans="3:20">
      <c r="C88">
        <f t="shared" si="12"/>
        <v>13</v>
      </c>
      <c r="D88" s="82" t="str">
        <f t="shared" si="10"/>
        <v/>
      </c>
      <c r="E88" s="82" t="str">
        <f t="shared" ref="E88:R88" si="23">IF(AND(E51=0,E$37=1,$B51=1,C14&gt;0.5),C14,"")</f>
        <v/>
      </c>
      <c r="F88" s="82" t="str">
        <f t="shared" si="23"/>
        <v/>
      </c>
      <c r="G88" s="82" t="str">
        <f t="shared" si="23"/>
        <v/>
      </c>
      <c r="H88" s="92" t="str">
        <f t="shared" si="23"/>
        <v/>
      </c>
      <c r="I88" s="82" t="str">
        <f t="shared" si="23"/>
        <v/>
      </c>
      <c r="J88" s="82" t="str">
        <f t="shared" si="23"/>
        <v/>
      </c>
      <c r="K88" s="82" t="str">
        <f t="shared" si="23"/>
        <v/>
      </c>
      <c r="L88" s="82" t="str">
        <f t="shared" si="23"/>
        <v/>
      </c>
      <c r="M88" s="92" t="str">
        <f t="shared" si="23"/>
        <v/>
      </c>
      <c r="N88" s="82" t="str">
        <f t="shared" si="23"/>
        <v/>
      </c>
      <c r="O88" s="82" t="str">
        <f t="shared" si="23"/>
        <v/>
      </c>
      <c r="P88" s="82" t="str">
        <f>""</f>
        <v/>
      </c>
      <c r="Q88" s="82" t="str">
        <f t="shared" si="23"/>
        <v/>
      </c>
      <c r="R88" s="82" t="str">
        <f t="shared" si="23"/>
        <v/>
      </c>
    </row>
    <row r="89" spans="3:20">
      <c r="C89">
        <f t="shared" si="12"/>
        <v>14</v>
      </c>
      <c r="D89" s="82" t="str">
        <f t="shared" si="10"/>
        <v/>
      </c>
      <c r="E89" s="82" t="str">
        <f t="shared" ref="E89:R89" si="24">IF(AND(E52=0,E$37=1,$B52=1,C15&gt;0.5),C15,"")</f>
        <v/>
      </c>
      <c r="F89" s="82" t="str">
        <f t="shared" si="24"/>
        <v/>
      </c>
      <c r="G89" s="82" t="str">
        <f t="shared" si="24"/>
        <v/>
      </c>
      <c r="H89" s="92" t="str">
        <f t="shared" si="24"/>
        <v/>
      </c>
      <c r="I89" s="82" t="str">
        <f t="shared" si="24"/>
        <v/>
      </c>
      <c r="J89" s="82" t="str">
        <f t="shared" si="24"/>
        <v/>
      </c>
      <c r="K89" s="82" t="str">
        <f t="shared" si="24"/>
        <v/>
      </c>
      <c r="L89" s="82" t="str">
        <f t="shared" si="24"/>
        <v/>
      </c>
      <c r="M89" s="92" t="str">
        <f t="shared" si="24"/>
        <v/>
      </c>
      <c r="N89" s="82" t="str">
        <f t="shared" si="24"/>
        <v/>
      </c>
      <c r="O89" s="82" t="str">
        <f t="shared" si="24"/>
        <v/>
      </c>
      <c r="P89" s="82" t="str">
        <f t="shared" si="24"/>
        <v/>
      </c>
      <c r="Q89" s="82" t="str">
        <f>""</f>
        <v/>
      </c>
      <c r="R89" s="82" t="str">
        <f t="shared" si="24"/>
        <v/>
      </c>
    </row>
    <row r="90" spans="3:20">
      <c r="C90">
        <f t="shared" si="12"/>
        <v>15</v>
      </c>
      <c r="D90" s="82" t="str">
        <f t="shared" si="10"/>
        <v/>
      </c>
      <c r="E90" s="82" t="str">
        <f t="shared" ref="E90:R90" si="25">IF(AND(E53=0,E$37=1,$B53=1,C16&gt;0.5),C16,"")</f>
        <v/>
      </c>
      <c r="F90" s="82">
        <f t="shared" si="25"/>
        <v>0.7142857142857143</v>
      </c>
      <c r="G90" s="82" t="str">
        <f t="shared" si="25"/>
        <v/>
      </c>
      <c r="H90" s="92" t="str">
        <f t="shared" si="25"/>
        <v/>
      </c>
      <c r="I90" s="82" t="str">
        <f t="shared" si="25"/>
        <v/>
      </c>
      <c r="J90" s="82" t="str">
        <f t="shared" si="25"/>
        <v/>
      </c>
      <c r="K90" s="82" t="str">
        <f t="shared" si="25"/>
        <v/>
      </c>
      <c r="L90" s="82">
        <f t="shared" si="25"/>
        <v>0.5714285714285714</v>
      </c>
      <c r="M90" s="92" t="str">
        <f t="shared" si="25"/>
        <v/>
      </c>
      <c r="N90" s="82" t="str">
        <f t="shared" si="25"/>
        <v/>
      </c>
      <c r="O90" s="82" t="str">
        <f t="shared" si="25"/>
        <v/>
      </c>
      <c r="P90" s="82" t="str">
        <f t="shared" si="25"/>
        <v/>
      </c>
      <c r="Q90" s="82" t="str">
        <f t="shared" si="25"/>
        <v/>
      </c>
      <c r="R90" s="82" t="str">
        <f>""</f>
        <v/>
      </c>
    </row>
    <row r="91" spans="3:20">
      <c r="D91" s="82">
        <f t="shared" ref="D91" si="26">SUM(D76:D90)</f>
        <v>0</v>
      </c>
      <c r="E91" s="82">
        <f t="shared" ref="E91" si="27">SUM(E76:E90)</f>
        <v>0</v>
      </c>
      <c r="F91" s="82">
        <f>SUM(F76:F90)</f>
        <v>1.3984962402857142</v>
      </c>
      <c r="G91" s="82">
        <f t="shared" ref="G91" si="28">SUM(G76:G90)</f>
        <v>0</v>
      </c>
      <c r="H91" s="92">
        <f t="shared" ref="H91" si="29">SUM(H76:H90)</f>
        <v>0</v>
      </c>
      <c r="I91" s="82">
        <f t="shared" ref="I91" si="30">SUM(I76:I90)</f>
        <v>0</v>
      </c>
      <c r="J91" s="82">
        <f t="shared" ref="J91" si="31">SUM(J76:J90)</f>
        <v>0</v>
      </c>
      <c r="K91" s="82">
        <f t="shared" ref="K91" si="32">SUM(K76:K90)</f>
        <v>0</v>
      </c>
      <c r="L91" s="82">
        <f t="shared" ref="L91" si="33">SUM(L76:L90)</f>
        <v>1.8095238094285715</v>
      </c>
      <c r="M91" s="92">
        <f t="shared" ref="M91" si="34">SUM(M76:M90)</f>
        <v>0</v>
      </c>
      <c r="N91" s="82">
        <f t="shared" ref="N91" si="35">SUM(N76:N90)</f>
        <v>0</v>
      </c>
      <c r="O91" s="82">
        <f t="shared" ref="O91" si="36">SUM(O76:O90)</f>
        <v>0</v>
      </c>
      <c r="P91" s="82">
        <f t="shared" ref="P91" si="37">SUM(P76:P90)</f>
        <v>0</v>
      </c>
      <c r="Q91" s="82">
        <f t="shared" ref="Q91" si="38">SUM(Q76:Q90)</f>
        <v>0</v>
      </c>
      <c r="R91" s="82">
        <f t="shared" ref="R91" si="39">SUM(R76:R90)</f>
        <v>0.66666666666666663</v>
      </c>
      <c r="T91" s="82">
        <f>SUM(D91:S91)/(B54*(B54-1)/2)</f>
        <v>0.64578111939682536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 MLB</vt:lpstr>
      <vt:lpstr>2014 MLB</vt:lpstr>
      <vt:lpstr>2015 MLB</vt:lpstr>
      <vt:lpstr>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Tony Dahbura</cp:lastModifiedBy>
  <dcterms:created xsi:type="dcterms:W3CDTF">2015-10-08T09:03:17Z</dcterms:created>
  <dcterms:modified xsi:type="dcterms:W3CDTF">2015-11-17T14:27:18Z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