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git/vesper-watchmate-mobile-app-broker/docs/"/>
    </mc:Choice>
  </mc:AlternateContent>
  <xr:revisionPtr revIDLastSave="0" documentId="13_ncr:1_{C55D469B-427A-6F4C-B86C-53A0B4B12A92}" xr6:coauthVersionLast="38" xr6:coauthVersionMax="38" xr10:uidLastSave="{00000000-0000-0000-0000-000000000000}"/>
  <bookViews>
    <workbookView xWindow="0" yWindow="460" windowWidth="33600" windowHeight="19140" xr2:uid="{971C6B5C-0F61-4A4F-A2A7-243A3F15D727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2" l="1"/>
  <c r="Q11" i="2"/>
  <c r="Q10" i="2"/>
  <c r="Q9" i="2"/>
  <c r="Q8" i="2"/>
  <c r="Q16" i="2"/>
  <c r="Q15" i="2"/>
  <c r="Q5" i="2"/>
  <c r="V13" i="2" s="1"/>
  <c r="R27" i="2"/>
  <c r="V4" i="2"/>
  <c r="V3" i="2"/>
  <c r="Q13" i="2"/>
  <c r="V14" i="2"/>
  <c r="Q6" i="2"/>
  <c r="Q3" i="2"/>
  <c r="Q4" i="2"/>
  <c r="Q14" i="2"/>
  <c r="C20" i="2"/>
  <c r="I20" i="2"/>
  <c r="F21" i="2"/>
  <c r="M15" i="2"/>
  <c r="M14" i="2"/>
  <c r="M13" i="2"/>
  <c r="M12" i="2"/>
  <c r="M10" i="2"/>
  <c r="M9" i="2"/>
  <c r="M8" i="2"/>
  <c r="M17" i="2" s="1"/>
  <c r="I15" i="2"/>
  <c r="I17" i="2" s="1"/>
  <c r="F15" i="2"/>
  <c r="C15" i="2"/>
  <c r="I14" i="2"/>
  <c r="F14" i="2"/>
  <c r="F16" i="2" s="1"/>
  <c r="C14" i="2"/>
  <c r="I11" i="2"/>
  <c r="F11" i="2"/>
  <c r="F20" i="2" s="1"/>
  <c r="C11" i="2"/>
  <c r="I10" i="2"/>
  <c r="I21" i="2" s="1"/>
  <c r="F10" i="2"/>
  <c r="C10" i="2"/>
  <c r="C21" i="2" s="1"/>
  <c r="I8" i="2"/>
  <c r="F8" i="2"/>
  <c r="C8" i="2"/>
  <c r="I7" i="2"/>
  <c r="F7" i="2"/>
  <c r="C7" i="2"/>
  <c r="Q17" i="2" l="1"/>
  <c r="Q18" i="2" s="1"/>
  <c r="C16" i="2"/>
  <c r="F17" i="2"/>
  <c r="M16" i="2"/>
  <c r="I16" i="2"/>
  <c r="I18" i="2" s="1"/>
  <c r="C17" i="2"/>
  <c r="M11" i="2"/>
  <c r="M18" i="2"/>
  <c r="F22" i="2"/>
  <c r="F24" i="2"/>
  <c r="F18" i="2"/>
  <c r="C24" i="2"/>
  <c r="C22" i="2"/>
  <c r="I22" i="2"/>
  <c r="I24" i="2"/>
  <c r="C18" i="2"/>
  <c r="C19" i="2"/>
  <c r="F19" i="2"/>
  <c r="I19" i="2" l="1"/>
  <c r="I25" i="2" s="1"/>
  <c r="M19" i="2"/>
  <c r="M20" i="2" s="1"/>
  <c r="I23" i="2"/>
  <c r="F23" i="2"/>
  <c r="C23" i="2"/>
  <c r="C25" i="2"/>
  <c r="C26" i="2" s="1"/>
  <c r="C27" i="2" s="1"/>
  <c r="F25" i="2"/>
  <c r="F28" i="2" s="1"/>
  <c r="F29" i="2" s="1"/>
  <c r="F30" i="2" s="1"/>
  <c r="I28" i="2" l="1"/>
  <c r="I29" i="2" s="1"/>
  <c r="I30" i="2" s="1"/>
  <c r="I26" i="2"/>
  <c r="I27" i="2" s="1"/>
  <c r="C28" i="2"/>
  <c r="C29" i="2" s="1"/>
  <c r="C30" i="2" s="1"/>
  <c r="F26" i="2"/>
  <c r="F27" i="2" s="1"/>
</calcChain>
</file>

<file path=xl/sharedStrings.xml><?xml version="1.0" encoding="utf-8"?>
<sst xmlns="http://schemas.openxmlformats.org/spreadsheetml/2006/main" count="172" uniqueCount="71">
  <si>
    <t>me</t>
  </si>
  <si>
    <t>lat</t>
  </si>
  <si>
    <t>lon</t>
  </si>
  <si>
    <t>cog</t>
  </si>
  <si>
    <t>sog</t>
  </si>
  <si>
    <t>kn</t>
  </si>
  <si>
    <t>deg</t>
  </si>
  <si>
    <t>target</t>
  </si>
  <si>
    <t>vx</t>
  </si>
  <si>
    <t>vy</t>
  </si>
  <si>
    <t>vxr</t>
  </si>
  <si>
    <t>vyr</t>
  </si>
  <si>
    <t>xr</t>
  </si>
  <si>
    <t>yr</t>
  </si>
  <si>
    <t>m</t>
  </si>
  <si>
    <t>range</t>
  </si>
  <si>
    <t>bearing</t>
  </si>
  <si>
    <t>cogr</t>
  </si>
  <si>
    <t>cpa</t>
  </si>
  <si>
    <t>nm</t>
  </si>
  <si>
    <t>d2cpa</t>
  </si>
  <si>
    <t>tcpa</t>
  </si>
  <si>
    <t>mins</t>
  </si>
  <si>
    <t>vr</t>
  </si>
  <si>
    <t>bearing-cogr</t>
  </si>
  <si>
    <t>2.2 @ 44</t>
  </si>
  <si>
    <t>0.62 @ 104</t>
  </si>
  <si>
    <t>0.22 @ 38</t>
  </si>
  <si>
    <t>actual</t>
  </si>
  <si>
    <t>initial reported</t>
  </si>
  <si>
    <t>1.1 @ 44</t>
  </si>
  <si>
    <t>4.1 @ 73</t>
  </si>
  <si>
    <t>0.8 @ 34</t>
  </si>
  <si>
    <t>initial opencpn</t>
  </si>
  <si>
    <t>3.3 @ 42</t>
  </si>
  <si>
    <t>0.6 @ 108</t>
  </si>
  <si>
    <t>0.18 @ 40</t>
  </si>
  <si>
    <t>initial me</t>
  </si>
  <si>
    <t>1.1 @ 45</t>
  </si>
  <si>
    <t>4.1 @ 74</t>
  </si>
  <si>
    <t>0.81 @ 35</t>
  </si>
  <si>
    <t>initial ais radar</t>
  </si>
  <si>
    <t>0.6 @ 107</t>
  </si>
  <si>
    <t>0.23 @ 40</t>
  </si>
  <si>
    <t>north</t>
  </si>
  <si>
    <t>east</t>
  </si>
  <si>
    <t>cosa</t>
  </si>
  <si>
    <t>cosb</t>
  </si>
  <si>
    <t>sina</t>
  </si>
  <si>
    <t>sinb</t>
  </si>
  <si>
    <t>d</t>
  </si>
  <si>
    <t>fc</t>
  </si>
  <si>
    <t>fs</t>
  </si>
  <si>
    <t>v0</t>
  </si>
  <si>
    <t>v1</t>
  </si>
  <si>
    <t>m/H</t>
  </si>
  <si>
    <t>m2/H2</t>
  </si>
  <si>
    <t>H</t>
  </si>
  <si>
    <t>min</t>
  </si>
  <si>
    <t>dx</t>
  </si>
  <si>
    <t>dy</t>
  </si>
  <si>
    <t>dvx</t>
  </si>
  <si>
    <t>dvy</t>
  </si>
  <si>
    <t>x1</t>
  </si>
  <si>
    <t>y1</t>
  </si>
  <si>
    <t>x2</t>
  </si>
  <si>
    <t>y2</t>
  </si>
  <si>
    <t>vx1</t>
  </si>
  <si>
    <t>vy1</t>
  </si>
  <si>
    <t>vx2</t>
  </si>
  <si>
    <t>vy2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</si>
</sst>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8" formatCode="0.0000"/>
    <numFmt numFmtId="177" formatCode="0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164" fontId="0" fillId="3" borderId="0" xfId="0" applyNumberFormat="1" applyFill="1"/>
    <xf numFmtId="168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DA92-CF36-2743-AC78-02AC20148110}">
  <dimension ref="A1:V36"/>
  <sheetViews>
    <sheetView tabSelected="1" zoomScale="140" zoomScaleNormal="140" workbookViewId="0">
      <selection activeCell="S12" sqref="S12"/>
    </sheetView>
  </sheetViews>
  <sheetFormatPr baseColWidth="10" defaultRowHeight="15" x14ac:dyDescent="0.2"/>
  <cols>
    <col min="2" max="2" width="13.6640625" customWidth="1"/>
    <col min="3" max="3" width="10.33203125" bestFit="1" customWidth="1"/>
    <col min="4" max="4" width="5.33203125" bestFit="1" customWidth="1"/>
    <col min="5" max="5" width="4.5" customWidth="1"/>
    <col min="6" max="6" width="10.33203125" bestFit="1" customWidth="1"/>
    <col min="7" max="7" width="5.33203125" bestFit="1" customWidth="1"/>
    <col min="8" max="8" width="4.83203125" customWidth="1"/>
    <col min="9" max="9" width="10.33203125" bestFit="1" customWidth="1"/>
    <col min="10" max="10" width="5.33203125" bestFit="1" customWidth="1"/>
    <col min="11" max="11" width="4.5" customWidth="1"/>
    <col min="12" max="12" width="5.5" bestFit="1" customWidth="1"/>
    <col min="13" max="13" width="10.1640625" bestFit="1" customWidth="1"/>
    <col min="15" max="15" width="5" customWidth="1"/>
    <col min="16" max="16" width="4.5" bestFit="1" customWidth="1"/>
    <col min="17" max="17" width="9.5" customWidth="1"/>
    <col min="19" max="19" width="11.83203125" bestFit="1" customWidth="1"/>
  </cols>
  <sheetData>
    <row r="1" spans="1:22" x14ac:dyDescent="0.2">
      <c r="C1">
        <v>111</v>
      </c>
      <c r="F1">
        <v>222</v>
      </c>
      <c r="I1">
        <v>333</v>
      </c>
    </row>
    <row r="3" spans="1:22" x14ac:dyDescent="0.2">
      <c r="A3" t="s">
        <v>0</v>
      </c>
      <c r="B3" t="s">
        <v>1</v>
      </c>
      <c r="C3">
        <v>35</v>
      </c>
      <c r="D3" t="s">
        <v>6</v>
      </c>
      <c r="F3">
        <v>35</v>
      </c>
      <c r="G3" t="s">
        <v>6</v>
      </c>
      <c r="I3">
        <v>35</v>
      </c>
      <c r="J3" t="s">
        <v>6</v>
      </c>
      <c r="P3" t="s">
        <v>63</v>
      </c>
      <c r="Q3">
        <f>F4*111120*COS(F3*PI()/180)</f>
        <v>-6371692.2612974942</v>
      </c>
      <c r="V3" s="2">
        <f>($F$4)*111120*COS($F$3*PI()/180)</f>
        <v>-6371692.2612974942</v>
      </c>
    </row>
    <row r="4" spans="1:22" x14ac:dyDescent="0.2">
      <c r="B4" t="s">
        <v>2</v>
      </c>
      <c r="C4">
        <v>-70</v>
      </c>
      <c r="D4" t="s">
        <v>6</v>
      </c>
      <c r="F4">
        <v>-70</v>
      </c>
      <c r="G4" t="s">
        <v>6</v>
      </c>
      <c r="I4">
        <v>-70</v>
      </c>
      <c r="J4" t="s">
        <v>6</v>
      </c>
      <c r="P4" t="s">
        <v>64</v>
      </c>
      <c r="Q4">
        <f>F3*111120</f>
        <v>3889200</v>
      </c>
      <c r="V4" s="2">
        <f>($F$11)*111120*COS($F$3*PI()/180)</f>
        <v>-6386862.9571577264</v>
      </c>
    </row>
    <row r="5" spans="1:22" x14ac:dyDescent="0.2">
      <c r="B5" t="s">
        <v>3</v>
      </c>
      <c r="C5">
        <v>120</v>
      </c>
      <c r="D5" t="s">
        <v>6</v>
      </c>
      <c r="F5">
        <v>120</v>
      </c>
      <c r="G5" t="s">
        <v>6</v>
      </c>
      <c r="I5">
        <v>120</v>
      </c>
      <c r="J5" t="s">
        <v>6</v>
      </c>
      <c r="P5" t="s">
        <v>65</v>
      </c>
      <c r="Q5">
        <f>F11*111120*COS(F3*PI()/180)</f>
        <v>-6386862.9571577264</v>
      </c>
      <c r="S5" s="2">
        <v>-6386842.6739550997</v>
      </c>
    </row>
    <row r="6" spans="1:22" x14ac:dyDescent="0.2">
      <c r="B6" t="s">
        <v>4</v>
      </c>
      <c r="C6">
        <v>6.1</v>
      </c>
      <c r="D6" t="s">
        <v>5</v>
      </c>
      <c r="F6">
        <v>6.1</v>
      </c>
      <c r="G6" t="s">
        <v>5</v>
      </c>
      <c r="I6">
        <v>6.1</v>
      </c>
      <c r="J6" t="s">
        <v>5</v>
      </c>
      <c r="P6" t="s">
        <v>66</v>
      </c>
      <c r="Q6">
        <f>F10*111120</f>
        <v>3878088</v>
      </c>
      <c r="S6" s="2">
        <v>3878087.8147999998</v>
      </c>
    </row>
    <row r="7" spans="1:22" x14ac:dyDescent="0.2">
      <c r="B7" t="s">
        <v>8</v>
      </c>
      <c r="C7" s="1">
        <f>C6*SIN(C5*PI()/180)</f>
        <v>5.2827549630850754</v>
      </c>
      <c r="D7" t="s">
        <v>5</v>
      </c>
      <c r="F7" s="1">
        <f>F6*SIN(F5*PI()/180)</f>
        <v>5.2827549630850754</v>
      </c>
      <c r="G7" t="s">
        <v>5</v>
      </c>
      <c r="I7" s="1">
        <f>I6*SIN(I5*PI()/180)</f>
        <v>5.2827549630850754</v>
      </c>
      <c r="J7" t="s">
        <v>5</v>
      </c>
    </row>
    <row r="8" spans="1:22" x14ac:dyDescent="0.2">
      <c r="B8" t="s">
        <v>9</v>
      </c>
      <c r="C8" s="1">
        <f>C6*COS(C5*PI()/180)</f>
        <v>-3.0499999999999985</v>
      </c>
      <c r="D8" t="s">
        <v>5</v>
      </c>
      <c r="F8" s="1">
        <f>F6*COS(F5*PI()/180)</f>
        <v>-3.0499999999999985</v>
      </c>
      <c r="G8" t="s">
        <v>5</v>
      </c>
      <c r="I8" s="1">
        <f>I6*COS(I5*PI()/180)</f>
        <v>-3.0499999999999985</v>
      </c>
      <c r="J8" t="s">
        <v>5</v>
      </c>
      <c r="L8" t="s">
        <v>53</v>
      </c>
      <c r="M8" s="2">
        <f>F6*1852</f>
        <v>11297.199999999999</v>
      </c>
      <c r="N8" t="s">
        <v>55</v>
      </c>
      <c r="P8" t="s">
        <v>67</v>
      </c>
      <c r="Q8" s="1">
        <f>$F$6*COS((90-$F$5)*PI()/180)*1852</f>
        <v>9783.6621916335589</v>
      </c>
    </row>
    <row r="9" spans="1:22" x14ac:dyDescent="0.2">
      <c r="L9" t="s">
        <v>54</v>
      </c>
      <c r="M9" s="2">
        <f>F13*1852</f>
        <v>18520</v>
      </c>
      <c r="N9" t="s">
        <v>55</v>
      </c>
      <c r="P9" t="s">
        <v>68</v>
      </c>
      <c r="Q9" s="1">
        <f>$F$6*SIN((90-$F$5)*PI()/180)*1852</f>
        <v>-5648.5999999999985</v>
      </c>
    </row>
    <row r="10" spans="1:22" x14ac:dyDescent="0.2">
      <c r="A10" t="s">
        <v>7</v>
      </c>
      <c r="B10" t="s">
        <v>1</v>
      </c>
      <c r="C10">
        <f>C3+10/60</f>
        <v>35.166666666666664</v>
      </c>
      <c r="D10" t="s">
        <v>6</v>
      </c>
      <c r="F10">
        <f>F3-6/60</f>
        <v>34.9</v>
      </c>
      <c r="G10" t="s">
        <v>6</v>
      </c>
      <c r="I10">
        <f>I3+10/60</f>
        <v>35.166666666666664</v>
      </c>
      <c r="J10" t="s">
        <v>6</v>
      </c>
      <c r="L10" t="s">
        <v>44</v>
      </c>
      <c r="M10" s="2">
        <f>(F10-F3)*111120</f>
        <v>-11112.000000000158</v>
      </c>
      <c r="N10" t="s">
        <v>14</v>
      </c>
      <c r="P10" t="s">
        <v>69</v>
      </c>
      <c r="Q10" s="1">
        <f>$F$13*COS((90-$F$12)*PI()/180)*1852</f>
        <v>18520</v>
      </c>
      <c r="S10">
        <v>3878088</v>
      </c>
    </row>
    <row r="11" spans="1:22" x14ac:dyDescent="0.2">
      <c r="B11" t="s">
        <v>2</v>
      </c>
      <c r="C11">
        <f>C4+6/60</f>
        <v>-69.900000000000006</v>
      </c>
      <c r="D11" t="s">
        <v>6</v>
      </c>
      <c r="F11">
        <f>F4-10/60</f>
        <v>-70.166666666666671</v>
      </c>
      <c r="G11" t="s">
        <v>6</v>
      </c>
      <c r="I11">
        <f>I4-10/60</f>
        <v>-70.166666666666671</v>
      </c>
      <c r="J11" t="s">
        <v>6</v>
      </c>
      <c r="L11" t="s">
        <v>45</v>
      </c>
      <c r="M11" s="2">
        <f>(F11-F4)*111120*COS(F3*PI()/180)</f>
        <v>-15170.695860232559</v>
      </c>
      <c r="N11" t="s">
        <v>14</v>
      </c>
      <c r="P11" t="s">
        <v>70</v>
      </c>
      <c r="Q11" s="1">
        <f>$F$13*SIN((90-$F$12)*PI()/180)*1852</f>
        <v>0</v>
      </c>
      <c r="S11" s="8">
        <f>1.13402293601044E-12</f>
        <v>1.1340229360104401E-12</v>
      </c>
    </row>
    <row r="12" spans="1:22" x14ac:dyDescent="0.2">
      <c r="B12" t="s">
        <v>3</v>
      </c>
      <c r="C12" s="4">
        <v>200</v>
      </c>
      <c r="D12" t="s">
        <v>6</v>
      </c>
      <c r="F12" s="4">
        <v>90</v>
      </c>
      <c r="G12" t="s">
        <v>6</v>
      </c>
      <c r="I12" s="4">
        <v>135</v>
      </c>
      <c r="J12" t="s">
        <v>6</v>
      </c>
      <c r="L12" t="s">
        <v>46</v>
      </c>
      <c r="M12" s="7">
        <f>COS((90-F5)*PI()/ 180)</f>
        <v>0.86602540378443871</v>
      </c>
    </row>
    <row r="13" spans="1:22" x14ac:dyDescent="0.2">
      <c r="B13" t="s">
        <v>4</v>
      </c>
      <c r="C13">
        <v>15</v>
      </c>
      <c r="D13" t="s">
        <v>5</v>
      </c>
      <c r="F13">
        <v>10</v>
      </c>
      <c r="G13" t="s">
        <v>5</v>
      </c>
      <c r="I13">
        <v>25</v>
      </c>
      <c r="J13" t="s">
        <v>5</v>
      </c>
      <c r="L13" t="s">
        <v>47</v>
      </c>
      <c r="M13" s="7">
        <f>COS((90-F12)*PI()/ 180)</f>
        <v>1</v>
      </c>
      <c r="P13" t="s">
        <v>59</v>
      </c>
      <c r="Q13" s="2">
        <f>($F$4-$F$11)*111120*COS($F$3*PI()/180)</f>
        <v>15170.695860232559</v>
      </c>
      <c r="R13" t="s">
        <v>14</v>
      </c>
      <c r="V13">
        <f>Q3-Q5</f>
        <v>15170.695860232227</v>
      </c>
    </row>
    <row r="14" spans="1:22" x14ac:dyDescent="0.2">
      <c r="B14" t="s">
        <v>8</v>
      </c>
      <c r="C14" s="1">
        <f>C13*SIN(C12*PI()/180)</f>
        <v>-5.1303021498850301</v>
      </c>
      <c r="D14" t="s">
        <v>5</v>
      </c>
      <c r="F14" s="1">
        <f>F13*SIN(F12*PI()/180)</f>
        <v>10</v>
      </c>
      <c r="G14" t="s">
        <v>5</v>
      </c>
      <c r="I14" s="1">
        <f>I13*SIN(I12*PI()/180)</f>
        <v>17.677669529663689</v>
      </c>
      <c r="J14" t="s">
        <v>5</v>
      </c>
      <c r="L14" t="s">
        <v>48</v>
      </c>
      <c r="M14" s="7">
        <f>SIN((90-F5)*PI()/ 180)</f>
        <v>-0.49999999999999994</v>
      </c>
      <c r="P14" t="s">
        <v>60</v>
      </c>
      <c r="Q14" s="2">
        <f>(F3-F10)*111120</f>
        <v>11112.000000000158</v>
      </c>
      <c r="R14" t="s">
        <v>14</v>
      </c>
      <c r="V14">
        <f>Q4-Q6</f>
        <v>11112</v>
      </c>
    </row>
    <row r="15" spans="1:22" x14ac:dyDescent="0.2">
      <c r="B15" t="s">
        <v>9</v>
      </c>
      <c r="C15" s="1">
        <f>C13*COS(C12*PI()/180)</f>
        <v>-14.095389311788626</v>
      </c>
      <c r="D15" t="s">
        <v>5</v>
      </c>
      <c r="F15" s="1">
        <f>F13*COS(F12*PI()/180)</f>
        <v>6.1257422745431001E-16</v>
      </c>
      <c r="G15" t="s">
        <v>5</v>
      </c>
      <c r="I15" s="1">
        <f>I13*COS(I12*PI()/180)</f>
        <v>-17.677669529663685</v>
      </c>
      <c r="J15" t="s">
        <v>5</v>
      </c>
      <c r="L15" t="s">
        <v>49</v>
      </c>
      <c r="M15" s="7">
        <f>SIN((90-F12)*PI()/ 180)</f>
        <v>0</v>
      </c>
      <c r="P15" t="s">
        <v>61</v>
      </c>
      <c r="Q15" s="1">
        <f>($F$6*COS((90-$F$5)*PI()/180)-$F$13*COS((90-$F$12)*PI()/180))*1852</f>
        <v>-8736.3378083664411</v>
      </c>
      <c r="R15" t="s">
        <v>55</v>
      </c>
    </row>
    <row r="16" spans="1:22" x14ac:dyDescent="0.2">
      <c r="B16" t="s">
        <v>10</v>
      </c>
      <c r="C16" s="1">
        <f>C14-C7</f>
        <v>-10.413057112970105</v>
      </c>
      <c r="D16" t="s">
        <v>5</v>
      </c>
      <c r="F16" s="1">
        <f>F14-F7</f>
        <v>4.7172450369149246</v>
      </c>
      <c r="G16" t="s">
        <v>5</v>
      </c>
      <c r="I16" s="1">
        <f>I14-I7</f>
        <v>12.394914566578613</v>
      </c>
      <c r="J16" t="s">
        <v>5</v>
      </c>
      <c r="L16" t="s">
        <v>51</v>
      </c>
      <c r="M16" s="2">
        <f>M8*M12 - M9*M13</f>
        <v>-8736.3378083664393</v>
      </c>
      <c r="N16" t="s">
        <v>55</v>
      </c>
      <c r="P16" t="s">
        <v>62</v>
      </c>
      <c r="Q16" s="1">
        <f>($F$6*SIN((90-$F$5)*PI()/180)-$F$13*SIN((90-$F$12)*PI()/180))*1852</f>
        <v>-5648.5999999999985</v>
      </c>
      <c r="R16" t="s">
        <v>55</v>
      </c>
    </row>
    <row r="17" spans="2:18" x14ac:dyDescent="0.2">
      <c r="B17" t="s">
        <v>11</v>
      </c>
      <c r="C17" s="1">
        <f>C15-C8</f>
        <v>-11.045389311788627</v>
      </c>
      <c r="D17" t="s">
        <v>5</v>
      </c>
      <c r="F17" s="1">
        <f>F15-F8</f>
        <v>3.0499999999999989</v>
      </c>
      <c r="G17" t="s">
        <v>5</v>
      </c>
      <c r="I17" s="1">
        <f>I15-I8</f>
        <v>-14.627669529663686</v>
      </c>
      <c r="J17" t="s">
        <v>5</v>
      </c>
      <c r="L17" t="s">
        <v>52</v>
      </c>
      <c r="M17" s="2">
        <f>M8*M14 - M9*M15</f>
        <v>-5648.5999999999985</v>
      </c>
      <c r="N17" t="s">
        <v>55</v>
      </c>
      <c r="P17" t="s">
        <v>21</v>
      </c>
      <c r="Q17" s="1">
        <f>-(Q13*Q15+Q14*Q16)/(Q15*Q15+Q16*Q16)</f>
        <v>1.8045187220285133</v>
      </c>
      <c r="R17" t="s">
        <v>57</v>
      </c>
    </row>
    <row r="18" spans="2:18" x14ac:dyDescent="0.2">
      <c r="B18" t="s">
        <v>23</v>
      </c>
      <c r="C18" s="1">
        <f>SQRT(C16^2+C17^2)</f>
        <v>15.179999456091943</v>
      </c>
      <c r="D18" t="s">
        <v>5</v>
      </c>
      <c r="F18" s="1">
        <f>SQRT(F16^2+F17^2)</f>
        <v>5.6173748974319384</v>
      </c>
      <c r="G18" t="s">
        <v>5</v>
      </c>
      <c r="I18" s="1">
        <f>SQRT(I16^2+I17^2)</f>
        <v>19.172965941184845</v>
      </c>
      <c r="J18" t="s">
        <v>5</v>
      </c>
      <c r="L18" t="s">
        <v>50</v>
      </c>
      <c r="M18" s="2">
        <f>M16^2+M17^2</f>
        <v>108230280.2618929</v>
      </c>
      <c r="N18" t="s">
        <v>56</v>
      </c>
      <c r="P18" t="s">
        <v>21</v>
      </c>
      <c r="Q18" s="1">
        <f>Q17*60</f>
        <v>108.2711233217108</v>
      </c>
      <c r="R18" t="s">
        <v>58</v>
      </c>
    </row>
    <row r="19" spans="2:18" x14ac:dyDescent="0.2">
      <c r="B19" t="s">
        <v>17</v>
      </c>
      <c r="C19" s="3">
        <f>90 - ATAN2(C16,C17) * 180/PI()</f>
        <v>223.31211056752767</v>
      </c>
      <c r="D19" t="s">
        <v>6</v>
      </c>
      <c r="F19" s="3">
        <f>90 - ATAN2(F16,F17) * 180/PI()</f>
        <v>57.114752820304908</v>
      </c>
      <c r="G19" t="s">
        <v>6</v>
      </c>
      <c r="I19" s="3">
        <f>90 - ATAN2(I16,I17) * 180/PI()</f>
        <v>139.72336409925236</v>
      </c>
      <c r="J19" t="s">
        <v>6</v>
      </c>
      <c r="L19" t="s">
        <v>21</v>
      </c>
      <c r="M19" s="1">
        <f>(M16*M11+M17*M10)/M18</f>
        <v>1.8045187220285135</v>
      </c>
      <c r="N19" t="s">
        <v>57</v>
      </c>
    </row>
    <row r="20" spans="2:18" x14ac:dyDescent="0.2">
      <c r="B20" t="s">
        <v>12</v>
      </c>
      <c r="C20" s="2">
        <f>(C4-C11)*111120*COS(C3*PI()/180)</f>
        <v>-9102.4175161387593</v>
      </c>
      <c r="D20" t="s">
        <v>14</v>
      </c>
      <c r="F20" s="2">
        <f>(F4-F11)*111120*COS(F3*PI()/180)</f>
        <v>15170.695860232559</v>
      </c>
      <c r="G20" t="s">
        <v>14</v>
      </c>
      <c r="I20" s="2">
        <f>(I4-I11)*111120*COS(I3*PI()/180)</f>
        <v>15170.695860232559</v>
      </c>
      <c r="J20" t="s">
        <v>14</v>
      </c>
      <c r="L20" t="s">
        <v>21</v>
      </c>
      <c r="M20" s="1">
        <f>M19*60</f>
        <v>108.2711233217108</v>
      </c>
      <c r="N20" t="s">
        <v>58</v>
      </c>
    </row>
    <row r="21" spans="2:18" x14ac:dyDescent="0.2">
      <c r="B21" t="s">
        <v>13</v>
      </c>
      <c r="C21" s="2">
        <f>(C3-C10)*111120</f>
        <v>-18519.999999999738</v>
      </c>
      <c r="D21" t="s">
        <v>14</v>
      </c>
      <c r="F21" s="2">
        <f>(F3-F10)*111120</f>
        <v>11112.000000000158</v>
      </c>
      <c r="G21" t="s">
        <v>14</v>
      </c>
      <c r="I21" s="2">
        <f>(I3-I10)*111120</f>
        <v>-18519.999999999738</v>
      </c>
      <c r="J21" t="s">
        <v>14</v>
      </c>
    </row>
    <row r="22" spans="2:18" x14ac:dyDescent="0.2">
      <c r="B22" t="s">
        <v>15</v>
      </c>
      <c r="C22" s="2">
        <f>SQRT(C20^2+C21^2)</f>
        <v>20635.997786346557</v>
      </c>
      <c r="D22" t="s">
        <v>14</v>
      </c>
      <c r="F22" s="2">
        <f>SQRT(F20^2+F21^2)</f>
        <v>18804.960964694419</v>
      </c>
      <c r="G22" t="s">
        <v>14</v>
      </c>
      <c r="I22" s="2">
        <f>SQRT(I20^2+I21^2)</f>
        <v>23940.351143700202</v>
      </c>
      <c r="J22" t="s">
        <v>14</v>
      </c>
    </row>
    <row r="23" spans="2:18" x14ac:dyDescent="0.2">
      <c r="B23" t="s">
        <v>15</v>
      </c>
      <c r="C23" s="1">
        <f>C22/1852</f>
        <v>11.142547400835074</v>
      </c>
      <c r="D23" t="s">
        <v>19</v>
      </c>
      <c r="F23" s="1">
        <f>F22/1852</f>
        <v>10.153866611606057</v>
      </c>
      <c r="G23" t="s">
        <v>19</v>
      </c>
      <c r="I23" s="1">
        <f>I22/1852</f>
        <v>12.926755477159936</v>
      </c>
      <c r="J23" t="s">
        <v>19</v>
      </c>
    </row>
    <row r="24" spans="2:18" x14ac:dyDescent="0.2">
      <c r="B24" t="s">
        <v>16</v>
      </c>
      <c r="C24" s="3">
        <f>90 - ATAN2(C20,C21) * 180/PI()</f>
        <v>206.1737118700043</v>
      </c>
      <c r="D24" t="s">
        <v>6</v>
      </c>
      <c r="F24" s="3">
        <f>90 - ATAN2(F20,F21) * 180/PI()</f>
        <v>53.778537934736505</v>
      </c>
      <c r="G24" t="s">
        <v>6</v>
      </c>
      <c r="I24" s="3">
        <f>90 - ATAN2(I20,I21) * 180/PI()</f>
        <v>140.67731009035879</v>
      </c>
      <c r="J24" t="s">
        <v>6</v>
      </c>
    </row>
    <row r="25" spans="2:18" x14ac:dyDescent="0.2">
      <c r="B25" t="s">
        <v>24</v>
      </c>
      <c r="C25" s="1">
        <f>ABS(C24-C19)</f>
        <v>17.138398697523371</v>
      </c>
      <c r="D25" t="s">
        <v>6</v>
      </c>
      <c r="F25" s="1">
        <f>ABS(F24-F19)</f>
        <v>3.3362148855684026</v>
      </c>
      <c r="G25" t="s">
        <v>6</v>
      </c>
      <c r="I25" s="1">
        <f>ABS(I24-I19)</f>
        <v>0.95394599110642275</v>
      </c>
      <c r="J25" t="s">
        <v>6</v>
      </c>
    </row>
    <row r="26" spans="2:18" x14ac:dyDescent="0.2">
      <c r="B26" t="s">
        <v>18</v>
      </c>
      <c r="C26" s="2">
        <f>C22*SIN(C25*PI()/180)</f>
        <v>6081.032667689693</v>
      </c>
      <c r="D26" t="s">
        <v>14</v>
      </c>
      <c r="F26" s="2">
        <f>F22*SIN(F25*PI()/180)</f>
        <v>1094.3553864102003</v>
      </c>
      <c r="G26" t="s">
        <v>14</v>
      </c>
      <c r="I26" s="2">
        <f>I22*SIN(I25*PI()/180)</f>
        <v>398.57642359332152</v>
      </c>
      <c r="J26" t="s">
        <v>14</v>
      </c>
    </row>
    <row r="27" spans="2:18" x14ac:dyDescent="0.2">
      <c r="B27" t="s">
        <v>18</v>
      </c>
      <c r="C27" s="5">
        <f>C26/1852</f>
        <v>3.2834949609555579</v>
      </c>
      <c r="D27" t="s">
        <v>19</v>
      </c>
      <c r="F27" s="5">
        <f>F26/1852</f>
        <v>0.59090463629060486</v>
      </c>
      <c r="G27" t="s">
        <v>19</v>
      </c>
      <c r="I27" s="5">
        <f>I26/1852</f>
        <v>0.21521405161626431</v>
      </c>
      <c r="J27" t="s">
        <v>19</v>
      </c>
      <c r="R27" s="2">
        <f>V3-V4</f>
        <v>15170.695860232227</v>
      </c>
    </row>
    <row r="28" spans="2:18" x14ac:dyDescent="0.2">
      <c r="B28" t="s">
        <v>20</v>
      </c>
      <c r="C28" s="2">
        <f>C22*COS(C25*PI()/180)</f>
        <v>19719.671557421811</v>
      </c>
      <c r="D28" t="s">
        <v>14</v>
      </c>
      <c r="F28" s="2">
        <f>F22*COS(F25*PI()/180)</f>
        <v>18773.090932819661</v>
      </c>
      <c r="G28" t="s">
        <v>14</v>
      </c>
      <c r="I28" s="2">
        <f>I22*COS(I25*PI()/180)</f>
        <v>23937.033018279919</v>
      </c>
      <c r="J28" t="s">
        <v>14</v>
      </c>
    </row>
    <row r="29" spans="2:18" x14ac:dyDescent="0.2">
      <c r="B29" t="s">
        <v>20</v>
      </c>
      <c r="C29" s="1">
        <f>C28/1852</f>
        <v>10.647770819342231</v>
      </c>
      <c r="D29" t="s">
        <v>19</v>
      </c>
      <c r="F29" s="1">
        <f>F28/1852</f>
        <v>10.136658171068932</v>
      </c>
      <c r="G29" t="s">
        <v>19</v>
      </c>
      <c r="I29" s="1">
        <f>I28/1852</f>
        <v>12.924963832764535</v>
      </c>
      <c r="J29" t="s">
        <v>19</v>
      </c>
    </row>
    <row r="30" spans="2:18" x14ac:dyDescent="0.2">
      <c r="B30" t="s">
        <v>21</v>
      </c>
      <c r="C30" s="6">
        <f>C29/C18*60</f>
        <v>42.086052177304133</v>
      </c>
      <c r="D30" t="s">
        <v>22</v>
      </c>
      <c r="F30" s="6">
        <f>F29/F18*60</f>
        <v>108.2711233217108</v>
      </c>
      <c r="G30" t="s">
        <v>22</v>
      </c>
      <c r="I30" s="6">
        <f>I29/I18*60</f>
        <v>40.447462971811241</v>
      </c>
      <c r="J30" t="s">
        <v>22</v>
      </c>
    </row>
    <row r="32" spans="2:18" x14ac:dyDescent="0.2">
      <c r="B32" t="s">
        <v>28</v>
      </c>
      <c r="C32" t="s">
        <v>25</v>
      </c>
      <c r="F32" t="s">
        <v>26</v>
      </c>
      <c r="I32" t="s">
        <v>27</v>
      </c>
    </row>
    <row r="33" spans="2:9" x14ac:dyDescent="0.2">
      <c r="B33" t="s">
        <v>29</v>
      </c>
      <c r="C33" t="s">
        <v>30</v>
      </c>
      <c r="F33" t="s">
        <v>31</v>
      </c>
      <c r="I33" t="s">
        <v>32</v>
      </c>
    </row>
    <row r="34" spans="2:9" x14ac:dyDescent="0.2">
      <c r="B34" t="s">
        <v>33</v>
      </c>
      <c r="C34" t="s">
        <v>34</v>
      </c>
      <c r="F34" t="s">
        <v>35</v>
      </c>
      <c r="I34" t="s">
        <v>36</v>
      </c>
    </row>
    <row r="35" spans="2:9" x14ac:dyDescent="0.2">
      <c r="B35" t="s">
        <v>37</v>
      </c>
      <c r="C35" t="s">
        <v>38</v>
      </c>
      <c r="F35" t="s">
        <v>39</v>
      </c>
      <c r="I35" t="s">
        <v>40</v>
      </c>
    </row>
    <row r="36" spans="2:9" x14ac:dyDescent="0.2">
      <c r="B36" t="s">
        <v>41</v>
      </c>
      <c r="C36" t="s">
        <v>34</v>
      </c>
      <c r="F36" t="s">
        <v>42</v>
      </c>
      <c r="I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Waters, Jeremy</dc:creator>
  <cp:lastModifiedBy>Microsoft Office User</cp:lastModifiedBy>
  <dcterms:created xsi:type="dcterms:W3CDTF">2018-11-08T02:10:46Z</dcterms:created>
  <dcterms:modified xsi:type="dcterms:W3CDTF">2018-11-09T12:56:12Z</dcterms:modified>
</cp:coreProperties>
</file>