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drawings/drawing3.xml" ContentType="application/vnd.openxmlformats-officedocument.drawing+xml"/>
  <Override PartName="/xl/tables/table20.xml" ContentType="application/vnd.openxmlformats-officedocument.spreadsheetml.table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5.xml" ContentType="application/vnd.openxmlformats-officedocument.drawing+xml"/>
  <Override PartName="/xl/tables/table24.xml" ContentType="application/vnd.openxmlformats-officedocument.spreadsheetml.table+xml"/>
  <Override PartName="/xl/drawings/drawing6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79F8D3B-E8B2-4D3A-A09E-F58C8EB493C7}" xr6:coauthVersionLast="47" xr6:coauthVersionMax="47" xr10:uidLastSave="{00000000-0000-0000-0000-000000000000}"/>
  <bookViews>
    <workbookView xWindow="-108" yWindow="-108" windowWidth="23256" windowHeight="12576" tabRatio="500" firstSheet="34" activeTab="34" xr2:uid="{00000000-000D-0000-FFFF-FFFF00000000}"/>
  </bookViews>
  <sheets>
    <sheet name="Aug" sheetId="4" state="hidden" r:id="rId1"/>
    <sheet name="SEP  (2)" sheetId="32" state="hidden" r:id="rId2"/>
    <sheet name="LONG WEEKEND" sheetId="34" state="hidden" r:id="rId3"/>
    <sheet name="11.09.25" sheetId="40" state="hidden" r:id="rId4"/>
    <sheet name="12.09.25" sheetId="30" state="hidden" r:id="rId5"/>
    <sheet name="15.09.25" sheetId="43" state="hidden" r:id="rId6"/>
    <sheet name="IN OUT" sheetId="27" state="hidden" r:id="rId7"/>
    <sheet name="OVERNIGHT " sheetId="21" state="hidden" r:id="rId8"/>
    <sheet name="PROJECT" sheetId="37" state="hidden" r:id="rId9"/>
    <sheet name="20.10.25" sheetId="106" state="hidden" r:id="rId10"/>
    <sheet name="17.10.25" sheetId="104" state="hidden" r:id="rId11"/>
    <sheet name="16.09.25" sheetId="46" state="hidden" r:id="rId12"/>
    <sheet name="17.09.25" sheetId="50" state="hidden" r:id="rId13"/>
    <sheet name="19.09.25" sheetId="55" state="hidden" r:id="rId14"/>
    <sheet name="22.09.25" sheetId="59" state="hidden" r:id="rId15"/>
    <sheet name="23.09.25" sheetId="61" state="hidden" r:id="rId16"/>
    <sheet name="24.09.25" sheetId="63" state="hidden" r:id="rId17"/>
    <sheet name="18.09.25" sheetId="52" state="hidden" r:id="rId18"/>
    <sheet name="25.09.25" sheetId="67" state="hidden" r:id="rId19"/>
    <sheet name="26.09.25" sheetId="70" state="hidden" r:id="rId20"/>
    <sheet name="13.10.25" sheetId="93" state="hidden" r:id="rId21"/>
    <sheet name="14.10.25" sheetId="98" state="hidden" r:id="rId22"/>
    <sheet name="16.10.25" sheetId="101" state="hidden" r:id="rId23"/>
    <sheet name="15.10.25" sheetId="99" state="hidden" r:id="rId24"/>
    <sheet name="Sheet2" sheetId="94" state="hidden" r:id="rId25"/>
    <sheet name="10.10.25" sheetId="90" state="hidden" r:id="rId26"/>
    <sheet name="30.09.25" sheetId="75" state="hidden" r:id="rId27"/>
    <sheet name="01.10.25" sheetId="77" state="hidden" r:id="rId28"/>
    <sheet name="02.10.25" sheetId="78" state="hidden" r:id="rId29"/>
    <sheet name="03.10.25" sheetId="81" state="hidden" r:id="rId30"/>
    <sheet name="06.10.25" sheetId="83" state="hidden" r:id="rId31"/>
    <sheet name="07.10.25" sheetId="85" state="hidden" r:id="rId32"/>
    <sheet name="08.10.25" sheetId="86" state="hidden" r:id="rId33"/>
    <sheet name="Sheet3" sheetId="80" state="hidden" r:id="rId34"/>
    <sheet name="14.11.2025" sheetId="142" r:id="rId35"/>
    <sheet name="Sheet6" sheetId="144" r:id="rId36"/>
    <sheet name="13.11.2025" sheetId="140" state="hidden" r:id="rId37"/>
    <sheet name="12.11.2025" sheetId="137" state="hidden" r:id="rId38"/>
    <sheet name="11.11.2025" sheetId="135" state="hidden" r:id="rId39"/>
    <sheet name="10.11.2025" sheetId="133" state="hidden" r:id="rId40"/>
    <sheet name="07.11.2025" sheetId="132" state="hidden" r:id="rId41"/>
    <sheet name="06.11.2025" sheetId="131" state="hidden" r:id="rId42"/>
    <sheet name="05.11.2025" sheetId="129" state="hidden" r:id="rId43"/>
    <sheet name="04.11.2025" sheetId="128" state="hidden" r:id="rId44"/>
    <sheet name="03.11.2025" sheetId="126" state="hidden" r:id="rId45"/>
    <sheet name="31.10.2025" sheetId="124" state="hidden" r:id="rId46"/>
    <sheet name="30.12.2025" sheetId="123" state="hidden" r:id="rId47"/>
    <sheet name="29.10.2025" sheetId="122" state="hidden" r:id="rId48"/>
    <sheet name="28.10.2025" sheetId="118" state="hidden" r:id="rId49"/>
    <sheet name="23.10.25" sheetId="110" state="hidden" r:id="rId50"/>
    <sheet name="22.10.25" sheetId="109" state="hidden" r:id="rId51"/>
    <sheet name="21.10.25" sheetId="108" state="hidden" r:id="rId52"/>
    <sheet name="Sheet4" sheetId="111" state="hidden" r:id="rId53"/>
    <sheet name="27.10.2025" sheetId="117" state="hidden" r:id="rId54"/>
    <sheet name="09.10.25" sheetId="89" state="hidden" r:id="rId55"/>
    <sheet name="24.10.2025" sheetId="113" state="hidden" r:id="rId56"/>
    <sheet name="Sheet1" sheetId="76" state="hidden" r:id="rId57"/>
    <sheet name="29.09.25" sheetId="73" state="hidden" r:id="rId58"/>
    <sheet name="CON" sheetId="105" state="hidden" r:id="rId59"/>
    <sheet name="CONTAINER" sheetId="103" state="hidden" r:id="rId60"/>
    <sheet name="OUTSTANDING" sheetId="143" r:id="rId61"/>
    <sheet name="Sheet5" sheetId="139" r:id="rId62"/>
  </sheets>
  <externalReferences>
    <externalReference r:id="rId63"/>
    <externalReference r:id="rId64"/>
  </externalReferences>
  <definedNames>
    <definedName name="_xlnm._FilterDatabase" localSheetId="27" hidden="1">'01.10.25'!$R$2:$AD$55</definedName>
    <definedName name="_xlnm._FilterDatabase" localSheetId="28" hidden="1">'02.10.25'!$R$2:$AC$2</definedName>
    <definedName name="_xlnm._FilterDatabase" localSheetId="44" hidden="1">'17.10.25'!$S$96:$S$96</definedName>
    <definedName name="_xlnm._FilterDatabase" localSheetId="43" hidden="1">'17.10.25'!$S$96:$S$96</definedName>
    <definedName name="_xlnm._FilterDatabase" localSheetId="42" hidden="1">'17.10.25'!$S$96:$S$96</definedName>
    <definedName name="_xlnm._FilterDatabase" localSheetId="41" hidden="1">'17.10.25'!$S$96:$S$96</definedName>
    <definedName name="_xlnm._FilterDatabase" localSheetId="40" hidden="1">'17.10.25'!$S$96:$S$96</definedName>
    <definedName name="_xlnm._FilterDatabase" localSheetId="54" hidden="1">'09.10.25'!$R$1:$AC$57</definedName>
    <definedName name="_xlnm._FilterDatabase" localSheetId="25" hidden="1">'09.10.25'!$R$1:$AC$57</definedName>
    <definedName name="_xlnm._FilterDatabase" localSheetId="39" hidden="1">'17.10.25'!$S$96:$S$96</definedName>
    <definedName name="_xlnm._FilterDatabase" localSheetId="3" hidden="1">'11.09.25'!$A$11:$L$266</definedName>
    <definedName name="_xlnm._FilterDatabase" localSheetId="38" hidden="1">'17.10.25'!$S$96:$S$96</definedName>
    <definedName name="_xlnm._FilterDatabase" localSheetId="4" hidden="1">'12.09.25'!$A$29:$K$38</definedName>
    <definedName name="_xlnm._FilterDatabase" localSheetId="37" hidden="1">'17.10.25'!$S$96:$S$96</definedName>
    <definedName name="_xlnm._FilterDatabase" localSheetId="20" hidden="1">'09.10.25'!$R$1:$AC$57</definedName>
    <definedName name="_xlnm._FilterDatabase" localSheetId="36" hidden="1">'17.10.25'!$S$96:$S$96</definedName>
    <definedName name="_xlnm._FilterDatabase" localSheetId="21" hidden="1">'14.10.25'!$AG$22:$AG$22</definedName>
    <definedName name="_xlnm._FilterDatabase" localSheetId="34" hidden="1">'17.10.25'!$S$96:$S$96</definedName>
    <definedName name="_xlnm._FilterDatabase" localSheetId="5" hidden="1">'12.09.25'!$A$29:$K$38</definedName>
    <definedName name="_xlnm._FilterDatabase" localSheetId="23" hidden="1">'15.10.25'!$W$156:$W$156</definedName>
    <definedName name="_xlnm._FilterDatabase" localSheetId="11" hidden="1">'16.09.25'!$A$1:$F$17</definedName>
    <definedName name="_xlnm._FilterDatabase" localSheetId="22" hidden="1">'15.10.25'!$W$156:$W$156</definedName>
    <definedName name="_xlnm._FilterDatabase" localSheetId="12" hidden="1">'16.09.25'!$A$1:$F$17</definedName>
    <definedName name="_xlnm._FilterDatabase" localSheetId="10" hidden="1">'17.10.25'!$S$96:$S$96</definedName>
    <definedName name="_xlnm._FilterDatabase" localSheetId="17" hidden="1">'16.09.25'!$A$1:$F$17</definedName>
    <definedName name="_xlnm._FilterDatabase" localSheetId="13" hidden="1">'19.09.25'!$A$1:$F$17</definedName>
    <definedName name="_xlnm._FilterDatabase" localSheetId="9" hidden="1">'17.10.25'!$S$96:$S$96</definedName>
    <definedName name="_xlnm._FilterDatabase" localSheetId="51" hidden="1">'17.10.25'!$S$96:$S$96</definedName>
    <definedName name="_xlnm._FilterDatabase" localSheetId="14" hidden="1">'19.09.25'!$A$1:$F$17</definedName>
    <definedName name="_xlnm._FilterDatabase" localSheetId="50" hidden="1">'17.10.25'!$S$96:$S$96</definedName>
    <definedName name="_xlnm._FilterDatabase" localSheetId="15" hidden="1">'19.09.25'!$A$1:$F$17</definedName>
    <definedName name="_xlnm._FilterDatabase" localSheetId="49" hidden="1">'17.10.25'!$S$96:$S$96</definedName>
    <definedName name="_xlnm._FilterDatabase" localSheetId="16" hidden="1">'19.09.25'!$A$1:$F$17</definedName>
    <definedName name="_xlnm._FilterDatabase" localSheetId="55" hidden="1">'17.10.25'!$S$96:$S$96</definedName>
    <definedName name="_xlnm._FilterDatabase" localSheetId="18" hidden="1">'19.09.25'!$A$1:$F$17</definedName>
    <definedName name="_xlnm._FilterDatabase" localSheetId="19" hidden="1">'26.09.25'!$A$1:$F$16</definedName>
    <definedName name="_xlnm._FilterDatabase" localSheetId="53" hidden="1">'17.10.25'!$S$96:$S$96</definedName>
    <definedName name="_xlnm._FilterDatabase" localSheetId="48" hidden="1">'17.10.25'!$S$96:$S$96</definedName>
    <definedName name="_xlnm._FilterDatabase" localSheetId="57" hidden="1">'26.09.25'!$A$1:$F$16</definedName>
    <definedName name="_xlnm._FilterDatabase" localSheetId="47" hidden="1">'17.10.25'!$S$96:$S$96</definedName>
    <definedName name="_xlnm._FilterDatabase" localSheetId="26" hidden="1">'30.09.25'!#REF!</definedName>
    <definedName name="_xlnm._FilterDatabase" localSheetId="46" hidden="1">'17.10.25'!$S$96:$S$96</definedName>
    <definedName name="_xlnm._FilterDatabase" localSheetId="45" hidden="1">'17.10.25'!$S$96:$S$96</definedName>
    <definedName name="_xlnm._FilterDatabase" localSheetId="0" hidden="1">Aug!$A$5:$I$218</definedName>
    <definedName name="_xlnm._FilterDatabase" localSheetId="58" hidden="1">CON!$B$1:$F$1</definedName>
    <definedName name="_xlnm._FilterDatabase" localSheetId="2" hidden="1">'LONG WEEKEND'!$A$10:$M$120</definedName>
    <definedName name="_xlnm._FilterDatabase" localSheetId="7" hidden="1">'OVERNIGHT '!$A$2:$P$2</definedName>
    <definedName name="_xlnm._FilterDatabase" localSheetId="8" hidden="1">PROJECT!$A$10:$K$173</definedName>
    <definedName name="_xlnm._FilterDatabase" localSheetId="1" hidden="1">'SEP  (2)'!$A$9:$K$9</definedName>
    <definedName name="_xlnm._FilterDatabase" localSheetId="61" hidden="1">Sheet5!$A$1:$AA$86</definedName>
    <definedName name="Slicer_AREA">#N/A</definedName>
    <definedName name="Slicer_Delivery1">#N/A</definedName>
    <definedName name="Slicer_GATE_IN">#N/A</definedName>
    <definedName name="Slicer_Name_ship_to_party">#N/A</definedName>
    <definedName name="Slicer_TRUCK_TYPE">#N/A</definedName>
    <definedName name="Slicer_Vendor">#N/A</definedName>
  </definedNames>
  <calcPr calcId="191028"/>
  <pivotCaches>
    <pivotCache cacheId="2" r:id="rId65"/>
    <pivotCache cacheId="3" r:id="rId66"/>
  </pivotCaches>
  <extLst>
    <ext xmlns:x14="http://schemas.microsoft.com/office/spreadsheetml/2009/9/main" uri="{BBE1A952-AA13-448e-AADC-164F8A28A991}">
      <x14:slicerCaches>
        <x14:slicerCache r:id="rId67"/>
        <x14:slicerCache r:id="rId68"/>
        <x14:slicerCache r:id="rId69"/>
        <x14:slicerCache r:id="rId70"/>
        <x14:slicerCache r:id="rId71"/>
        <x14:slicerCache r:id="rId7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8" i="143" l="1"/>
  <c r="X54" i="142"/>
  <c r="B12" i="142" a="1"/>
  <c r="B12" i="142" s="1"/>
  <c r="J28" i="143" s="1"/>
  <c r="C12" i="142" a="1"/>
  <c r="C12" i="142" s="1"/>
  <c r="G12" i="142" a="1"/>
  <c r="G12" i="142" s="1"/>
  <c r="X79" i="142"/>
  <c r="X74" i="142"/>
  <c r="X51" i="142"/>
  <c r="X85" i="142"/>
  <c r="X44" i="142"/>
  <c r="X40" i="142"/>
  <c r="X69" i="142"/>
  <c r="X32" i="142"/>
  <c r="X24" i="142"/>
  <c r="X87" i="142"/>
  <c r="X64" i="142"/>
  <c r="C21" i="142" a="1"/>
  <c r="C21" i="142" s="1"/>
  <c r="F22" i="143"/>
  <c r="X59" i="142"/>
  <c r="X16" i="142"/>
  <c r="X14" i="142"/>
  <c r="B21" i="142" a="1"/>
  <c r="B21" i="142" s="1"/>
  <c r="X11" i="142"/>
  <c r="K15" i="142" a="1"/>
  <c r="K15" i="142" s="1"/>
  <c r="J15" i="142" a="1"/>
  <c r="J15" i="142" s="1"/>
  <c r="G15" i="142" a="1"/>
  <c r="G15" i="142" s="1"/>
  <c r="F15" i="142" a="1"/>
  <c r="F15" i="142" s="1"/>
  <c r="C15" i="142" a="1"/>
  <c r="C15" i="142" s="1"/>
  <c r="B15" i="142" a="1"/>
  <c r="B15" i="142" s="1"/>
  <c r="K14" i="142" a="1"/>
  <c r="K14" i="142" s="1"/>
  <c r="J14" i="142" a="1"/>
  <c r="J14" i="142" s="1"/>
  <c r="G14" i="142" a="1"/>
  <c r="G14" i="142" s="1"/>
  <c r="F14" i="142" a="1"/>
  <c r="F14" i="142" s="1"/>
  <c r="C14" i="142" a="1"/>
  <c r="C14" i="142" s="1"/>
  <c r="B14" i="142" a="1"/>
  <c r="B14" i="142" s="1"/>
  <c r="K13" i="142" a="1"/>
  <c r="K13" i="142" s="1"/>
  <c r="J13" i="142" a="1"/>
  <c r="J13" i="142" s="1"/>
  <c r="G13" i="142" a="1"/>
  <c r="G13" i="142" s="1"/>
  <c r="F13" i="142" a="1"/>
  <c r="F13" i="142" s="1"/>
  <c r="C13" i="142" a="1"/>
  <c r="C13" i="142" s="1"/>
  <c r="B13" i="142" a="1"/>
  <c r="B13" i="142" s="1"/>
  <c r="J22" i="143" s="1"/>
  <c r="K12" i="142" a="1"/>
  <c r="K12" i="142" s="1"/>
  <c r="J12" i="142" a="1"/>
  <c r="J12" i="142" s="1"/>
  <c r="J16" i="142" s="1"/>
  <c r="N21" i="143" s="1"/>
  <c r="F12" i="142" a="1"/>
  <c r="F12" i="142" s="1"/>
  <c r="J9" i="142"/>
  <c r="F9" i="142"/>
  <c r="A9" i="142"/>
  <c r="N8" i="142"/>
  <c r="J8" i="142"/>
  <c r="F8" i="142"/>
  <c r="A8" i="142"/>
  <c r="K5" i="142" a="1"/>
  <c r="K5" i="142" s="1"/>
  <c r="J5" i="142" a="1"/>
  <c r="J5" i="142" s="1"/>
  <c r="J6" i="142" s="1"/>
  <c r="G5" i="142" a="1"/>
  <c r="G5" i="142" s="1"/>
  <c r="F5" i="142" a="1"/>
  <c r="F5" i="142" s="1"/>
  <c r="F6" i="142" s="1"/>
  <c r="C5" i="142" a="1"/>
  <c r="C5" i="142" s="1"/>
  <c r="B5" i="142" a="1"/>
  <c r="B5" i="142" s="1"/>
  <c r="X56" i="140"/>
  <c r="F5" i="140" a="1"/>
  <c r="F5" i="140"/>
  <c r="X92" i="140"/>
  <c r="X88" i="140"/>
  <c r="X46" i="140"/>
  <c r="X42" i="140"/>
  <c r="X39" i="140"/>
  <c r="X36" i="140"/>
  <c r="AD2" i="137"/>
  <c r="X79" i="140"/>
  <c r="X72" i="140"/>
  <c r="X70" i="140"/>
  <c r="X30" i="140"/>
  <c r="C21" i="140" a="1"/>
  <c r="C21" i="140"/>
  <c r="B21" i="140" a="1"/>
  <c r="B21" i="140"/>
  <c r="K15" i="140" a="1"/>
  <c r="K15" i="140"/>
  <c r="J15" i="140" a="1"/>
  <c r="J15" i="140"/>
  <c r="G15" i="140" a="1"/>
  <c r="G15" i="140"/>
  <c r="F15" i="140" a="1"/>
  <c r="F15" i="140"/>
  <c r="C15" i="140" a="1"/>
  <c r="C15" i="140"/>
  <c r="B15" i="140" a="1"/>
  <c r="B15" i="140"/>
  <c r="K14" i="140" a="1"/>
  <c r="K14" i="140"/>
  <c r="J14" i="140" a="1"/>
  <c r="J14" i="140"/>
  <c r="G14" i="140" a="1"/>
  <c r="G14" i="140"/>
  <c r="F14" i="140" a="1"/>
  <c r="F14" i="140"/>
  <c r="C14" i="140" a="1"/>
  <c r="C14" i="140"/>
  <c r="B14" i="140" a="1"/>
  <c r="B14" i="140"/>
  <c r="K13" i="140" a="1"/>
  <c r="K13" i="140"/>
  <c r="J13" i="140" a="1"/>
  <c r="J13" i="140"/>
  <c r="G13" i="140" a="1"/>
  <c r="G13" i="140"/>
  <c r="F13" i="140" a="1"/>
  <c r="F13" i="140"/>
  <c r="C13" i="140" a="1"/>
  <c r="C13" i="140"/>
  <c r="B13" i="140" a="1"/>
  <c r="B13" i="140"/>
  <c r="K12" i="140" a="1"/>
  <c r="K12" i="140"/>
  <c r="J12" i="140" a="1"/>
  <c r="J12" i="140"/>
  <c r="G12" i="140" a="1"/>
  <c r="G12" i="140"/>
  <c r="F12" i="140" a="1"/>
  <c r="F12" i="140"/>
  <c r="C12" i="140" a="1"/>
  <c r="C12" i="140"/>
  <c r="B12" i="140" a="1"/>
  <c r="B12" i="140"/>
  <c r="K5" i="140" a="1"/>
  <c r="K5" i="140"/>
  <c r="J5" i="140" a="1"/>
  <c r="J5" i="140"/>
  <c r="G5" i="140" a="1"/>
  <c r="G5" i="140"/>
  <c r="C5" i="140" a="1"/>
  <c r="C5" i="140"/>
  <c r="B5" i="140" a="1"/>
  <c r="B5" i="140"/>
  <c r="X2" i="140"/>
  <c r="X6" i="140"/>
  <c r="X19" i="140"/>
  <c r="X22" i="140"/>
  <c r="X25" i="140"/>
  <c r="D21" i="140"/>
  <c r="D12" i="140"/>
  <c r="H12" i="140"/>
  <c r="L12" i="140"/>
  <c r="N12" i="140"/>
  <c r="O12" i="140"/>
  <c r="P12" i="140"/>
  <c r="D13" i="140"/>
  <c r="H13" i="140"/>
  <c r="L13" i="140"/>
  <c r="N13" i="140"/>
  <c r="O13" i="140"/>
  <c r="P13" i="140"/>
  <c r="D14" i="140"/>
  <c r="H14" i="140"/>
  <c r="L14" i="140"/>
  <c r="N14" i="140"/>
  <c r="O14" i="140"/>
  <c r="P14" i="140"/>
  <c r="D15" i="140"/>
  <c r="H15" i="140"/>
  <c r="L15" i="140"/>
  <c r="N15" i="140"/>
  <c r="O15" i="140"/>
  <c r="P15" i="140"/>
  <c r="B16" i="140"/>
  <c r="C16" i="140"/>
  <c r="D16" i="140"/>
  <c r="F16" i="140"/>
  <c r="G16" i="140"/>
  <c r="H16" i="140"/>
  <c r="J16" i="140"/>
  <c r="K16" i="140"/>
  <c r="L16" i="140"/>
  <c r="N16" i="140"/>
  <c r="O16" i="140"/>
  <c r="P16" i="140"/>
  <c r="A8" i="140"/>
  <c r="F8" i="140"/>
  <c r="J8" i="140"/>
  <c r="N8" i="140"/>
  <c r="A9" i="140"/>
  <c r="F9" i="140"/>
  <c r="J9" i="140"/>
  <c r="D5" i="140"/>
  <c r="H5" i="140"/>
  <c r="L5" i="140"/>
  <c r="N5" i="140"/>
  <c r="O5" i="140"/>
  <c r="P5" i="140"/>
  <c r="B6" i="140"/>
  <c r="C6" i="140"/>
  <c r="D6" i="140"/>
  <c r="F6" i="140"/>
  <c r="G6" i="140"/>
  <c r="H6" i="140"/>
  <c r="J6" i="140"/>
  <c r="K6" i="140"/>
  <c r="L6" i="140"/>
  <c r="N6" i="140"/>
  <c r="O6" i="140"/>
  <c r="P6" i="140"/>
  <c r="X133" i="137"/>
  <c r="X131" i="137"/>
  <c r="X81" i="137"/>
  <c r="X129" i="137"/>
  <c r="X71" i="137"/>
  <c r="X127" i="137"/>
  <c r="X66" i="137"/>
  <c r="X122" i="137"/>
  <c r="X68" i="137"/>
  <c r="X64" i="137"/>
  <c r="X60" i="137"/>
  <c r="X56" i="137"/>
  <c r="X111" i="137"/>
  <c r="X109" i="137"/>
  <c r="X47" i="137"/>
  <c r="K5" i="137" a="1"/>
  <c r="K5" i="137"/>
  <c r="J5" i="137" a="1"/>
  <c r="J5" i="137"/>
  <c r="G5" i="137" a="1"/>
  <c r="G5" i="137"/>
  <c r="F5" i="137" a="1"/>
  <c r="F5" i="137"/>
  <c r="C5" i="137" a="1"/>
  <c r="C5" i="137"/>
  <c r="B5" i="137" a="1"/>
  <c r="B5" i="137"/>
  <c r="D5" i="137"/>
  <c r="H5" i="137"/>
  <c r="L5" i="137"/>
  <c r="N5" i="137"/>
  <c r="O5" i="137"/>
  <c r="P5" i="137"/>
  <c r="B6" i="137"/>
  <c r="C6" i="137"/>
  <c r="D6" i="137"/>
  <c r="F6" i="137"/>
  <c r="G6" i="137"/>
  <c r="H6" i="137"/>
  <c r="J6" i="137"/>
  <c r="K6" i="137"/>
  <c r="L6" i="137"/>
  <c r="N6" i="137"/>
  <c r="O6" i="137"/>
  <c r="P6" i="137"/>
  <c r="K15" i="137" a="1"/>
  <c r="K15" i="137"/>
  <c r="J15" i="137" a="1"/>
  <c r="J15" i="137"/>
  <c r="G15" i="137" a="1"/>
  <c r="G15" i="137"/>
  <c r="F15" i="137" a="1"/>
  <c r="F15" i="137"/>
  <c r="C15" i="137" a="1"/>
  <c r="C15" i="137"/>
  <c r="B15" i="137" a="1"/>
  <c r="B15" i="137"/>
  <c r="K14" i="137" a="1"/>
  <c r="K14" i="137"/>
  <c r="J14" i="137" a="1"/>
  <c r="J14" i="137"/>
  <c r="G14" i="137" a="1"/>
  <c r="G14" i="137"/>
  <c r="F14" i="137" a="1"/>
  <c r="F14" i="137"/>
  <c r="C14" i="137" a="1"/>
  <c r="C14" i="137"/>
  <c r="B14" i="137" a="1"/>
  <c r="B14" i="137"/>
  <c r="K13" i="137" a="1"/>
  <c r="K13" i="137"/>
  <c r="J13" i="137" a="1"/>
  <c r="J13" i="137"/>
  <c r="G13" i="137" a="1"/>
  <c r="G13" i="137"/>
  <c r="F13" i="137" a="1"/>
  <c r="F13" i="137"/>
  <c r="C13" i="137" a="1"/>
  <c r="C13" i="137"/>
  <c r="B13" i="137" a="1"/>
  <c r="B13" i="137"/>
  <c r="K12" i="137" a="1"/>
  <c r="K12" i="137"/>
  <c r="J12" i="137" a="1"/>
  <c r="J12" i="137"/>
  <c r="G12" i="137" a="1"/>
  <c r="G12" i="137"/>
  <c r="F12" i="137" a="1"/>
  <c r="F12" i="137"/>
  <c r="C12" i="137" a="1"/>
  <c r="C12" i="137"/>
  <c r="B12" i="137" a="1"/>
  <c r="B12" i="137"/>
  <c r="D12" i="137"/>
  <c r="H12" i="137"/>
  <c r="L12" i="137"/>
  <c r="N12" i="137"/>
  <c r="O12" i="137"/>
  <c r="P12" i="137"/>
  <c r="D13" i="137"/>
  <c r="H13" i="137"/>
  <c r="L13" i="137"/>
  <c r="N13" i="137"/>
  <c r="O13" i="137"/>
  <c r="P13" i="137"/>
  <c r="D14" i="137"/>
  <c r="H14" i="137"/>
  <c r="L14" i="137"/>
  <c r="N14" i="137"/>
  <c r="O14" i="137"/>
  <c r="P14" i="137"/>
  <c r="D15" i="137"/>
  <c r="H15" i="137"/>
  <c r="L15" i="137"/>
  <c r="N15" i="137"/>
  <c r="O15" i="137"/>
  <c r="P15" i="137"/>
  <c r="B16" i="137"/>
  <c r="C16" i="137"/>
  <c r="D16" i="137"/>
  <c r="F16" i="137"/>
  <c r="G16" i="137"/>
  <c r="H16" i="137"/>
  <c r="J16" i="137"/>
  <c r="K16" i="137"/>
  <c r="L16" i="137"/>
  <c r="N16" i="137"/>
  <c r="O16" i="137"/>
  <c r="P16" i="137"/>
  <c r="C21" i="137" a="1"/>
  <c r="C21" i="137"/>
  <c r="B21" i="137" a="1"/>
  <c r="B21" i="137"/>
  <c r="D21" i="137"/>
  <c r="X25" i="137"/>
  <c r="X10" i="137"/>
  <c r="X4" i="137"/>
  <c r="X49" i="137"/>
  <c r="X53" i="137"/>
  <c r="X90" i="137"/>
  <c r="X93" i="137"/>
  <c r="J9" i="137"/>
  <c r="F9" i="137"/>
  <c r="A9" i="137"/>
  <c r="N8" i="137"/>
  <c r="J8" i="137"/>
  <c r="F8" i="137"/>
  <c r="A8" i="137"/>
  <c r="Q7" i="135"/>
  <c r="X98" i="135"/>
  <c r="X27" i="135"/>
  <c r="X63" i="135"/>
  <c r="X93" i="135"/>
  <c r="X67" i="135"/>
  <c r="X91" i="135"/>
  <c r="X89" i="135"/>
  <c r="X62" i="135"/>
  <c r="X57" i="135"/>
  <c r="X87" i="135"/>
  <c r="X44" i="135"/>
  <c r="X80" i="135"/>
  <c r="X6" i="135"/>
  <c r="X12" i="135"/>
  <c r="X35" i="135"/>
  <c r="C21" i="135" a="1"/>
  <c r="C21" i="135"/>
  <c r="B21" i="135" a="1"/>
  <c r="B21" i="135"/>
  <c r="K15" i="135" a="1"/>
  <c r="K15" i="135"/>
  <c r="J15" i="135" a="1"/>
  <c r="J15" i="135"/>
  <c r="G15" i="135" a="1"/>
  <c r="G15" i="135"/>
  <c r="F15" i="135" a="1"/>
  <c r="F15" i="135"/>
  <c r="C15" i="135" a="1"/>
  <c r="C15" i="135"/>
  <c r="B15" i="135" a="1"/>
  <c r="B15" i="135"/>
  <c r="K14" i="135" a="1"/>
  <c r="K14" i="135"/>
  <c r="J14" i="135" a="1"/>
  <c r="J14" i="135"/>
  <c r="G14" i="135" a="1"/>
  <c r="G14" i="135"/>
  <c r="F14" i="135" a="1"/>
  <c r="F14" i="135"/>
  <c r="C14" i="135" a="1"/>
  <c r="C14" i="135"/>
  <c r="B14" i="135" a="1"/>
  <c r="B14" i="135"/>
  <c r="K13" i="135" a="1"/>
  <c r="K13" i="135"/>
  <c r="J13" i="135" a="1"/>
  <c r="J13" i="135"/>
  <c r="G13" i="135" a="1"/>
  <c r="G13" i="135"/>
  <c r="F13" i="135" a="1"/>
  <c r="F13" i="135"/>
  <c r="C13" i="135" a="1"/>
  <c r="C13" i="135"/>
  <c r="B13" i="135" a="1"/>
  <c r="B13" i="135"/>
  <c r="K12" i="135" a="1"/>
  <c r="K12" i="135"/>
  <c r="J12" i="135" a="1"/>
  <c r="J12" i="135"/>
  <c r="G12" i="135" a="1"/>
  <c r="G12" i="135"/>
  <c r="F12" i="135" a="1"/>
  <c r="F12" i="135"/>
  <c r="C12" i="135" a="1"/>
  <c r="C12" i="135"/>
  <c r="B12" i="135" a="1"/>
  <c r="B12" i="135"/>
  <c r="K5" i="135" a="1"/>
  <c r="K5" i="135"/>
  <c r="J5" i="135" a="1"/>
  <c r="J5" i="135"/>
  <c r="G5" i="135" a="1"/>
  <c r="G5" i="135"/>
  <c r="F5" i="135" a="1"/>
  <c r="F5" i="135"/>
  <c r="C5" i="135" a="1"/>
  <c r="C5" i="135"/>
  <c r="B5" i="135" a="1"/>
  <c r="B5" i="135"/>
  <c r="D21" i="135"/>
  <c r="D12" i="135"/>
  <c r="H12" i="135"/>
  <c r="L12" i="135"/>
  <c r="N12" i="135"/>
  <c r="O12" i="135"/>
  <c r="P12" i="135"/>
  <c r="D13" i="135"/>
  <c r="H13" i="135"/>
  <c r="L13" i="135"/>
  <c r="N13" i="135"/>
  <c r="O13" i="135"/>
  <c r="P13" i="135"/>
  <c r="D14" i="135"/>
  <c r="H14" i="135"/>
  <c r="L14" i="135"/>
  <c r="N14" i="135"/>
  <c r="O14" i="135"/>
  <c r="P14" i="135"/>
  <c r="D15" i="135"/>
  <c r="H15" i="135"/>
  <c r="L15" i="135"/>
  <c r="N15" i="135"/>
  <c r="O15" i="135"/>
  <c r="P15" i="135"/>
  <c r="B16" i="135"/>
  <c r="C16" i="135"/>
  <c r="D16" i="135"/>
  <c r="F16" i="135"/>
  <c r="G16" i="135"/>
  <c r="H16" i="135"/>
  <c r="J16" i="135"/>
  <c r="K16" i="135"/>
  <c r="L16" i="135"/>
  <c r="N16" i="135"/>
  <c r="O16" i="135"/>
  <c r="P16" i="135"/>
  <c r="A8" i="135"/>
  <c r="F8" i="135"/>
  <c r="J8" i="135"/>
  <c r="N8" i="135"/>
  <c r="A9" i="135"/>
  <c r="F9" i="135"/>
  <c r="J9" i="135"/>
  <c r="D5" i="135"/>
  <c r="H5" i="135"/>
  <c r="L5" i="135"/>
  <c r="N5" i="135"/>
  <c r="O5" i="135"/>
  <c r="P5" i="135"/>
  <c r="B6" i="135"/>
  <c r="C6" i="135"/>
  <c r="D6" i="135"/>
  <c r="F6" i="135"/>
  <c r="G6" i="135"/>
  <c r="H6" i="135"/>
  <c r="J6" i="135"/>
  <c r="K6" i="135"/>
  <c r="L6" i="135"/>
  <c r="N6" i="135"/>
  <c r="O6" i="135"/>
  <c r="P6" i="135"/>
  <c r="K13" i="133" a="1"/>
  <c r="K13" i="133"/>
  <c r="K5" i="133" a="1"/>
  <c r="K5" i="133"/>
  <c r="C5" i="133" a="1"/>
  <c r="C5" i="133"/>
  <c r="G5" i="133" a="1"/>
  <c r="G5" i="133"/>
  <c r="O5" i="133"/>
  <c r="X68" i="133"/>
  <c r="X66" i="133"/>
  <c r="X39" i="133"/>
  <c r="F13" i="133" a="1"/>
  <c r="F13" i="133"/>
  <c r="X63" i="133"/>
  <c r="X26" i="133"/>
  <c r="X43" i="133"/>
  <c r="C21" i="133" a="1"/>
  <c r="C21" i="133"/>
  <c r="B21" i="133" a="1"/>
  <c r="B21" i="133"/>
  <c r="D21" i="133"/>
  <c r="X21" i="133"/>
  <c r="K15" i="133" a="1"/>
  <c r="K15" i="133"/>
  <c r="J15" i="133" a="1"/>
  <c r="J15" i="133"/>
  <c r="G15" i="133" a="1"/>
  <c r="G15" i="133"/>
  <c r="F15" i="133" a="1"/>
  <c r="F15" i="133"/>
  <c r="C15" i="133" a="1"/>
  <c r="C15" i="133"/>
  <c r="B15" i="133" a="1"/>
  <c r="B15" i="133"/>
  <c r="K14" i="133" a="1"/>
  <c r="K14" i="133"/>
  <c r="J14" i="133" a="1"/>
  <c r="J14" i="133"/>
  <c r="G14" i="133" a="1"/>
  <c r="G14" i="133"/>
  <c r="F14" i="133" a="1"/>
  <c r="F14" i="133"/>
  <c r="C14" i="133" a="1"/>
  <c r="C14" i="133"/>
  <c r="B14" i="133" a="1"/>
  <c r="B14" i="133"/>
  <c r="J13" i="133" a="1"/>
  <c r="J13" i="133"/>
  <c r="G13" i="133" a="1"/>
  <c r="G13" i="133"/>
  <c r="C13" i="133" a="1"/>
  <c r="C13" i="133"/>
  <c r="B13" i="133" a="1"/>
  <c r="B13" i="133"/>
  <c r="K12" i="133" a="1"/>
  <c r="K12" i="133"/>
  <c r="J12" i="133" a="1"/>
  <c r="J12" i="133"/>
  <c r="G12" i="133" a="1"/>
  <c r="G12" i="133"/>
  <c r="F12" i="133" a="1"/>
  <c r="F12" i="133"/>
  <c r="C12" i="133" a="1"/>
  <c r="C12" i="133"/>
  <c r="B12" i="133" a="1"/>
  <c r="B12" i="133"/>
  <c r="J5" i="133" a="1"/>
  <c r="J5" i="133"/>
  <c r="F5" i="133" a="1"/>
  <c r="F5" i="133"/>
  <c r="B5" i="133" a="1"/>
  <c r="B5" i="133"/>
  <c r="X16" i="133"/>
  <c r="X10" i="133"/>
  <c r="D12" i="133"/>
  <c r="H12" i="133"/>
  <c r="L12" i="133"/>
  <c r="N12" i="133"/>
  <c r="O12" i="133"/>
  <c r="P12" i="133"/>
  <c r="D13" i="133"/>
  <c r="H13" i="133"/>
  <c r="L13" i="133"/>
  <c r="N13" i="133"/>
  <c r="O13" i="133"/>
  <c r="P13" i="133"/>
  <c r="D14" i="133"/>
  <c r="H14" i="133"/>
  <c r="L14" i="133"/>
  <c r="N14" i="133"/>
  <c r="O14" i="133"/>
  <c r="P14" i="133"/>
  <c r="D15" i="133"/>
  <c r="H15" i="133"/>
  <c r="L15" i="133"/>
  <c r="N15" i="133"/>
  <c r="O15" i="133"/>
  <c r="P15" i="133"/>
  <c r="B16" i="133"/>
  <c r="C16" i="133"/>
  <c r="D16" i="133"/>
  <c r="F16" i="133"/>
  <c r="G16" i="133"/>
  <c r="H16" i="133"/>
  <c r="J16" i="133"/>
  <c r="K16" i="133"/>
  <c r="L16" i="133"/>
  <c r="N16" i="133"/>
  <c r="O16" i="133"/>
  <c r="P16" i="133"/>
  <c r="A8" i="133"/>
  <c r="F8" i="133"/>
  <c r="J8" i="133"/>
  <c r="N8" i="133"/>
  <c r="A9" i="133"/>
  <c r="F9" i="133"/>
  <c r="J9" i="133"/>
  <c r="D5" i="133"/>
  <c r="H5" i="133"/>
  <c r="L5" i="133"/>
  <c r="N5" i="133"/>
  <c r="P5" i="133"/>
  <c r="B6" i="133"/>
  <c r="C6" i="133"/>
  <c r="D6" i="133"/>
  <c r="F6" i="133"/>
  <c r="G6" i="133"/>
  <c r="H6" i="133"/>
  <c r="J6" i="133"/>
  <c r="K6" i="133"/>
  <c r="L6" i="133"/>
  <c r="N6" i="133"/>
  <c r="O6" i="133"/>
  <c r="P6" i="133"/>
  <c r="X54" i="132"/>
  <c r="X83" i="132"/>
  <c r="X80" i="132"/>
  <c r="K15" i="132" a="1"/>
  <c r="K15" i="132"/>
  <c r="J15" i="132" a="1"/>
  <c r="J15" i="132"/>
  <c r="G15" i="132" a="1"/>
  <c r="G15" i="132"/>
  <c r="F15" i="132" a="1"/>
  <c r="F15" i="132"/>
  <c r="C15" i="132" a="1"/>
  <c r="C15" i="132"/>
  <c r="B15" i="132" a="1"/>
  <c r="B15" i="132"/>
  <c r="K14" i="132" a="1"/>
  <c r="K14" i="132"/>
  <c r="J14" i="132" a="1"/>
  <c r="J14" i="132"/>
  <c r="G14" i="132" a="1"/>
  <c r="G14" i="132"/>
  <c r="F14" i="132" a="1"/>
  <c r="F14" i="132"/>
  <c r="C14" i="132" a="1"/>
  <c r="C14" i="132"/>
  <c r="B14" i="132" a="1"/>
  <c r="B14" i="132"/>
  <c r="K13" i="132" a="1"/>
  <c r="K13" i="132"/>
  <c r="J13" i="132" a="1"/>
  <c r="J13" i="132"/>
  <c r="G13" i="132" a="1"/>
  <c r="G13" i="132"/>
  <c r="F13" i="132" a="1"/>
  <c r="F13" i="132"/>
  <c r="C13" i="132" a="1"/>
  <c r="C13" i="132"/>
  <c r="B13" i="132" a="1"/>
  <c r="B13" i="132"/>
  <c r="K12" i="132" a="1"/>
  <c r="K12" i="132"/>
  <c r="J12" i="132" a="1"/>
  <c r="J12" i="132"/>
  <c r="G12" i="132" a="1"/>
  <c r="G12" i="132"/>
  <c r="F12" i="132" a="1"/>
  <c r="F12" i="132"/>
  <c r="C12" i="132" a="1"/>
  <c r="C12" i="132"/>
  <c r="B12" i="132" a="1"/>
  <c r="B12" i="132"/>
  <c r="D12" i="132"/>
  <c r="H12" i="132"/>
  <c r="L12" i="132"/>
  <c r="N12" i="132"/>
  <c r="O12" i="132"/>
  <c r="P12" i="132"/>
  <c r="D13" i="132"/>
  <c r="H13" i="132"/>
  <c r="L13" i="132"/>
  <c r="N13" i="132"/>
  <c r="O13" i="132"/>
  <c r="P13" i="132"/>
  <c r="D14" i="132"/>
  <c r="H14" i="132"/>
  <c r="L14" i="132"/>
  <c r="N14" i="132"/>
  <c r="O14" i="132"/>
  <c r="P14" i="132"/>
  <c r="D15" i="132"/>
  <c r="H15" i="132"/>
  <c r="L15" i="132"/>
  <c r="N15" i="132"/>
  <c r="O15" i="132"/>
  <c r="P15" i="132"/>
  <c r="K5" i="132" a="1"/>
  <c r="K5" i="132"/>
  <c r="J5" i="132" a="1"/>
  <c r="J5" i="132"/>
  <c r="G5" i="132" a="1"/>
  <c r="G5" i="132"/>
  <c r="F5" i="132" a="1"/>
  <c r="F5" i="132"/>
  <c r="L5" i="132"/>
  <c r="H5" i="132"/>
  <c r="C5" i="132" a="1"/>
  <c r="C5" i="132"/>
  <c r="O5" i="132" s="1"/>
  <c r="B5" i="132" a="1"/>
  <c r="B5" i="132"/>
  <c r="N5" i="132" s="1"/>
  <c r="D5" i="132"/>
  <c r="C21" i="132" a="1"/>
  <c r="C21" i="132"/>
  <c r="B21" i="132" a="1"/>
  <c r="B21" i="132"/>
  <c r="D21" i="132"/>
  <c r="X20" i="132"/>
  <c r="X42" i="132"/>
  <c r="X39" i="132"/>
  <c r="X36" i="132"/>
  <c r="B16" i="132"/>
  <c r="C16" i="132"/>
  <c r="D16" i="132"/>
  <c r="F16" i="132"/>
  <c r="G16" i="132"/>
  <c r="H16" i="132"/>
  <c r="J16" i="132"/>
  <c r="K16" i="132"/>
  <c r="L16" i="132"/>
  <c r="N16" i="132"/>
  <c r="O16" i="132"/>
  <c r="P16" i="132"/>
  <c r="A8" i="132"/>
  <c r="F8" i="132"/>
  <c r="J8" i="132"/>
  <c r="N8" i="132"/>
  <c r="A9" i="132"/>
  <c r="F9" i="132"/>
  <c r="J9" i="132"/>
  <c r="B6" i="132"/>
  <c r="C6" i="132"/>
  <c r="D6" i="132"/>
  <c r="F6" i="132"/>
  <c r="G6" i="132"/>
  <c r="H6" i="132"/>
  <c r="J6" i="132"/>
  <c r="K6" i="132"/>
  <c r="L6" i="132"/>
  <c r="N6" i="132"/>
  <c r="O6" i="132"/>
  <c r="J12" i="131" a="1"/>
  <c r="J12" i="131"/>
  <c r="X103" i="131"/>
  <c r="X85" i="131"/>
  <c r="X55" i="131"/>
  <c r="X52" i="131"/>
  <c r="F16" i="142" l="1"/>
  <c r="N15" i="142"/>
  <c r="N14" i="142"/>
  <c r="O12" i="142"/>
  <c r="N13" i="142"/>
  <c r="B6" i="142"/>
  <c r="N5" i="142"/>
  <c r="N6" i="142" s="1"/>
  <c r="C6" i="142"/>
  <c r="O5" i="142"/>
  <c r="O6" i="142" s="1"/>
  <c r="D5" i="142"/>
  <c r="G6" i="142"/>
  <c r="H5" i="142"/>
  <c r="H6" i="142" s="1"/>
  <c r="K6" i="142"/>
  <c r="L5" i="142"/>
  <c r="L6" i="142" s="1"/>
  <c r="B16" i="142"/>
  <c r="N16" i="142" s="1"/>
  <c r="N12" i="142"/>
  <c r="C16" i="142"/>
  <c r="D12" i="142"/>
  <c r="G16" i="142"/>
  <c r="H12" i="142"/>
  <c r="K16" i="142"/>
  <c r="L12" i="142"/>
  <c r="O13" i="142"/>
  <c r="D13" i="142"/>
  <c r="H13" i="142"/>
  <c r="L13" i="142"/>
  <c r="O14" i="142"/>
  <c r="D14" i="142"/>
  <c r="H14" i="142"/>
  <c r="L14" i="142"/>
  <c r="O15" i="142"/>
  <c r="D15" i="142"/>
  <c r="H15" i="142"/>
  <c r="L15" i="142"/>
  <c r="D21" i="142"/>
  <c r="P5" i="132"/>
  <c r="P6" i="132" s="1"/>
  <c r="X82" i="131"/>
  <c r="X49" i="131"/>
  <c r="X87" i="131"/>
  <c r="X89" i="131"/>
  <c r="C21" i="131" a="1"/>
  <c r="C21" i="131" s="1"/>
  <c r="B21" i="131" a="1"/>
  <c r="B21" i="131" s="1"/>
  <c r="K15" i="131" a="1"/>
  <c r="K15" i="131" s="1"/>
  <c r="J15" i="131" a="1"/>
  <c r="J15" i="131" s="1"/>
  <c r="G15" i="131" a="1"/>
  <c r="G15" i="131" s="1"/>
  <c r="F15" i="131" a="1"/>
  <c r="F15" i="131" s="1"/>
  <c r="C15" i="131" a="1"/>
  <c r="C15" i="131" s="1"/>
  <c r="B15" i="131" a="1"/>
  <c r="B15" i="131" s="1"/>
  <c r="K14" i="131" a="1"/>
  <c r="K14" i="131" s="1"/>
  <c r="J14" i="131" a="1"/>
  <c r="J14" i="131" s="1"/>
  <c r="G14" i="131" a="1"/>
  <c r="G14" i="131" s="1"/>
  <c r="F14" i="131" a="1"/>
  <c r="F14" i="131" s="1"/>
  <c r="C14" i="131" a="1"/>
  <c r="C14" i="131" s="1"/>
  <c r="B14" i="131" a="1"/>
  <c r="B14" i="131" s="1"/>
  <c r="K13" i="131" a="1"/>
  <c r="K13" i="131" s="1"/>
  <c r="J13" i="131" a="1"/>
  <c r="J13" i="131" s="1"/>
  <c r="G13" i="131" a="1"/>
  <c r="G13" i="131" s="1"/>
  <c r="F13" i="131" a="1"/>
  <c r="F13" i="131" s="1"/>
  <c r="C13" i="131" a="1"/>
  <c r="C13" i="131" s="1"/>
  <c r="B13" i="131" a="1"/>
  <c r="B13" i="131" s="1"/>
  <c r="K12" i="131" a="1"/>
  <c r="K12" i="131" s="1"/>
  <c r="G12" i="131" a="1"/>
  <c r="G12" i="131" s="1"/>
  <c r="F12" i="131" a="1"/>
  <c r="F12" i="131" s="1"/>
  <c r="C12" i="131" a="1"/>
  <c r="C12" i="131" s="1"/>
  <c r="B12" i="131" a="1"/>
  <c r="B12" i="131" s="1"/>
  <c r="K5" i="131" a="1"/>
  <c r="K5" i="131" s="1"/>
  <c r="J5" i="131" a="1"/>
  <c r="J5" i="131" s="1"/>
  <c r="J6" i="131" s="1"/>
  <c r="G5" i="131" a="1"/>
  <c r="G5" i="131" s="1"/>
  <c r="F5" i="131" a="1"/>
  <c r="F5" i="131" s="1"/>
  <c r="F6" i="131" s="1"/>
  <c r="C5" i="131" a="1"/>
  <c r="C5" i="131" s="1"/>
  <c r="B5" i="131" a="1"/>
  <c r="B5" i="131" s="1"/>
  <c r="X23" i="131"/>
  <c r="A8" i="131"/>
  <c r="F8" i="131"/>
  <c r="J8" i="131"/>
  <c r="N8" i="131"/>
  <c r="A9" i="131"/>
  <c r="F9" i="131"/>
  <c r="J9" i="131"/>
  <c r="P5" i="142" l="1"/>
  <c r="P15" i="142"/>
  <c r="P14" i="142"/>
  <c r="P13" i="142"/>
  <c r="L16" i="142"/>
  <c r="H16" i="142"/>
  <c r="D16" i="142"/>
  <c r="P16" i="142" s="1"/>
  <c r="P12" i="142"/>
  <c r="O16" i="142"/>
  <c r="D6" i="142"/>
  <c r="P6" i="142"/>
  <c r="N12" i="131"/>
  <c r="J16" i="131"/>
  <c r="H15" i="131"/>
  <c r="D21" i="131"/>
  <c r="N15" i="131"/>
  <c r="F16" i="131"/>
  <c r="L14" i="131"/>
  <c r="N13" i="131"/>
  <c r="L13" i="131"/>
  <c r="N5" i="131"/>
  <c r="N6" i="131" s="1"/>
  <c r="B6" i="131"/>
  <c r="O13" i="131"/>
  <c r="D13" i="131"/>
  <c r="H5" i="131"/>
  <c r="H6" i="131" s="1"/>
  <c r="G6" i="131"/>
  <c r="D12" i="131"/>
  <c r="C16" i="131"/>
  <c r="O12" i="131"/>
  <c r="D14" i="131"/>
  <c r="O14" i="131"/>
  <c r="H12" i="131"/>
  <c r="G16" i="131"/>
  <c r="L15" i="131"/>
  <c r="H14" i="131"/>
  <c r="K16" i="131"/>
  <c r="L12" i="131"/>
  <c r="D5" i="131"/>
  <c r="O5" i="131"/>
  <c r="O6" i="131" s="1"/>
  <c r="C6" i="131"/>
  <c r="O15" i="131"/>
  <c r="D15" i="131"/>
  <c r="H13" i="131"/>
  <c r="K6" i="131"/>
  <c r="L5" i="131"/>
  <c r="L6" i="131" s="1"/>
  <c r="B16" i="131"/>
  <c r="N14" i="131"/>
  <c r="N16" i="131" l="1"/>
  <c r="P15" i="131"/>
  <c r="P14" i="131"/>
  <c r="O16" i="131"/>
  <c r="L16" i="131"/>
  <c r="H16" i="131"/>
  <c r="D16" i="131"/>
  <c r="P12" i="131"/>
  <c r="P13" i="131"/>
  <c r="P5" i="131"/>
  <c r="P6" i="131" s="1"/>
  <c r="D6" i="131"/>
  <c r="P16" i="131" l="1"/>
  <c r="G14" i="129" a="1"/>
  <c r="G14" i="129" s="1"/>
  <c r="H14" i="129" s="1"/>
  <c r="G15" i="129" a="1"/>
  <c r="G15" i="129" s="1"/>
  <c r="H15" i="129" s="1"/>
  <c r="X92" i="129"/>
  <c r="X87" i="129"/>
  <c r="X60" i="129"/>
  <c r="X53" i="129"/>
  <c r="C21" i="129" a="1"/>
  <c r="C21" i="129" s="1"/>
  <c r="D21" i="129" s="1"/>
  <c r="B21" i="129" a="1"/>
  <c r="B21" i="129" s="1"/>
  <c r="X48" i="129"/>
  <c r="K15" i="129" a="1"/>
  <c r="K15" i="129" s="1"/>
  <c r="L15" i="129" s="1"/>
  <c r="J15" i="129" a="1"/>
  <c r="J15" i="129"/>
  <c r="F15" i="129" a="1"/>
  <c r="F15" i="129"/>
  <c r="C15" i="129" a="1"/>
  <c r="C15" i="129" s="1"/>
  <c r="B15" i="129" a="1"/>
  <c r="B15" i="129" s="1"/>
  <c r="N15" i="129" s="1"/>
  <c r="K14" i="129" a="1"/>
  <c r="K14" i="129" s="1"/>
  <c r="J14" i="129" a="1"/>
  <c r="J14" i="129" s="1"/>
  <c r="F14" i="129" a="1"/>
  <c r="F14" i="129"/>
  <c r="C14" i="129" a="1"/>
  <c r="C14" i="129"/>
  <c r="D14" i="129" s="1"/>
  <c r="B14" i="129" a="1"/>
  <c r="B14" i="129" s="1"/>
  <c r="K13" i="129" a="1"/>
  <c r="K13" i="129" s="1"/>
  <c r="J13" i="129" a="1"/>
  <c r="J13" i="129" s="1"/>
  <c r="G13" i="129" a="1"/>
  <c r="G13" i="129" s="1"/>
  <c r="H13" i="129" s="1"/>
  <c r="F13" i="129" a="1"/>
  <c r="F13" i="129"/>
  <c r="C13" i="129" a="1"/>
  <c r="C13" i="129"/>
  <c r="O13" i="129" s="1"/>
  <c r="B13" i="129" a="1"/>
  <c r="B13" i="129" s="1"/>
  <c r="K12" i="129" a="1"/>
  <c r="K12" i="129" s="1"/>
  <c r="J12" i="129" a="1"/>
  <c r="J12" i="129" s="1"/>
  <c r="G12" i="129" a="1"/>
  <c r="G12" i="129" s="1"/>
  <c r="F12" i="129" a="1"/>
  <c r="F12" i="129"/>
  <c r="F16" i="129" s="1"/>
  <c r="C12" i="129" a="1"/>
  <c r="C12" i="129" s="1"/>
  <c r="B12" i="129" a="1"/>
  <c r="B12" i="129" s="1"/>
  <c r="K5" i="129" a="1"/>
  <c r="K5" i="129" s="1"/>
  <c r="J5" i="129" a="1"/>
  <c r="J5" i="129" s="1"/>
  <c r="J6" i="129" s="1"/>
  <c r="G5" i="129" a="1"/>
  <c r="G5" i="129"/>
  <c r="F5" i="129" a="1"/>
  <c r="F5" i="129" s="1"/>
  <c r="C5" i="129" a="1"/>
  <c r="C5" i="129" s="1"/>
  <c r="B5" i="129" a="1"/>
  <c r="B5" i="129" s="1"/>
  <c r="X19" i="129"/>
  <c r="X16" i="129"/>
  <c r="X12" i="129"/>
  <c r="A8" i="129"/>
  <c r="F8" i="129"/>
  <c r="J8" i="129"/>
  <c r="N8" i="129"/>
  <c r="A9" i="129"/>
  <c r="F9" i="129"/>
  <c r="J9" i="129"/>
  <c r="G6" i="129"/>
  <c r="C21" i="128" a="1"/>
  <c r="C21" i="128"/>
  <c r="B21" i="128" a="1"/>
  <c r="B21" i="128"/>
  <c r="D21" i="128"/>
  <c r="X41" i="128"/>
  <c r="X39" i="128"/>
  <c r="X66" i="128"/>
  <c r="X64" i="128"/>
  <c r="X35" i="128"/>
  <c r="X30" i="128"/>
  <c r="X75" i="128"/>
  <c r="X68" i="128"/>
  <c r="X70" i="128"/>
  <c r="X8" i="128"/>
  <c r="K15" i="128" a="1"/>
  <c r="K15" i="128" s="1"/>
  <c r="J15" i="128" a="1"/>
  <c r="J15" i="128" s="1"/>
  <c r="G15" i="128" a="1"/>
  <c r="G15" i="128" s="1"/>
  <c r="F15" i="128" a="1"/>
  <c r="F15" i="128" s="1"/>
  <c r="C15" i="128" a="1"/>
  <c r="C15" i="128" s="1"/>
  <c r="B15" i="128" a="1"/>
  <c r="B15" i="128" s="1"/>
  <c r="N15" i="128" s="1"/>
  <c r="K14" i="128" a="1"/>
  <c r="K14" i="128" s="1"/>
  <c r="J14" i="128" a="1"/>
  <c r="J14" i="128" s="1"/>
  <c r="G14" i="128" a="1"/>
  <c r="G14" i="128" s="1"/>
  <c r="F14" i="128" a="1"/>
  <c r="F14" i="128" s="1"/>
  <c r="C14" i="128" a="1"/>
  <c r="C14" i="128" s="1"/>
  <c r="B14" i="128" a="1"/>
  <c r="B14" i="128" s="1"/>
  <c r="N14" i="128" s="1"/>
  <c r="K13" i="128" a="1"/>
  <c r="K13" i="128" s="1"/>
  <c r="J13" i="128" a="1"/>
  <c r="J13" i="128" s="1"/>
  <c r="G13" i="128" a="1"/>
  <c r="G13" i="128" s="1"/>
  <c r="F13" i="128" a="1"/>
  <c r="F13" i="128" s="1"/>
  <c r="C13" i="128" a="1"/>
  <c r="C13" i="128" s="1"/>
  <c r="B13" i="128" a="1"/>
  <c r="B13" i="128" s="1"/>
  <c r="N13" i="128" s="1"/>
  <c r="K12" i="128" a="1"/>
  <c r="K12" i="128" s="1"/>
  <c r="J12" i="128" a="1"/>
  <c r="J12" i="128" s="1"/>
  <c r="J16" i="128" s="1"/>
  <c r="G12" i="128" a="1"/>
  <c r="G12" i="128" s="1"/>
  <c r="F12" i="128" a="1"/>
  <c r="F12" i="128" s="1"/>
  <c r="F16" i="128" s="1"/>
  <c r="C12" i="128" a="1"/>
  <c r="C12" i="128" s="1"/>
  <c r="B12" i="128" a="1"/>
  <c r="B12" i="128" s="1"/>
  <c r="J9" i="128"/>
  <c r="F9" i="128"/>
  <c r="A9" i="128"/>
  <c r="N8" i="128"/>
  <c r="J8" i="128"/>
  <c r="F8" i="128"/>
  <c r="A8" i="128"/>
  <c r="K5" i="128" a="1"/>
  <c r="K5" i="128" s="1"/>
  <c r="J5" i="128" a="1"/>
  <c r="J5" i="128" s="1"/>
  <c r="J6" i="128" s="1"/>
  <c r="G5" i="128" a="1"/>
  <c r="G5" i="128" s="1"/>
  <c r="F5" i="128" a="1"/>
  <c r="F5" i="128" s="1"/>
  <c r="F6" i="128" s="1"/>
  <c r="C5" i="128" a="1"/>
  <c r="C5" i="128" s="1"/>
  <c r="B5" i="128" a="1"/>
  <c r="B5" i="128" s="1"/>
  <c r="X2" i="128"/>
  <c r="C21" i="126" a="1"/>
  <c r="C21" i="126"/>
  <c r="B21" i="126" a="1"/>
  <c r="B21" i="126"/>
  <c r="D21" i="126"/>
  <c r="X26" i="126"/>
  <c r="X22" i="126"/>
  <c r="X20" i="126"/>
  <c r="X18" i="126"/>
  <c r="X76" i="126"/>
  <c r="X12" i="126"/>
  <c r="X4" i="126"/>
  <c r="X2" i="126"/>
  <c r="X54" i="126"/>
  <c r="X118" i="124"/>
  <c r="K15" i="126" a="1"/>
  <c r="K15" i="126" s="1"/>
  <c r="J15" i="126" a="1"/>
  <c r="J15" i="126" s="1"/>
  <c r="G15" i="126" a="1"/>
  <c r="G15" i="126" s="1"/>
  <c r="F15" i="126" a="1"/>
  <c r="F15" i="126" s="1"/>
  <c r="C15" i="126" a="1"/>
  <c r="C15" i="126" s="1"/>
  <c r="B15" i="126" a="1"/>
  <c r="B15" i="126" s="1"/>
  <c r="N15" i="126" s="1"/>
  <c r="K14" i="126" a="1"/>
  <c r="K14" i="126" s="1"/>
  <c r="J14" i="126" a="1"/>
  <c r="J14" i="126" s="1"/>
  <c r="G14" i="126" a="1"/>
  <c r="G14" i="126" s="1"/>
  <c r="F14" i="126" a="1"/>
  <c r="F14" i="126" s="1"/>
  <c r="C14" i="126" a="1"/>
  <c r="C14" i="126" s="1"/>
  <c r="B14" i="126" a="1"/>
  <c r="B14" i="126" s="1"/>
  <c r="N14" i="126" s="1"/>
  <c r="K13" i="126" a="1"/>
  <c r="K13" i="126" s="1"/>
  <c r="J13" i="126" a="1"/>
  <c r="J13" i="126" s="1"/>
  <c r="G13" i="126" a="1"/>
  <c r="G13" i="126" s="1"/>
  <c r="F13" i="126" a="1"/>
  <c r="F13" i="126" s="1"/>
  <c r="C13" i="126" a="1"/>
  <c r="C13" i="126" s="1"/>
  <c r="B13" i="126" a="1"/>
  <c r="B13" i="126" s="1"/>
  <c r="N13" i="126" s="1"/>
  <c r="K12" i="126" a="1"/>
  <c r="K12" i="126" s="1"/>
  <c r="J12" i="126" a="1"/>
  <c r="J12" i="126" s="1"/>
  <c r="J16" i="126" s="1"/>
  <c r="G12" i="126" a="1"/>
  <c r="G12" i="126" s="1"/>
  <c r="F12" i="126" a="1"/>
  <c r="F12" i="126" s="1"/>
  <c r="F16" i="126" s="1"/>
  <c r="C12" i="126" a="1"/>
  <c r="C12" i="126" s="1"/>
  <c r="B12" i="126" a="1"/>
  <c r="B12" i="126" s="1"/>
  <c r="J9" i="126"/>
  <c r="F9" i="126"/>
  <c r="A9" i="126"/>
  <c r="N8" i="126"/>
  <c r="J8" i="126"/>
  <c r="F8" i="126"/>
  <c r="A8" i="126"/>
  <c r="K5" i="126" a="1"/>
  <c r="K5" i="126" s="1"/>
  <c r="J5" i="126" a="1"/>
  <c r="J5" i="126" s="1"/>
  <c r="J6" i="126" s="1"/>
  <c r="G5" i="126" a="1"/>
  <c r="G5" i="126" s="1"/>
  <c r="F5" i="126" a="1"/>
  <c r="F5" i="126" s="1"/>
  <c r="F6" i="126" s="1"/>
  <c r="C5" i="126" a="1"/>
  <c r="C5" i="126" s="1"/>
  <c r="B5" i="126" a="1"/>
  <c r="B5" i="126" s="1"/>
  <c r="C21" i="124" a="1"/>
  <c r="C21" i="124"/>
  <c r="C5" i="124" a="1"/>
  <c r="C5" i="124"/>
  <c r="K5" i="124" a="1"/>
  <c r="K5" i="124"/>
  <c r="X68" i="124"/>
  <c r="X65" i="124"/>
  <c r="X62" i="124"/>
  <c r="X98" i="124"/>
  <c r="X107" i="124"/>
  <c r="X114" i="124"/>
  <c r="X56" i="124"/>
  <c r="B21" i="124" a="1"/>
  <c r="B21" i="124"/>
  <c r="D21" i="124"/>
  <c r="X109" i="124"/>
  <c r="X96" i="124"/>
  <c r="X80" i="124"/>
  <c r="X5" i="124"/>
  <c r="X14" i="124"/>
  <c r="X16" i="124"/>
  <c r="X23" i="124"/>
  <c r="X30" i="124"/>
  <c r="X32" i="124"/>
  <c r="X38" i="124"/>
  <c r="X46" i="124"/>
  <c r="X76" i="124"/>
  <c r="X71" i="123"/>
  <c r="X62" i="123"/>
  <c r="X56" i="123"/>
  <c r="X54" i="123"/>
  <c r="X110" i="123"/>
  <c r="X51" i="123"/>
  <c r="X107" i="123"/>
  <c r="X105" i="123"/>
  <c r="C21" i="123" a="1"/>
  <c r="C21" i="123"/>
  <c r="B21" i="123" a="1"/>
  <c r="B21" i="123"/>
  <c r="D21" i="123"/>
  <c r="X43" i="123"/>
  <c r="X99" i="123"/>
  <c r="X34" i="123"/>
  <c r="X21" i="123"/>
  <c r="X23" i="123"/>
  <c r="X19" i="123"/>
  <c r="X7" i="123"/>
  <c r="K15" i="124" a="1"/>
  <c r="K15" i="124" s="1"/>
  <c r="J15" i="124" a="1"/>
  <c r="J15" i="124" s="1"/>
  <c r="G15" i="124" a="1"/>
  <c r="G15" i="124" s="1"/>
  <c r="F15" i="124" a="1"/>
  <c r="F15" i="124" s="1"/>
  <c r="C15" i="124" a="1"/>
  <c r="C15" i="124" s="1"/>
  <c r="B15" i="124" a="1"/>
  <c r="B15" i="124" s="1"/>
  <c r="N15" i="124" s="1"/>
  <c r="K14" i="124" a="1"/>
  <c r="K14" i="124" s="1"/>
  <c r="J14" i="124" a="1"/>
  <c r="J14" i="124" s="1"/>
  <c r="G14" i="124" a="1"/>
  <c r="G14" i="124" s="1"/>
  <c r="F14" i="124" a="1"/>
  <c r="F14" i="124" s="1"/>
  <c r="C14" i="124" a="1"/>
  <c r="C14" i="124" s="1"/>
  <c r="B14" i="124" a="1"/>
  <c r="B14" i="124" s="1"/>
  <c r="N14" i="124" s="1"/>
  <c r="K13" i="124" a="1"/>
  <c r="K13" i="124" s="1"/>
  <c r="J13" i="124" a="1"/>
  <c r="J13" i="124" s="1"/>
  <c r="G13" i="124" a="1"/>
  <c r="G13" i="124" s="1"/>
  <c r="F13" i="124" a="1"/>
  <c r="F13" i="124" s="1"/>
  <c r="C13" i="124" a="1"/>
  <c r="C13" i="124" s="1"/>
  <c r="B13" i="124" a="1"/>
  <c r="B13" i="124" s="1"/>
  <c r="N13" i="124" s="1"/>
  <c r="K12" i="124" a="1"/>
  <c r="K12" i="124" s="1"/>
  <c r="J12" i="124" a="1"/>
  <c r="J12" i="124" s="1"/>
  <c r="J16" i="124" s="1"/>
  <c r="G12" i="124" a="1"/>
  <c r="G12" i="124" s="1"/>
  <c r="F12" i="124" a="1"/>
  <c r="F12" i="124" s="1"/>
  <c r="F16" i="124" s="1"/>
  <c r="C12" i="124" a="1"/>
  <c r="C12" i="124" s="1"/>
  <c r="B12" i="124" a="1"/>
  <c r="B12" i="124" s="1"/>
  <c r="J9" i="124"/>
  <c r="F9" i="124"/>
  <c r="A9" i="124"/>
  <c r="N8" i="124"/>
  <c r="J8" i="124"/>
  <c r="F8" i="124"/>
  <c r="A8" i="124"/>
  <c r="J5" i="124" a="1"/>
  <c r="J5" i="124" s="1"/>
  <c r="J6" i="124" s="1"/>
  <c r="G5" i="124" a="1"/>
  <c r="G5" i="124" s="1"/>
  <c r="F5" i="124" a="1"/>
  <c r="F5" i="124" s="1"/>
  <c r="F6" i="124" s="1"/>
  <c r="B5" i="124" a="1"/>
  <c r="B5" i="124" s="1"/>
  <c r="X104" i="122"/>
  <c r="C21" i="122" a="1"/>
  <c r="C21" i="122"/>
  <c r="B21" i="122" a="1"/>
  <c r="B21" i="122"/>
  <c r="D21" i="122"/>
  <c r="X53" i="122"/>
  <c r="X50" i="122"/>
  <c r="X46" i="122"/>
  <c r="X81" i="123"/>
  <c r="X100" i="122"/>
  <c r="X37" i="122"/>
  <c r="X93" i="122"/>
  <c r="X91" i="122"/>
  <c r="K15" i="123" a="1"/>
  <c r="K15" i="123" s="1"/>
  <c r="J15" i="123" a="1"/>
  <c r="J15" i="123" s="1"/>
  <c r="G15" i="123" a="1"/>
  <c r="G15" i="123" s="1"/>
  <c r="F15" i="123" a="1"/>
  <c r="F15" i="123" s="1"/>
  <c r="C15" i="123" a="1"/>
  <c r="C15" i="123" s="1"/>
  <c r="B15" i="123" a="1"/>
  <c r="B15" i="123" s="1"/>
  <c r="N15" i="123" s="1"/>
  <c r="K14" i="123" a="1"/>
  <c r="K14" i="123" s="1"/>
  <c r="J14" i="123" a="1"/>
  <c r="J14" i="123" s="1"/>
  <c r="G14" i="123" a="1"/>
  <c r="G14" i="123" s="1"/>
  <c r="F14" i="123" a="1"/>
  <c r="F14" i="123" s="1"/>
  <c r="C14" i="123" a="1"/>
  <c r="C14" i="123" s="1"/>
  <c r="B14" i="123" a="1"/>
  <c r="B14" i="123" s="1"/>
  <c r="N14" i="123" s="1"/>
  <c r="K13" i="123" a="1"/>
  <c r="K13" i="123" s="1"/>
  <c r="J13" i="123" a="1"/>
  <c r="J13" i="123" s="1"/>
  <c r="G13" i="123" a="1"/>
  <c r="G13" i="123" s="1"/>
  <c r="F13" i="123" a="1"/>
  <c r="F13" i="123" s="1"/>
  <c r="C13" i="123" a="1"/>
  <c r="C13" i="123" s="1"/>
  <c r="B13" i="123" a="1"/>
  <c r="B13" i="123" s="1"/>
  <c r="N13" i="123" s="1"/>
  <c r="K12" i="123" a="1"/>
  <c r="K12" i="123" s="1"/>
  <c r="J12" i="123" a="1"/>
  <c r="J12" i="123" s="1"/>
  <c r="J16" i="123" s="1"/>
  <c r="G12" i="123" a="1"/>
  <c r="G12" i="123" s="1"/>
  <c r="F12" i="123" a="1"/>
  <c r="F12" i="123" s="1"/>
  <c r="F16" i="123" s="1"/>
  <c r="C12" i="123" a="1"/>
  <c r="C12" i="123" s="1"/>
  <c r="B12" i="123" a="1"/>
  <c r="B12" i="123" s="1"/>
  <c r="J9" i="123"/>
  <c r="F9" i="123"/>
  <c r="A9" i="123"/>
  <c r="N8" i="123"/>
  <c r="J8" i="123"/>
  <c r="F8" i="123"/>
  <c r="A8" i="123"/>
  <c r="K5" i="123" a="1"/>
  <c r="K5" i="123" s="1"/>
  <c r="J5" i="123" a="1"/>
  <c r="J5" i="123" s="1"/>
  <c r="J6" i="123" s="1"/>
  <c r="G5" i="123" a="1"/>
  <c r="G5" i="123" s="1"/>
  <c r="F5" i="123" a="1"/>
  <c r="F5" i="123" s="1"/>
  <c r="F6" i="123" s="1"/>
  <c r="C5" i="123" a="1"/>
  <c r="C5" i="123" s="1"/>
  <c r="B5" i="123" a="1"/>
  <c r="B5" i="123" s="1"/>
  <c r="X35" i="122"/>
  <c r="X84" i="122"/>
  <c r="X82" i="122"/>
  <c r="X80" i="122"/>
  <c r="X31" i="122"/>
  <c r="X29" i="122"/>
  <c r="X67" i="122"/>
  <c r="X17" i="122"/>
  <c r="X7" i="122"/>
  <c r="K15" i="122" a="1"/>
  <c r="K15" i="122" s="1"/>
  <c r="J15" i="122" a="1"/>
  <c r="J15" i="122" s="1"/>
  <c r="G15" i="122" a="1"/>
  <c r="G15" i="122" s="1"/>
  <c r="F15" i="122" a="1"/>
  <c r="F15" i="122" s="1"/>
  <c r="C15" i="122" a="1"/>
  <c r="C15" i="122" s="1"/>
  <c r="B15" i="122" a="1"/>
  <c r="B15" i="122" s="1"/>
  <c r="N15" i="122" s="1"/>
  <c r="K14" i="122" a="1"/>
  <c r="K14" i="122" s="1"/>
  <c r="J14" i="122" a="1"/>
  <c r="J14" i="122" s="1"/>
  <c r="G14" i="122" a="1"/>
  <c r="G14" i="122" s="1"/>
  <c r="F14" i="122" a="1"/>
  <c r="F14" i="122" s="1"/>
  <c r="C14" i="122" a="1"/>
  <c r="C14" i="122" s="1"/>
  <c r="B14" i="122" a="1"/>
  <c r="B14" i="122" s="1"/>
  <c r="N14" i="122" s="1"/>
  <c r="K13" i="122" a="1"/>
  <c r="K13" i="122" s="1"/>
  <c r="J13" i="122" a="1"/>
  <c r="J13" i="122" s="1"/>
  <c r="G13" i="122" a="1"/>
  <c r="G13" i="122" s="1"/>
  <c r="F13" i="122" a="1"/>
  <c r="F13" i="122" s="1"/>
  <c r="C13" i="122" a="1"/>
  <c r="C13" i="122" s="1"/>
  <c r="B13" i="122" a="1"/>
  <c r="B13" i="122" s="1"/>
  <c r="N13" i="122" s="1"/>
  <c r="K12" i="122" a="1"/>
  <c r="K12" i="122" s="1"/>
  <c r="J12" i="122" a="1"/>
  <c r="J12" i="122" s="1"/>
  <c r="J16" i="122" s="1"/>
  <c r="G12" i="122" a="1"/>
  <c r="G12" i="122" s="1"/>
  <c r="F12" i="122" a="1"/>
  <c r="F12" i="122" s="1"/>
  <c r="F16" i="122" s="1"/>
  <c r="C12" i="122" a="1"/>
  <c r="C12" i="122" s="1"/>
  <c r="B12" i="122" a="1"/>
  <c r="B12" i="122" s="1"/>
  <c r="J9" i="122"/>
  <c r="F9" i="122"/>
  <c r="A9" i="122"/>
  <c r="N8" i="122"/>
  <c r="J8" i="122"/>
  <c r="F8" i="122"/>
  <c r="A8" i="122"/>
  <c r="K5" i="122" a="1"/>
  <c r="K5" i="122" s="1"/>
  <c r="J5" i="122" a="1"/>
  <c r="J5" i="122" s="1"/>
  <c r="J6" i="122" s="1"/>
  <c r="G5" i="122" a="1"/>
  <c r="G5" i="122" s="1"/>
  <c r="F5" i="122" a="1"/>
  <c r="F5" i="122" s="1"/>
  <c r="F6" i="122" s="1"/>
  <c r="C5" i="122" a="1"/>
  <c r="C5" i="122" s="1"/>
  <c r="B5" i="122" a="1"/>
  <c r="B5" i="122" s="1"/>
  <c r="X276" i="113"/>
  <c r="X273" i="113"/>
  <c r="X272" i="113"/>
  <c r="X271" i="113"/>
  <c r="X261" i="113"/>
  <c r="X55" i="118"/>
  <c r="X51" i="118"/>
  <c r="X46" i="118"/>
  <c r="X89" i="118"/>
  <c r="C21" i="118" a="1"/>
  <c r="C21" i="118"/>
  <c r="B21" i="118" a="1"/>
  <c r="B21" i="118"/>
  <c r="D21" i="118"/>
  <c r="B22" i="118"/>
  <c r="C22" i="118"/>
  <c r="D22" i="118"/>
  <c r="X36" i="118"/>
  <c r="X29" i="118"/>
  <c r="X77" i="118"/>
  <c r="X66" i="118"/>
  <c r="X57" i="118"/>
  <c r="X3" i="118"/>
  <c r="K15" i="118" a="1"/>
  <c r="K15" i="118"/>
  <c r="J15" i="118" a="1"/>
  <c r="J15" i="118"/>
  <c r="G15" i="118" a="1"/>
  <c r="G15" i="118"/>
  <c r="F15" i="118" a="1"/>
  <c r="F15" i="118"/>
  <c r="C15" i="118" a="1"/>
  <c r="C15" i="118"/>
  <c r="B15" i="118" a="1"/>
  <c r="B15" i="118"/>
  <c r="K14" i="118" a="1"/>
  <c r="K14" i="118"/>
  <c r="J14" i="118" a="1"/>
  <c r="J14" i="118"/>
  <c r="G14" i="118" a="1"/>
  <c r="G14" i="118"/>
  <c r="F14" i="118" a="1"/>
  <c r="F14" i="118"/>
  <c r="C14" i="118" a="1"/>
  <c r="C14" i="118"/>
  <c r="B14" i="118" a="1"/>
  <c r="B14" i="118"/>
  <c r="K13" i="118" a="1"/>
  <c r="K13" i="118"/>
  <c r="J13" i="118" a="1"/>
  <c r="J13" i="118"/>
  <c r="G13" i="118" a="1"/>
  <c r="G13" i="118"/>
  <c r="F13" i="118" a="1"/>
  <c r="F13" i="118"/>
  <c r="C13" i="118" a="1"/>
  <c r="C13" i="118"/>
  <c r="B13" i="118" a="1"/>
  <c r="B13" i="118"/>
  <c r="K12" i="118" a="1"/>
  <c r="K12" i="118"/>
  <c r="J12" i="118" a="1"/>
  <c r="J12" i="118"/>
  <c r="G12" i="118" a="1"/>
  <c r="G12" i="118"/>
  <c r="F12" i="118" a="1"/>
  <c r="F12" i="118"/>
  <c r="C12" i="118" a="1"/>
  <c r="C12" i="118"/>
  <c r="B12" i="118" a="1"/>
  <c r="B12" i="118"/>
  <c r="K5" i="118" a="1"/>
  <c r="K5" i="118"/>
  <c r="J5" i="118" a="1"/>
  <c r="J5" i="118"/>
  <c r="G5" i="118" a="1"/>
  <c r="G5" i="118"/>
  <c r="F5" i="118" a="1"/>
  <c r="F5" i="118"/>
  <c r="C5" i="118" a="1"/>
  <c r="C5" i="118"/>
  <c r="B5" i="118" a="1"/>
  <c r="B5" i="118"/>
  <c r="D12" i="118"/>
  <c r="H12" i="118"/>
  <c r="L12" i="118"/>
  <c r="N12" i="118"/>
  <c r="O12" i="118"/>
  <c r="P12" i="118"/>
  <c r="D13" i="118"/>
  <c r="H13" i="118"/>
  <c r="L13" i="118"/>
  <c r="N13" i="118"/>
  <c r="O13" i="118"/>
  <c r="P13" i="118"/>
  <c r="D14" i="118"/>
  <c r="H14" i="118"/>
  <c r="L14" i="118"/>
  <c r="N14" i="118"/>
  <c r="O14" i="118"/>
  <c r="P14" i="118"/>
  <c r="D15" i="118"/>
  <c r="H15" i="118"/>
  <c r="L15" i="118"/>
  <c r="N15" i="118"/>
  <c r="O15" i="118"/>
  <c r="P15" i="118"/>
  <c r="B16" i="118"/>
  <c r="C16" i="118"/>
  <c r="D16" i="118"/>
  <c r="F16" i="118"/>
  <c r="G16" i="118"/>
  <c r="H16" i="118"/>
  <c r="J16" i="118"/>
  <c r="K16" i="118"/>
  <c r="L16" i="118"/>
  <c r="N16" i="118"/>
  <c r="O16" i="118"/>
  <c r="P16" i="118"/>
  <c r="A8" i="118"/>
  <c r="F8" i="118"/>
  <c r="J8" i="118"/>
  <c r="N8" i="118"/>
  <c r="A9" i="118"/>
  <c r="F9" i="118"/>
  <c r="J9" i="118"/>
  <c r="D5" i="118"/>
  <c r="H5" i="118"/>
  <c r="L5" i="118"/>
  <c r="N5" i="118"/>
  <c r="O5" i="118"/>
  <c r="P5" i="118"/>
  <c r="B6" i="118"/>
  <c r="C6" i="118"/>
  <c r="D6" i="118"/>
  <c r="F6" i="118"/>
  <c r="G6" i="118"/>
  <c r="H6" i="118"/>
  <c r="J6" i="118"/>
  <c r="K6" i="118"/>
  <c r="L6" i="118"/>
  <c r="N6" i="118"/>
  <c r="O6" i="118"/>
  <c r="P6" i="118"/>
  <c r="C21" i="117" a="1"/>
  <c r="C21" i="117"/>
  <c r="B21" i="117" a="1"/>
  <c r="B21" i="117"/>
  <c r="D21" i="117"/>
  <c r="B22" i="117"/>
  <c r="C22" i="117"/>
  <c r="D22" i="117"/>
  <c r="X55" i="117"/>
  <c r="X53" i="117"/>
  <c r="X51" i="117"/>
  <c r="X49" i="117"/>
  <c r="X91" i="117"/>
  <c r="X47" i="117"/>
  <c r="X35" i="117"/>
  <c r="X33" i="117"/>
  <c r="X85" i="117"/>
  <c r="X72" i="117"/>
  <c r="X66" i="117"/>
  <c r="X14" i="117"/>
  <c r="X3" i="117"/>
  <c r="K15" i="117" a="1"/>
  <c r="K15" i="117" s="1"/>
  <c r="J15" i="117" a="1"/>
  <c r="J15" i="117" s="1"/>
  <c r="G15" i="117" a="1"/>
  <c r="G15" i="117" s="1"/>
  <c r="F15" i="117" a="1"/>
  <c r="F15" i="117" s="1"/>
  <c r="C15" i="117" a="1"/>
  <c r="C15" i="117" s="1"/>
  <c r="B15" i="117" a="1"/>
  <c r="B15" i="117" s="1"/>
  <c r="N15" i="117" s="1"/>
  <c r="K14" i="117" a="1"/>
  <c r="K14" i="117" s="1"/>
  <c r="J14" i="117" a="1"/>
  <c r="J14" i="117" s="1"/>
  <c r="G14" i="117" a="1"/>
  <c r="G14" i="117" s="1"/>
  <c r="F14" i="117" a="1"/>
  <c r="F14" i="117" s="1"/>
  <c r="C14" i="117" a="1"/>
  <c r="C14" i="117" s="1"/>
  <c r="B14" i="117" a="1"/>
  <c r="B14" i="117" s="1"/>
  <c r="N14" i="117" s="1"/>
  <c r="K13" i="117" a="1"/>
  <c r="K13" i="117" s="1"/>
  <c r="J13" i="117" a="1"/>
  <c r="J13" i="117" s="1"/>
  <c r="G13" i="117" a="1"/>
  <c r="G13" i="117" s="1"/>
  <c r="F13" i="117" a="1"/>
  <c r="F13" i="117" s="1"/>
  <c r="C13" i="117" a="1"/>
  <c r="C13" i="117" s="1"/>
  <c r="B13" i="117" a="1"/>
  <c r="B13" i="117" s="1"/>
  <c r="N13" i="117" s="1"/>
  <c r="K12" i="117" a="1"/>
  <c r="K12" i="117" s="1"/>
  <c r="J12" i="117" a="1"/>
  <c r="J12" i="117" s="1"/>
  <c r="J16" i="117" s="1"/>
  <c r="G12" i="117" a="1"/>
  <c r="G12" i="117" s="1"/>
  <c r="F12" i="117" a="1"/>
  <c r="F12" i="117" s="1"/>
  <c r="F16" i="117" s="1"/>
  <c r="C12" i="117" a="1"/>
  <c r="C12" i="117" s="1"/>
  <c r="B12" i="117" a="1"/>
  <c r="B12" i="117" s="1"/>
  <c r="J9" i="117"/>
  <c r="F9" i="117"/>
  <c r="A9" i="117"/>
  <c r="N8" i="117"/>
  <c r="J8" i="117"/>
  <c r="F8" i="117"/>
  <c r="A8" i="117"/>
  <c r="K5" i="117" a="1"/>
  <c r="K5" i="117" s="1"/>
  <c r="J5" i="117" a="1"/>
  <c r="J5" i="117" s="1"/>
  <c r="J6" i="117" s="1"/>
  <c r="G5" i="117" a="1"/>
  <c r="G5" i="117" s="1"/>
  <c r="F5" i="117" a="1"/>
  <c r="F5" i="117" s="1"/>
  <c r="F6" i="117" s="1"/>
  <c r="C5" i="117" a="1"/>
  <c r="C5" i="117" s="1"/>
  <c r="B5" i="117" a="1"/>
  <c r="B5" i="117" s="1"/>
  <c r="X94" i="113"/>
  <c r="X91" i="113"/>
  <c r="X128" i="113"/>
  <c r="X87" i="113"/>
  <c r="X72" i="113"/>
  <c r="X70" i="113"/>
  <c r="X68" i="113"/>
  <c r="X66" i="113"/>
  <c r="X64" i="113"/>
  <c r="X57" i="113"/>
  <c r="X122" i="113"/>
  <c r="X55" i="113"/>
  <c r="X53" i="113"/>
  <c r="X51" i="113"/>
  <c r="X111" i="113"/>
  <c r="X109" i="113"/>
  <c r="X47" i="113"/>
  <c r="X44" i="113"/>
  <c r="X42" i="113"/>
  <c r="X40" i="113"/>
  <c r="X35" i="113"/>
  <c r="X32" i="113"/>
  <c r="X104" i="113"/>
  <c r="X28" i="113"/>
  <c r="X25" i="113"/>
  <c r="X23" i="113"/>
  <c r="X21" i="113"/>
  <c r="X19" i="113"/>
  <c r="X10" i="113"/>
  <c r="X7" i="113"/>
  <c r="C22" i="113" a="1"/>
  <c r="C22" i="113" s="1"/>
  <c r="B22" i="113" a="1"/>
  <c r="B22" i="113" s="1"/>
  <c r="K15" i="113" a="1"/>
  <c r="K15" i="113" s="1"/>
  <c r="J15" i="113" a="1"/>
  <c r="J15" i="113" s="1"/>
  <c r="G15" i="113" a="1"/>
  <c r="G15" i="113" s="1"/>
  <c r="F15" i="113" a="1"/>
  <c r="F15" i="113" s="1"/>
  <c r="C15" i="113" a="1"/>
  <c r="C15" i="113" s="1"/>
  <c r="B15" i="113" a="1"/>
  <c r="B15" i="113" s="1"/>
  <c r="N15" i="113" s="1"/>
  <c r="K14" i="113" a="1"/>
  <c r="K14" i="113" s="1"/>
  <c r="J14" i="113" a="1"/>
  <c r="J14" i="113" s="1"/>
  <c r="G14" i="113" a="1"/>
  <c r="G14" i="113" s="1"/>
  <c r="F14" i="113" a="1"/>
  <c r="F14" i="113" s="1"/>
  <c r="C14" i="113" a="1"/>
  <c r="C14" i="113" s="1"/>
  <c r="B14" i="113" a="1"/>
  <c r="B14" i="113" s="1"/>
  <c r="N14" i="113" s="1"/>
  <c r="K13" i="113" a="1"/>
  <c r="K13" i="113" s="1"/>
  <c r="J13" i="113" a="1"/>
  <c r="J13" i="113" s="1"/>
  <c r="G13" i="113" a="1"/>
  <c r="G13" i="113" s="1"/>
  <c r="F13" i="113" a="1"/>
  <c r="F13" i="113" s="1"/>
  <c r="C13" i="113" a="1"/>
  <c r="C13" i="113" s="1"/>
  <c r="B13" i="113" a="1"/>
  <c r="B13" i="113" s="1"/>
  <c r="N13" i="113" s="1"/>
  <c r="K12" i="113" a="1"/>
  <c r="K12" i="113" s="1"/>
  <c r="J12" i="113" a="1"/>
  <c r="J12" i="113" s="1"/>
  <c r="J16" i="113" s="1"/>
  <c r="G12" i="113" a="1"/>
  <c r="G12" i="113" s="1"/>
  <c r="F12" i="113" a="1"/>
  <c r="F12" i="113" s="1"/>
  <c r="F16" i="113" s="1"/>
  <c r="C12" i="113" a="1"/>
  <c r="C12" i="113" s="1"/>
  <c r="B12" i="113" a="1"/>
  <c r="B12" i="113" s="1"/>
  <c r="J9" i="113"/>
  <c r="F9" i="113"/>
  <c r="A9" i="113"/>
  <c r="N8" i="113"/>
  <c r="J8" i="113"/>
  <c r="F8" i="113"/>
  <c r="A8" i="113"/>
  <c r="K5" i="113" a="1"/>
  <c r="K5" i="113" s="1"/>
  <c r="J5" i="113" a="1"/>
  <c r="J5" i="113" s="1"/>
  <c r="J6" i="113" s="1"/>
  <c r="G5" i="113" a="1"/>
  <c r="G5" i="113" s="1"/>
  <c r="F5" i="113" a="1"/>
  <c r="F5" i="113" s="1"/>
  <c r="F6" i="113" s="1"/>
  <c r="C5" i="113" a="1"/>
  <c r="C5" i="113" s="1"/>
  <c r="B5" i="113" a="1"/>
  <c r="B5" i="113" s="1"/>
  <c r="X63" i="110"/>
  <c r="X60" i="110"/>
  <c r="X58" i="110"/>
  <c r="X54" i="110"/>
  <c r="X48" i="110"/>
  <c r="X44" i="110"/>
  <c r="X42" i="110"/>
  <c r="X36" i="110"/>
  <c r="X33" i="110"/>
  <c r="X81" i="110"/>
  <c r="X26" i="110"/>
  <c r="X66" i="110"/>
  <c r="X74" i="110"/>
  <c r="X76" i="110"/>
  <c r="X24" i="110"/>
  <c r="X21" i="110"/>
  <c r="X15" i="110"/>
  <c r="X12" i="110"/>
  <c r="X5" i="110"/>
  <c r="C22" i="110" a="1"/>
  <c r="C22" i="110" s="1"/>
  <c r="B22" i="110" a="1"/>
  <c r="B22" i="110" s="1"/>
  <c r="K15" i="110" a="1"/>
  <c r="K15" i="110" s="1"/>
  <c r="J15" i="110" a="1"/>
  <c r="J15" i="110" s="1"/>
  <c r="G15" i="110" a="1"/>
  <c r="G15" i="110" s="1"/>
  <c r="F15" i="110" a="1"/>
  <c r="F15" i="110" s="1"/>
  <c r="C15" i="110" a="1"/>
  <c r="C15" i="110" s="1"/>
  <c r="B15" i="110" a="1"/>
  <c r="B15" i="110" s="1"/>
  <c r="N15" i="110" s="1"/>
  <c r="K14" i="110" a="1"/>
  <c r="K14" i="110" s="1"/>
  <c r="J14" i="110" a="1"/>
  <c r="J14" i="110" s="1"/>
  <c r="G14" i="110" a="1"/>
  <c r="G14" i="110" s="1"/>
  <c r="F14" i="110" a="1"/>
  <c r="F14" i="110" s="1"/>
  <c r="C14" i="110" a="1"/>
  <c r="C14" i="110" s="1"/>
  <c r="B14" i="110" a="1"/>
  <c r="B14" i="110" s="1"/>
  <c r="N14" i="110" s="1"/>
  <c r="K13" i="110" a="1"/>
  <c r="K13" i="110" s="1"/>
  <c r="J13" i="110" a="1"/>
  <c r="J13" i="110" s="1"/>
  <c r="G13" i="110" a="1"/>
  <c r="G13" i="110" s="1"/>
  <c r="F13" i="110" a="1"/>
  <c r="F13" i="110" s="1"/>
  <c r="C13" i="110" a="1"/>
  <c r="C13" i="110" s="1"/>
  <c r="B13" i="110" a="1"/>
  <c r="B13" i="110" s="1"/>
  <c r="N13" i="110" s="1"/>
  <c r="K12" i="110" a="1"/>
  <c r="K12" i="110" s="1"/>
  <c r="J12" i="110" a="1"/>
  <c r="J12" i="110" s="1"/>
  <c r="J16" i="110" s="1"/>
  <c r="G12" i="110" a="1"/>
  <c r="G12" i="110" s="1"/>
  <c r="F12" i="110" a="1"/>
  <c r="F12" i="110" s="1"/>
  <c r="F16" i="110" s="1"/>
  <c r="C12" i="110" a="1"/>
  <c r="C12" i="110" s="1"/>
  <c r="B12" i="110" a="1"/>
  <c r="B12" i="110" s="1"/>
  <c r="J9" i="110"/>
  <c r="F9" i="110"/>
  <c r="A9" i="110"/>
  <c r="N8" i="110"/>
  <c r="J8" i="110"/>
  <c r="F8" i="110"/>
  <c r="A8" i="110"/>
  <c r="K5" i="110" a="1"/>
  <c r="K5" i="110" s="1"/>
  <c r="J5" i="110" a="1"/>
  <c r="J5" i="110" s="1"/>
  <c r="J6" i="110" s="1"/>
  <c r="G5" i="110" a="1"/>
  <c r="G5" i="110" s="1"/>
  <c r="F5" i="110" a="1"/>
  <c r="F5" i="110" s="1"/>
  <c r="F6" i="110" s="1"/>
  <c r="C5" i="110" a="1"/>
  <c r="C5" i="110" s="1"/>
  <c r="B5" i="110" a="1"/>
  <c r="B5" i="110" s="1"/>
  <c r="B12" i="109" a="1"/>
  <c r="B12" i="109"/>
  <c r="X55" i="109"/>
  <c r="X91" i="109"/>
  <c r="X47" i="109"/>
  <c r="X83" i="109"/>
  <c r="C22" i="109" a="1"/>
  <c r="C22" i="109"/>
  <c r="B22" i="109" a="1"/>
  <c r="B22" i="109"/>
  <c r="D22" i="109"/>
  <c r="X43" i="109"/>
  <c r="X76" i="109"/>
  <c r="X73" i="109"/>
  <c r="X38" i="109"/>
  <c r="X24" i="108"/>
  <c r="X35" i="109"/>
  <c r="X32" i="109"/>
  <c r="X69" i="109"/>
  <c r="X23" i="109"/>
  <c r="X64" i="109"/>
  <c r="X20" i="109"/>
  <c r="X8" i="109"/>
  <c r="X4" i="109"/>
  <c r="K15" i="109" a="1"/>
  <c r="K15" i="109"/>
  <c r="J15" i="109" a="1"/>
  <c r="J15" i="109"/>
  <c r="G15" i="109" a="1"/>
  <c r="G15" i="109"/>
  <c r="F15" i="109" a="1"/>
  <c r="F15" i="109"/>
  <c r="C15" i="109" a="1"/>
  <c r="C15" i="109"/>
  <c r="B15" i="109" a="1"/>
  <c r="B15" i="109"/>
  <c r="K14" i="109" a="1"/>
  <c r="K14" i="109"/>
  <c r="J14" i="109" a="1"/>
  <c r="J14" i="109"/>
  <c r="G14" i="109" a="1"/>
  <c r="G14" i="109"/>
  <c r="F14" i="109" a="1"/>
  <c r="F14" i="109"/>
  <c r="C14" i="109" a="1"/>
  <c r="C14" i="109"/>
  <c r="B14" i="109" a="1"/>
  <c r="B14" i="109"/>
  <c r="K13" i="109" a="1"/>
  <c r="K13" i="109"/>
  <c r="J13" i="109" a="1"/>
  <c r="J13" i="109"/>
  <c r="G13" i="109" a="1"/>
  <c r="G13" i="109"/>
  <c r="F13" i="109" a="1"/>
  <c r="F13" i="109"/>
  <c r="C13" i="109" a="1"/>
  <c r="C13" i="109"/>
  <c r="B13" i="109" a="1"/>
  <c r="B13" i="109"/>
  <c r="K12" i="109" a="1"/>
  <c r="K12" i="109"/>
  <c r="J12" i="109" a="1"/>
  <c r="J12" i="109"/>
  <c r="G12" i="109" a="1"/>
  <c r="G12" i="109"/>
  <c r="F12" i="109" a="1"/>
  <c r="F12" i="109"/>
  <c r="N12" i="109" s="1"/>
  <c r="C12" i="109" a="1"/>
  <c r="C12" i="109"/>
  <c r="K5" i="109" a="1"/>
  <c r="K5" i="109"/>
  <c r="J5" i="109" a="1"/>
  <c r="J5" i="109"/>
  <c r="G5" i="109" a="1"/>
  <c r="G5" i="109"/>
  <c r="F5" i="109" a="1"/>
  <c r="F5" i="109"/>
  <c r="C5" i="109" a="1"/>
  <c r="C5" i="109"/>
  <c r="B5" i="109" a="1"/>
  <c r="B5" i="109"/>
  <c r="D12" i="109"/>
  <c r="H12" i="109"/>
  <c r="L12" i="109"/>
  <c r="O12" i="109"/>
  <c r="P12" i="109"/>
  <c r="D13" i="109"/>
  <c r="H13" i="109"/>
  <c r="L13" i="109"/>
  <c r="N13" i="109"/>
  <c r="O13" i="109"/>
  <c r="P13" i="109"/>
  <c r="D14" i="109"/>
  <c r="H14" i="109"/>
  <c r="L14" i="109"/>
  <c r="N14" i="109"/>
  <c r="O14" i="109"/>
  <c r="P14" i="109"/>
  <c r="D15" i="109"/>
  <c r="H15" i="109"/>
  <c r="L15" i="109"/>
  <c r="N15" i="109"/>
  <c r="O15" i="109"/>
  <c r="P15" i="109"/>
  <c r="B16" i="109"/>
  <c r="C16" i="109"/>
  <c r="D16" i="109"/>
  <c r="F16" i="109"/>
  <c r="G16" i="109"/>
  <c r="H16" i="109"/>
  <c r="J16" i="109"/>
  <c r="K16" i="109"/>
  <c r="L16" i="109"/>
  <c r="N16" i="109"/>
  <c r="O16" i="109"/>
  <c r="P16" i="109"/>
  <c r="A8" i="109"/>
  <c r="F8" i="109"/>
  <c r="J8" i="109"/>
  <c r="N8" i="109"/>
  <c r="A9" i="109"/>
  <c r="F9" i="109"/>
  <c r="J9" i="109"/>
  <c r="D5" i="109"/>
  <c r="H5" i="109"/>
  <c r="L5" i="109"/>
  <c r="N5" i="109"/>
  <c r="O5" i="109"/>
  <c r="P5" i="109"/>
  <c r="B6" i="109"/>
  <c r="C6" i="109"/>
  <c r="D6" i="109"/>
  <c r="F6" i="109"/>
  <c r="G6" i="109"/>
  <c r="H6" i="109"/>
  <c r="J6" i="109"/>
  <c r="K6" i="109"/>
  <c r="L6" i="109"/>
  <c r="N6" i="109"/>
  <c r="O6" i="109"/>
  <c r="P6" i="109"/>
  <c r="B22" i="108" a="1"/>
  <c r="B22" i="108"/>
  <c r="X103" i="108"/>
  <c r="X101" i="108"/>
  <c r="X98" i="108"/>
  <c r="X96" i="108"/>
  <c r="X94" i="108"/>
  <c r="X81" i="108"/>
  <c r="X91" i="108"/>
  <c r="X88" i="108"/>
  <c r="X78" i="108"/>
  <c r="X84" i="108"/>
  <c r="X52" i="108"/>
  <c r="X48" i="108"/>
  <c r="X45" i="108"/>
  <c r="X43" i="108"/>
  <c r="X39" i="108"/>
  <c r="X36" i="108"/>
  <c r="X32" i="108"/>
  <c r="X28" i="108"/>
  <c r="X22" i="108"/>
  <c r="X20" i="108"/>
  <c r="X17" i="108"/>
  <c r="X13" i="108"/>
  <c r="X10" i="108"/>
  <c r="X8" i="108"/>
  <c r="X4" i="108"/>
  <c r="C22" i="108" a="1"/>
  <c r="C22" i="108" s="1"/>
  <c r="K15" i="108" a="1"/>
  <c r="K15" i="108" s="1"/>
  <c r="J15" i="108" a="1"/>
  <c r="J15" i="108" s="1"/>
  <c r="G15" i="108" a="1"/>
  <c r="G15" i="108" s="1"/>
  <c r="F15" i="108" a="1"/>
  <c r="F15" i="108" s="1"/>
  <c r="C15" i="108" a="1"/>
  <c r="C15" i="108" s="1"/>
  <c r="B15" i="108" a="1"/>
  <c r="B15" i="108" s="1"/>
  <c r="N15" i="108" s="1"/>
  <c r="K14" i="108" a="1"/>
  <c r="K14" i="108" s="1"/>
  <c r="J14" i="108" a="1"/>
  <c r="J14" i="108" s="1"/>
  <c r="G14" i="108" a="1"/>
  <c r="G14" i="108" s="1"/>
  <c r="F14" i="108" a="1"/>
  <c r="F14" i="108" s="1"/>
  <c r="C14" i="108" a="1"/>
  <c r="C14" i="108" s="1"/>
  <c r="B14" i="108" a="1"/>
  <c r="B14" i="108" s="1"/>
  <c r="N14" i="108" s="1"/>
  <c r="K13" i="108" a="1"/>
  <c r="K13" i="108" s="1"/>
  <c r="J13" i="108" a="1"/>
  <c r="J13" i="108" s="1"/>
  <c r="G13" i="108" a="1"/>
  <c r="G13" i="108" s="1"/>
  <c r="F13" i="108" a="1"/>
  <c r="F13" i="108" s="1"/>
  <c r="C13" i="108" a="1"/>
  <c r="C13" i="108" s="1"/>
  <c r="B13" i="108" a="1"/>
  <c r="B13" i="108" s="1"/>
  <c r="N13" i="108" s="1"/>
  <c r="K12" i="108" a="1"/>
  <c r="K12" i="108" s="1"/>
  <c r="J12" i="108" a="1"/>
  <c r="J12" i="108" s="1"/>
  <c r="J16" i="108" s="1"/>
  <c r="G12" i="108" a="1"/>
  <c r="G12" i="108" s="1"/>
  <c r="F12" i="108" a="1"/>
  <c r="F12" i="108" s="1"/>
  <c r="F16" i="108" s="1"/>
  <c r="C12" i="108" a="1"/>
  <c r="C12" i="108" s="1"/>
  <c r="B12" i="108" a="1"/>
  <c r="B12" i="108" s="1"/>
  <c r="J9" i="108"/>
  <c r="F9" i="108"/>
  <c r="A9" i="108"/>
  <c r="N8" i="108"/>
  <c r="J8" i="108"/>
  <c r="F8" i="108"/>
  <c r="A8" i="108"/>
  <c r="K5" i="108" a="1"/>
  <c r="K5" i="108" s="1"/>
  <c r="J5" i="108" a="1"/>
  <c r="J5" i="108" s="1"/>
  <c r="J6" i="108" s="1"/>
  <c r="G5" i="108" a="1"/>
  <c r="G5" i="108" s="1"/>
  <c r="F5" i="108" a="1"/>
  <c r="F5" i="108" s="1"/>
  <c r="F6" i="108" s="1"/>
  <c r="C5" i="108" a="1"/>
  <c r="C5" i="108" s="1"/>
  <c r="B5" i="108" a="1"/>
  <c r="B5" i="108" s="1"/>
  <c r="J15" i="106" a="1"/>
  <c r="J15" i="106"/>
  <c r="J14" i="106" a="1"/>
  <c r="J14" i="106"/>
  <c r="J13" i="106" a="1"/>
  <c r="J13" i="106"/>
  <c r="C15" i="106" a="1"/>
  <c r="C15" i="106"/>
  <c r="C14" i="106" a="1"/>
  <c r="C14" i="106"/>
  <c r="C12" i="106" a="1"/>
  <c r="C12" i="106"/>
  <c r="C13" i="106" a="1"/>
  <c r="C13" i="106"/>
  <c r="C5" i="106" a="1"/>
  <c r="C5" i="106"/>
  <c r="J12" i="106" a="1"/>
  <c r="J12" i="106"/>
  <c r="B15" i="106" a="1"/>
  <c r="B15" i="106"/>
  <c r="B14" i="106" a="1"/>
  <c r="B14" i="106"/>
  <c r="B13" i="106" a="1"/>
  <c r="B13" i="106"/>
  <c r="B12" i="106" a="1"/>
  <c r="B12" i="106"/>
  <c r="B5" i="106" a="1"/>
  <c r="B5" i="106"/>
  <c r="X27" i="106"/>
  <c r="X24" i="106"/>
  <c r="X21" i="106"/>
  <c r="X15" i="106"/>
  <c r="X13" i="106"/>
  <c r="X7" i="106"/>
  <c r="X4" i="106"/>
  <c r="C22" i="106" a="1"/>
  <c r="C22" i="106"/>
  <c r="B22" i="106" a="1"/>
  <c r="B22" i="106"/>
  <c r="X62" i="106"/>
  <c r="K15" i="106" a="1"/>
  <c r="K15" i="106" s="1"/>
  <c r="G15" i="106" a="1"/>
  <c r="G15" i="106" s="1"/>
  <c r="F15" i="106" a="1"/>
  <c r="F15" i="106" s="1"/>
  <c r="N15" i="106"/>
  <c r="K14" i="106" a="1"/>
  <c r="K14" i="106" s="1"/>
  <c r="G14" i="106" a="1"/>
  <c r="G14" i="106" s="1"/>
  <c r="F14" i="106" a="1"/>
  <c r="F14" i="106" s="1"/>
  <c r="N14" i="106"/>
  <c r="K13" i="106" a="1"/>
  <c r="K13" i="106" s="1"/>
  <c r="G13" i="106" a="1"/>
  <c r="G13" i="106" s="1"/>
  <c r="F13" i="106" a="1"/>
  <c r="F13" i="106" s="1"/>
  <c r="N13" i="106"/>
  <c r="K12" i="106" a="1"/>
  <c r="K12" i="106" s="1"/>
  <c r="J16" i="106"/>
  <c r="G12" i="106" a="1"/>
  <c r="G12" i="106" s="1"/>
  <c r="F12" i="106" a="1"/>
  <c r="F12" i="106" s="1"/>
  <c r="F16" i="106" s="1"/>
  <c r="J9" i="106"/>
  <c r="F9" i="106"/>
  <c r="A9" i="106"/>
  <c r="N8" i="106"/>
  <c r="J8" i="106"/>
  <c r="F8" i="106"/>
  <c r="A8" i="106"/>
  <c r="K5" i="106" a="1"/>
  <c r="K5" i="106" s="1"/>
  <c r="J5" i="106" a="1"/>
  <c r="J5" i="106" s="1"/>
  <c r="J6" i="106" s="1"/>
  <c r="G5" i="106" a="1"/>
  <c r="G5" i="106" s="1"/>
  <c r="F5" i="106" a="1"/>
  <c r="F5" i="106" s="1"/>
  <c r="F6" i="106" s="1"/>
  <c r="C5" i="104" a="1"/>
  <c r="C5" i="104"/>
  <c r="F5" i="104" a="1"/>
  <c r="F5" i="104"/>
  <c r="X82" i="104"/>
  <c r="X42" i="104"/>
  <c r="X37" i="104"/>
  <c r="X35" i="104"/>
  <c r="F31" i="105"/>
  <c r="F28" i="105"/>
  <c r="F26" i="105"/>
  <c r="X31" i="104"/>
  <c r="X71" i="104"/>
  <c r="X67" i="104"/>
  <c r="X65" i="104"/>
  <c r="X26" i="104"/>
  <c r="X22" i="104"/>
  <c r="X14" i="104"/>
  <c r="X60" i="104"/>
  <c r="B12" i="104" a="1"/>
  <c r="B12" i="104"/>
  <c r="C12" i="104" a="1"/>
  <c r="C12" i="104"/>
  <c r="D12" i="104"/>
  <c r="F12" i="104" a="1"/>
  <c r="F12" i="104"/>
  <c r="G12" i="104" a="1"/>
  <c r="G12" i="104"/>
  <c r="H12" i="104"/>
  <c r="J12" i="104" a="1"/>
  <c r="J12" i="104"/>
  <c r="K12" i="104" a="1"/>
  <c r="K12" i="104"/>
  <c r="L12" i="104"/>
  <c r="N12" i="104"/>
  <c r="O12" i="104"/>
  <c r="P12" i="104"/>
  <c r="B13" i="104" a="1"/>
  <c r="B13" i="104"/>
  <c r="C13" i="104" a="1"/>
  <c r="C13" i="104"/>
  <c r="D13" i="104"/>
  <c r="F13" i="104" a="1"/>
  <c r="F13" i="104"/>
  <c r="G13" i="104" a="1"/>
  <c r="G13" i="104"/>
  <c r="H13" i="104"/>
  <c r="J13" i="104" a="1"/>
  <c r="J13" i="104"/>
  <c r="K13" i="104" a="1"/>
  <c r="K13" i="104"/>
  <c r="L13" i="104"/>
  <c r="N13" i="104"/>
  <c r="O13" i="104"/>
  <c r="P13" i="104"/>
  <c r="B14" i="104" a="1"/>
  <c r="B14" i="104"/>
  <c r="C14" i="104" a="1"/>
  <c r="C14" i="104"/>
  <c r="D14" i="104"/>
  <c r="F14" i="104" a="1"/>
  <c r="F14" i="104"/>
  <c r="G14" i="104" a="1"/>
  <c r="G14" i="104"/>
  <c r="H14" i="104"/>
  <c r="J14" i="104" a="1"/>
  <c r="J14" i="104"/>
  <c r="K14" i="104" a="1"/>
  <c r="K14" i="104"/>
  <c r="L14" i="104"/>
  <c r="N14" i="104"/>
  <c r="O14" i="104"/>
  <c r="P14" i="104"/>
  <c r="B15" i="104" a="1"/>
  <c r="B15" i="104"/>
  <c r="C15" i="104" a="1"/>
  <c r="C15" i="104"/>
  <c r="D15" i="104"/>
  <c r="F15" i="104" a="1"/>
  <c r="F15" i="104"/>
  <c r="G15" i="104" a="1"/>
  <c r="G15" i="104"/>
  <c r="H15" i="104"/>
  <c r="J15" i="104" a="1"/>
  <c r="J15" i="104"/>
  <c r="K15" i="104" a="1"/>
  <c r="K15" i="104"/>
  <c r="L15" i="104"/>
  <c r="N15" i="104"/>
  <c r="O15" i="104"/>
  <c r="P15" i="104"/>
  <c r="B16" i="104"/>
  <c r="C16" i="104"/>
  <c r="D16" i="104"/>
  <c r="F16" i="104"/>
  <c r="G16" i="104"/>
  <c r="H16" i="104"/>
  <c r="J16" i="104"/>
  <c r="K16" i="104"/>
  <c r="L16" i="104"/>
  <c r="N16" i="104"/>
  <c r="O16" i="104"/>
  <c r="P16" i="104"/>
  <c r="C22" i="104" a="1"/>
  <c r="C22" i="104" s="1"/>
  <c r="B22" i="104" a="1"/>
  <c r="B22" i="104" s="1"/>
  <c r="J9" i="104"/>
  <c r="F9" i="104"/>
  <c r="A9" i="104"/>
  <c r="N8" i="104"/>
  <c r="J8" i="104"/>
  <c r="F8" i="104"/>
  <c r="A8" i="104"/>
  <c r="K5" i="104" a="1"/>
  <c r="K5" i="104" s="1"/>
  <c r="J5" i="104" a="1"/>
  <c r="J5" i="104" s="1"/>
  <c r="J6" i="104" s="1"/>
  <c r="G5" i="104" a="1"/>
  <c r="G5" i="104" s="1"/>
  <c r="F6" i="104"/>
  <c r="B5" i="104" a="1"/>
  <c r="B5" i="104" s="1"/>
  <c r="X73" i="101"/>
  <c r="X44" i="101"/>
  <c r="X31" i="101"/>
  <c r="X33" i="101"/>
  <c r="H31" i="103"/>
  <c r="H28" i="103"/>
  <c r="H26" i="103"/>
  <c r="X67" i="101"/>
  <c r="X58" i="101"/>
  <c r="X53" i="101"/>
  <c r="X49" i="101"/>
  <c r="X17" i="101"/>
  <c r="C22" i="101" a="1"/>
  <c r="C22" i="101" s="1"/>
  <c r="B22" i="101" a="1"/>
  <c r="B22" i="101" s="1"/>
  <c r="K15" i="101" a="1"/>
  <c r="K15" i="101" s="1"/>
  <c r="J15" i="101" a="1"/>
  <c r="J15" i="101" s="1"/>
  <c r="G15" i="101" a="1"/>
  <c r="G15" i="101" s="1"/>
  <c r="F15" i="101" a="1"/>
  <c r="F15" i="101" s="1"/>
  <c r="C15" i="101" a="1"/>
  <c r="C15" i="101" s="1"/>
  <c r="B15" i="101" a="1"/>
  <c r="B15" i="101" s="1"/>
  <c r="N15" i="101" s="1"/>
  <c r="K14" i="101" a="1"/>
  <c r="K14" i="101" s="1"/>
  <c r="J14" i="101" a="1"/>
  <c r="J14" i="101" s="1"/>
  <c r="G14" i="101" a="1"/>
  <c r="G14" i="101" s="1"/>
  <c r="F14" i="101" a="1"/>
  <c r="F14" i="101" s="1"/>
  <c r="C14" i="101" a="1"/>
  <c r="C14" i="101" s="1"/>
  <c r="B14" i="101" a="1"/>
  <c r="B14" i="101" s="1"/>
  <c r="N14" i="101" s="1"/>
  <c r="K13" i="101" a="1"/>
  <c r="K13" i="101" s="1"/>
  <c r="J13" i="101" a="1"/>
  <c r="J13" i="101" s="1"/>
  <c r="G13" i="101" a="1"/>
  <c r="G13" i="101" s="1"/>
  <c r="F13" i="101" a="1"/>
  <c r="F13" i="101" s="1"/>
  <c r="C13" i="101" a="1"/>
  <c r="C13" i="101" s="1"/>
  <c r="B13" i="101" a="1"/>
  <c r="B13" i="101" s="1"/>
  <c r="N13" i="101" s="1"/>
  <c r="K12" i="101" a="1"/>
  <c r="K12" i="101" s="1"/>
  <c r="J12" i="101" a="1"/>
  <c r="J12" i="101" s="1"/>
  <c r="J16" i="101" s="1"/>
  <c r="G12" i="101" a="1"/>
  <c r="G12" i="101" s="1"/>
  <c r="F12" i="101" a="1"/>
  <c r="F12" i="101" s="1"/>
  <c r="F16" i="101" s="1"/>
  <c r="C12" i="101" a="1"/>
  <c r="C12" i="101" s="1"/>
  <c r="B12" i="101" a="1"/>
  <c r="B12" i="101" s="1"/>
  <c r="J9" i="101"/>
  <c r="F9" i="101"/>
  <c r="A9" i="101"/>
  <c r="N8" i="101"/>
  <c r="J8" i="101"/>
  <c r="F8" i="101"/>
  <c r="A8" i="101"/>
  <c r="K5" i="101" a="1"/>
  <c r="K5" i="101" s="1"/>
  <c r="J5" i="101" a="1"/>
  <c r="J5" i="101" s="1"/>
  <c r="J6" i="101" s="1"/>
  <c r="G5" i="101" a="1"/>
  <c r="G5" i="101" s="1"/>
  <c r="F5" i="101" a="1"/>
  <c r="F5" i="101" s="1"/>
  <c r="F6" i="101" s="1"/>
  <c r="C5" i="101" a="1"/>
  <c r="C5" i="101" s="1"/>
  <c r="B5" i="101" a="1"/>
  <c r="B5" i="101" s="1"/>
  <c r="X97" i="99"/>
  <c r="X51" i="99"/>
  <c r="X13" i="99"/>
  <c r="X48" i="99"/>
  <c r="X45" i="99"/>
  <c r="X43" i="99"/>
  <c r="X71" i="99"/>
  <c r="X69" i="99"/>
  <c r="X33" i="99"/>
  <c r="X27" i="99"/>
  <c r="X62" i="99"/>
  <c r="X23" i="99"/>
  <c r="D23" i="99"/>
  <c r="C23" i="99"/>
  <c r="B23" i="99"/>
  <c r="C22" i="99" a="1"/>
  <c r="C22" i="99" s="1"/>
  <c r="B22" i="99" a="1"/>
  <c r="B22" i="99" s="1"/>
  <c r="K15" i="99" a="1"/>
  <c r="K15" i="99" s="1"/>
  <c r="J15" i="99" a="1"/>
  <c r="J15" i="99" s="1"/>
  <c r="G15" i="99" a="1"/>
  <c r="G15" i="99" s="1"/>
  <c r="F15" i="99" a="1"/>
  <c r="F15" i="99" s="1"/>
  <c r="C15" i="99" a="1"/>
  <c r="C15" i="99" s="1"/>
  <c r="B15" i="99" a="1"/>
  <c r="B15" i="99" s="1"/>
  <c r="N15" i="99" s="1"/>
  <c r="K14" i="99" a="1"/>
  <c r="K14" i="99" s="1"/>
  <c r="J14" i="99" a="1"/>
  <c r="J14" i="99" s="1"/>
  <c r="G14" i="99" a="1"/>
  <c r="G14" i="99" s="1"/>
  <c r="F14" i="99" a="1"/>
  <c r="F14" i="99" s="1"/>
  <c r="C14" i="99" a="1"/>
  <c r="C14" i="99" s="1"/>
  <c r="B14" i="99" a="1"/>
  <c r="B14" i="99" s="1"/>
  <c r="N14" i="99" s="1"/>
  <c r="K13" i="99" a="1"/>
  <c r="K13" i="99" s="1"/>
  <c r="J13" i="99" a="1"/>
  <c r="J13" i="99" s="1"/>
  <c r="G13" i="99" a="1"/>
  <c r="G13" i="99" s="1"/>
  <c r="F13" i="99" a="1"/>
  <c r="F13" i="99" s="1"/>
  <c r="C13" i="99" a="1"/>
  <c r="C13" i="99" s="1"/>
  <c r="B13" i="99" a="1"/>
  <c r="B13" i="99" s="1"/>
  <c r="N13" i="99" s="1"/>
  <c r="K12" i="99" a="1"/>
  <c r="K12" i="99" s="1"/>
  <c r="J12" i="99" a="1"/>
  <c r="J12" i="99" s="1"/>
  <c r="J16" i="99" s="1"/>
  <c r="G12" i="99" a="1"/>
  <c r="G12" i="99" s="1"/>
  <c r="F12" i="99" a="1"/>
  <c r="F12" i="99" s="1"/>
  <c r="F16" i="99" s="1"/>
  <c r="C12" i="99" a="1"/>
  <c r="C12" i="99" s="1"/>
  <c r="B12" i="99" a="1"/>
  <c r="B12" i="99" s="1"/>
  <c r="J9" i="99"/>
  <c r="F9" i="99"/>
  <c r="A9" i="99"/>
  <c r="N8" i="99"/>
  <c r="J8" i="99"/>
  <c r="F8" i="99"/>
  <c r="A8" i="99"/>
  <c r="K5" i="99" a="1"/>
  <c r="K5" i="99" s="1"/>
  <c r="J5" i="99" a="1"/>
  <c r="J5" i="99" s="1"/>
  <c r="J6" i="99" s="1"/>
  <c r="G5" i="99" a="1"/>
  <c r="G5" i="99" s="1"/>
  <c r="F5" i="99" a="1"/>
  <c r="F5" i="99" s="1"/>
  <c r="F6" i="99" s="1"/>
  <c r="C5" i="99" a="1"/>
  <c r="C5" i="99" s="1"/>
  <c r="B5" i="99" a="1"/>
  <c r="B5" i="99" s="1"/>
  <c r="X55" i="98"/>
  <c r="X52" i="98"/>
  <c r="X50" i="98"/>
  <c r="X36" i="98"/>
  <c r="X47" i="98"/>
  <c r="X45" i="98"/>
  <c r="X43" i="98"/>
  <c r="X40" i="98"/>
  <c r="X38" i="98"/>
  <c r="X6" i="98"/>
  <c r="C22" i="98" a="1"/>
  <c r="C22" i="98"/>
  <c r="B22" i="98" a="1"/>
  <c r="B22" i="98"/>
  <c r="K15" i="98" a="1"/>
  <c r="K15" i="98"/>
  <c r="J15" i="98" a="1"/>
  <c r="J15" i="98"/>
  <c r="G15" i="98" a="1"/>
  <c r="G15" i="98"/>
  <c r="F15" i="98" a="1"/>
  <c r="F15" i="98"/>
  <c r="C15" i="98" a="1"/>
  <c r="C15" i="98"/>
  <c r="B15" i="98" a="1"/>
  <c r="B15" i="98"/>
  <c r="K14" i="98" a="1"/>
  <c r="K14" i="98"/>
  <c r="J14" i="98" a="1"/>
  <c r="J14" i="98"/>
  <c r="G14" i="98" a="1"/>
  <c r="G14" i="98"/>
  <c r="F14" i="98" a="1"/>
  <c r="F14" i="98"/>
  <c r="C14" i="98" a="1"/>
  <c r="C14" i="98"/>
  <c r="B14" i="98" a="1"/>
  <c r="B14" i="98"/>
  <c r="K13" i="98" a="1"/>
  <c r="K13" i="98"/>
  <c r="J13" i="98" a="1"/>
  <c r="J13" i="98"/>
  <c r="G13" i="98" a="1"/>
  <c r="G13" i="98"/>
  <c r="F13" i="98" a="1"/>
  <c r="F13" i="98"/>
  <c r="C13" i="98" a="1"/>
  <c r="C13" i="98"/>
  <c r="B13" i="98" a="1"/>
  <c r="B13" i="98"/>
  <c r="K12" i="98" a="1"/>
  <c r="K12" i="98"/>
  <c r="J12" i="98" a="1"/>
  <c r="J12" i="98"/>
  <c r="G12" i="98" a="1"/>
  <c r="G12" i="98"/>
  <c r="F12" i="98" a="1"/>
  <c r="F12" i="98"/>
  <c r="C12" i="98" a="1"/>
  <c r="C12" i="98"/>
  <c r="B12" i="98" a="1"/>
  <c r="B12" i="98"/>
  <c r="K5" i="98" a="1"/>
  <c r="K5" i="98"/>
  <c r="J5" i="98" a="1"/>
  <c r="J5" i="98"/>
  <c r="G5" i="98" a="1"/>
  <c r="G5" i="98"/>
  <c r="F5" i="98" a="1"/>
  <c r="F5" i="98"/>
  <c r="C5" i="98" a="1"/>
  <c r="C5" i="98"/>
  <c r="B5" i="98" a="1"/>
  <c r="B5" i="98"/>
  <c r="D22" i="98"/>
  <c r="B23" i="98"/>
  <c r="C23" i="98"/>
  <c r="D23" i="98"/>
  <c r="D12" i="98"/>
  <c r="H12" i="98"/>
  <c r="L12" i="98"/>
  <c r="N12" i="98"/>
  <c r="O12" i="98"/>
  <c r="P12" i="98"/>
  <c r="D13" i="98"/>
  <c r="H13" i="98"/>
  <c r="L13" i="98"/>
  <c r="N13" i="98"/>
  <c r="O13" i="98"/>
  <c r="P13" i="98"/>
  <c r="D14" i="98"/>
  <c r="H14" i="98"/>
  <c r="L14" i="98"/>
  <c r="N14" i="98"/>
  <c r="O14" i="98"/>
  <c r="P14" i="98"/>
  <c r="D15" i="98"/>
  <c r="H15" i="98"/>
  <c r="L15" i="98"/>
  <c r="N15" i="98"/>
  <c r="O15" i="98"/>
  <c r="P15" i="98"/>
  <c r="B16" i="98"/>
  <c r="C16" i="98"/>
  <c r="D16" i="98"/>
  <c r="F16" i="98"/>
  <c r="G16" i="98"/>
  <c r="H16" i="98"/>
  <c r="J16" i="98"/>
  <c r="K16" i="98"/>
  <c r="L16" i="98"/>
  <c r="N16" i="98"/>
  <c r="O16" i="98"/>
  <c r="P16" i="98"/>
  <c r="A8" i="98"/>
  <c r="F8" i="98"/>
  <c r="J8" i="98"/>
  <c r="N8" i="98"/>
  <c r="A9" i="98"/>
  <c r="F9" i="98"/>
  <c r="J9" i="98"/>
  <c r="D5" i="98"/>
  <c r="H5" i="98"/>
  <c r="L5" i="98"/>
  <c r="N5" i="98"/>
  <c r="O5" i="98"/>
  <c r="P5" i="98"/>
  <c r="B6" i="98"/>
  <c r="C6" i="98"/>
  <c r="D6" i="98"/>
  <c r="F6" i="98"/>
  <c r="G6" i="98"/>
  <c r="H6" i="98"/>
  <c r="J6" i="98"/>
  <c r="K6" i="98"/>
  <c r="L6" i="98"/>
  <c r="N6" i="98"/>
  <c r="O6" i="98"/>
  <c r="P6" i="98"/>
  <c r="X34" i="93"/>
  <c r="X30" i="93"/>
  <c r="X26" i="93"/>
  <c r="X13" i="93"/>
  <c r="X44" i="93"/>
  <c r="X42" i="93"/>
  <c r="X3" i="93"/>
  <c r="C20" i="93" a="1"/>
  <c r="C20" i="93"/>
  <c r="B20" i="93" a="1"/>
  <c r="B20" i="93"/>
  <c r="K15" i="93" a="1"/>
  <c r="K15" i="93"/>
  <c r="J15" i="93" a="1"/>
  <c r="J15" i="93"/>
  <c r="G15" i="93" a="1"/>
  <c r="G15" i="93"/>
  <c r="F15" i="93" a="1"/>
  <c r="F15" i="93"/>
  <c r="C15" i="93" a="1"/>
  <c r="C15" i="93"/>
  <c r="B15" i="93" a="1"/>
  <c r="B15" i="93"/>
  <c r="K14" i="93" a="1"/>
  <c r="K14" i="93"/>
  <c r="J14" i="93" a="1"/>
  <c r="J14" i="93"/>
  <c r="G14" i="93" a="1"/>
  <c r="G14" i="93"/>
  <c r="F14" i="93" a="1"/>
  <c r="F14" i="93"/>
  <c r="C14" i="93" a="1"/>
  <c r="C14" i="93"/>
  <c r="B14" i="93" a="1"/>
  <c r="B14" i="93"/>
  <c r="K13" i="93" a="1"/>
  <c r="K13" i="93"/>
  <c r="J13" i="93" a="1"/>
  <c r="J13" i="93"/>
  <c r="G13" i="93" a="1"/>
  <c r="G13" i="93"/>
  <c r="F13" i="93" a="1"/>
  <c r="F13" i="93"/>
  <c r="C13" i="93" a="1"/>
  <c r="C13" i="93"/>
  <c r="B13" i="93" a="1"/>
  <c r="B13" i="93"/>
  <c r="K12" i="93" a="1"/>
  <c r="K12" i="93"/>
  <c r="J12" i="93" a="1"/>
  <c r="J12" i="93"/>
  <c r="G12" i="93" a="1"/>
  <c r="G12" i="93"/>
  <c r="F12" i="93" a="1"/>
  <c r="F12" i="93"/>
  <c r="C12" i="93" a="1"/>
  <c r="C12" i="93"/>
  <c r="B12" i="93" a="1"/>
  <c r="B12" i="93"/>
  <c r="K5" i="93" a="1"/>
  <c r="K5" i="93"/>
  <c r="J5" i="93" a="1"/>
  <c r="J5" i="93"/>
  <c r="G5" i="93" a="1"/>
  <c r="G5" i="93"/>
  <c r="F5" i="93" a="1"/>
  <c r="F5" i="93"/>
  <c r="C5" i="93" a="1"/>
  <c r="C5" i="93"/>
  <c r="B5" i="93" a="1"/>
  <c r="B5" i="93"/>
  <c r="D20" i="93"/>
  <c r="B21" i="93"/>
  <c r="C21" i="93"/>
  <c r="D21" i="93"/>
  <c r="D12" i="93"/>
  <c r="H12" i="93"/>
  <c r="L12" i="93"/>
  <c r="N12" i="93"/>
  <c r="O12" i="93"/>
  <c r="P12" i="93"/>
  <c r="D13" i="93"/>
  <c r="H13" i="93"/>
  <c r="L13" i="93"/>
  <c r="N13" i="93"/>
  <c r="O13" i="93"/>
  <c r="P13" i="93"/>
  <c r="D14" i="93"/>
  <c r="H14" i="93"/>
  <c r="L14" i="93"/>
  <c r="N14" i="93"/>
  <c r="O14" i="93"/>
  <c r="P14" i="93"/>
  <c r="D15" i="93"/>
  <c r="H15" i="93"/>
  <c r="L15" i="93"/>
  <c r="N15" i="93"/>
  <c r="O15" i="93"/>
  <c r="P15" i="93"/>
  <c r="B16" i="93"/>
  <c r="C16" i="93"/>
  <c r="D16" i="93"/>
  <c r="F16" i="93"/>
  <c r="G16" i="93"/>
  <c r="H16" i="93"/>
  <c r="J16" i="93"/>
  <c r="K16" i="93"/>
  <c r="L16" i="93"/>
  <c r="N16" i="93"/>
  <c r="O16" i="93"/>
  <c r="P16" i="93"/>
  <c r="D5" i="93"/>
  <c r="H5" i="93"/>
  <c r="L5" i="93"/>
  <c r="N5" i="93"/>
  <c r="O5" i="93"/>
  <c r="P5" i="93"/>
  <c r="B6" i="93"/>
  <c r="C6" i="93"/>
  <c r="D6" i="93"/>
  <c r="F6" i="93"/>
  <c r="G6" i="93"/>
  <c r="H6" i="93"/>
  <c r="J6" i="93"/>
  <c r="K6" i="93"/>
  <c r="L6" i="93"/>
  <c r="N6" i="93"/>
  <c r="O6" i="93"/>
  <c r="P6" i="93"/>
  <c r="A8" i="93"/>
  <c r="F8" i="93"/>
  <c r="J8" i="93"/>
  <c r="N8" i="93"/>
  <c r="A9" i="93"/>
  <c r="F9" i="93"/>
  <c r="J9" i="93"/>
  <c r="X70" i="90"/>
  <c r="X68" i="90"/>
  <c r="X55" i="90"/>
  <c r="X50" i="90"/>
  <c r="X42" i="90"/>
  <c r="X39" i="90"/>
  <c r="X28" i="90"/>
  <c r="X25" i="90"/>
  <c r="X22" i="90"/>
  <c r="X30" i="90"/>
  <c r="X16" i="90"/>
  <c r="X13" i="90"/>
  <c r="X7" i="90"/>
  <c r="X3" i="90"/>
  <c r="D21" i="90"/>
  <c r="C21" i="90"/>
  <c r="B21" i="90"/>
  <c r="C20" i="90" a="1"/>
  <c r="C20" i="90" s="1"/>
  <c r="B20" i="90" a="1"/>
  <c r="B20" i="90" s="1"/>
  <c r="K15" i="90" a="1"/>
  <c r="K15" i="90" s="1"/>
  <c r="J15" i="90" a="1"/>
  <c r="J15" i="90" s="1"/>
  <c r="G15" i="90" a="1"/>
  <c r="G15" i="90" s="1"/>
  <c r="F15" i="90" a="1"/>
  <c r="F15" i="90" s="1"/>
  <c r="C15" i="90" a="1"/>
  <c r="C15" i="90" s="1"/>
  <c r="B15" i="90" a="1"/>
  <c r="B15" i="90" s="1"/>
  <c r="N15" i="90" s="1"/>
  <c r="K14" i="90" a="1"/>
  <c r="K14" i="90" s="1"/>
  <c r="J14" i="90" a="1"/>
  <c r="J14" i="90" s="1"/>
  <c r="G14" i="90" a="1"/>
  <c r="G14" i="90" s="1"/>
  <c r="F14" i="90" a="1"/>
  <c r="F14" i="90" s="1"/>
  <c r="C14" i="90" a="1"/>
  <c r="C14" i="90" s="1"/>
  <c r="B14" i="90" a="1"/>
  <c r="B14" i="90" s="1"/>
  <c r="N14" i="90" s="1"/>
  <c r="K13" i="90" a="1"/>
  <c r="K13" i="90" s="1"/>
  <c r="J13" i="90" a="1"/>
  <c r="J13" i="90" s="1"/>
  <c r="G13" i="90" a="1"/>
  <c r="G13" i="90" s="1"/>
  <c r="F13" i="90" a="1"/>
  <c r="F13" i="90" s="1"/>
  <c r="C13" i="90" a="1"/>
  <c r="C13" i="90" s="1"/>
  <c r="B13" i="90" a="1"/>
  <c r="B13" i="90" s="1"/>
  <c r="N13" i="90" s="1"/>
  <c r="K12" i="90" a="1"/>
  <c r="K12" i="90" s="1"/>
  <c r="J12" i="90" a="1"/>
  <c r="J12" i="90" s="1"/>
  <c r="J16" i="90" s="1"/>
  <c r="G12" i="90" a="1"/>
  <c r="G12" i="90" s="1"/>
  <c r="F12" i="90" a="1"/>
  <c r="F12" i="90" s="1"/>
  <c r="F16" i="90" s="1"/>
  <c r="C12" i="90" a="1"/>
  <c r="C12" i="90" s="1"/>
  <c r="B12" i="90" a="1"/>
  <c r="B12" i="90" s="1"/>
  <c r="N12" i="90" s="1"/>
  <c r="J9" i="90"/>
  <c r="F9" i="90"/>
  <c r="A9" i="90"/>
  <c r="N8" i="90"/>
  <c r="J8" i="90"/>
  <c r="F8" i="90"/>
  <c r="A8" i="90"/>
  <c r="K5" i="90" a="1"/>
  <c r="K5" i="90" s="1"/>
  <c r="J5" i="90" a="1"/>
  <c r="J5" i="90" s="1"/>
  <c r="J6" i="90" s="1"/>
  <c r="G5" i="90" a="1"/>
  <c r="G5" i="90" s="1"/>
  <c r="F5" i="90" a="1"/>
  <c r="F5" i="90" s="1"/>
  <c r="F6" i="90" s="1"/>
  <c r="C5" i="90" a="1"/>
  <c r="C5" i="90" s="1"/>
  <c r="B5" i="90" a="1"/>
  <c r="B5" i="90" s="1"/>
  <c r="X36" i="89"/>
  <c r="X58" i="89"/>
  <c r="X33" i="89"/>
  <c r="X31" i="89"/>
  <c r="X53" i="89"/>
  <c r="X14" i="89"/>
  <c r="X17" i="89"/>
  <c r="X22" i="89"/>
  <c r="X41" i="89"/>
  <c r="X8" i="89"/>
  <c r="D21" i="89"/>
  <c r="C21" i="89"/>
  <c r="B21" i="89"/>
  <c r="C20" i="89" a="1"/>
  <c r="C20" i="89" s="1"/>
  <c r="B20" i="89" a="1"/>
  <c r="B20" i="89" s="1"/>
  <c r="K15" i="89" a="1"/>
  <c r="K15" i="89" s="1"/>
  <c r="J15" i="89" a="1"/>
  <c r="J15" i="89" s="1"/>
  <c r="G15" i="89" a="1"/>
  <c r="G15" i="89" s="1"/>
  <c r="F15" i="89" a="1"/>
  <c r="F15" i="89" s="1"/>
  <c r="C15" i="89" a="1"/>
  <c r="C15" i="89" s="1"/>
  <c r="B15" i="89" a="1"/>
  <c r="B15" i="89" s="1"/>
  <c r="N15" i="89" s="1"/>
  <c r="K14" i="89" a="1"/>
  <c r="K14" i="89" s="1"/>
  <c r="J14" i="89" a="1"/>
  <c r="J14" i="89" s="1"/>
  <c r="G14" i="89" a="1"/>
  <c r="G14" i="89" s="1"/>
  <c r="F14" i="89" a="1"/>
  <c r="F14" i="89" s="1"/>
  <c r="C14" i="89" a="1"/>
  <c r="C14" i="89" s="1"/>
  <c r="B14" i="89" a="1"/>
  <c r="B14" i="89" s="1"/>
  <c r="N14" i="89" s="1"/>
  <c r="K13" i="89" a="1"/>
  <c r="K13" i="89" s="1"/>
  <c r="J13" i="89" a="1"/>
  <c r="J13" i="89" s="1"/>
  <c r="G13" i="89" a="1"/>
  <c r="G13" i="89" s="1"/>
  <c r="F13" i="89" a="1"/>
  <c r="F13" i="89" s="1"/>
  <c r="C13" i="89" a="1"/>
  <c r="C13" i="89" s="1"/>
  <c r="B13" i="89" a="1"/>
  <c r="B13" i="89" s="1"/>
  <c r="N13" i="89" s="1"/>
  <c r="K12" i="89" a="1"/>
  <c r="K12" i="89" s="1"/>
  <c r="J12" i="89" a="1"/>
  <c r="J12" i="89" s="1"/>
  <c r="J16" i="89" s="1"/>
  <c r="G12" i="89" a="1"/>
  <c r="G12" i="89" s="1"/>
  <c r="F12" i="89" a="1"/>
  <c r="F12" i="89" s="1"/>
  <c r="F16" i="89" s="1"/>
  <c r="C12" i="89" a="1"/>
  <c r="C12" i="89" s="1"/>
  <c r="B12" i="89" a="1"/>
  <c r="B12" i="89" s="1"/>
  <c r="J9" i="89"/>
  <c r="F9" i="89"/>
  <c r="A9" i="89"/>
  <c r="N8" i="89"/>
  <c r="J8" i="89"/>
  <c r="F8" i="89"/>
  <c r="A8" i="89"/>
  <c r="K5" i="89" a="1"/>
  <c r="K5" i="89" s="1"/>
  <c r="J5" i="89" a="1"/>
  <c r="J5" i="89" s="1"/>
  <c r="J6" i="89" s="1"/>
  <c r="G5" i="89" a="1"/>
  <c r="G5" i="89" s="1"/>
  <c r="F5" i="89" a="1"/>
  <c r="F5" i="89" s="1"/>
  <c r="F6" i="89" s="1"/>
  <c r="C5" i="89" a="1"/>
  <c r="C5" i="89" s="1"/>
  <c r="B5" i="89" a="1"/>
  <c r="B5" i="89" s="1"/>
  <c r="X42" i="86"/>
  <c r="J15" i="86" a="1"/>
  <c r="J15" i="86"/>
  <c r="J14" i="86" a="1"/>
  <c r="J14" i="86"/>
  <c r="J13" i="86" a="1"/>
  <c r="J13" i="86"/>
  <c r="J12" i="86" a="1"/>
  <c r="J12" i="86"/>
  <c r="J5" i="86" a="1"/>
  <c r="J5" i="86"/>
  <c r="C20" i="86" a="1"/>
  <c r="C20" i="86"/>
  <c r="B20" i="86" a="1"/>
  <c r="B20" i="86"/>
  <c r="X54" i="86"/>
  <c r="X49" i="86"/>
  <c r="B5" i="85" a="1"/>
  <c r="B5" i="85"/>
  <c r="B5" i="86" a="1"/>
  <c r="B5" i="86"/>
  <c r="X3" i="86"/>
  <c r="A9" i="86"/>
  <c r="A8" i="86"/>
  <c r="K15" i="86" a="1"/>
  <c r="K15" i="86"/>
  <c r="G15" i="86" a="1"/>
  <c r="G15" i="86"/>
  <c r="F15" i="86" a="1"/>
  <c r="F15" i="86"/>
  <c r="C15" i="86" a="1"/>
  <c r="C15" i="86"/>
  <c r="B15" i="86" a="1"/>
  <c r="B15" i="86"/>
  <c r="K14" i="86" a="1"/>
  <c r="K14" i="86"/>
  <c r="G14" i="86" a="1"/>
  <c r="G14" i="86"/>
  <c r="F14" i="86" a="1"/>
  <c r="F14" i="86"/>
  <c r="C14" i="86" a="1"/>
  <c r="C14" i="86"/>
  <c r="B14" i="86" a="1"/>
  <c r="B14" i="86"/>
  <c r="K13" i="86" a="1"/>
  <c r="K13" i="86"/>
  <c r="G13" i="86" a="1"/>
  <c r="G13" i="86"/>
  <c r="F13" i="86" a="1"/>
  <c r="F13" i="86"/>
  <c r="C13" i="86" a="1"/>
  <c r="C13" i="86"/>
  <c r="B13" i="86" a="1"/>
  <c r="B13" i="86"/>
  <c r="K12" i="86" a="1"/>
  <c r="K12" i="86"/>
  <c r="G12" i="86" a="1"/>
  <c r="G12" i="86"/>
  <c r="F12" i="86" a="1"/>
  <c r="F12" i="86"/>
  <c r="C12" i="86" a="1"/>
  <c r="C12" i="86"/>
  <c r="B12" i="86" a="1"/>
  <c r="B12" i="86"/>
  <c r="K5" i="86" a="1"/>
  <c r="K5" i="86"/>
  <c r="G5" i="86" a="1"/>
  <c r="G5" i="86"/>
  <c r="F5" i="86" a="1"/>
  <c r="F5" i="86"/>
  <c r="C5" i="86" a="1"/>
  <c r="C5" i="86"/>
  <c r="D20" i="86"/>
  <c r="B21" i="86"/>
  <c r="C21" i="86"/>
  <c r="D21" i="86"/>
  <c r="D12" i="86"/>
  <c r="H12" i="86"/>
  <c r="L12" i="86"/>
  <c r="N12" i="86"/>
  <c r="O12" i="86"/>
  <c r="P12" i="86"/>
  <c r="D13" i="86"/>
  <c r="H13" i="86"/>
  <c r="L13" i="86"/>
  <c r="N13" i="86"/>
  <c r="O13" i="86"/>
  <c r="P13" i="86"/>
  <c r="D14" i="86"/>
  <c r="H14" i="86"/>
  <c r="L14" i="86"/>
  <c r="N14" i="86"/>
  <c r="O14" i="86"/>
  <c r="P14" i="86"/>
  <c r="D15" i="86"/>
  <c r="H15" i="86"/>
  <c r="L15" i="86"/>
  <c r="N15" i="86"/>
  <c r="O15" i="86"/>
  <c r="P15" i="86"/>
  <c r="B16" i="86"/>
  <c r="C16" i="86"/>
  <c r="D16" i="86"/>
  <c r="F16" i="86"/>
  <c r="G16" i="86"/>
  <c r="H16" i="86"/>
  <c r="J16" i="86"/>
  <c r="K16" i="86"/>
  <c r="L16" i="86"/>
  <c r="N16" i="86"/>
  <c r="O16" i="86"/>
  <c r="P16" i="86"/>
  <c r="F8" i="86"/>
  <c r="J8" i="86"/>
  <c r="N8" i="86"/>
  <c r="F9" i="86"/>
  <c r="J9" i="86"/>
  <c r="D5" i="86"/>
  <c r="H5" i="86"/>
  <c r="L5" i="86"/>
  <c r="N5" i="86"/>
  <c r="O5" i="86"/>
  <c r="P5" i="86"/>
  <c r="B6" i="86"/>
  <c r="C6" i="86"/>
  <c r="D6" i="86"/>
  <c r="F6" i="86"/>
  <c r="G6" i="86"/>
  <c r="H6" i="86"/>
  <c r="J6" i="86"/>
  <c r="K6" i="86"/>
  <c r="L6" i="86"/>
  <c r="N6" i="86"/>
  <c r="O6" i="86"/>
  <c r="P6" i="86"/>
  <c r="B21" i="85" a="1"/>
  <c r="B21" i="85"/>
  <c r="C21" i="85" a="1"/>
  <c r="C21" i="85"/>
  <c r="X21" i="85"/>
  <c r="X39" i="85"/>
  <c r="X6" i="85"/>
  <c r="X3" i="85"/>
  <c r="D22" i="85"/>
  <c r="C22" i="85"/>
  <c r="B22" i="85"/>
  <c r="K15" i="85" a="1"/>
  <c r="K15" i="85" s="1"/>
  <c r="J15" i="85" a="1"/>
  <c r="J15" i="85" s="1"/>
  <c r="G15" i="85" a="1"/>
  <c r="G15" i="85" s="1"/>
  <c r="F15" i="85" a="1"/>
  <c r="F15" i="85" s="1"/>
  <c r="C15" i="85" a="1"/>
  <c r="C15" i="85" s="1"/>
  <c r="B15" i="85" a="1"/>
  <c r="B15" i="85" s="1"/>
  <c r="N15" i="85" s="1"/>
  <c r="K14" i="85" a="1"/>
  <c r="K14" i="85" s="1"/>
  <c r="J14" i="85" a="1"/>
  <c r="J14" i="85" s="1"/>
  <c r="G14" i="85" a="1"/>
  <c r="G14" i="85" s="1"/>
  <c r="F14" i="85" a="1"/>
  <c r="F14" i="85" s="1"/>
  <c r="C14" i="85" a="1"/>
  <c r="C14" i="85" s="1"/>
  <c r="B14" i="85" a="1"/>
  <c r="B14" i="85" s="1"/>
  <c r="N14" i="85" s="1"/>
  <c r="K13" i="85" a="1"/>
  <c r="K13" i="85" s="1"/>
  <c r="J13" i="85" a="1"/>
  <c r="J13" i="85" s="1"/>
  <c r="G13" i="85" a="1"/>
  <c r="G13" i="85" s="1"/>
  <c r="F13" i="85" a="1"/>
  <c r="F13" i="85" s="1"/>
  <c r="C13" i="85" a="1"/>
  <c r="C13" i="85" s="1"/>
  <c r="B13" i="85" a="1"/>
  <c r="B13" i="85" s="1"/>
  <c r="N13" i="85" s="1"/>
  <c r="K12" i="85" a="1"/>
  <c r="K12" i="85" s="1"/>
  <c r="J12" i="85" a="1"/>
  <c r="J12" i="85" s="1"/>
  <c r="J16" i="85" s="1"/>
  <c r="G12" i="85" a="1"/>
  <c r="G12" i="85" s="1"/>
  <c r="F12" i="85" a="1"/>
  <c r="F12" i="85" s="1"/>
  <c r="F16" i="85" s="1"/>
  <c r="C12" i="85" a="1"/>
  <c r="C12" i="85" s="1"/>
  <c r="B12" i="85" a="1"/>
  <c r="B12" i="85" s="1"/>
  <c r="J9" i="85"/>
  <c r="F9" i="85"/>
  <c r="A9" i="85"/>
  <c r="N8" i="85"/>
  <c r="J8" i="85"/>
  <c r="F8" i="85"/>
  <c r="A8" i="85"/>
  <c r="K5" i="85" a="1"/>
  <c r="K5" i="85" s="1"/>
  <c r="J5" i="85" a="1"/>
  <c r="J5" i="85" s="1"/>
  <c r="J6" i="85" s="1"/>
  <c r="G5" i="85" a="1"/>
  <c r="G5" i="85" s="1"/>
  <c r="F5" i="85" a="1"/>
  <c r="F5" i="85" s="1"/>
  <c r="F6" i="85" s="1"/>
  <c r="C5" i="85" a="1"/>
  <c r="C5" i="85" s="1"/>
  <c r="X36" i="83"/>
  <c r="X26" i="83"/>
  <c r="X63" i="83"/>
  <c r="X24" i="83"/>
  <c r="X60" i="83"/>
  <c r="X56" i="83"/>
  <c r="B20" i="83" a="1"/>
  <c r="B20" i="83"/>
  <c r="X40" i="83"/>
  <c r="X50" i="83"/>
  <c r="X47" i="83"/>
  <c r="X44" i="83"/>
  <c r="X29" i="83"/>
  <c r="X34" i="83"/>
  <c r="C20" i="83" a="1"/>
  <c r="C20" i="83"/>
  <c r="K15" i="83" a="1"/>
  <c r="K15" i="83"/>
  <c r="J15" i="83" a="1"/>
  <c r="J15" i="83"/>
  <c r="G15" i="83" a="1"/>
  <c r="G15" i="83"/>
  <c r="F15" i="83" a="1"/>
  <c r="F15" i="83"/>
  <c r="C15" i="83" a="1"/>
  <c r="C15" i="83"/>
  <c r="B15" i="83" a="1"/>
  <c r="B15" i="83"/>
  <c r="K14" i="83" a="1"/>
  <c r="K14" i="83"/>
  <c r="J14" i="83" a="1"/>
  <c r="J14" i="83"/>
  <c r="G14" i="83" a="1"/>
  <c r="G14" i="83"/>
  <c r="F14" i="83" a="1"/>
  <c r="F14" i="83"/>
  <c r="C14" i="83" a="1"/>
  <c r="C14" i="83"/>
  <c r="B14" i="83" a="1"/>
  <c r="B14" i="83"/>
  <c r="K13" i="83" a="1"/>
  <c r="K13" i="83"/>
  <c r="J13" i="83" a="1"/>
  <c r="J13" i="83"/>
  <c r="G13" i="83" a="1"/>
  <c r="G13" i="83"/>
  <c r="F13" i="83" a="1"/>
  <c r="F13" i="83"/>
  <c r="C13" i="83" a="1"/>
  <c r="C13" i="83"/>
  <c r="B13" i="83" a="1"/>
  <c r="B13" i="83"/>
  <c r="K12" i="83" a="1"/>
  <c r="K12" i="83"/>
  <c r="J12" i="83" a="1"/>
  <c r="J12" i="83"/>
  <c r="G12" i="83" a="1"/>
  <c r="G12" i="83"/>
  <c r="F12" i="83" a="1"/>
  <c r="F12" i="83"/>
  <c r="C12" i="83" a="1"/>
  <c r="C12" i="83"/>
  <c r="B12" i="83" a="1"/>
  <c r="B12" i="83"/>
  <c r="K5" i="83" a="1"/>
  <c r="K5" i="83"/>
  <c r="J5" i="83" a="1"/>
  <c r="J5" i="83"/>
  <c r="G5" i="83" a="1"/>
  <c r="G5" i="83"/>
  <c r="F5" i="83" a="1"/>
  <c r="F5" i="83"/>
  <c r="C5" i="83" a="1"/>
  <c r="C5" i="83"/>
  <c r="O5" i="83" s="1"/>
  <c r="B5" i="83" a="1"/>
  <c r="B5" i="83"/>
  <c r="D20" i="83"/>
  <c r="B21" i="83"/>
  <c r="C21" i="83"/>
  <c r="D21" i="83"/>
  <c r="A8" i="83"/>
  <c r="F8" i="83"/>
  <c r="J8" i="83"/>
  <c r="N8" i="83"/>
  <c r="A9" i="83"/>
  <c r="F9" i="83"/>
  <c r="J9" i="83"/>
  <c r="D12" i="83"/>
  <c r="H12" i="83"/>
  <c r="L12" i="83"/>
  <c r="N12" i="83"/>
  <c r="O12" i="83"/>
  <c r="P12" i="83"/>
  <c r="D13" i="83"/>
  <c r="H13" i="83"/>
  <c r="L13" i="83"/>
  <c r="N13" i="83"/>
  <c r="O13" i="83"/>
  <c r="P13" i="83"/>
  <c r="D14" i="83"/>
  <c r="H14" i="83"/>
  <c r="L14" i="83"/>
  <c r="N14" i="83"/>
  <c r="O14" i="83"/>
  <c r="P14" i="83"/>
  <c r="D15" i="83"/>
  <c r="H15" i="83"/>
  <c r="L15" i="83"/>
  <c r="N15" i="83"/>
  <c r="O15" i="83"/>
  <c r="P15" i="83"/>
  <c r="B16" i="83"/>
  <c r="C16" i="83"/>
  <c r="D16" i="83"/>
  <c r="F16" i="83"/>
  <c r="G16" i="83"/>
  <c r="H16" i="83"/>
  <c r="J16" i="83"/>
  <c r="K16" i="83"/>
  <c r="L16" i="83"/>
  <c r="N16" i="83"/>
  <c r="O16" i="83"/>
  <c r="P16" i="83"/>
  <c r="D5" i="83"/>
  <c r="H5" i="83"/>
  <c r="L5" i="83"/>
  <c r="N5" i="83"/>
  <c r="P5" i="83"/>
  <c r="B6" i="83"/>
  <c r="C6" i="83"/>
  <c r="D6" i="83"/>
  <c r="F6" i="83"/>
  <c r="G6" i="83"/>
  <c r="H6" i="83"/>
  <c r="J6" i="83"/>
  <c r="K6" i="83"/>
  <c r="L6" i="83"/>
  <c r="N6" i="83"/>
  <c r="O6" i="83"/>
  <c r="P6" i="83"/>
  <c r="X25" i="81"/>
  <c r="X43" i="81"/>
  <c r="X41" i="81"/>
  <c r="J9" i="81"/>
  <c r="C21" i="81" a="1"/>
  <c r="C21" i="81" s="1"/>
  <c r="B21" i="81" a="1"/>
  <c r="B21" i="81" s="1"/>
  <c r="B22" i="81" s="1"/>
  <c r="X38" i="81"/>
  <c r="X7" i="81"/>
  <c r="X4" i="81"/>
  <c r="K15" i="81" a="1"/>
  <c r="K15" i="81" s="1"/>
  <c r="J15" i="81" a="1"/>
  <c r="J15" i="81" s="1"/>
  <c r="G15" i="81" a="1"/>
  <c r="G15" i="81" s="1"/>
  <c r="F15" i="81" a="1"/>
  <c r="F15" i="81" s="1"/>
  <c r="C15" i="81" a="1"/>
  <c r="C15" i="81" s="1"/>
  <c r="B15" i="81" a="1"/>
  <c r="B15" i="81" s="1"/>
  <c r="N15" i="81" s="1"/>
  <c r="K14" i="81" a="1"/>
  <c r="K14" i="81" s="1"/>
  <c r="J14" i="81" a="1"/>
  <c r="J14" i="81" s="1"/>
  <c r="G14" i="81" a="1"/>
  <c r="G14" i="81" s="1"/>
  <c r="F14" i="81" a="1"/>
  <c r="F14" i="81" s="1"/>
  <c r="C14" i="81" a="1"/>
  <c r="C14" i="81" s="1"/>
  <c r="B14" i="81" a="1"/>
  <c r="B14" i="81" s="1"/>
  <c r="N14" i="81" s="1"/>
  <c r="K13" i="81" a="1"/>
  <c r="K13" i="81" s="1"/>
  <c r="J13" i="81" a="1"/>
  <c r="J13" i="81" s="1"/>
  <c r="G13" i="81" a="1"/>
  <c r="G13" i="81" s="1"/>
  <c r="F13" i="81" a="1"/>
  <c r="F13" i="81" s="1"/>
  <c r="C13" i="81" a="1"/>
  <c r="C13" i="81" s="1"/>
  <c r="B13" i="81" a="1"/>
  <c r="B13" i="81" s="1"/>
  <c r="N13" i="81" s="1"/>
  <c r="K12" i="81" a="1"/>
  <c r="K12" i="81" s="1"/>
  <c r="J12" i="81" a="1"/>
  <c r="J12" i="81" s="1"/>
  <c r="J16" i="81" s="1"/>
  <c r="G12" i="81" a="1"/>
  <c r="G12" i="81" s="1"/>
  <c r="F12" i="81" a="1"/>
  <c r="F12" i="81" s="1"/>
  <c r="F16" i="81" s="1"/>
  <c r="C12" i="81" a="1"/>
  <c r="C12" i="81" s="1"/>
  <c r="B12" i="81" a="1"/>
  <c r="B12" i="81" s="1"/>
  <c r="N8" i="81"/>
  <c r="F9" i="81"/>
  <c r="A9" i="81"/>
  <c r="J8" i="81"/>
  <c r="F8" i="81"/>
  <c r="A8" i="81"/>
  <c r="K5" i="81" a="1"/>
  <c r="K5" i="81" s="1"/>
  <c r="J5" i="81" a="1"/>
  <c r="J5" i="81" s="1"/>
  <c r="J6" i="81" s="1"/>
  <c r="G5" i="81" a="1"/>
  <c r="G5" i="81" s="1"/>
  <c r="F5" i="81" a="1"/>
  <c r="F5" i="81" s="1"/>
  <c r="F6" i="81" s="1"/>
  <c r="C5" i="81" a="1"/>
  <c r="C5" i="81" s="1"/>
  <c r="B5" i="81" a="1"/>
  <c r="B5" i="81" s="1"/>
  <c r="X17" i="80"/>
  <c r="X19" i="80"/>
  <c r="X22" i="80"/>
  <c r="X24" i="80"/>
  <c r="X26" i="80"/>
  <c r="X5" i="80"/>
  <c r="X8" i="80"/>
  <c r="W82" i="78"/>
  <c r="X38" i="78"/>
  <c r="X36" i="78"/>
  <c r="X57" i="78"/>
  <c r="X54" i="78"/>
  <c r="X34" i="78"/>
  <c r="X49" i="78"/>
  <c r="X24" i="78"/>
  <c r="X31" i="78"/>
  <c r="X29" i="78"/>
  <c r="W74" i="78"/>
  <c r="W75" i="78"/>
  <c r="W79" i="78"/>
  <c r="W80" i="78"/>
  <c r="W81" i="78"/>
  <c r="V72" i="78"/>
  <c r="G5" i="78" a="1"/>
  <c r="G5" i="78" s="1"/>
  <c r="G6" i="78" s="1"/>
  <c r="A8" i="78"/>
  <c r="F8" i="78"/>
  <c r="J8" i="78"/>
  <c r="A9" i="78"/>
  <c r="F9" i="78"/>
  <c r="J9" i="78"/>
  <c r="N9" i="78"/>
  <c r="X45" i="77"/>
  <c r="AD4" i="77"/>
  <c r="AD5" i="77"/>
  <c r="AD6" i="77"/>
  <c r="AD7" i="77"/>
  <c r="AD8" i="77"/>
  <c r="AD9" i="77"/>
  <c r="AD10" i="77"/>
  <c r="AD11" i="77"/>
  <c r="AD12" i="77"/>
  <c r="AD13" i="77"/>
  <c r="AD14" i="77"/>
  <c r="AD15" i="77"/>
  <c r="AD16" i="77"/>
  <c r="AD17" i="77"/>
  <c r="AD18" i="77"/>
  <c r="AD19" i="77"/>
  <c r="AD20" i="77"/>
  <c r="AD21" i="77"/>
  <c r="AD22" i="77"/>
  <c r="AD23" i="77"/>
  <c r="AD24" i="77"/>
  <c r="AD25" i="77"/>
  <c r="AD26" i="77"/>
  <c r="AD27" i="77"/>
  <c r="AD28" i="77"/>
  <c r="AD29" i="77"/>
  <c r="AD30" i="77"/>
  <c r="AD31" i="77"/>
  <c r="AD32" i="77"/>
  <c r="AD33" i="77"/>
  <c r="AD34" i="77"/>
  <c r="AD35" i="77"/>
  <c r="AD36" i="77"/>
  <c r="AD37" i="77"/>
  <c r="AD38" i="77"/>
  <c r="AD39" i="77"/>
  <c r="AD40" i="77"/>
  <c r="AD41" i="77"/>
  <c r="AD42" i="77"/>
  <c r="AD43" i="77"/>
  <c r="AD44" i="77"/>
  <c r="AD45" i="77"/>
  <c r="AD46" i="77"/>
  <c r="AD47" i="77"/>
  <c r="AD48" i="77"/>
  <c r="AD49" i="77"/>
  <c r="AD54" i="77"/>
  <c r="AD55" i="77"/>
  <c r="AD3" i="77"/>
  <c r="X22" i="77"/>
  <c r="X32" i="77"/>
  <c r="W67" i="77"/>
  <c r="W66" i="77"/>
  <c r="W65" i="77"/>
  <c r="W61" i="77"/>
  <c r="W60" i="77"/>
  <c r="W62" i="77" s="1"/>
  <c r="V58" i="77"/>
  <c r="N9" i="77"/>
  <c r="J9" i="77"/>
  <c r="F9" i="77"/>
  <c r="A9" i="77"/>
  <c r="J8" i="77"/>
  <c r="F8" i="77"/>
  <c r="A8" i="77"/>
  <c r="AB43" i="75"/>
  <c r="AD43" i="75"/>
  <c r="AB44" i="75"/>
  <c r="AD44" i="75"/>
  <c r="AB45" i="75"/>
  <c r="AD45" i="75"/>
  <c r="AD46" i="75"/>
  <c r="AD47" i="75"/>
  <c r="AD48" i="75"/>
  <c r="AD49" i="75"/>
  <c r="AD50" i="75"/>
  <c r="AD51" i="75"/>
  <c r="AD52" i="75"/>
  <c r="AD53" i="75"/>
  <c r="AD54" i="75"/>
  <c r="X55" i="75"/>
  <c r="AD55" i="75"/>
  <c r="AB56" i="75"/>
  <c r="AD56" i="75"/>
  <c r="X57" i="75"/>
  <c r="AD57" i="75"/>
  <c r="AD58" i="75"/>
  <c r="AD59" i="75"/>
  <c r="X60" i="75"/>
  <c r="AD60" i="75"/>
  <c r="AB61" i="75"/>
  <c r="AD61" i="75"/>
  <c r="AB62" i="75"/>
  <c r="AD62" i="75"/>
  <c r="X63" i="75"/>
  <c r="AD63" i="75"/>
  <c r="AB64" i="75"/>
  <c r="AD64" i="75"/>
  <c r="AB65" i="75"/>
  <c r="AD65" i="75"/>
  <c r="AB66" i="75"/>
  <c r="AD66" i="75"/>
  <c r="AD67" i="75"/>
  <c r="X68" i="75"/>
  <c r="AD68" i="75"/>
  <c r="AB69" i="75"/>
  <c r="AD69" i="75"/>
  <c r="AB70" i="75"/>
  <c r="AD70" i="75"/>
  <c r="AB71" i="75"/>
  <c r="AD71" i="75"/>
  <c r="AB72" i="75"/>
  <c r="AD72" i="75"/>
  <c r="X73" i="75"/>
  <c r="AD73" i="75"/>
  <c r="AB74" i="75"/>
  <c r="AD74" i="75"/>
  <c r="AD75" i="75"/>
  <c r="AD76" i="75"/>
  <c r="AD77" i="75"/>
  <c r="AD78" i="75"/>
  <c r="AD79" i="75"/>
  <c r="AD80" i="75"/>
  <c r="AD81" i="75"/>
  <c r="AD82" i="75"/>
  <c r="AB83" i="75"/>
  <c r="AD83" i="75"/>
  <c r="AB84" i="75"/>
  <c r="AD84" i="75"/>
  <c r="AB85" i="75"/>
  <c r="AD85" i="75"/>
  <c r="AB86" i="75"/>
  <c r="AD86" i="75"/>
  <c r="AB87" i="75"/>
  <c r="AD87" i="75"/>
  <c r="AB88" i="75"/>
  <c r="AD88" i="75"/>
  <c r="AB89" i="75"/>
  <c r="AD89" i="75"/>
  <c r="AB90" i="75"/>
  <c r="AD90" i="75"/>
  <c r="X4" i="77"/>
  <c r="AB5" i="77"/>
  <c r="X6" i="77"/>
  <c r="B24" i="75" a="1"/>
  <c r="B24" i="75" s="1"/>
  <c r="B25" i="75" s="1"/>
  <c r="T96" i="75"/>
  <c r="T95" i="75"/>
  <c r="S93" i="75"/>
  <c r="B5" i="75" a="1"/>
  <c r="B5" i="75" s="1"/>
  <c r="AD38" i="75"/>
  <c r="AD39" i="75"/>
  <c r="AD40" i="75"/>
  <c r="AD41" i="75"/>
  <c r="AD33" i="75"/>
  <c r="AD34" i="75"/>
  <c r="X20" i="75"/>
  <c r="AD21" i="75"/>
  <c r="AB22" i="75"/>
  <c r="AD20" i="75"/>
  <c r="AB21" i="75"/>
  <c r="AD22" i="75"/>
  <c r="X42" i="75"/>
  <c r="J15" i="75" a="1"/>
  <c r="J15" i="75" s="1"/>
  <c r="F15" i="75" a="1"/>
  <c r="F15" i="75" s="1"/>
  <c r="B15" i="75" a="1"/>
  <c r="B15" i="75" s="1"/>
  <c r="J14" i="75" a="1"/>
  <c r="J14" i="75" s="1"/>
  <c r="F14" i="75" a="1"/>
  <c r="F14" i="75" s="1"/>
  <c r="B14" i="75" a="1"/>
  <c r="B14" i="75" s="1"/>
  <c r="J13" i="75" a="1"/>
  <c r="J13" i="75" s="1"/>
  <c r="F13" i="75" a="1"/>
  <c r="F13" i="75" s="1"/>
  <c r="B13" i="75" a="1"/>
  <c r="B13" i="75" s="1"/>
  <c r="J12" i="75" a="1"/>
  <c r="J12" i="75" s="1"/>
  <c r="F12" i="75" a="1"/>
  <c r="F12" i="75" s="1"/>
  <c r="B12" i="75" a="1"/>
  <c r="B12" i="75" s="1"/>
  <c r="J5" i="75" a="1"/>
  <c r="J5" i="75" s="1"/>
  <c r="J6" i="75" s="1"/>
  <c r="F5" i="75" a="1"/>
  <c r="F5" i="75" s="1"/>
  <c r="F6" i="75" s="1"/>
  <c r="A8" i="75"/>
  <c r="F8" i="75"/>
  <c r="J8" i="75"/>
  <c r="A9" i="75"/>
  <c r="F9" i="75"/>
  <c r="J9" i="75"/>
  <c r="N9" i="75"/>
  <c r="AD36" i="75"/>
  <c r="AD37" i="75"/>
  <c r="AD3" i="75"/>
  <c r="AD4" i="75"/>
  <c r="AD5" i="75"/>
  <c r="AD6" i="75"/>
  <c r="AD7" i="75"/>
  <c r="AD8" i="75"/>
  <c r="AD9" i="75"/>
  <c r="AD10" i="75"/>
  <c r="AD11" i="75"/>
  <c r="AD12" i="75"/>
  <c r="AD13" i="75"/>
  <c r="AD14" i="75"/>
  <c r="AD15" i="75"/>
  <c r="AD16" i="75"/>
  <c r="AD17" i="75"/>
  <c r="AD18" i="75"/>
  <c r="AD19" i="75"/>
  <c r="AD23" i="75"/>
  <c r="AD24" i="75"/>
  <c r="AD25" i="75"/>
  <c r="AD26" i="75"/>
  <c r="AD27" i="75"/>
  <c r="AD28" i="75"/>
  <c r="AD29" i="75"/>
  <c r="AD30" i="75"/>
  <c r="AD31" i="75"/>
  <c r="AD32" i="75"/>
  <c r="AD35" i="75"/>
  <c r="AD42" i="75"/>
  <c r="I4" i="73"/>
  <c r="P30" i="73"/>
  <c r="O30" i="73"/>
  <c r="Q29" i="73"/>
  <c r="Q30" i="73" s="1"/>
  <c r="X24" i="73"/>
  <c r="P24" i="73"/>
  <c r="W23" i="73"/>
  <c r="Y23" i="73" s="1"/>
  <c r="T23" i="73"/>
  <c r="S23" i="73"/>
  <c r="O23" i="73"/>
  <c r="AB22" i="73"/>
  <c r="W22" i="73"/>
  <c r="Y22" i="73" s="1"/>
  <c r="S22" i="73"/>
  <c r="U22" i="73" s="1"/>
  <c r="O22" i="73"/>
  <c r="AB21" i="73"/>
  <c r="W21" i="73"/>
  <c r="Y21" i="73" s="1"/>
  <c r="S21" i="73"/>
  <c r="U21" i="73" s="1"/>
  <c r="O21" i="73"/>
  <c r="W20" i="73"/>
  <c r="T20" i="73"/>
  <c r="S20" i="73"/>
  <c r="O20" i="73"/>
  <c r="AA17" i="73"/>
  <c r="W17" i="73"/>
  <c r="S17" i="73"/>
  <c r="N17" i="73"/>
  <c r="W16" i="73"/>
  <c r="S16" i="73"/>
  <c r="N16" i="73"/>
  <c r="X14" i="73"/>
  <c r="P14" i="73"/>
  <c r="W13" i="73"/>
  <c r="T13" i="73"/>
  <c r="S13" i="73"/>
  <c r="S14" i="73" s="1"/>
  <c r="O13" i="73"/>
  <c r="X15" i="75"/>
  <c r="AB13" i="75"/>
  <c r="AB12" i="75"/>
  <c r="AB11" i="75"/>
  <c r="X10" i="75"/>
  <c r="X7" i="75"/>
  <c r="AB5" i="75"/>
  <c r="X4" i="75"/>
  <c r="G57" i="73"/>
  <c r="G52" i="73"/>
  <c r="K48" i="73"/>
  <c r="K49" i="73"/>
  <c r="G46" i="73"/>
  <c r="K47" i="73"/>
  <c r="G42" i="73"/>
  <c r="F5" i="73"/>
  <c r="F4" i="73"/>
  <c r="F10" i="73"/>
  <c r="F13" i="73" s="1"/>
  <c r="E12" i="73" a="1"/>
  <c r="E12" i="73"/>
  <c r="E11" i="73" a="1"/>
  <c r="E11" i="73"/>
  <c r="E10" i="73" a="1"/>
  <c r="E10" i="73"/>
  <c r="G34" i="73"/>
  <c r="F11" i="73" s="1"/>
  <c r="K35" i="73"/>
  <c r="G60" i="73"/>
  <c r="G100" i="73"/>
  <c r="G101" i="73" s="1"/>
  <c r="G36" i="73"/>
  <c r="F12" i="73" s="1"/>
  <c r="K26" i="73"/>
  <c r="K27" i="73"/>
  <c r="K30" i="73"/>
  <c r="K37" i="73"/>
  <c r="K61" i="73"/>
  <c r="K80" i="73"/>
  <c r="K91" i="73"/>
  <c r="K92" i="73"/>
  <c r="K93" i="73"/>
  <c r="K94" i="73"/>
  <c r="G29" i="73"/>
  <c r="G25" i="73"/>
  <c r="F3" i="73" s="1"/>
  <c r="B6" i="73"/>
  <c r="B4" i="73"/>
  <c r="B3" i="73"/>
  <c r="E3" i="73"/>
  <c r="I3" i="73"/>
  <c r="B10" i="73"/>
  <c r="B11" i="73"/>
  <c r="I11" i="73"/>
  <c r="B12" i="73"/>
  <c r="B13" i="73"/>
  <c r="E13" i="73"/>
  <c r="E4" i="73"/>
  <c r="E5" i="73"/>
  <c r="E6" i="73"/>
  <c r="F6" i="73"/>
  <c r="B7" i="73"/>
  <c r="I8" i="73"/>
  <c r="J8" i="73"/>
  <c r="A1" i="73"/>
  <c r="G85" i="70"/>
  <c r="M85" i="70"/>
  <c r="M86" i="70"/>
  <c r="M87" i="70"/>
  <c r="M88" i="70"/>
  <c r="G83" i="70"/>
  <c r="G81" i="70"/>
  <c r="M79" i="70"/>
  <c r="G45" i="70"/>
  <c r="M45" i="70"/>
  <c r="M46" i="70"/>
  <c r="M47" i="70"/>
  <c r="M48" i="70"/>
  <c r="M36" i="70"/>
  <c r="G43" i="70"/>
  <c r="M43" i="70"/>
  <c r="M44" i="70"/>
  <c r="G29" i="70"/>
  <c r="B13" i="70"/>
  <c r="B5" i="70"/>
  <c r="M76" i="70"/>
  <c r="M77" i="70"/>
  <c r="M78" i="70"/>
  <c r="M80" i="70"/>
  <c r="M81" i="70"/>
  <c r="M82" i="70"/>
  <c r="M83" i="70"/>
  <c r="M84" i="70"/>
  <c r="M89" i="70"/>
  <c r="M90" i="70"/>
  <c r="G73" i="70"/>
  <c r="M70" i="70"/>
  <c r="M71" i="70"/>
  <c r="M72" i="70"/>
  <c r="M73" i="70"/>
  <c r="M74" i="70"/>
  <c r="M75" i="70"/>
  <c r="G62" i="70"/>
  <c r="M60" i="70"/>
  <c r="M61" i="70"/>
  <c r="M62" i="70"/>
  <c r="M63" i="70"/>
  <c r="M64" i="70"/>
  <c r="M65" i="70"/>
  <c r="M66" i="70"/>
  <c r="M67" i="70"/>
  <c r="M68" i="70"/>
  <c r="M57" i="70"/>
  <c r="M58" i="70"/>
  <c r="M59" i="70"/>
  <c r="M19" i="70"/>
  <c r="M20" i="70"/>
  <c r="M21" i="70"/>
  <c r="M22" i="70"/>
  <c r="M23" i="70"/>
  <c r="M24" i="70"/>
  <c r="M25" i="70"/>
  <c r="M26" i="70"/>
  <c r="M27" i="70"/>
  <c r="M28" i="70"/>
  <c r="M29" i="70"/>
  <c r="M30" i="70"/>
  <c r="M31" i="70"/>
  <c r="M32" i="70"/>
  <c r="M33" i="70"/>
  <c r="M34" i="70"/>
  <c r="M35" i="70"/>
  <c r="M37" i="70"/>
  <c r="M38" i="70"/>
  <c r="M39" i="70"/>
  <c r="M40" i="70"/>
  <c r="M41" i="70"/>
  <c r="M42" i="70"/>
  <c r="M49" i="70"/>
  <c r="M50" i="70"/>
  <c r="M51" i="70"/>
  <c r="M52" i="70"/>
  <c r="M53" i="70"/>
  <c r="M54" i="70"/>
  <c r="M55" i="70"/>
  <c r="M56" i="70"/>
  <c r="M69" i="70"/>
  <c r="M91" i="70"/>
  <c r="M92" i="70"/>
  <c r="E12" i="70" a="1"/>
  <c r="E12" i="70"/>
  <c r="E11" i="70" a="1"/>
  <c r="E11" i="70"/>
  <c r="E10" i="70" a="1"/>
  <c r="E10" i="70"/>
  <c r="G32" i="70"/>
  <c r="G37" i="70"/>
  <c r="G39" i="70"/>
  <c r="G41" i="70"/>
  <c r="G26" i="70"/>
  <c r="G22" i="70"/>
  <c r="L22" i="70"/>
  <c r="L23" i="70"/>
  <c r="L19" i="70"/>
  <c r="G20" i="70"/>
  <c r="L20" i="70"/>
  <c r="L21" i="70"/>
  <c r="B10" i="70"/>
  <c r="F10" i="70"/>
  <c r="F13" i="70" s="1"/>
  <c r="B11" i="70"/>
  <c r="F11" i="70"/>
  <c r="I11" i="70"/>
  <c r="B12" i="70"/>
  <c r="F12" i="70"/>
  <c r="E13" i="70"/>
  <c r="B3" i="70"/>
  <c r="E3" i="70"/>
  <c r="F3" i="70"/>
  <c r="I3" i="70"/>
  <c r="B4" i="70"/>
  <c r="E4" i="70"/>
  <c r="F4" i="70"/>
  <c r="E5" i="70"/>
  <c r="F5" i="70"/>
  <c r="B6" i="70"/>
  <c r="E6" i="70"/>
  <c r="F6" i="70"/>
  <c r="B7" i="70"/>
  <c r="I8" i="70"/>
  <c r="J8" i="70"/>
  <c r="A1" i="70"/>
  <c r="I11" i="67"/>
  <c r="G91" i="67"/>
  <c r="G89" i="67"/>
  <c r="G87" i="67"/>
  <c r="B10" i="67"/>
  <c r="G85" i="67"/>
  <c r="G71" i="67"/>
  <c r="G23" i="67"/>
  <c r="G60" i="67"/>
  <c r="G34" i="67"/>
  <c r="G55" i="67"/>
  <c r="G42" i="67"/>
  <c r="G39" i="67"/>
  <c r="B6" i="67"/>
  <c r="E4" i="67"/>
  <c r="G47" i="67"/>
  <c r="G31" i="67"/>
  <c r="I3" i="67"/>
  <c r="L20" i="67"/>
  <c r="L21" i="67"/>
  <c r="L22" i="67"/>
  <c r="L23" i="67"/>
  <c r="L25" i="67"/>
  <c r="L26" i="67"/>
  <c r="L27" i="67"/>
  <c r="L28" i="67"/>
  <c r="L29" i="67"/>
  <c r="L30" i="67"/>
  <c r="L31" i="67"/>
  <c r="L32" i="67"/>
  <c r="L44" i="67"/>
  <c r="G29" i="67"/>
  <c r="F4" i="67"/>
  <c r="F3" i="67"/>
  <c r="I8" i="67"/>
  <c r="L19" i="67"/>
  <c r="E5" i="67"/>
  <c r="E3" i="67"/>
  <c r="E6" i="67" s="1"/>
  <c r="G21" i="67"/>
  <c r="F5" i="67" s="1"/>
  <c r="F6" i="67" s="1"/>
  <c r="F12" i="67"/>
  <c r="E12" i="67" a="1"/>
  <c r="E12" i="67" s="1"/>
  <c r="B12" i="67"/>
  <c r="F11" i="67"/>
  <c r="E11" i="67" a="1"/>
  <c r="E11" i="67" s="1"/>
  <c r="B11" i="67"/>
  <c r="F10" i="67"/>
  <c r="F13" i="67" s="1"/>
  <c r="E16" i="67" s="1"/>
  <c r="E10" i="67" a="1"/>
  <c r="E10" i="67" s="1"/>
  <c r="E13" i="67" s="1"/>
  <c r="J8" i="67"/>
  <c r="B5" i="67"/>
  <c r="B4" i="67"/>
  <c r="E15" i="67"/>
  <c r="B3" i="67"/>
  <c r="B7" i="67" s="1"/>
  <c r="A1" i="67"/>
  <c r="B3" i="63"/>
  <c r="B5" i="63"/>
  <c r="B4" i="63"/>
  <c r="E3" i="63"/>
  <c r="E5" i="63"/>
  <c r="E4" i="63"/>
  <c r="G19" i="63"/>
  <c r="I3" i="63"/>
  <c r="I8" i="63"/>
  <c r="G61" i="63"/>
  <c r="G57" i="63"/>
  <c r="E12" i="63" a="1"/>
  <c r="E12" i="63"/>
  <c r="F12" i="63"/>
  <c r="F11" i="63"/>
  <c r="F10" i="63"/>
  <c r="E10" i="63" a="1"/>
  <c r="E10" i="63"/>
  <c r="E11" i="63" a="1"/>
  <c r="E11" i="63"/>
  <c r="J8" i="63"/>
  <c r="E13" i="63"/>
  <c r="G45" i="63"/>
  <c r="F4" i="63" s="1"/>
  <c r="G42" i="63"/>
  <c r="F5" i="63" s="1"/>
  <c r="G32" i="63"/>
  <c r="G29" i="63"/>
  <c r="F3" i="63" s="1"/>
  <c r="F6" i="63"/>
  <c r="E6" i="63"/>
  <c r="E15" i="63" s="1"/>
  <c r="L67" i="63"/>
  <c r="L56" i="63"/>
  <c r="L55" i="63"/>
  <c r="L39" i="63"/>
  <c r="L31" i="63"/>
  <c r="L29" i="63"/>
  <c r="L24" i="63"/>
  <c r="L23" i="63"/>
  <c r="L22" i="63"/>
  <c r="B12" i="63"/>
  <c r="B11" i="63"/>
  <c r="B10" i="63"/>
  <c r="B6" i="63"/>
  <c r="B7" i="63"/>
  <c r="A1" i="63"/>
  <c r="I10" i="61"/>
  <c r="L74" i="61"/>
  <c r="L73" i="61"/>
  <c r="L72" i="61"/>
  <c r="G69" i="61"/>
  <c r="G67" i="61"/>
  <c r="E10" i="61"/>
  <c r="G63" i="61"/>
  <c r="L64" i="61"/>
  <c r="L59" i="61"/>
  <c r="G65" i="61"/>
  <c r="G60" i="61"/>
  <c r="E12" i="61"/>
  <c r="F12" i="61"/>
  <c r="F13" i="61" s="1"/>
  <c r="F11" i="61"/>
  <c r="E11" i="61"/>
  <c r="F10" i="61"/>
  <c r="E13" i="61"/>
  <c r="F5" i="61"/>
  <c r="J3" i="61"/>
  <c r="J6" i="61" s="1"/>
  <c r="F4" i="61"/>
  <c r="E4" i="61"/>
  <c r="E5" i="61"/>
  <c r="B4" i="61"/>
  <c r="B3" i="61"/>
  <c r="I5" i="61" a="1"/>
  <c r="I5" i="61"/>
  <c r="I4" i="61" a="1"/>
  <c r="I4" i="61"/>
  <c r="E3" i="61"/>
  <c r="E6" i="61" s="1"/>
  <c r="G23" i="61"/>
  <c r="J5" i="61" s="1"/>
  <c r="L22" i="61"/>
  <c r="L55" i="61"/>
  <c r="L56" i="61"/>
  <c r="L57" i="61"/>
  <c r="L58" i="61"/>
  <c r="L66" i="61"/>
  <c r="G43" i="61"/>
  <c r="L43" i="61"/>
  <c r="L44" i="61"/>
  <c r="L45" i="61"/>
  <c r="L42" i="61"/>
  <c r="G37" i="61"/>
  <c r="J4" i="61" s="1"/>
  <c r="L37" i="61"/>
  <c r="L38" i="61"/>
  <c r="L50" i="61"/>
  <c r="L51" i="61"/>
  <c r="L52" i="61"/>
  <c r="L53" i="61"/>
  <c r="L54" i="61"/>
  <c r="L41" i="61"/>
  <c r="L40" i="61"/>
  <c r="L39" i="61"/>
  <c r="L46" i="61"/>
  <c r="L47" i="61"/>
  <c r="L48" i="61"/>
  <c r="L49" i="61"/>
  <c r="G34" i="61"/>
  <c r="G32" i="61"/>
  <c r="F3" i="61" s="1"/>
  <c r="L28" i="61"/>
  <c r="L29" i="61"/>
  <c r="L30" i="61"/>
  <c r="L31" i="61"/>
  <c r="L32" i="61"/>
  <c r="L33" i="61"/>
  <c r="L34" i="61"/>
  <c r="L35" i="61"/>
  <c r="L36" i="61"/>
  <c r="L70" i="61"/>
  <c r="I3" i="61" a="1"/>
  <c r="I3" i="61"/>
  <c r="B10" i="61"/>
  <c r="B11" i="61"/>
  <c r="B12" i="61"/>
  <c r="I14" i="61"/>
  <c r="J14" i="61"/>
  <c r="B5" i="61"/>
  <c r="B6" i="61"/>
  <c r="I6" i="61"/>
  <c r="B7" i="61"/>
  <c r="A1" i="61"/>
  <c r="B10" i="59"/>
  <c r="G57" i="59"/>
  <c r="B11" i="59"/>
  <c r="G54" i="59"/>
  <c r="G52" i="59"/>
  <c r="G44" i="59"/>
  <c r="F5" i="59"/>
  <c r="F4" i="59"/>
  <c r="G40" i="59"/>
  <c r="I5" i="59" a="1"/>
  <c r="I5" i="59"/>
  <c r="I4" i="59" a="1"/>
  <c r="I4" i="59"/>
  <c r="G27" i="59"/>
  <c r="E3" i="59"/>
  <c r="I10" i="59"/>
  <c r="I10" i="55"/>
  <c r="J14" i="59"/>
  <c r="I14" i="59"/>
  <c r="J5" i="59"/>
  <c r="J4" i="59"/>
  <c r="J3" i="59"/>
  <c r="J6" i="59" s="1"/>
  <c r="I3" i="59" a="1"/>
  <c r="I3" i="59"/>
  <c r="F3" i="59"/>
  <c r="F12" i="59"/>
  <c r="E12" i="59"/>
  <c r="B12" i="59"/>
  <c r="F11" i="59"/>
  <c r="E11" i="59"/>
  <c r="F10" i="59"/>
  <c r="F13" i="59" s="1"/>
  <c r="E10" i="59"/>
  <c r="B6" i="59"/>
  <c r="E5" i="59"/>
  <c r="B5" i="59"/>
  <c r="E4" i="59"/>
  <c r="B4" i="59"/>
  <c r="I6" i="59"/>
  <c r="E6" i="59"/>
  <c r="E15" i="59" s="1"/>
  <c r="B3" i="59"/>
  <c r="B7" i="59" s="1"/>
  <c r="A1" i="59"/>
  <c r="F12" i="55"/>
  <c r="F11" i="55"/>
  <c r="G75" i="55"/>
  <c r="F3" i="55" s="1"/>
  <c r="G72" i="55"/>
  <c r="G88" i="55"/>
  <c r="L100" i="55"/>
  <c r="L99" i="55"/>
  <c r="L84" i="55"/>
  <c r="L85" i="55"/>
  <c r="L106" i="55"/>
  <c r="L67" i="55"/>
  <c r="L96" i="55"/>
  <c r="L97" i="55"/>
  <c r="L98" i="55"/>
  <c r="L87" i="55"/>
  <c r="L68" i="55"/>
  <c r="L69" i="55"/>
  <c r="L70" i="55"/>
  <c r="L71" i="55"/>
  <c r="L88" i="55"/>
  <c r="L90" i="55"/>
  <c r="L78" i="55"/>
  <c r="L110" i="55"/>
  <c r="G69" i="55"/>
  <c r="L61" i="55"/>
  <c r="L62" i="55"/>
  <c r="L63" i="55"/>
  <c r="L105" i="55"/>
  <c r="L64" i="55"/>
  <c r="L65" i="55"/>
  <c r="L66" i="55"/>
  <c r="G61" i="55"/>
  <c r="I4" i="55" a="1"/>
  <c r="I4" i="55"/>
  <c r="B12" i="55"/>
  <c r="B11" i="55"/>
  <c r="B10" i="55"/>
  <c r="L59" i="55"/>
  <c r="L60" i="55"/>
  <c r="L58" i="55"/>
  <c r="L86" i="55"/>
  <c r="J5" i="55"/>
  <c r="J4" i="55"/>
  <c r="J3" i="55"/>
  <c r="I3" i="55" a="1"/>
  <c r="I3" i="55"/>
  <c r="B3" i="55"/>
  <c r="E3" i="55"/>
  <c r="B4" i="55"/>
  <c r="L51" i="55"/>
  <c r="L56" i="55"/>
  <c r="L80" i="55"/>
  <c r="L81" i="55"/>
  <c r="L82" i="55"/>
  <c r="L50" i="55"/>
  <c r="L55" i="55"/>
  <c r="L104" i="55"/>
  <c r="L57" i="55"/>
  <c r="L83" i="55"/>
  <c r="B6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2" i="55"/>
  <c r="L53" i="55"/>
  <c r="L54" i="55"/>
  <c r="I3" i="52" a="1"/>
  <c r="I3" i="52"/>
  <c r="F3" i="52"/>
  <c r="G35" i="55"/>
  <c r="G33" i="55"/>
  <c r="F5" i="55" s="1"/>
  <c r="G28" i="55"/>
  <c r="F4" i="55" s="1"/>
  <c r="J16" i="55"/>
  <c r="J14" i="55"/>
  <c r="I14" i="55"/>
  <c r="E12" i="55"/>
  <c r="E11" i="55"/>
  <c r="F10" i="55"/>
  <c r="F13" i="55" s="1"/>
  <c r="E10" i="55"/>
  <c r="I5" i="55" a="1"/>
  <c r="I5" i="55" s="1"/>
  <c r="E5" i="55"/>
  <c r="B5" i="55"/>
  <c r="E4" i="55"/>
  <c r="I6" i="55"/>
  <c r="E6" i="55"/>
  <c r="E15" i="55" s="1"/>
  <c r="B7" i="55"/>
  <c r="A1" i="55"/>
  <c r="J16" i="52"/>
  <c r="B4" i="52"/>
  <c r="G84" i="52"/>
  <c r="E5" i="52"/>
  <c r="G76" i="52"/>
  <c r="G40" i="52"/>
  <c r="E3" i="52"/>
  <c r="G69" i="52"/>
  <c r="F10" i="52"/>
  <c r="G59" i="52"/>
  <c r="G56" i="52"/>
  <c r="I14" i="52"/>
  <c r="B3" i="52" s="1"/>
  <c r="R11" i="52"/>
  <c r="E12" i="52"/>
  <c r="E11" i="52"/>
  <c r="E10" i="52"/>
  <c r="E4" i="52"/>
  <c r="I5" i="52" a="1"/>
  <c r="I5" i="52"/>
  <c r="I4" i="52" a="1"/>
  <c r="I4" i="52"/>
  <c r="G48" i="52"/>
  <c r="G44" i="52"/>
  <c r="F4" i="52" s="1"/>
  <c r="G35" i="52"/>
  <c r="G25" i="52"/>
  <c r="G23" i="52"/>
  <c r="J14" i="52"/>
  <c r="F12" i="52"/>
  <c r="B12" i="52"/>
  <c r="F11" i="52"/>
  <c r="I10" i="52"/>
  <c r="F13" i="52"/>
  <c r="B6" i="52"/>
  <c r="J5" i="52"/>
  <c r="B5" i="52"/>
  <c r="J4" i="52"/>
  <c r="J3" i="52"/>
  <c r="J6" i="52" s="1"/>
  <c r="I6" i="52"/>
  <c r="B7" i="52"/>
  <c r="P2" i="52"/>
  <c r="Q1" i="52"/>
  <c r="P1" i="52"/>
  <c r="A1" i="52"/>
  <c r="F12" i="50"/>
  <c r="F11" i="50"/>
  <c r="F10" i="50"/>
  <c r="E12" i="50"/>
  <c r="E11" i="50"/>
  <c r="I5" i="50" a="1"/>
  <c r="I5" i="50"/>
  <c r="I4" i="50" a="1"/>
  <c r="I4" i="50"/>
  <c r="I3" i="50" a="1"/>
  <c r="I3" i="50"/>
  <c r="I6" i="50" s="1"/>
  <c r="G73" i="50"/>
  <c r="E5" i="50"/>
  <c r="F4" i="50"/>
  <c r="E4" i="50"/>
  <c r="E3" i="50"/>
  <c r="J3" i="50"/>
  <c r="J6" i="50" s="1"/>
  <c r="G68" i="50"/>
  <c r="E10" i="50"/>
  <c r="G62" i="50"/>
  <c r="J4" i="50" s="1"/>
  <c r="G56" i="50"/>
  <c r="G54" i="50"/>
  <c r="G50" i="50"/>
  <c r="F3" i="50" s="1"/>
  <c r="G40" i="50"/>
  <c r="J5" i="50" s="1"/>
  <c r="B3" i="50"/>
  <c r="B15" i="50"/>
  <c r="B6" i="50"/>
  <c r="B4" i="50"/>
  <c r="B5" i="50"/>
  <c r="I10" i="50"/>
  <c r="H25" i="50"/>
  <c r="G23" i="50"/>
  <c r="F5" i="50" s="1"/>
  <c r="G91" i="50"/>
  <c r="H28" i="50"/>
  <c r="H26" i="50"/>
  <c r="J14" i="50"/>
  <c r="I14" i="50"/>
  <c r="B12" i="50"/>
  <c r="F13" i="50"/>
  <c r="E13" i="50"/>
  <c r="E6" i="50"/>
  <c r="E15" i="50" s="1"/>
  <c r="B7" i="50"/>
  <c r="Q2" i="50"/>
  <c r="R1" i="50"/>
  <c r="Q1" i="50"/>
  <c r="A1" i="50"/>
  <c r="B6" i="46"/>
  <c r="B5" i="46"/>
  <c r="E12" i="46"/>
  <c r="E11" i="46"/>
  <c r="E10" i="46"/>
  <c r="I14" i="46"/>
  <c r="I5" i="46" a="1"/>
  <c r="I5" i="46"/>
  <c r="J5" i="46"/>
  <c r="J4" i="46"/>
  <c r="I4" i="46" a="1"/>
  <c r="I4" i="46"/>
  <c r="I3" i="46" a="1"/>
  <c r="I3" i="46"/>
  <c r="F5" i="46"/>
  <c r="F4" i="46"/>
  <c r="F3" i="46"/>
  <c r="E5" i="46"/>
  <c r="E4" i="46"/>
  <c r="E3" i="46"/>
  <c r="H72" i="46"/>
  <c r="H71" i="46"/>
  <c r="H70" i="46"/>
  <c r="G68" i="46"/>
  <c r="H68" i="46" s="1"/>
  <c r="G63" i="46"/>
  <c r="J14" i="46" s="1"/>
  <c r="B3" i="46"/>
  <c r="G65" i="46"/>
  <c r="G60" i="46"/>
  <c r="G58" i="46"/>
  <c r="H52" i="46"/>
  <c r="H40" i="46"/>
  <c r="H41" i="46"/>
  <c r="H42" i="46"/>
  <c r="H43" i="46"/>
  <c r="H44" i="46"/>
  <c r="G38" i="46"/>
  <c r="G33" i="46"/>
  <c r="H37" i="46"/>
  <c r="G35" i="46"/>
  <c r="H29" i="46"/>
  <c r="H30" i="46"/>
  <c r="H31" i="46"/>
  <c r="H32" i="46"/>
  <c r="H33" i="46"/>
  <c r="G26" i="46"/>
  <c r="H21" i="46"/>
  <c r="H22" i="46"/>
  <c r="H23" i="46"/>
  <c r="H24" i="46"/>
  <c r="H25" i="46"/>
  <c r="B4" i="43"/>
  <c r="H20" i="46"/>
  <c r="B12" i="46" s="1"/>
  <c r="H21" i="43"/>
  <c r="B3" i="43"/>
  <c r="F12" i="46"/>
  <c r="F11" i="46"/>
  <c r="G89" i="46"/>
  <c r="F10" i="46"/>
  <c r="F13" i="46" s="1"/>
  <c r="E13" i="46"/>
  <c r="B10" i="46"/>
  <c r="B4" i="46"/>
  <c r="J3" i="46"/>
  <c r="J6" i="46" s="1"/>
  <c r="I6" i="46"/>
  <c r="F6" i="46"/>
  <c r="E6" i="46"/>
  <c r="B7" i="46"/>
  <c r="Q2" i="46"/>
  <c r="R1" i="46"/>
  <c r="Q1" i="46"/>
  <c r="A1" i="46"/>
  <c r="B5" i="43"/>
  <c r="H55" i="43"/>
  <c r="H54" i="43"/>
  <c r="E12" i="43"/>
  <c r="I3" i="43" a="1"/>
  <c r="I3" i="43"/>
  <c r="H53" i="43"/>
  <c r="H52" i="43"/>
  <c r="H51" i="43"/>
  <c r="E11" i="43"/>
  <c r="E10" i="43"/>
  <c r="H50" i="43"/>
  <c r="H49" i="43"/>
  <c r="H48" i="43"/>
  <c r="H47" i="43"/>
  <c r="H46" i="43"/>
  <c r="G42" i="43"/>
  <c r="H45" i="43"/>
  <c r="H44" i="43"/>
  <c r="H39" i="43"/>
  <c r="H40" i="43"/>
  <c r="H41" i="43"/>
  <c r="H42" i="43"/>
  <c r="F10" i="43"/>
  <c r="G36" i="43"/>
  <c r="H36" i="43" s="1"/>
  <c r="H34" i="43"/>
  <c r="H33" i="43"/>
  <c r="H32" i="43"/>
  <c r="H31" i="43"/>
  <c r="H30" i="43"/>
  <c r="G34" i="43"/>
  <c r="G28" i="43"/>
  <c r="H95" i="30"/>
  <c r="H92" i="30"/>
  <c r="H91" i="30"/>
  <c r="E6" i="30"/>
  <c r="J16" i="30"/>
  <c r="I16" i="30"/>
  <c r="J15" i="30"/>
  <c r="I15" i="30"/>
  <c r="J14" i="30"/>
  <c r="I14" i="30"/>
  <c r="H28" i="43"/>
  <c r="H26" i="43"/>
  <c r="H24" i="43"/>
  <c r="H23" i="43"/>
  <c r="H22" i="43"/>
  <c r="H20" i="43"/>
  <c r="H67" i="30"/>
  <c r="G26" i="43"/>
  <c r="G24" i="43"/>
  <c r="J3" i="43" s="1"/>
  <c r="S12" i="43"/>
  <c r="F12" i="43"/>
  <c r="F11" i="43"/>
  <c r="B11" i="43"/>
  <c r="J10" i="43"/>
  <c r="G67" i="43"/>
  <c r="F13" i="43"/>
  <c r="E13" i="43"/>
  <c r="B10" i="43"/>
  <c r="Q7" i="43"/>
  <c r="Q6" i="43"/>
  <c r="B6" i="43"/>
  <c r="Q5" i="43"/>
  <c r="J5" i="43"/>
  <c r="I5" i="43" a="1"/>
  <c r="I5" i="43" s="1"/>
  <c r="F5" i="43"/>
  <c r="E5" i="43"/>
  <c r="Q4" i="43"/>
  <c r="J4" i="43"/>
  <c r="I4" i="43" a="1"/>
  <c r="I4" i="43" s="1"/>
  <c r="F4" i="43"/>
  <c r="E4" i="43"/>
  <c r="Q3" i="43"/>
  <c r="J6" i="43"/>
  <c r="I6" i="43"/>
  <c r="F3" i="43"/>
  <c r="F6" i="43" s="1"/>
  <c r="E16" i="43" s="1"/>
  <c r="E3" i="43"/>
  <c r="E6" i="43" s="1"/>
  <c r="E15" i="43" s="1"/>
  <c r="B7" i="43"/>
  <c r="Q2" i="43"/>
  <c r="R1" i="43"/>
  <c r="Q1" i="43"/>
  <c r="Q8" i="43" s="1"/>
  <c r="B1" i="43"/>
  <c r="B6" i="30"/>
  <c r="H90" i="30"/>
  <c r="H39" i="30"/>
  <c r="H38" i="30"/>
  <c r="H37" i="30"/>
  <c r="H48" i="30"/>
  <c r="H89" i="30"/>
  <c r="H88" i="30"/>
  <c r="H87" i="30"/>
  <c r="E10" i="30"/>
  <c r="F12" i="30"/>
  <c r="E12" i="30"/>
  <c r="E11" i="30"/>
  <c r="F10" i="30"/>
  <c r="H86" i="30"/>
  <c r="I10" i="30"/>
  <c r="G106" i="30"/>
  <c r="H85" i="30"/>
  <c r="F11" i="30"/>
  <c r="H84" i="30"/>
  <c r="H83" i="30"/>
  <c r="B13" i="30"/>
  <c r="O69" i="30"/>
  <c r="S12" i="30"/>
  <c r="H64" i="30"/>
  <c r="G77" i="30"/>
  <c r="H63" i="30"/>
  <c r="H62" i="30"/>
  <c r="H82" i="30"/>
  <c r="H61" i="30"/>
  <c r="H60" i="30"/>
  <c r="G73" i="30"/>
  <c r="H59" i="30"/>
  <c r="H58" i="30"/>
  <c r="H57" i="30"/>
  <c r="H56" i="30"/>
  <c r="H55" i="30"/>
  <c r="H66" i="30"/>
  <c r="H65" i="30"/>
  <c r="G80" i="30"/>
  <c r="H80" i="30"/>
  <c r="F5" i="30"/>
  <c r="E5" i="30"/>
  <c r="E3" i="30"/>
  <c r="I5" i="30" a="1"/>
  <c r="I5" i="30"/>
  <c r="J5" i="30"/>
  <c r="H72" i="30"/>
  <c r="F4" i="30"/>
  <c r="E4" i="30"/>
  <c r="B5" i="30"/>
  <c r="B3" i="30"/>
  <c r="I3" i="30" a="1"/>
  <c r="I3" i="30"/>
  <c r="H71" i="30"/>
  <c r="H70" i="30"/>
  <c r="H69" i="30"/>
  <c r="H68" i="30"/>
  <c r="H54" i="30"/>
  <c r="H53" i="30"/>
  <c r="J3" i="30"/>
  <c r="J4" i="30"/>
  <c r="H52" i="30"/>
  <c r="H51" i="30"/>
  <c r="H43" i="30"/>
  <c r="H42" i="30"/>
  <c r="H50" i="30"/>
  <c r="B4" i="30"/>
  <c r="B7" i="30" s="1"/>
  <c r="I4" i="30" a="1"/>
  <c r="I4" i="30"/>
  <c r="H41" i="30"/>
  <c r="H40" i="30"/>
  <c r="H36" i="30"/>
  <c r="H35" i="30"/>
  <c r="H34" i="30"/>
  <c r="H33" i="30"/>
  <c r="H32" i="30"/>
  <c r="H47" i="30"/>
  <c r="H49" i="30"/>
  <c r="H46" i="30"/>
  <c r="H45" i="30"/>
  <c r="H44" i="30"/>
  <c r="E13" i="30"/>
  <c r="G102" i="30"/>
  <c r="F13" i="30"/>
  <c r="F8" i="40"/>
  <c r="F7" i="40"/>
  <c r="F6" i="40"/>
  <c r="I5" i="40"/>
  <c r="I4" i="40"/>
  <c r="I3" i="40"/>
  <c r="B6" i="40"/>
  <c r="B5" i="40"/>
  <c r="B4" i="40"/>
  <c r="B3" i="40"/>
  <c r="G286" i="40"/>
  <c r="G285" i="40"/>
  <c r="H266" i="40"/>
  <c r="H265" i="40"/>
  <c r="H264" i="40"/>
  <c r="H263" i="40"/>
  <c r="H262" i="40"/>
  <c r="H261" i="40"/>
  <c r="H260" i="40"/>
  <c r="H259" i="40"/>
  <c r="H258" i="40"/>
  <c r="G256" i="40"/>
  <c r="H256" i="40" s="1"/>
  <c r="H255" i="40"/>
  <c r="H254" i="40"/>
  <c r="H253" i="40"/>
  <c r="H252" i="40"/>
  <c r="H251" i="40"/>
  <c r="G249" i="40"/>
  <c r="H248" i="40"/>
  <c r="H247" i="40"/>
  <c r="G245" i="40"/>
  <c r="H245" i="40" s="1"/>
  <c r="H244" i="40"/>
  <c r="H243" i="40"/>
  <c r="H242" i="40"/>
  <c r="H241" i="40"/>
  <c r="H240" i="40"/>
  <c r="H239" i="40"/>
  <c r="H238" i="40"/>
  <c r="H237" i="40"/>
  <c r="H236" i="40"/>
  <c r="H235" i="40"/>
  <c r="H234" i="40"/>
  <c r="H233" i="40"/>
  <c r="H232" i="40"/>
  <c r="H231" i="40"/>
  <c r="H230" i="40"/>
  <c r="H229" i="40"/>
  <c r="H228" i="40"/>
  <c r="H227" i="40"/>
  <c r="G225" i="40"/>
  <c r="G223" i="40"/>
  <c r="H223" i="40" s="1"/>
  <c r="G221" i="40"/>
  <c r="H221" i="40" s="1"/>
  <c r="H220" i="40"/>
  <c r="H219" i="40"/>
  <c r="G217" i="40"/>
  <c r="G215" i="40"/>
  <c r="G212" i="40"/>
  <c r="G210" i="40"/>
  <c r="G207" i="40"/>
  <c r="G200" i="40"/>
  <c r="G196" i="40"/>
  <c r="G193" i="40"/>
  <c r="G188" i="40"/>
  <c r="G159" i="40"/>
  <c r="G139" i="40"/>
  <c r="G132" i="40"/>
  <c r="G131" i="40"/>
  <c r="G113" i="40"/>
  <c r="R7" i="40"/>
  <c r="R6" i="40"/>
  <c r="R5" i="40"/>
  <c r="R4" i="40"/>
  <c r="R3" i="40"/>
  <c r="I6" i="40"/>
  <c r="B7" i="40"/>
  <c r="R2" i="40"/>
  <c r="B2" i="40"/>
  <c r="S1" i="40"/>
  <c r="R1" i="40"/>
  <c r="R8" i="40" s="1"/>
  <c r="B1" i="40"/>
  <c r="H31" i="30"/>
  <c r="H30" i="30"/>
  <c r="H29" i="30"/>
  <c r="H28" i="30"/>
  <c r="H27" i="30"/>
  <c r="H26" i="30"/>
  <c r="H25" i="30"/>
  <c r="H24" i="30"/>
  <c r="G22" i="30"/>
  <c r="H21" i="30"/>
  <c r="H20" i="30"/>
  <c r="G17" i="27"/>
  <c r="F17" i="27"/>
  <c r="G16" i="27"/>
  <c r="G15" i="27"/>
  <c r="G14" i="27"/>
  <c r="F16" i="27"/>
  <c r="F15" i="27"/>
  <c r="F14" i="27"/>
  <c r="G219" i="37"/>
  <c r="G218" i="37"/>
  <c r="G199" i="37"/>
  <c r="G195" i="37"/>
  <c r="G192" i="37"/>
  <c r="G187" i="37"/>
  <c r="G158" i="37"/>
  <c r="G138" i="37"/>
  <c r="G131" i="37"/>
  <c r="G130" i="37"/>
  <c r="G112" i="37"/>
  <c r="R7" i="37"/>
  <c r="K7" i="37"/>
  <c r="R6" i="37"/>
  <c r="B6" i="37"/>
  <c r="R5" i="37"/>
  <c r="J5" i="37"/>
  <c r="I5" i="37"/>
  <c r="B5" i="37"/>
  <c r="R4" i="37"/>
  <c r="J4" i="37"/>
  <c r="I4" i="37"/>
  <c r="F4" i="37"/>
  <c r="B4" i="37"/>
  <c r="R3" i="37"/>
  <c r="J3" i="37"/>
  <c r="J6" i="37" s="1"/>
  <c r="I3" i="37"/>
  <c r="I6" i="37" s="1"/>
  <c r="F3" i="37"/>
  <c r="B3" i="37"/>
  <c r="B7" i="37" s="1"/>
  <c r="R2" i="37"/>
  <c r="B2" i="37"/>
  <c r="S1" i="37"/>
  <c r="R1" i="37"/>
  <c r="R8" i="37" s="1"/>
  <c r="H12" i="27"/>
  <c r="G13" i="27"/>
  <c r="F13" i="27"/>
  <c r="G12" i="27"/>
  <c r="F12" i="27"/>
  <c r="G4" i="27"/>
  <c r="B1" i="30"/>
  <c r="J4" i="34"/>
  <c r="J5" i="34"/>
  <c r="J3" i="34"/>
  <c r="B4" i="34"/>
  <c r="B6" i="34"/>
  <c r="B5" i="34"/>
  <c r="B3" i="34"/>
  <c r="F4" i="34"/>
  <c r="F3" i="34"/>
  <c r="I5" i="34"/>
  <c r="I4" i="34"/>
  <c r="I3" i="34"/>
  <c r="G112" i="34"/>
  <c r="J6" i="34"/>
  <c r="I6" i="34"/>
  <c r="B7" i="34"/>
  <c r="B2" i="34"/>
  <c r="H11" i="27"/>
  <c r="G11" i="27"/>
  <c r="G10" i="27"/>
  <c r="H10" i="27"/>
  <c r="H9" i="27"/>
  <c r="G9" i="27"/>
  <c r="F9" i="27"/>
  <c r="Q7" i="30"/>
  <c r="Q6" i="30"/>
  <c r="Q5" i="30"/>
  <c r="Q4" i="30"/>
  <c r="Q2" i="30"/>
  <c r="Q3" i="30"/>
  <c r="Q1" i="30"/>
  <c r="Q8" i="30" s="1"/>
  <c r="R1" i="30"/>
  <c r="L7" i="32"/>
  <c r="L6" i="32"/>
  <c r="L5" i="32"/>
  <c r="G5" i="32"/>
  <c r="F5" i="32"/>
  <c r="L4" i="32"/>
  <c r="G4" i="32"/>
  <c r="F4" i="32"/>
  <c r="B4" i="32"/>
  <c r="L3" i="32"/>
  <c r="J3" i="32"/>
  <c r="G3" i="32"/>
  <c r="G6" i="32" s="1"/>
  <c r="F3" i="32"/>
  <c r="F6" i="32" s="1"/>
  <c r="B3" i="32"/>
  <c r="B7" i="32" s="1"/>
  <c r="L2" i="32"/>
  <c r="J2" i="32"/>
  <c r="B2" i="32"/>
  <c r="L1" i="32"/>
  <c r="H8" i="27"/>
  <c r="H7" i="27"/>
  <c r="H6" i="27"/>
  <c r="H5" i="27"/>
  <c r="H4" i="27"/>
  <c r="G8" i="27"/>
  <c r="F8" i="27"/>
  <c r="G7" i="27"/>
  <c r="F7" i="27"/>
  <c r="G6" i="27"/>
  <c r="F6" i="27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6" i="4"/>
  <c r="G5" i="27"/>
  <c r="F5" i="27"/>
  <c r="F4" i="27"/>
  <c r="E225" i="4"/>
  <c r="C1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83" i="4"/>
  <c r="G71" i="4"/>
  <c r="G72" i="4"/>
  <c r="G73" i="4"/>
  <c r="G74" i="4"/>
  <c r="G75" i="4"/>
  <c r="G76" i="4"/>
  <c r="G77" i="4"/>
  <c r="G78" i="4"/>
  <c r="G79" i="4"/>
  <c r="G80" i="4"/>
  <c r="G82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I34" i="4"/>
  <c r="H5" i="129" l="1"/>
  <c r="H6" i="129" s="1"/>
  <c r="F6" i="129"/>
  <c r="O5" i="129"/>
  <c r="O6" i="129" s="1"/>
  <c r="D5" i="129"/>
  <c r="C6" i="129"/>
  <c r="L12" i="129"/>
  <c r="K16" i="129"/>
  <c r="L14" i="129"/>
  <c r="K6" i="129"/>
  <c r="L5" i="129"/>
  <c r="L6" i="129" s="1"/>
  <c r="N12" i="129"/>
  <c r="B16" i="129"/>
  <c r="N16" i="129" s="1"/>
  <c r="N13" i="129"/>
  <c r="D13" i="129"/>
  <c r="O12" i="129"/>
  <c r="D12" i="129"/>
  <c r="C16" i="129"/>
  <c r="L13" i="129"/>
  <c r="D15" i="129"/>
  <c r="P15" i="129" s="1"/>
  <c r="O15" i="129"/>
  <c r="N14" i="129"/>
  <c r="H12" i="129"/>
  <c r="H16" i="129" s="1"/>
  <c r="G16" i="129"/>
  <c r="P14" i="129"/>
  <c r="N5" i="129"/>
  <c r="N6" i="129" s="1"/>
  <c r="B6" i="129"/>
  <c r="J16" i="129"/>
  <c r="O14" i="129"/>
  <c r="S24" i="73"/>
  <c r="B6" i="128"/>
  <c r="N5" i="128"/>
  <c r="N6" i="128" s="1"/>
  <c r="C6" i="128"/>
  <c r="O5" i="128"/>
  <c r="O6" i="128" s="1"/>
  <c r="D5" i="128"/>
  <c r="G6" i="128"/>
  <c r="H5" i="128"/>
  <c r="H6" i="128" s="1"/>
  <c r="K6" i="128"/>
  <c r="L5" i="128"/>
  <c r="L6" i="128" s="1"/>
  <c r="B16" i="128"/>
  <c r="N16" i="128" s="1"/>
  <c r="N12" i="128"/>
  <c r="C16" i="128"/>
  <c r="O12" i="128"/>
  <c r="D12" i="128"/>
  <c r="G16" i="128"/>
  <c r="H12" i="128"/>
  <c r="K16" i="128"/>
  <c r="L12" i="128"/>
  <c r="O13" i="128"/>
  <c r="D13" i="128"/>
  <c r="H13" i="128"/>
  <c r="L13" i="128"/>
  <c r="O14" i="128"/>
  <c r="D14" i="128"/>
  <c r="H14" i="128"/>
  <c r="L14" i="128"/>
  <c r="O15" i="128"/>
  <c r="D15" i="128"/>
  <c r="H15" i="128"/>
  <c r="L15" i="128"/>
  <c r="B6" i="126"/>
  <c r="N5" i="126"/>
  <c r="N6" i="126" s="1"/>
  <c r="C6" i="126"/>
  <c r="O5" i="126"/>
  <c r="O6" i="126" s="1"/>
  <c r="D5" i="126"/>
  <c r="G6" i="126"/>
  <c r="H5" i="126"/>
  <c r="H6" i="126" s="1"/>
  <c r="K6" i="126"/>
  <c r="L5" i="126"/>
  <c r="L6" i="126" s="1"/>
  <c r="B16" i="126"/>
  <c r="N16" i="126" s="1"/>
  <c r="N12" i="126"/>
  <c r="C16" i="126"/>
  <c r="O12" i="126"/>
  <c r="D12" i="126"/>
  <c r="G16" i="126"/>
  <c r="H12" i="126"/>
  <c r="K16" i="126"/>
  <c r="L12" i="126"/>
  <c r="O13" i="126"/>
  <c r="D13" i="126"/>
  <c r="H13" i="126"/>
  <c r="L13" i="126"/>
  <c r="O14" i="126"/>
  <c r="D14" i="126"/>
  <c r="H14" i="126"/>
  <c r="L14" i="126"/>
  <c r="O15" i="126"/>
  <c r="D15" i="126"/>
  <c r="H15" i="126"/>
  <c r="L15" i="126"/>
  <c r="B6" i="124"/>
  <c r="N5" i="124"/>
  <c r="N6" i="124" s="1"/>
  <c r="C6" i="124"/>
  <c r="O5" i="124"/>
  <c r="O6" i="124" s="1"/>
  <c r="D5" i="124"/>
  <c r="G6" i="124"/>
  <c r="H5" i="124"/>
  <c r="H6" i="124" s="1"/>
  <c r="K6" i="124"/>
  <c r="L5" i="124"/>
  <c r="L6" i="124" s="1"/>
  <c r="B16" i="124"/>
  <c r="N16" i="124" s="1"/>
  <c r="N12" i="124"/>
  <c r="C16" i="124"/>
  <c r="O12" i="124"/>
  <c r="D12" i="124"/>
  <c r="G16" i="124"/>
  <c r="H12" i="124"/>
  <c r="K16" i="124"/>
  <c r="L12" i="124"/>
  <c r="O13" i="124"/>
  <c r="D13" i="124"/>
  <c r="H13" i="124"/>
  <c r="L13" i="124"/>
  <c r="O14" i="124"/>
  <c r="D14" i="124"/>
  <c r="H14" i="124"/>
  <c r="L14" i="124"/>
  <c r="O15" i="124"/>
  <c r="D15" i="124"/>
  <c r="H15" i="124"/>
  <c r="L15" i="124"/>
  <c r="B6" i="123"/>
  <c r="N5" i="123"/>
  <c r="N6" i="123" s="1"/>
  <c r="C6" i="123"/>
  <c r="O5" i="123"/>
  <c r="O6" i="123" s="1"/>
  <c r="D5" i="123"/>
  <c r="G6" i="123"/>
  <c r="H5" i="123"/>
  <c r="H6" i="123" s="1"/>
  <c r="K6" i="123"/>
  <c r="L5" i="123"/>
  <c r="L6" i="123" s="1"/>
  <c r="B16" i="123"/>
  <c r="N16" i="123" s="1"/>
  <c r="N12" i="123"/>
  <c r="C16" i="123"/>
  <c r="O12" i="123"/>
  <c r="D12" i="123"/>
  <c r="G16" i="123"/>
  <c r="H12" i="123"/>
  <c r="K16" i="123"/>
  <c r="L12" i="123"/>
  <c r="O13" i="123"/>
  <c r="D13" i="123"/>
  <c r="H13" i="123"/>
  <c r="L13" i="123"/>
  <c r="O14" i="123"/>
  <c r="D14" i="123"/>
  <c r="H14" i="123"/>
  <c r="L14" i="123"/>
  <c r="O15" i="123"/>
  <c r="D15" i="123"/>
  <c r="H15" i="123"/>
  <c r="L15" i="123"/>
  <c r="B6" i="122"/>
  <c r="N5" i="122"/>
  <c r="N6" i="122" s="1"/>
  <c r="C6" i="122"/>
  <c r="O5" i="122"/>
  <c r="O6" i="122" s="1"/>
  <c r="D5" i="122"/>
  <c r="G6" i="122"/>
  <c r="H5" i="122"/>
  <c r="H6" i="122" s="1"/>
  <c r="K6" i="122"/>
  <c r="L5" i="122"/>
  <c r="L6" i="122" s="1"/>
  <c r="B16" i="122"/>
  <c r="N16" i="122" s="1"/>
  <c r="N12" i="122"/>
  <c r="C16" i="122"/>
  <c r="O12" i="122"/>
  <c r="D12" i="122"/>
  <c r="G16" i="122"/>
  <c r="H12" i="122"/>
  <c r="K16" i="122"/>
  <c r="L12" i="122"/>
  <c r="O13" i="122"/>
  <c r="D13" i="122"/>
  <c r="H13" i="122"/>
  <c r="L13" i="122"/>
  <c r="O14" i="122"/>
  <c r="D14" i="122"/>
  <c r="H14" i="122"/>
  <c r="L14" i="122"/>
  <c r="O15" i="122"/>
  <c r="D15" i="122"/>
  <c r="H15" i="122"/>
  <c r="L15" i="122"/>
  <c r="B6" i="117"/>
  <c r="N5" i="117"/>
  <c r="N6" i="117" s="1"/>
  <c r="C6" i="117"/>
  <c r="O5" i="117"/>
  <c r="O6" i="117" s="1"/>
  <c r="D5" i="117"/>
  <c r="G6" i="117"/>
  <c r="H5" i="117"/>
  <c r="H6" i="117" s="1"/>
  <c r="K6" i="117"/>
  <c r="L5" i="117"/>
  <c r="L6" i="117" s="1"/>
  <c r="B16" i="117"/>
  <c r="N16" i="117" s="1"/>
  <c r="N12" i="117"/>
  <c r="C16" i="117"/>
  <c r="O12" i="117"/>
  <c r="D12" i="117"/>
  <c r="G16" i="117"/>
  <c r="H12" i="117"/>
  <c r="K16" i="117"/>
  <c r="L12" i="117"/>
  <c r="O13" i="117"/>
  <c r="D13" i="117"/>
  <c r="H13" i="117"/>
  <c r="L13" i="117"/>
  <c r="O14" i="117"/>
  <c r="D14" i="117"/>
  <c r="H14" i="117"/>
  <c r="L14" i="117"/>
  <c r="O15" i="117"/>
  <c r="D15" i="117"/>
  <c r="H15" i="117"/>
  <c r="L15" i="117"/>
  <c r="B6" i="113"/>
  <c r="N5" i="113"/>
  <c r="N6" i="113" s="1"/>
  <c r="C6" i="113"/>
  <c r="O5" i="113"/>
  <c r="O6" i="113" s="1"/>
  <c r="D5" i="113"/>
  <c r="G6" i="113"/>
  <c r="H5" i="113"/>
  <c r="H6" i="113" s="1"/>
  <c r="K6" i="113"/>
  <c r="L5" i="113"/>
  <c r="L6" i="113" s="1"/>
  <c r="B16" i="113"/>
  <c r="N16" i="113" s="1"/>
  <c r="N12" i="113"/>
  <c r="C16" i="113"/>
  <c r="O12" i="113"/>
  <c r="D12" i="113"/>
  <c r="G16" i="113"/>
  <c r="H12" i="113"/>
  <c r="K16" i="113"/>
  <c r="L12" i="113"/>
  <c r="O13" i="113"/>
  <c r="D13" i="113"/>
  <c r="H13" i="113"/>
  <c r="L13" i="113"/>
  <c r="O14" i="113"/>
  <c r="D14" i="113"/>
  <c r="H14" i="113"/>
  <c r="L14" i="113"/>
  <c r="O15" i="113"/>
  <c r="D15" i="113"/>
  <c r="H15" i="113"/>
  <c r="L15" i="113"/>
  <c r="D22" i="113"/>
  <c r="B6" i="110"/>
  <c r="N5" i="110"/>
  <c r="N6" i="110" s="1"/>
  <c r="C6" i="110"/>
  <c r="O5" i="110"/>
  <c r="O6" i="110" s="1"/>
  <c r="D5" i="110"/>
  <c r="G6" i="110"/>
  <c r="H5" i="110"/>
  <c r="H6" i="110" s="1"/>
  <c r="K6" i="110"/>
  <c r="L5" i="110"/>
  <c r="L6" i="110" s="1"/>
  <c r="B16" i="110"/>
  <c r="N16" i="110" s="1"/>
  <c r="N12" i="110"/>
  <c r="C16" i="110"/>
  <c r="O12" i="110"/>
  <c r="D12" i="110"/>
  <c r="G16" i="110"/>
  <c r="H12" i="110"/>
  <c r="K16" i="110"/>
  <c r="L12" i="110"/>
  <c r="O13" i="110"/>
  <c r="D13" i="110"/>
  <c r="H13" i="110"/>
  <c r="L13" i="110"/>
  <c r="O14" i="110"/>
  <c r="D14" i="110"/>
  <c r="H14" i="110"/>
  <c r="L14" i="110"/>
  <c r="O15" i="110"/>
  <c r="D15" i="110"/>
  <c r="H15" i="110"/>
  <c r="L15" i="110"/>
  <c r="D22" i="110"/>
  <c r="B6" i="108"/>
  <c r="N5" i="108"/>
  <c r="N6" i="108" s="1"/>
  <c r="C6" i="108"/>
  <c r="O5" i="108"/>
  <c r="O6" i="108" s="1"/>
  <c r="D5" i="108"/>
  <c r="G6" i="108"/>
  <c r="H5" i="108"/>
  <c r="H6" i="108" s="1"/>
  <c r="K6" i="108"/>
  <c r="L5" i="108"/>
  <c r="L6" i="108" s="1"/>
  <c r="B16" i="108"/>
  <c r="N16" i="108" s="1"/>
  <c r="N12" i="108"/>
  <c r="C16" i="108"/>
  <c r="O12" i="108"/>
  <c r="D12" i="108"/>
  <c r="G16" i="108"/>
  <c r="H12" i="108"/>
  <c r="K16" i="108"/>
  <c r="L12" i="108"/>
  <c r="O13" i="108"/>
  <c r="D13" i="108"/>
  <c r="H13" i="108"/>
  <c r="L13" i="108"/>
  <c r="O14" i="108"/>
  <c r="D14" i="108"/>
  <c r="H14" i="108"/>
  <c r="L14" i="108"/>
  <c r="O15" i="108"/>
  <c r="D15" i="108"/>
  <c r="H15" i="108"/>
  <c r="L15" i="108"/>
  <c r="D22" i="108"/>
  <c r="B6" i="106"/>
  <c r="N5" i="106"/>
  <c r="N6" i="106" s="1"/>
  <c r="C6" i="106"/>
  <c r="O5" i="106"/>
  <c r="O6" i="106" s="1"/>
  <c r="D5" i="106"/>
  <c r="G6" i="106"/>
  <c r="H5" i="106"/>
  <c r="H6" i="106" s="1"/>
  <c r="K6" i="106"/>
  <c r="L5" i="106"/>
  <c r="L6" i="106" s="1"/>
  <c r="B16" i="106"/>
  <c r="N16" i="106" s="1"/>
  <c r="N12" i="106"/>
  <c r="C16" i="106"/>
  <c r="O12" i="106"/>
  <c r="D12" i="106"/>
  <c r="G16" i="106"/>
  <c r="H12" i="106"/>
  <c r="K16" i="106"/>
  <c r="L12" i="106"/>
  <c r="O13" i="106"/>
  <c r="D13" i="106"/>
  <c r="H13" i="106"/>
  <c r="L13" i="106"/>
  <c r="O14" i="106"/>
  <c r="D14" i="106"/>
  <c r="H14" i="106"/>
  <c r="L14" i="106"/>
  <c r="O15" i="106"/>
  <c r="D15" i="106"/>
  <c r="H15" i="106"/>
  <c r="L15" i="106"/>
  <c r="D22" i="106"/>
  <c r="B6" i="104"/>
  <c r="N5" i="104"/>
  <c r="N6" i="104" s="1"/>
  <c r="C6" i="104"/>
  <c r="O5" i="104"/>
  <c r="O6" i="104" s="1"/>
  <c r="D5" i="104"/>
  <c r="G6" i="104"/>
  <c r="H5" i="104"/>
  <c r="H6" i="104" s="1"/>
  <c r="K6" i="104"/>
  <c r="L5" i="104"/>
  <c r="L6" i="104" s="1"/>
  <c r="D22" i="104"/>
  <c r="B6" i="101"/>
  <c r="N5" i="101"/>
  <c r="N6" i="101" s="1"/>
  <c r="C6" i="101"/>
  <c r="O5" i="101"/>
  <c r="O6" i="101" s="1"/>
  <c r="D5" i="101"/>
  <c r="G6" i="101"/>
  <c r="H5" i="101"/>
  <c r="H6" i="101" s="1"/>
  <c r="K6" i="101"/>
  <c r="L5" i="101"/>
  <c r="L6" i="101" s="1"/>
  <c r="B16" i="101"/>
  <c r="N16" i="101" s="1"/>
  <c r="N12" i="101"/>
  <c r="C16" i="101"/>
  <c r="O12" i="101"/>
  <c r="D12" i="101"/>
  <c r="G16" i="101"/>
  <c r="H12" i="101"/>
  <c r="K16" i="101"/>
  <c r="L12" i="101"/>
  <c r="O13" i="101"/>
  <c r="D13" i="101"/>
  <c r="H13" i="101"/>
  <c r="L13" i="101"/>
  <c r="O14" i="101"/>
  <c r="D14" i="101"/>
  <c r="H14" i="101"/>
  <c r="L14" i="101"/>
  <c r="O15" i="101"/>
  <c r="D15" i="101"/>
  <c r="H15" i="101"/>
  <c r="L15" i="101"/>
  <c r="D22" i="101"/>
  <c r="B6" i="99"/>
  <c r="N5" i="99"/>
  <c r="N6" i="99" s="1"/>
  <c r="C6" i="99"/>
  <c r="O5" i="99"/>
  <c r="O6" i="99" s="1"/>
  <c r="D5" i="99"/>
  <c r="G6" i="99"/>
  <c r="H5" i="99"/>
  <c r="H6" i="99" s="1"/>
  <c r="K6" i="99"/>
  <c r="L5" i="99"/>
  <c r="L6" i="99" s="1"/>
  <c r="B16" i="99"/>
  <c r="N16" i="99" s="1"/>
  <c r="N12" i="99"/>
  <c r="C16" i="99"/>
  <c r="O12" i="99"/>
  <c r="D12" i="99"/>
  <c r="G16" i="99"/>
  <c r="H12" i="99"/>
  <c r="K16" i="99"/>
  <c r="L12" i="99"/>
  <c r="O13" i="99"/>
  <c r="D13" i="99"/>
  <c r="H13" i="99"/>
  <c r="L13" i="99"/>
  <c r="O14" i="99"/>
  <c r="D14" i="99"/>
  <c r="H14" i="99"/>
  <c r="L14" i="99"/>
  <c r="O15" i="99"/>
  <c r="D15" i="99"/>
  <c r="H15" i="99"/>
  <c r="L15" i="99"/>
  <c r="D22" i="99"/>
  <c r="B6" i="90"/>
  <c r="N5" i="90"/>
  <c r="N6" i="90" s="1"/>
  <c r="C6" i="90"/>
  <c r="O5" i="90"/>
  <c r="O6" i="90" s="1"/>
  <c r="D5" i="90"/>
  <c r="G6" i="90"/>
  <c r="H5" i="90"/>
  <c r="H6" i="90" s="1"/>
  <c r="K6" i="90"/>
  <c r="L5" i="90"/>
  <c r="L6" i="90" s="1"/>
  <c r="B16" i="90"/>
  <c r="N16" i="90" s="1"/>
  <c r="C16" i="90"/>
  <c r="O12" i="90"/>
  <c r="D12" i="90"/>
  <c r="G16" i="90"/>
  <c r="H12" i="90"/>
  <c r="K16" i="90"/>
  <c r="L12" i="90"/>
  <c r="O13" i="90"/>
  <c r="D13" i="90"/>
  <c r="H13" i="90"/>
  <c r="L13" i="90"/>
  <c r="O14" i="90"/>
  <c r="D14" i="90"/>
  <c r="H14" i="90"/>
  <c r="L14" i="90"/>
  <c r="O15" i="90"/>
  <c r="D15" i="90"/>
  <c r="H15" i="90"/>
  <c r="L15" i="90"/>
  <c r="D20" i="90"/>
  <c r="B6" i="89"/>
  <c r="N5" i="89"/>
  <c r="N6" i="89" s="1"/>
  <c r="C6" i="89"/>
  <c r="O5" i="89"/>
  <c r="O6" i="89" s="1"/>
  <c r="D5" i="89"/>
  <c r="G6" i="89"/>
  <c r="H5" i="89"/>
  <c r="H6" i="89" s="1"/>
  <c r="K6" i="89"/>
  <c r="L5" i="89"/>
  <c r="L6" i="89" s="1"/>
  <c r="B16" i="89"/>
  <c r="N16" i="89" s="1"/>
  <c r="N12" i="89"/>
  <c r="C16" i="89"/>
  <c r="O12" i="89"/>
  <c r="D12" i="89"/>
  <c r="G16" i="89"/>
  <c r="H12" i="89"/>
  <c r="K16" i="89"/>
  <c r="L12" i="89"/>
  <c r="O13" i="89"/>
  <c r="D13" i="89"/>
  <c r="H13" i="89"/>
  <c r="L13" i="89"/>
  <c r="O14" i="89"/>
  <c r="D14" i="89"/>
  <c r="H14" i="89"/>
  <c r="L14" i="89"/>
  <c r="O15" i="89"/>
  <c r="D15" i="89"/>
  <c r="H15" i="89"/>
  <c r="L15" i="89"/>
  <c r="D20" i="89"/>
  <c r="B6" i="85"/>
  <c r="N5" i="85"/>
  <c r="N6" i="85" s="1"/>
  <c r="C6" i="85"/>
  <c r="O5" i="85"/>
  <c r="O6" i="85" s="1"/>
  <c r="D5" i="85"/>
  <c r="G6" i="85"/>
  <c r="H5" i="85"/>
  <c r="H6" i="85" s="1"/>
  <c r="K6" i="85"/>
  <c r="L5" i="85"/>
  <c r="L6" i="85" s="1"/>
  <c r="B16" i="85"/>
  <c r="N16" i="85" s="1"/>
  <c r="N12" i="85"/>
  <c r="C16" i="85"/>
  <c r="O12" i="85"/>
  <c r="D12" i="85"/>
  <c r="G16" i="85"/>
  <c r="H12" i="85"/>
  <c r="K16" i="85"/>
  <c r="L12" i="85"/>
  <c r="O13" i="85"/>
  <c r="D13" i="85"/>
  <c r="H13" i="85"/>
  <c r="L13" i="85"/>
  <c r="O14" i="85"/>
  <c r="D14" i="85"/>
  <c r="H14" i="85"/>
  <c r="L14" i="85"/>
  <c r="O15" i="85"/>
  <c r="D15" i="85"/>
  <c r="H15" i="85"/>
  <c r="L15" i="85"/>
  <c r="D21" i="85"/>
  <c r="C22" i="81"/>
  <c r="D21" i="81"/>
  <c r="D22" i="81" s="1"/>
  <c r="B6" i="81"/>
  <c r="N5" i="81"/>
  <c r="N6" i="81" s="1"/>
  <c r="C6" i="81"/>
  <c r="O5" i="81"/>
  <c r="O6" i="81" s="1"/>
  <c r="D5" i="81"/>
  <c r="G6" i="81"/>
  <c r="H5" i="81"/>
  <c r="H6" i="81" s="1"/>
  <c r="K6" i="81"/>
  <c r="L5" i="81"/>
  <c r="L6" i="81" s="1"/>
  <c r="B16" i="81"/>
  <c r="N16" i="81" s="1"/>
  <c r="N12" i="81"/>
  <c r="C16" i="81"/>
  <c r="O12" i="81"/>
  <c r="D12" i="81"/>
  <c r="G16" i="81"/>
  <c r="H12" i="81"/>
  <c r="K16" i="81"/>
  <c r="L12" i="81"/>
  <c r="O13" i="81"/>
  <c r="D13" i="81"/>
  <c r="H13" i="81"/>
  <c r="L13" i="81"/>
  <c r="O14" i="81"/>
  <c r="D14" i="81"/>
  <c r="H14" i="81"/>
  <c r="L14" i="81"/>
  <c r="O15" i="81"/>
  <c r="D15" i="81"/>
  <c r="H15" i="81"/>
  <c r="L15" i="81"/>
  <c r="W76" i="78"/>
  <c r="W77" i="78"/>
  <c r="W78" i="78"/>
  <c r="W64" i="77"/>
  <c r="W63" i="77"/>
  <c r="C21" i="77" a="1"/>
  <c r="C21" i="77" s="1"/>
  <c r="C22" i="77" s="1"/>
  <c r="K15" i="77" a="1"/>
  <c r="K15" i="77" s="1"/>
  <c r="G15" i="77" a="1"/>
  <c r="G15" i="77" s="1"/>
  <c r="C15" i="77" a="1"/>
  <c r="C15" i="77" s="1"/>
  <c r="K14" i="77" a="1"/>
  <c r="K14" i="77" s="1"/>
  <c r="G14" i="77" a="1"/>
  <c r="G14" i="77" s="1"/>
  <c r="C14" i="77" a="1"/>
  <c r="C14" i="77" s="1"/>
  <c r="K13" i="77" a="1"/>
  <c r="K13" i="77" s="1"/>
  <c r="G13" i="77" a="1"/>
  <c r="G13" i="77" s="1"/>
  <c r="C13" i="77" a="1"/>
  <c r="C13" i="77" s="1"/>
  <c r="K12" i="77" a="1"/>
  <c r="K12" i="77" s="1"/>
  <c r="G12" i="77" a="1"/>
  <c r="G12" i="77" s="1"/>
  <c r="C12" i="77" a="1"/>
  <c r="C12" i="77" s="1"/>
  <c r="K5" i="77" a="1"/>
  <c r="K5" i="77" s="1"/>
  <c r="K6" i="77" s="1"/>
  <c r="G5" i="77" a="1"/>
  <c r="G5" i="77" s="1"/>
  <c r="G6" i="77" s="1"/>
  <c r="C5" i="77" a="1"/>
  <c r="C5" i="77" s="1"/>
  <c r="C6" i="77" s="1"/>
  <c r="B5" i="73"/>
  <c r="C5" i="75" a="1"/>
  <c r="C5" i="75" s="1"/>
  <c r="J1" i="32"/>
  <c r="N15" i="75"/>
  <c r="F6" i="55"/>
  <c r="G220" i="37"/>
  <c r="F6" i="59"/>
  <c r="E16" i="59" s="1"/>
  <c r="N13" i="75"/>
  <c r="N14" i="75"/>
  <c r="N12" i="75"/>
  <c r="B16" i="75"/>
  <c r="F16" i="75"/>
  <c r="J16" i="75"/>
  <c r="N5" i="75"/>
  <c r="N6" i="75" s="1"/>
  <c r="B6" i="75"/>
  <c r="T97" i="75"/>
  <c r="E16" i="70"/>
  <c r="G287" i="40"/>
  <c r="F6" i="61"/>
  <c r="E16" i="61" s="1"/>
  <c r="E16" i="73"/>
  <c r="T99" i="75"/>
  <c r="T98" i="75"/>
  <c r="C24" i="75" a="1"/>
  <c r="C24" i="75" s="1"/>
  <c r="K15" i="75" a="1"/>
  <c r="K15" i="75" s="1"/>
  <c r="L15" i="75" s="1"/>
  <c r="G15" i="75" a="1"/>
  <c r="G15" i="75" s="1"/>
  <c r="H15" i="75" s="1"/>
  <c r="C15" i="75" a="1"/>
  <c r="C15" i="75" s="1"/>
  <c r="K14" i="75" a="1"/>
  <c r="K14" i="75" s="1"/>
  <c r="L14" i="75" s="1"/>
  <c r="G14" i="75" a="1"/>
  <c r="G14" i="75" s="1"/>
  <c r="H14" i="75" s="1"/>
  <c r="C14" i="75" a="1"/>
  <c r="C14" i="75" s="1"/>
  <c r="K13" i="75" a="1"/>
  <c r="K13" i="75" s="1"/>
  <c r="L13" i="75" s="1"/>
  <c r="G13" i="75" a="1"/>
  <c r="G13" i="75" s="1"/>
  <c r="H13" i="75" s="1"/>
  <c r="C13" i="75" a="1"/>
  <c r="C13" i="75" s="1"/>
  <c r="K12" i="75" a="1"/>
  <c r="K12" i="75" s="1"/>
  <c r="G12" i="75" a="1"/>
  <c r="G12" i="75" s="1"/>
  <c r="C12" i="75" a="1"/>
  <c r="C12" i="75" s="1"/>
  <c r="K5" i="75" a="1"/>
  <c r="K5" i="75" s="1"/>
  <c r="G5" i="75" a="1"/>
  <c r="G5" i="75" s="1"/>
  <c r="O14" i="73"/>
  <c r="AA13" i="73"/>
  <c r="AA14" i="73" s="1"/>
  <c r="Q13" i="73"/>
  <c r="T14" i="73"/>
  <c r="AB13" i="73"/>
  <c r="AB14" i="73" s="1"/>
  <c r="U13" i="73"/>
  <c r="U14" i="73" s="1"/>
  <c r="W14" i="73"/>
  <c r="Y13" i="73"/>
  <c r="Y14" i="73" s="1"/>
  <c r="O24" i="73"/>
  <c r="AA20" i="73"/>
  <c r="Q20" i="73"/>
  <c r="T24" i="73"/>
  <c r="AB20" i="73"/>
  <c r="U20" i="73"/>
  <c r="W24" i="73"/>
  <c r="Y20" i="73"/>
  <c r="Y24" i="73" s="1"/>
  <c r="AA21" i="73"/>
  <c r="Q21" i="73"/>
  <c r="AC21" i="73" s="1"/>
  <c r="AA22" i="73"/>
  <c r="Q22" i="73"/>
  <c r="AC22" i="73" s="1"/>
  <c r="AA23" i="73"/>
  <c r="Q23" i="73"/>
  <c r="AB23" i="73"/>
  <c r="U23" i="73"/>
  <c r="AB24" i="73"/>
  <c r="E15" i="73"/>
  <c r="E15" i="70"/>
  <c r="F13" i="63"/>
  <c r="E15" i="61"/>
  <c r="J6" i="55"/>
  <c r="E6" i="52"/>
  <c r="E15" i="52" s="1"/>
  <c r="H23" i="52"/>
  <c r="F5" i="52"/>
  <c r="F6" i="52" s="1"/>
  <c r="E16" i="52" s="1"/>
  <c r="B15" i="52"/>
  <c r="B17" i="50"/>
  <c r="H23" i="50"/>
  <c r="F6" i="50"/>
  <c r="E16" i="50" s="1"/>
  <c r="G88" i="50"/>
  <c r="G87" i="50"/>
  <c r="E15" i="46"/>
  <c r="E16" i="46"/>
  <c r="B11" i="46"/>
  <c r="G86" i="46"/>
  <c r="G85" i="46"/>
  <c r="G64" i="43"/>
  <c r="G63" i="43"/>
  <c r="L206" i="40"/>
  <c r="L205" i="40"/>
  <c r="L204" i="40"/>
  <c r="L203" i="40"/>
  <c r="L202" i="40"/>
  <c r="L201" i="40"/>
  <c r="L200" i="40"/>
  <c r="L199" i="40"/>
  <c r="L198" i="40"/>
  <c r="L197" i="40"/>
  <c r="L196" i="40"/>
  <c r="L195" i="40"/>
  <c r="L194" i="40"/>
  <c r="L193" i="40"/>
  <c r="L192" i="40"/>
  <c r="L191" i="40"/>
  <c r="L190" i="40"/>
  <c r="L189" i="40"/>
  <c r="L188" i="40"/>
  <c r="L187" i="40"/>
  <c r="L186" i="40"/>
  <c r="L185" i="40"/>
  <c r="L184" i="40"/>
  <c r="L183" i="40"/>
  <c r="L182" i="40"/>
  <c r="L181" i="40"/>
  <c r="L180" i="40"/>
  <c r="L179" i="40"/>
  <c r="L178" i="40"/>
  <c r="L177" i="40"/>
  <c r="L176" i="40"/>
  <c r="L175" i="40"/>
  <c r="L151" i="40"/>
  <c r="L150" i="40"/>
  <c r="L149" i="40"/>
  <c r="L148" i="40"/>
  <c r="L147" i="40"/>
  <c r="L146" i="40"/>
  <c r="L145" i="40"/>
  <c r="L144" i="40"/>
  <c r="L143" i="40"/>
  <c r="L142" i="40"/>
  <c r="L141" i="40"/>
  <c r="L140" i="40"/>
  <c r="L139" i="40"/>
  <c r="L138" i="40"/>
  <c r="L137" i="40"/>
  <c r="L136" i="40"/>
  <c r="K127" i="40"/>
  <c r="K126" i="40"/>
  <c r="K125" i="40"/>
  <c r="K124" i="40"/>
  <c r="K117" i="40"/>
  <c r="K116" i="40"/>
  <c r="K115" i="40"/>
  <c r="K113" i="40"/>
  <c r="K111" i="40"/>
  <c r="K110" i="40"/>
  <c r="K84" i="40"/>
  <c r="K83" i="40"/>
  <c r="K81" i="40"/>
  <c r="K79" i="40"/>
  <c r="K74" i="40"/>
  <c r="K73" i="40"/>
  <c r="K71" i="40"/>
  <c r="K70" i="40"/>
  <c r="K69" i="40"/>
  <c r="K67" i="40"/>
  <c r="K66" i="40"/>
  <c r="K65" i="40"/>
  <c r="K64" i="40"/>
  <c r="L63" i="40"/>
  <c r="K63" i="40"/>
  <c r="K61" i="40"/>
  <c r="K60" i="40"/>
  <c r="K59" i="40"/>
  <c r="K47" i="40"/>
  <c r="K46" i="40"/>
  <c r="K45" i="40"/>
  <c r="K43" i="40"/>
  <c r="K42" i="40"/>
  <c r="K41" i="40"/>
  <c r="K40" i="40"/>
  <c r="I6" i="30"/>
  <c r="E15" i="30" s="1"/>
  <c r="J6" i="30"/>
  <c r="F3" i="30"/>
  <c r="G103" i="30"/>
  <c r="F6" i="30"/>
  <c r="E16" i="30" s="1"/>
  <c r="H217" i="40"/>
  <c r="J3" i="40"/>
  <c r="H225" i="40"/>
  <c r="J5" i="40"/>
  <c r="H249" i="40"/>
  <c r="J4" i="40"/>
  <c r="H22" i="30"/>
  <c r="B10" i="30" s="1"/>
  <c r="L192" i="37"/>
  <c r="L191" i="37"/>
  <c r="L190" i="37"/>
  <c r="L189" i="37"/>
  <c r="L188" i="37"/>
  <c r="L187" i="37"/>
  <c r="L186" i="37"/>
  <c r="L185" i="37"/>
  <c r="L184" i="37"/>
  <c r="L183" i="37"/>
  <c r="L182" i="37"/>
  <c r="L181" i="37"/>
  <c r="L180" i="37"/>
  <c r="L179" i="37"/>
  <c r="L178" i="37"/>
  <c r="L177" i="37"/>
  <c r="L176" i="37"/>
  <c r="L175" i="37"/>
  <c r="L174" i="37"/>
  <c r="L150" i="37"/>
  <c r="L149" i="37"/>
  <c r="L148" i="37"/>
  <c r="L147" i="37"/>
  <c r="L146" i="37"/>
  <c r="L145" i="37"/>
  <c r="L144" i="37"/>
  <c r="L143" i="37"/>
  <c r="L142" i="37"/>
  <c r="L141" i="37"/>
  <c r="L140" i="37"/>
  <c r="L139" i="37"/>
  <c r="L138" i="37"/>
  <c r="L137" i="37"/>
  <c r="L136" i="37"/>
  <c r="L135" i="37"/>
  <c r="K126" i="37"/>
  <c r="K125" i="37"/>
  <c r="K124" i="37"/>
  <c r="K123" i="37"/>
  <c r="K116" i="37"/>
  <c r="K115" i="37"/>
  <c r="K114" i="37"/>
  <c r="K112" i="37"/>
  <c r="K110" i="37"/>
  <c r="K109" i="37"/>
  <c r="K83" i="37"/>
  <c r="K82" i="37"/>
  <c r="K80" i="37"/>
  <c r="K78" i="37"/>
  <c r="K73" i="37"/>
  <c r="K72" i="37"/>
  <c r="K70" i="37"/>
  <c r="K69" i="37"/>
  <c r="K68" i="37"/>
  <c r="K66" i="37"/>
  <c r="K65" i="37"/>
  <c r="K64" i="37"/>
  <c r="K63" i="37"/>
  <c r="L62" i="37"/>
  <c r="K62" i="37"/>
  <c r="K60" i="37"/>
  <c r="K59" i="37"/>
  <c r="K58" i="37"/>
  <c r="K46" i="37"/>
  <c r="K45" i="37"/>
  <c r="K44" i="37"/>
  <c r="K42" i="37"/>
  <c r="K41" i="37"/>
  <c r="K40" i="37"/>
  <c r="K39" i="37"/>
  <c r="K129" i="34"/>
  <c r="K128" i="34"/>
  <c r="K127" i="34"/>
  <c r="K126" i="34"/>
  <c r="K125" i="34"/>
  <c r="K124" i="34"/>
  <c r="K123" i="34"/>
  <c r="K122" i="34"/>
  <c r="K121" i="34"/>
  <c r="K120" i="34"/>
  <c r="K119" i="34"/>
  <c r="K116" i="34"/>
  <c r="K115" i="34"/>
  <c r="K114" i="34"/>
  <c r="K112" i="34"/>
  <c r="K111" i="34"/>
  <c r="K110" i="34"/>
  <c r="K109" i="34"/>
  <c r="L62" i="34"/>
  <c r="K60" i="34"/>
  <c r="K59" i="34"/>
  <c r="K58" i="34"/>
  <c r="K46" i="34"/>
  <c r="K45" i="34"/>
  <c r="K44" i="34"/>
  <c r="K42" i="34"/>
  <c r="K41" i="34"/>
  <c r="K40" i="34"/>
  <c r="K39" i="34"/>
  <c r="K61" i="32"/>
  <c r="K82" i="32"/>
  <c r="K81" i="32"/>
  <c r="K80" i="32"/>
  <c r="K79" i="32"/>
  <c r="K78" i="32"/>
  <c r="K77" i="32"/>
  <c r="K74" i="32"/>
  <c r="K73" i="32"/>
  <c r="K72" i="32"/>
  <c r="K71" i="32"/>
  <c r="K70" i="32"/>
  <c r="K69" i="32"/>
  <c r="K68" i="32"/>
  <c r="K67" i="32"/>
  <c r="K66" i="32"/>
  <c r="K65" i="32"/>
  <c r="K64" i="32"/>
  <c r="K63" i="32"/>
  <c r="K62" i="32"/>
  <c r="K59" i="32"/>
  <c r="K58" i="32"/>
  <c r="K57" i="32"/>
  <c r="K45" i="32"/>
  <c r="K44" i="32"/>
  <c r="K43" i="32"/>
  <c r="K41" i="32"/>
  <c r="K40" i="32"/>
  <c r="K39" i="32"/>
  <c r="K38" i="32"/>
  <c r="L82" i="32"/>
  <c r="L81" i="32"/>
  <c r="L80" i="32"/>
  <c r="L79" i="32"/>
  <c r="L78" i="32"/>
  <c r="L77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O16" i="129" l="1"/>
  <c r="L16" i="129"/>
  <c r="P12" i="129"/>
  <c r="D16" i="129"/>
  <c r="P16" i="129" s="1"/>
  <c r="D6" i="129"/>
  <c r="P5" i="129"/>
  <c r="P6" i="129" s="1"/>
  <c r="P13" i="129"/>
  <c r="P15" i="128"/>
  <c r="P14" i="128"/>
  <c r="P13" i="128"/>
  <c r="L16" i="128"/>
  <c r="H16" i="128"/>
  <c r="D16" i="128"/>
  <c r="P16" i="128" s="1"/>
  <c r="P12" i="128"/>
  <c r="O16" i="128"/>
  <c r="D6" i="128"/>
  <c r="P5" i="128"/>
  <c r="P6" i="128" s="1"/>
  <c r="P15" i="126"/>
  <c r="P14" i="126"/>
  <c r="P13" i="126"/>
  <c r="L16" i="126"/>
  <c r="H16" i="126"/>
  <c r="D16" i="126"/>
  <c r="P16" i="126" s="1"/>
  <c r="P12" i="126"/>
  <c r="O16" i="126"/>
  <c r="D6" i="126"/>
  <c r="P5" i="126"/>
  <c r="P6" i="126" s="1"/>
  <c r="P15" i="124"/>
  <c r="P14" i="124"/>
  <c r="P13" i="124"/>
  <c r="L16" i="124"/>
  <c r="H16" i="124"/>
  <c r="D16" i="124"/>
  <c r="P16" i="124" s="1"/>
  <c r="P12" i="124"/>
  <c r="O16" i="124"/>
  <c r="D6" i="124"/>
  <c r="P5" i="124"/>
  <c r="P6" i="124" s="1"/>
  <c r="P15" i="123"/>
  <c r="P14" i="123"/>
  <c r="P13" i="123"/>
  <c r="L16" i="123"/>
  <c r="H16" i="123"/>
  <c r="D16" i="123"/>
  <c r="P16" i="123" s="1"/>
  <c r="P12" i="123"/>
  <c r="O16" i="123"/>
  <c r="D6" i="123"/>
  <c r="P5" i="123"/>
  <c r="P6" i="123" s="1"/>
  <c r="P15" i="122"/>
  <c r="P14" i="122"/>
  <c r="P13" i="122"/>
  <c r="L16" i="122"/>
  <c r="H16" i="122"/>
  <c r="D16" i="122"/>
  <c r="P16" i="122" s="1"/>
  <c r="P12" i="122"/>
  <c r="O16" i="122"/>
  <c r="D6" i="122"/>
  <c r="P5" i="122"/>
  <c r="P6" i="122" s="1"/>
  <c r="P15" i="117"/>
  <c r="P14" i="117"/>
  <c r="P13" i="117"/>
  <c r="L16" i="117"/>
  <c r="H16" i="117"/>
  <c r="D16" i="117"/>
  <c r="P16" i="117" s="1"/>
  <c r="P12" i="117"/>
  <c r="O16" i="117"/>
  <c r="D6" i="117"/>
  <c r="P5" i="117"/>
  <c r="P6" i="117" s="1"/>
  <c r="P15" i="113"/>
  <c r="P14" i="113"/>
  <c r="P13" i="113"/>
  <c r="L16" i="113"/>
  <c r="H16" i="113"/>
  <c r="D16" i="113"/>
  <c r="P16" i="113" s="1"/>
  <c r="P12" i="113"/>
  <c r="O16" i="113"/>
  <c r="D6" i="113"/>
  <c r="P5" i="113"/>
  <c r="P6" i="113" s="1"/>
  <c r="P15" i="110"/>
  <c r="P14" i="110"/>
  <c r="P13" i="110"/>
  <c r="L16" i="110"/>
  <c r="H16" i="110"/>
  <c r="D16" i="110"/>
  <c r="P16" i="110" s="1"/>
  <c r="P12" i="110"/>
  <c r="O16" i="110"/>
  <c r="D6" i="110"/>
  <c r="P5" i="110"/>
  <c r="P6" i="110" s="1"/>
  <c r="P15" i="108"/>
  <c r="P14" i="108"/>
  <c r="P13" i="108"/>
  <c r="L16" i="108"/>
  <c r="H16" i="108"/>
  <c r="D16" i="108"/>
  <c r="P16" i="108" s="1"/>
  <c r="P12" i="108"/>
  <c r="O16" i="108"/>
  <c r="D6" i="108"/>
  <c r="P5" i="108"/>
  <c r="P6" i="108" s="1"/>
  <c r="P15" i="106"/>
  <c r="P14" i="106"/>
  <c r="P13" i="106"/>
  <c r="L16" i="106"/>
  <c r="H16" i="106"/>
  <c r="D16" i="106"/>
  <c r="P16" i="106" s="1"/>
  <c r="P12" i="106"/>
  <c r="O16" i="106"/>
  <c r="D6" i="106"/>
  <c r="P5" i="106"/>
  <c r="P6" i="106" s="1"/>
  <c r="D6" i="104"/>
  <c r="P5" i="104"/>
  <c r="P6" i="104" s="1"/>
  <c r="P15" i="101"/>
  <c r="P14" i="101"/>
  <c r="P13" i="101"/>
  <c r="L16" i="101"/>
  <c r="H16" i="101"/>
  <c r="D16" i="101"/>
  <c r="P16" i="101" s="1"/>
  <c r="P12" i="101"/>
  <c r="O16" i="101"/>
  <c r="D6" i="101"/>
  <c r="P5" i="101"/>
  <c r="P6" i="101" s="1"/>
  <c r="P15" i="99"/>
  <c r="P14" i="99"/>
  <c r="P13" i="99"/>
  <c r="L16" i="99"/>
  <c r="H16" i="99"/>
  <c r="D16" i="99"/>
  <c r="P16" i="99" s="1"/>
  <c r="P12" i="99"/>
  <c r="O16" i="99"/>
  <c r="D6" i="99"/>
  <c r="P5" i="99"/>
  <c r="P6" i="99" s="1"/>
  <c r="P15" i="90"/>
  <c r="P14" i="90"/>
  <c r="P13" i="90"/>
  <c r="L16" i="90"/>
  <c r="H16" i="90"/>
  <c r="D16" i="90"/>
  <c r="P16" i="90" s="1"/>
  <c r="P12" i="90"/>
  <c r="O16" i="90"/>
  <c r="D6" i="90"/>
  <c r="P5" i="90"/>
  <c r="P6" i="90" s="1"/>
  <c r="P15" i="89"/>
  <c r="P14" i="89"/>
  <c r="P13" i="89"/>
  <c r="L16" i="89"/>
  <c r="H16" i="89"/>
  <c r="D16" i="89"/>
  <c r="P16" i="89" s="1"/>
  <c r="P12" i="89"/>
  <c r="O16" i="89"/>
  <c r="D6" i="89"/>
  <c r="P5" i="89"/>
  <c r="P6" i="89" s="1"/>
  <c r="P15" i="85"/>
  <c r="P14" i="85"/>
  <c r="P13" i="85"/>
  <c r="L16" i="85"/>
  <c r="H16" i="85"/>
  <c r="D16" i="85"/>
  <c r="P16" i="85" s="1"/>
  <c r="P12" i="85"/>
  <c r="O16" i="85"/>
  <c r="D6" i="85"/>
  <c r="P5" i="85"/>
  <c r="P6" i="85" s="1"/>
  <c r="P15" i="81"/>
  <c r="P14" i="81"/>
  <c r="P13" i="81"/>
  <c r="L16" i="81"/>
  <c r="H16" i="81"/>
  <c r="D16" i="81"/>
  <c r="P16" i="81" s="1"/>
  <c r="P12" i="81"/>
  <c r="O16" i="81"/>
  <c r="D6" i="81"/>
  <c r="P5" i="81"/>
  <c r="P6" i="81" s="1"/>
  <c r="C5" i="78" a="1"/>
  <c r="C5" i="78" s="1"/>
  <c r="B5" i="78" a="1"/>
  <c r="B5" i="78" s="1"/>
  <c r="C21" i="78" a="1"/>
  <c r="C21" i="78" s="1"/>
  <c r="B21" i="78" a="1"/>
  <c r="B21" i="78" s="1"/>
  <c r="B22" i="78" s="1"/>
  <c r="K15" i="78" a="1"/>
  <c r="K15" i="78" s="1"/>
  <c r="J15" i="78" a="1"/>
  <c r="J15" i="78" s="1"/>
  <c r="G15" i="78" a="1"/>
  <c r="G15" i="78" s="1"/>
  <c r="F15" i="78" a="1"/>
  <c r="F15" i="78" s="1"/>
  <c r="C15" i="78" a="1"/>
  <c r="C15" i="78" s="1"/>
  <c r="B15" i="78" a="1"/>
  <c r="B15" i="78" s="1"/>
  <c r="K14" i="78" a="1"/>
  <c r="K14" i="78" s="1"/>
  <c r="J14" i="78" a="1"/>
  <c r="J14" i="78" s="1"/>
  <c r="G14" i="78" a="1"/>
  <c r="G14" i="78" s="1"/>
  <c r="F14" i="78" a="1"/>
  <c r="F14" i="78" s="1"/>
  <c r="C14" i="78" a="1"/>
  <c r="C14" i="78" s="1"/>
  <c r="B14" i="78" a="1"/>
  <c r="B14" i="78" s="1"/>
  <c r="K13" i="78" a="1"/>
  <c r="K13" i="78" s="1"/>
  <c r="J13" i="78" a="1"/>
  <c r="J13" i="78" s="1"/>
  <c r="G13" i="78" a="1"/>
  <c r="G13" i="78" s="1"/>
  <c r="F13" i="78" a="1"/>
  <c r="F13" i="78" s="1"/>
  <c r="C13" i="78" a="1"/>
  <c r="C13" i="78" s="1"/>
  <c r="B13" i="78" a="1"/>
  <c r="B13" i="78" s="1"/>
  <c r="K12" i="78" a="1"/>
  <c r="K12" i="78" s="1"/>
  <c r="J12" i="78" a="1"/>
  <c r="J12" i="78" s="1"/>
  <c r="G12" i="78" a="1"/>
  <c r="G12" i="78" s="1"/>
  <c r="F12" i="78" a="1"/>
  <c r="F12" i="78" s="1"/>
  <c r="C12" i="78" a="1"/>
  <c r="C12" i="78" s="1"/>
  <c r="B12" i="78" a="1"/>
  <c r="B12" i="78" s="1"/>
  <c r="K5" i="78" a="1"/>
  <c r="K5" i="78" s="1"/>
  <c r="J5" i="78" a="1"/>
  <c r="J5" i="78" s="1"/>
  <c r="J6" i="78" s="1"/>
  <c r="F5" i="78" a="1"/>
  <c r="F5" i="78" s="1"/>
  <c r="B5" i="77" a="1"/>
  <c r="B5" i="77" s="1"/>
  <c r="K16" i="77"/>
  <c r="O14" i="77"/>
  <c r="O13" i="77"/>
  <c r="O15" i="77"/>
  <c r="C16" i="77"/>
  <c r="G16" i="77"/>
  <c r="O12" i="77"/>
  <c r="O5" i="77"/>
  <c r="O6" i="77" s="1"/>
  <c r="B21" i="77" a="1"/>
  <c r="B21" i="77" s="1"/>
  <c r="J15" i="77" a="1"/>
  <c r="J15" i="77" s="1"/>
  <c r="L15" i="77" s="1"/>
  <c r="F15" i="77" a="1"/>
  <c r="F15" i="77" s="1"/>
  <c r="H15" i="77" s="1"/>
  <c r="B15" i="77" a="1"/>
  <c r="B15" i="77" s="1"/>
  <c r="J14" i="77" a="1"/>
  <c r="J14" i="77" s="1"/>
  <c r="L14" i="77" s="1"/>
  <c r="F14" i="77" a="1"/>
  <c r="F14" i="77" s="1"/>
  <c r="H14" i="77" s="1"/>
  <c r="B14" i="77" a="1"/>
  <c r="B14" i="77" s="1"/>
  <c r="J13" i="77" a="1"/>
  <c r="J13" i="77" s="1"/>
  <c r="L13" i="77" s="1"/>
  <c r="F13" i="77" a="1"/>
  <c r="F13" i="77" s="1"/>
  <c r="H13" i="77" s="1"/>
  <c r="B13" i="77" a="1"/>
  <c r="B13" i="77" s="1"/>
  <c r="J12" i="77" a="1"/>
  <c r="J12" i="77" s="1"/>
  <c r="F12" i="77" a="1"/>
  <c r="F12" i="77" s="1"/>
  <c r="B12" i="77" a="1"/>
  <c r="B12" i="77" s="1"/>
  <c r="J5" i="77" a="1"/>
  <c r="J5" i="77" s="1"/>
  <c r="F5" i="77" a="1"/>
  <c r="F5" i="77" s="1"/>
  <c r="E16" i="55"/>
  <c r="G65" i="43"/>
  <c r="G68" i="43" s="1"/>
  <c r="G87" i="46"/>
  <c r="G90" i="46" s="1"/>
  <c r="N16" i="75"/>
  <c r="G89" i="50"/>
  <c r="G92" i="50" s="1"/>
  <c r="D5" i="75"/>
  <c r="O5" i="75"/>
  <c r="O6" i="75" s="1"/>
  <c r="C6" i="75"/>
  <c r="H5" i="75"/>
  <c r="H6" i="75" s="1"/>
  <c r="G6" i="75"/>
  <c r="L5" i="75"/>
  <c r="L6" i="75" s="1"/>
  <c r="K6" i="75"/>
  <c r="D12" i="75"/>
  <c r="O12" i="75"/>
  <c r="C16" i="75"/>
  <c r="H12" i="75"/>
  <c r="H16" i="75" s="1"/>
  <c r="G16" i="75"/>
  <c r="L12" i="75"/>
  <c r="L16" i="75" s="1"/>
  <c r="K16" i="75"/>
  <c r="D13" i="75"/>
  <c r="P13" i="75" s="1"/>
  <c r="O13" i="75"/>
  <c r="D14" i="75"/>
  <c r="P14" i="75" s="1"/>
  <c r="O14" i="75"/>
  <c r="D15" i="75"/>
  <c r="P15" i="75" s="1"/>
  <c r="O15" i="75"/>
  <c r="D24" i="75"/>
  <c r="D25" i="75" s="1"/>
  <c r="C25" i="75"/>
  <c r="AC23" i="73"/>
  <c r="U24" i="73"/>
  <c r="Q24" i="73"/>
  <c r="AC24" i="73" s="1"/>
  <c r="AC20" i="73"/>
  <c r="AA24" i="73"/>
  <c r="Q14" i="73"/>
  <c r="AC13" i="73"/>
  <c r="AC14" i="73" s="1"/>
  <c r="E16" i="63"/>
  <c r="B11" i="52"/>
  <c r="B10" i="52"/>
  <c r="B11" i="50"/>
  <c r="B10" i="50"/>
  <c r="G104" i="30"/>
  <c r="B11" i="30"/>
  <c r="J6" i="40"/>
  <c r="F4" i="40"/>
  <c r="F3" i="40"/>
  <c r="B6" i="32"/>
  <c r="B5" i="32" a="1"/>
  <c r="B5" i="32" s="1"/>
  <c r="N14" i="78" l="1"/>
  <c r="F16" i="78"/>
  <c r="N13" i="78"/>
  <c r="J16" i="78"/>
  <c r="N15" i="78"/>
  <c r="N5" i="78"/>
  <c r="N6" i="78" s="1"/>
  <c r="B6" i="78"/>
  <c r="D5" i="78"/>
  <c r="O5" i="78"/>
  <c r="O6" i="78" s="1"/>
  <c r="C6" i="78"/>
  <c r="H5" i="78"/>
  <c r="H6" i="78" s="1"/>
  <c r="F6" i="78"/>
  <c r="L5" i="78"/>
  <c r="L6" i="78" s="1"/>
  <c r="K6" i="78"/>
  <c r="N12" i="78"/>
  <c r="B16" i="78"/>
  <c r="D12" i="78"/>
  <c r="O12" i="78"/>
  <c r="C16" i="78"/>
  <c r="H12" i="78"/>
  <c r="G16" i="78"/>
  <c r="L12" i="78"/>
  <c r="K16" i="78"/>
  <c r="D13" i="78"/>
  <c r="O13" i="78"/>
  <c r="H13" i="78"/>
  <c r="L13" i="78"/>
  <c r="D14" i="78"/>
  <c r="O14" i="78"/>
  <c r="H14" i="78"/>
  <c r="L14" i="78"/>
  <c r="D15" i="78"/>
  <c r="O15" i="78"/>
  <c r="H15" i="78"/>
  <c r="L15" i="78"/>
  <c r="D21" i="78"/>
  <c r="D22" i="78" s="1"/>
  <c r="C22" i="78"/>
  <c r="O16" i="77"/>
  <c r="B6" i="77"/>
  <c r="N5" i="77"/>
  <c r="N6" i="77" s="1"/>
  <c r="D5" i="77"/>
  <c r="F6" i="77"/>
  <c r="H5" i="77"/>
  <c r="H6" i="77" s="1"/>
  <c r="J6" i="77"/>
  <c r="L5" i="77"/>
  <c r="L6" i="77" s="1"/>
  <c r="B16" i="77"/>
  <c r="N12" i="77"/>
  <c r="D12" i="77"/>
  <c r="F16" i="77"/>
  <c r="H12" i="77"/>
  <c r="H16" i="77" s="1"/>
  <c r="J16" i="77"/>
  <c r="L12" i="77"/>
  <c r="L16" i="77" s="1"/>
  <c r="N13" i="77"/>
  <c r="D13" i="77"/>
  <c r="P13" i="77" s="1"/>
  <c r="N14" i="77"/>
  <c r="D14" i="77"/>
  <c r="P14" i="77" s="1"/>
  <c r="N15" i="77"/>
  <c r="D15" i="77"/>
  <c r="P15" i="77" s="1"/>
  <c r="B22" i="77"/>
  <c r="D21" i="77"/>
  <c r="D22" i="77" s="1"/>
  <c r="F5" i="40"/>
  <c r="O16" i="75"/>
  <c r="P12" i="75"/>
  <c r="D16" i="75"/>
  <c r="P16" i="75" s="1"/>
  <c r="P5" i="75"/>
  <c r="P6" i="75" s="1"/>
  <c r="D6" i="75"/>
  <c r="G107" i="30"/>
  <c r="J10" i="30"/>
  <c r="N16" i="78" l="1"/>
  <c r="P15" i="78"/>
  <c r="P14" i="78"/>
  <c r="P13" i="78"/>
  <c r="L16" i="78"/>
  <c r="H16" i="78"/>
  <c r="O16" i="78"/>
  <c r="P12" i="78"/>
  <c r="D16" i="78"/>
  <c r="P5" i="78"/>
  <c r="P6" i="78" s="1"/>
  <c r="D6" i="78"/>
  <c r="D16" i="77"/>
  <c r="P16" i="77" s="1"/>
  <c r="P12" i="77"/>
  <c r="N16" i="77"/>
  <c r="D6" i="77"/>
  <c r="P5" i="77"/>
  <c r="P6" i="77" s="1"/>
  <c r="P16" i="7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<sst xmlns="http://schemas.openxmlformats.org/spreadsheetml/2006/main" count="33545" uniqueCount="937">
  <si>
    <t xml:space="preserve">DAY </t>
  </si>
  <si>
    <t>Tanggal</t>
  </si>
  <si>
    <t>Delivery</t>
  </si>
  <si>
    <t>Vendor</t>
  </si>
  <si>
    <t>FO Number</t>
  </si>
  <si>
    <t>Name ship-to party</t>
  </si>
  <si>
    <t>Net Weight</t>
  </si>
  <si>
    <t>Total Weight</t>
  </si>
  <si>
    <t>Plat NO</t>
  </si>
  <si>
    <t>Telp</t>
  </si>
  <si>
    <t>15/08/2025</t>
  </si>
  <si>
    <t>YUSHAR</t>
  </si>
  <si>
    <t>PT. KEMASAN INDAH SEJAHTERA</t>
  </si>
  <si>
    <t>BANTEN</t>
  </si>
  <si>
    <t>B 9253 KYZ</t>
  </si>
  <si>
    <t>B 9918 KYT</t>
  </si>
  <si>
    <t>ASADA MITRA PACKINDO, PT</t>
  </si>
  <si>
    <t>BALARAJA - TANGERANG</t>
  </si>
  <si>
    <t xml:space="preserve">B 9946 KIT </t>
  </si>
  <si>
    <t>B 9398 KYZ</t>
  </si>
  <si>
    <t>B 9657 KYZ</t>
  </si>
  <si>
    <t>B 9026 PFA</t>
  </si>
  <si>
    <t>18/08/2025</t>
  </si>
  <si>
    <t xml:space="preserve">YUSHAR </t>
  </si>
  <si>
    <t>PT.ALKINDO NARATAMA Tbk</t>
  </si>
  <si>
    <t>KAB. BANDUNG BARAT,JAWA BARAT</t>
  </si>
  <si>
    <t>B 9681 PDC</t>
  </si>
  <si>
    <t>SILOG</t>
  </si>
  <si>
    <t>PT MULIAPRIMA PACKINDO</t>
  </si>
  <si>
    <t>BEKASI</t>
  </si>
  <si>
    <t>K 8465 OD</t>
  </si>
  <si>
    <t>W 9818 UK</t>
  </si>
  <si>
    <t xml:space="preserve">B 9877 UDG </t>
  </si>
  <si>
    <t xml:space="preserve">B 9345 KYV </t>
  </si>
  <si>
    <t>ALIEF</t>
  </si>
  <si>
    <t xml:space="preserve">B 9996 TIS </t>
  </si>
  <si>
    <t>PT. SETIAJAYA KEMASINDO MADYA</t>
  </si>
  <si>
    <t>TANGERANG</t>
  </si>
  <si>
    <t>B 9946 KIT</t>
  </si>
  <si>
    <t>18.08.2025</t>
  </si>
  <si>
    <t>PT. ADINA MULTI WAHANA</t>
  </si>
  <si>
    <t>B 9332 KYZ</t>
  </si>
  <si>
    <t>PT MULTI ARTHA ABADI</t>
  </si>
  <si>
    <t>19/08/2025</t>
  </si>
  <si>
    <t>BANDUNG</t>
  </si>
  <si>
    <t>S 9164 UH</t>
  </si>
  <si>
    <t>MULTI ARTHA ABADI, PT</t>
  </si>
  <si>
    <t xml:space="preserve">KB 8001 HC </t>
  </si>
  <si>
    <t>PT. TRISTAR MAKMUR KARTONINDO, GD</t>
  </si>
  <si>
    <t>ETI</t>
  </si>
  <si>
    <t>KARAWACI - TANGERANG</t>
  </si>
  <si>
    <t>Yushar</t>
  </si>
  <si>
    <t>BALARAJA</t>
  </si>
  <si>
    <t>B 9841 FYV</t>
  </si>
  <si>
    <t xml:space="preserve">alief </t>
  </si>
  <si>
    <t>B 9697 WW</t>
  </si>
  <si>
    <t>Transindo</t>
  </si>
  <si>
    <t xml:space="preserve">B 9947 NU </t>
  </si>
  <si>
    <t>CGL</t>
  </si>
  <si>
    <t>CIKUPA</t>
  </si>
  <si>
    <t>B 9086 PYX</t>
  </si>
  <si>
    <t xml:space="preserve">silog </t>
  </si>
  <si>
    <t>S 9843 UE</t>
  </si>
  <si>
    <t>S 8875 UE</t>
  </si>
  <si>
    <t>eti</t>
  </si>
  <si>
    <t>B 9755 UYZ</t>
  </si>
  <si>
    <t>cgl</t>
  </si>
  <si>
    <t>B 9083 PYX</t>
  </si>
  <si>
    <t>CIKARANG</t>
  </si>
  <si>
    <t xml:space="preserve">B 9165 TIW </t>
  </si>
  <si>
    <t>PT. GLOBAL PAPYRUS SEMESTA</t>
  </si>
  <si>
    <t>KAB. BANDUNG</t>
  </si>
  <si>
    <t>B 9166 TIW</t>
  </si>
  <si>
    <t xml:space="preserve">S 8818 UE </t>
  </si>
  <si>
    <t>S 8817 UE</t>
  </si>
  <si>
    <t>TIDAK ADA</t>
  </si>
  <si>
    <t>S 8425 OD</t>
  </si>
  <si>
    <t>B 9169 TIW</t>
  </si>
  <si>
    <t>B 9087 PYX</t>
  </si>
  <si>
    <t>RPK (wb)</t>
  </si>
  <si>
    <t>T 8034 EL</t>
  </si>
  <si>
    <t>K 8386 OD</t>
  </si>
  <si>
    <t xml:space="preserve">ALIEF </t>
  </si>
  <si>
    <t xml:space="preserve">B 9167 TIW </t>
  </si>
  <si>
    <t>PT.HEXA PRIMA PERSADA</t>
  </si>
  <si>
    <t>B 9165 TIW</t>
  </si>
  <si>
    <t>S 8879 UE</t>
  </si>
  <si>
    <t xml:space="preserve">PT MULIAPRIMA PACKINDO  </t>
  </si>
  <si>
    <t>BONGKAR SABTU 23.08</t>
  </si>
  <si>
    <t>S 8925 UE</t>
  </si>
  <si>
    <t>S 8839 UE</t>
  </si>
  <si>
    <t xml:space="preserve">ALIEF  </t>
  </si>
  <si>
    <t xml:space="preserve">BONGKAR SENIN </t>
  </si>
  <si>
    <t>BONGKAR SENIN</t>
  </si>
  <si>
    <t>HOLD</t>
  </si>
  <si>
    <t>PT. HEXA PRIMA PERSADA</t>
  </si>
  <si>
    <t xml:space="preserve">TRANSINDO BOOKED </t>
  </si>
  <si>
    <t xml:space="preserve">ALIEF KONTRAK BOOKED </t>
  </si>
  <si>
    <t>YUSHAR (TRAILER)</t>
  </si>
  <si>
    <t>24140142 </t>
  </si>
  <si>
    <t>PT. CAKRAWALA CEMERLANG BOX(MOJOKERTO)</t>
  </si>
  <si>
    <t>B9684SEH</t>
  </si>
  <si>
    <t>SILOG (TAILER)</t>
  </si>
  <si>
    <t>24140144 </t>
  </si>
  <si>
    <t>BONGKAR SELASA</t>
  </si>
  <si>
    <t xml:space="preserve">S 9392 UH </t>
  </si>
  <si>
    <t>YUSHAR (TRONTON)</t>
  </si>
  <si>
    <r>
      <rPr>
        <b/>
        <sz val="11"/>
        <color rgb="FF000000"/>
        <rFont val="Calibri"/>
        <family val="2"/>
      </rPr>
      <t xml:space="preserve">24140145 </t>
    </r>
    <r>
      <rPr>
        <b/>
        <sz val="11"/>
        <color rgb="FFFF0000"/>
        <rFont val="Calibri"/>
        <family val="2"/>
      </rPr>
      <t>(sisa 9 ton)</t>
    </r>
  </si>
  <si>
    <t>JAWASURYA KENCANAINDAH, PT (SEMARANG)</t>
  </si>
  <si>
    <t>Silog lossbak</t>
  </si>
  <si>
    <t>24140147 GB</t>
  </si>
  <si>
    <t>PT ANUGRAH ANEKA BOX (JAWA TIMUR GRESIK)</t>
  </si>
  <si>
    <t>Alief</t>
  </si>
  <si>
    <t>KIS</t>
  </si>
  <si>
    <t>SKM</t>
  </si>
  <si>
    <t>Silog</t>
  </si>
  <si>
    <t>KIS TANGERANG</t>
  </si>
  <si>
    <t>RPK</t>
  </si>
  <si>
    <t xml:space="preserve">DUNEX WB </t>
  </si>
  <si>
    <t>PT. PARAMITRA GUNAKARYA CEMERLANG</t>
  </si>
  <si>
    <t>B 9105 UEV</t>
  </si>
  <si>
    <t>PT. KATI KARTIKA MURNI</t>
  </si>
  <si>
    <t xml:space="preserve">ELANG </t>
  </si>
  <si>
    <t xml:space="preserve">B 9969 UEV </t>
  </si>
  <si>
    <t>DUNEX</t>
  </si>
  <si>
    <t xml:space="preserve">MULTI ARTHA </t>
  </si>
  <si>
    <t>DUNEX WB</t>
  </si>
  <si>
    <t>ALIEF kontrak</t>
  </si>
  <si>
    <t>TRAILER</t>
  </si>
  <si>
    <t>PT. CAKRAWALA CEMERLANG BOX</t>
  </si>
  <si>
    <t>JAWASURYA KENCANAINDAH, PT</t>
  </si>
  <si>
    <t>DAYACIPTA KEMASINDO, PT (GD) CIBITUNG</t>
  </si>
  <si>
    <t>PT. DAYACIPTA KEMASINDO (GD) KARAWANG</t>
  </si>
  <si>
    <t>yushar</t>
  </si>
  <si>
    <t>PT. APP PURINUSA EKAPERSADA</t>
  </si>
  <si>
    <t>PT DAYACIPTA KEMASINDO TANGERANG</t>
  </si>
  <si>
    <t>PT. HEXA PRIMA PERSADA tgr</t>
  </si>
  <si>
    <t>TRANSINDO</t>
  </si>
  <si>
    <t>B 9947 NU</t>
  </si>
  <si>
    <t>DUNEX MENTOK</t>
  </si>
  <si>
    <t>B 9106 UEV</t>
  </si>
  <si>
    <t>B 9055 SYN</t>
  </si>
  <si>
    <t>B 9060 SYN</t>
  </si>
  <si>
    <t xml:space="preserve">B 9713 UEV </t>
  </si>
  <si>
    <t xml:space="preserve">B 9286 UEX </t>
  </si>
  <si>
    <t xml:space="preserve"> S 9408 UH</t>
  </si>
  <si>
    <t>alief</t>
  </si>
  <si>
    <t xml:space="preserve">PT. APP PURINUSA EKAPERSADA SUBANG </t>
  </si>
  <si>
    <t>SIBA SURYA</t>
  </si>
  <si>
    <t xml:space="preserve">KHASAN SATORI </t>
  </si>
  <si>
    <t>PT. APP PURINUSA EKAPERSADA BANDUNG</t>
  </si>
  <si>
    <t xml:space="preserve">DUNEX </t>
  </si>
  <si>
    <t>ELANG</t>
  </si>
  <si>
    <t>siba</t>
  </si>
  <si>
    <t>PT. DAYACIPTA KEMASINDO (GD)</t>
  </si>
  <si>
    <t>PT. APP PURINUSA EKAPERSADA BGD</t>
  </si>
  <si>
    <t>PT. APP PURINUSA EKAPERSADA SBG</t>
  </si>
  <si>
    <t xml:space="preserve">SILOG  </t>
  </si>
  <si>
    <t>PT. APP PURINUSA EKAPERSADA SUBANG</t>
  </si>
  <si>
    <t>PT. KATI KARTIKA MURNI TGR</t>
  </si>
  <si>
    <t>PT. KATI KARTIKA MURNI CKR</t>
  </si>
  <si>
    <t>PT DAYACIPTA KEMASINDO TGR</t>
  </si>
  <si>
    <t>BIMARUNA  trailer</t>
  </si>
  <si>
    <t>ALIEF bongkar sabtu</t>
  </si>
  <si>
    <t xml:space="preserve">ALIEF bongkar sabtu </t>
  </si>
  <si>
    <t>PT. APP PURINUSA EKAPERSADA BDG</t>
  </si>
  <si>
    <t xml:space="preserve">SILOG sabtu </t>
  </si>
  <si>
    <t>SILOG bongkar senin</t>
  </si>
  <si>
    <t>ALIEF bongkar senin</t>
  </si>
  <si>
    <t xml:space="preserve">ALIEF bongkar senin </t>
  </si>
  <si>
    <t>RPK bongkar sabtu</t>
  </si>
  <si>
    <t>PT. APP PURINUSA EKAPERSADA  BGD</t>
  </si>
  <si>
    <t>BIMARUNA TRL</t>
  </si>
  <si>
    <t>PT. CAKRAWALA CEMERLANG BOX MOJOKERTO</t>
  </si>
  <si>
    <t>PT. ANUGRAH ANEKABOX gresik</t>
  </si>
  <si>
    <t>SIBA</t>
  </si>
  <si>
    <t>JAWASURYA KENCANAINDAH, PT semarang</t>
  </si>
  <si>
    <t>24140260 WB</t>
  </si>
  <si>
    <t xml:space="preserve">24140261 WB </t>
  </si>
  <si>
    <t>PT. PARAMITRA GUNAKARYA CEMERLANG SENTUL</t>
  </si>
  <si>
    <t>24140262 WB</t>
  </si>
  <si>
    <t>PT. APP PURINUSA EKAPERSADA sbg</t>
  </si>
  <si>
    <t>PT MALABA</t>
  </si>
  <si>
    <t>24140267 WB</t>
  </si>
  <si>
    <t>MULTIBOX INDAH, PT TGR</t>
  </si>
  <si>
    <t>PT KARYA INDAH MULTIGUNA</t>
  </si>
  <si>
    <t>DELIVERY PLAN JUMAT 8/29/2025</t>
  </si>
  <si>
    <t>Carry Over</t>
  </si>
  <si>
    <t>NEW CREATE / BKD</t>
  </si>
  <si>
    <t>BELUM BOOKING</t>
  </si>
  <si>
    <t xml:space="preserve">TOTAL PLAN  </t>
  </si>
  <si>
    <t>*PLAN</t>
  </si>
  <si>
    <t>*AKTUAL</t>
  </si>
  <si>
    <t>DATE</t>
  </si>
  <si>
    <t>AREA</t>
  </si>
  <si>
    <t>QTY TRUCK</t>
  </si>
  <si>
    <t>TONASE (MT)</t>
  </si>
  <si>
    <t xml:space="preserve">TRAILER </t>
  </si>
  <si>
    <t>TRUCK PLAN</t>
  </si>
  <si>
    <t>JABODETABEK</t>
  </si>
  <si>
    <t>TRONTON</t>
  </si>
  <si>
    <t>TRUCK AVAILABLE</t>
  </si>
  <si>
    <t xml:space="preserve">*Sudah terkonfirmasi </t>
  </si>
  <si>
    <t>JAWA TENGAH</t>
  </si>
  <si>
    <t>MASUK</t>
  </si>
  <si>
    <t>JAWA TIMUR</t>
  </si>
  <si>
    <t>BRJ</t>
  </si>
  <si>
    <t>BELUM MASUK</t>
  </si>
  <si>
    <t>TOTAL PLAN</t>
  </si>
  <si>
    <t>KEKURANGAN TRUCK</t>
  </si>
  <si>
    <t xml:space="preserve">*2 TRAILER </t>
  </si>
  <si>
    <t xml:space="preserve">SN </t>
  </si>
  <si>
    <t>TOTAL WEIGHT</t>
  </si>
  <si>
    <t>TRUCK TYPE</t>
  </si>
  <si>
    <t>QTY KEBUTUHAN</t>
  </si>
  <si>
    <t>KETERSEDIAAN</t>
  </si>
  <si>
    <t xml:space="preserve">GATE IN </t>
  </si>
  <si>
    <t>GATE OUT</t>
  </si>
  <si>
    <t>01.09.2025</t>
  </si>
  <si>
    <t>PT. KATI KARTIKA MURNI CIKARANG</t>
  </si>
  <si>
    <t xml:space="preserve">TRONTON </t>
  </si>
  <si>
    <t>02.09.2025</t>
  </si>
  <si>
    <t>DAYACIPTA KEMASINDO, PT (GD) Cibitung</t>
  </si>
  <si>
    <t>PT.SANTOSO JAWI (GD) SIDOARJO</t>
  </si>
  <si>
    <t>PT. APP PURINUSA EKAPERSADA DEMAK</t>
  </si>
  <si>
    <t>PT. APP PURINUSA EKAPERSADA SEMARANG</t>
  </si>
  <si>
    <t>PT. APP PURINUSA EKAPERSADA BAWEN</t>
  </si>
  <si>
    <t xml:space="preserve">SIBA SURYA </t>
  </si>
  <si>
    <t>-</t>
  </si>
  <si>
    <t>03.09.2025</t>
  </si>
  <si>
    <t>PT. HEXA PRIMA PERSADA TGR</t>
  </si>
  <si>
    <t>JAWASURYA KENCANAINDAH, PT SEMARANG</t>
  </si>
  <si>
    <t>BATAL MUAT</t>
  </si>
  <si>
    <t>03.09.2025 carry over</t>
  </si>
  <si>
    <t>03.09.2025 Carry Over lom GI</t>
  </si>
  <si>
    <t>JAWASURYA KENCANAINDAH, PT SMG</t>
  </si>
  <si>
    <t>PT. CAKRAWALA CEMERLANG BOX MOJO</t>
  </si>
  <si>
    <t>04.09.2025</t>
  </si>
  <si>
    <t>05.09.2025</t>
  </si>
  <si>
    <t>CIPTA MULTI BUANA PERKASA, PT JKBR</t>
  </si>
  <si>
    <t>PT. TRISTAR MAKMUR KARTONINDO, GD CKR</t>
  </si>
  <si>
    <t>07.09.2025</t>
  </si>
  <si>
    <t>MULTI ARTHA ABADI, PT TGR</t>
  </si>
  <si>
    <t>PT. GLOBAL PAPYRUS SEMESTA BANDUNG</t>
  </si>
  <si>
    <t>KETERANGAN :</t>
  </si>
  <si>
    <t>*YG DIBOLD BELUM MASUK</t>
  </si>
  <si>
    <t>*KUNING SUDAH MASUK</t>
  </si>
  <si>
    <t>PLAN AREA</t>
  </si>
  <si>
    <t>*CARRY OVER  0</t>
  </si>
  <si>
    <t>KURANG TRUCK</t>
  </si>
  <si>
    <t>*TRAILER</t>
  </si>
  <si>
    <t>SLS</t>
  </si>
  <si>
    <t>CHANGE BATAL MUAT</t>
  </si>
  <si>
    <t>PT. ANUGRAH ANEKABOX GRESIK</t>
  </si>
  <si>
    <t>PT. KEMASAN INDAH SEJAHTERA TGR</t>
  </si>
  <si>
    <t>08.09.2025</t>
  </si>
  <si>
    <t>=</t>
  </si>
  <si>
    <t>CIPTA MULTI BUANA PERKASA, PT</t>
  </si>
  <si>
    <t>09.09.2025</t>
  </si>
  <si>
    <t>PT. APP PURINUSA EKAPERSADA SMG</t>
  </si>
  <si>
    <t>PT. APP PURINUSA EKAPERSADA  BDG</t>
  </si>
  <si>
    <t>PT. GLOBAL PAPYRUS SEMESTA BDG</t>
  </si>
  <si>
    <t>yang tulisannya merah maksunya apa?</t>
  </si>
  <si>
    <t>TIME</t>
  </si>
  <si>
    <t>*NEXTDAY 4 *AMBIL SENDIRI 3 *CROVER 4</t>
  </si>
  <si>
    <t>SUDAH MASUK</t>
  </si>
  <si>
    <t>TOTAL</t>
  </si>
  <si>
    <t>CARRY OVER  4</t>
  </si>
  <si>
    <t>*3TRAILER *2TRONTON</t>
  </si>
  <si>
    <t>AMBIL SENDIRI 3</t>
  </si>
  <si>
    <t>NEXT DAY 4</t>
  </si>
  <si>
    <t>Date MLS</t>
  </si>
  <si>
    <t>08.09.2025 lom GI  Cr over</t>
  </si>
  <si>
    <t>BAKTI</t>
  </si>
  <si>
    <t>08.09.2025 lom GI Cr over</t>
  </si>
  <si>
    <t>08.09.2025 Blm GI  Cr over</t>
  </si>
  <si>
    <t>08.09.2025 Blm GI Cr over</t>
  </si>
  <si>
    <t>PT KATI KARTIKA MURNI TGR</t>
  </si>
  <si>
    <t xml:space="preserve">PT. APP PURINUSA EKAPERSADA SBG </t>
  </si>
  <si>
    <t>Elang</t>
  </si>
  <si>
    <t xml:space="preserve"> MASUK</t>
  </si>
  <si>
    <t>CIPTA MULTI BUANA PERKASA, PT JKBAR</t>
  </si>
  <si>
    <t xml:space="preserve">BAKTI </t>
  </si>
  <si>
    <t>PT. APP PURINUSA EKAPERSADA demak</t>
  </si>
  <si>
    <t>PT. APP PURINUSA EKAPERSADA bandung</t>
  </si>
  <si>
    <t>09.09.2025 BLM GI NEXT DAY</t>
  </si>
  <si>
    <t>10.09.2025</t>
  </si>
  <si>
    <t>TFT</t>
  </si>
  <si>
    <t>10.09.2025 NEXTDAY</t>
  </si>
  <si>
    <t>PABOXIN SIDOARJO</t>
  </si>
  <si>
    <t>PT. ADINA MULTI WAHANA TANGERANG</t>
  </si>
  <si>
    <t xml:space="preserve">10.09.2025 </t>
  </si>
  <si>
    <t>11.09.2025 CR OVER</t>
  </si>
  <si>
    <t>PT. ADINA MULTI WAHANA TGR</t>
  </si>
  <si>
    <t>11.09.2025</t>
  </si>
  <si>
    <t>PT KATI KARTIKA MURNI</t>
  </si>
  <si>
    <t>PT OJI SINAR MAS PACKAGING CKR</t>
  </si>
  <si>
    <t>PT KARYA INDAH MULTIGUNA AMBIL SENDIRI</t>
  </si>
  <si>
    <t>11.09.2025 AMBIL SENDIRI</t>
  </si>
  <si>
    <t>11.09.2025 NEXT DAY</t>
  </si>
  <si>
    <t xml:space="preserve">DAYACIPTA KEMASINDO, PT (GD) CIBITUNG </t>
  </si>
  <si>
    <t>CIPTA MULTI BUANA PERKASA, PT CKR JKBR</t>
  </si>
  <si>
    <t>PT. PARAMITRA GUNAKARYA CEMERLANG BGR</t>
  </si>
  <si>
    <t>PT PABRIK KERTAS TJIWI KIMIA</t>
  </si>
  <si>
    <t>* KUNING SUDAH GATE IN</t>
  </si>
  <si>
    <t>TRUCK TYPE TODAY</t>
  </si>
  <si>
    <t>CR OVER/AMBIL SENDIRI/NEXT DAY</t>
  </si>
  <si>
    <t>ALL PLAN TODAY</t>
  </si>
  <si>
    <t xml:space="preserve">PLANNING </t>
  </si>
  <si>
    <t>JAM 7 PAGI - JAM 3 SORE</t>
  </si>
  <si>
    <t>NEXT DAY</t>
  </si>
  <si>
    <t>***CANCEL DN 3331551460, 3331548644 (JASKIN), 458, 459, 466, 468, 469, 492*** (TJIWI KIMIA)</t>
  </si>
  <si>
    <t xml:space="preserve">TOTAL PLAN JAM 7-3 </t>
  </si>
  <si>
    <t>TOTAL PLAN NEXT DAY</t>
  </si>
  <si>
    <t>DIATAS JAM 3 SORE</t>
  </si>
  <si>
    <t>INTER ISLAND</t>
  </si>
  <si>
    <t xml:space="preserve">TRUCK TYPE </t>
  </si>
  <si>
    <t>BATAM</t>
  </si>
  <si>
    <t>HC45</t>
  </si>
  <si>
    <t>JAWA TIMUR NEXTDAY</t>
  </si>
  <si>
    <t xml:space="preserve">DELIVERY RESULT </t>
  </si>
  <si>
    <t>CARRY OVER TONASE</t>
  </si>
  <si>
    <t>TOTAL PLAN JAM 3</t>
  </si>
  <si>
    <t xml:space="preserve">PLAN </t>
  </si>
  <si>
    <t>REALISASI</t>
  </si>
  <si>
    <t>CARRY OVER TRUCK</t>
  </si>
  <si>
    <t>PLAN S/D JAM 3</t>
  </si>
  <si>
    <t>AMBIL SENDIRI KEMARIN</t>
  </si>
  <si>
    <t>ALL PLAN</t>
  </si>
  <si>
    <t>PLAN NEXT DAY</t>
  </si>
  <si>
    <t>NEXT DAY KEMARIN</t>
  </si>
  <si>
    <t>TOTAL MT</t>
  </si>
  <si>
    <t>PLAN INTER ISLAND</t>
  </si>
  <si>
    <t>AMBIL SENDIRI+NEXTDAY TON</t>
  </si>
  <si>
    <t>11.09.2025 BLM GI CR OVER</t>
  </si>
  <si>
    <t xml:space="preserve">11.09.2025 </t>
  </si>
  <si>
    <t>KIM</t>
  </si>
  <si>
    <t>14.09.2025 NEXT DAY</t>
  </si>
  <si>
    <t>JAWA TIMUR NEXT DAY</t>
  </si>
  <si>
    <t>15.09.2025 NEXT DAY</t>
  </si>
  <si>
    <t>JABODETABEK NEXT DAY</t>
  </si>
  <si>
    <t>12.09.2025</t>
  </si>
  <si>
    <t>KEMILAU</t>
  </si>
  <si>
    <t xml:space="preserve">PT. JAWASURYA KENCANAINDAH SMG </t>
  </si>
  <si>
    <t>JAWA TENGAH NEXT DAY</t>
  </si>
  <si>
    <t>13.09.2025 NEXT DAY</t>
  </si>
  <si>
    <t xml:space="preserve">PT. ANUGRAH ANEKABOX GRESIK </t>
  </si>
  <si>
    <t>15.09.2025</t>
  </si>
  <si>
    <t xml:space="preserve"> </t>
  </si>
  <si>
    <t>14.09.2025</t>
  </si>
  <si>
    <t>13.09.2025</t>
  </si>
  <si>
    <t>TPIL</t>
  </si>
  <si>
    <t>PT. ASIA PAPERINDO PERKASA BATAM GB1</t>
  </si>
  <si>
    <t>INTERISLAND</t>
  </si>
  <si>
    <t>PT. ASIA PAPERINDO PERKASA BATAM</t>
  </si>
  <si>
    <t>30.09.2025</t>
  </si>
  <si>
    <t>PT. ASIA PAPERINDO PERKASA</t>
  </si>
  <si>
    <t>PT OJI SINAR MAS PACKAGING</t>
  </si>
  <si>
    <t>12.09.2025 NEXT DAY</t>
  </si>
  <si>
    <t>BLM BOOKING</t>
  </si>
  <si>
    <t>TIARA FAJAR</t>
  </si>
  <si>
    <t>* BIRU BLM BOOKING</t>
  </si>
  <si>
    <t>LUAR PULAU</t>
  </si>
  <si>
    <t>TOTAL SEMUA</t>
  </si>
  <si>
    <t>*PEP BAWEN TRONTON 2 TRAILER 2</t>
  </si>
  <si>
    <t>HIGH CUBE 40</t>
  </si>
  <si>
    <t>PT. KATI KARTIKA MURNI TANGERANG</t>
  </si>
  <si>
    <t xml:space="preserve">PT. APP PURINUSA EKAPERSADA BDG </t>
  </si>
  <si>
    <t>PT. PARAMITRA GUNAKARYA CEMERLANG BOGOR</t>
  </si>
  <si>
    <t>DAYACIPTA KEMASINDO, PT (GD)</t>
  </si>
  <si>
    <t>16.09.2025</t>
  </si>
  <si>
    <t>PT PABRIK KERTAS TJIWI KIMIA SBY</t>
  </si>
  <si>
    <t>16.09.2025 NEXT DAY</t>
  </si>
  <si>
    <t>BLM MASUK</t>
  </si>
  <si>
    <t xml:space="preserve">BLM BOOKING </t>
  </si>
  <si>
    <t>Gudang</t>
  </si>
  <si>
    <t>Gudang FG BM3</t>
  </si>
  <si>
    <t>SJ</t>
  </si>
  <si>
    <t>Tanggal Timbang 1</t>
  </si>
  <si>
    <t>Tanggal Timbang 2</t>
  </si>
  <si>
    <t>DEL NUMBER</t>
  </si>
  <si>
    <t>DATE IN</t>
  </si>
  <si>
    <t>DATE OUT</t>
  </si>
  <si>
    <t>(blank)</t>
  </si>
  <si>
    <t>3331550722; 3331550725</t>
  </si>
  <si>
    <t>Grand Total</t>
  </si>
  <si>
    <t>Report Date</t>
  </si>
  <si>
    <t>DN</t>
  </si>
  <si>
    <t xml:space="preserve">Customer </t>
  </si>
  <si>
    <t xml:space="preserve">Area </t>
  </si>
  <si>
    <t>Transporter</t>
  </si>
  <si>
    <t xml:space="preserve">Nopol </t>
  </si>
  <si>
    <t>Arrived Date</t>
  </si>
  <si>
    <t>SENTUL</t>
  </si>
  <si>
    <t>B 9969 UEV</t>
  </si>
  <si>
    <t>B 9897 UXU</t>
  </si>
  <si>
    <t>B 9971 UEV</t>
  </si>
  <si>
    <t>B 9089 SEU</t>
  </si>
  <si>
    <t>*Next Day 3 DN 3 TRAILER</t>
  </si>
  <si>
    <t>*NEXT DAY 3 Dn (3 TRAILER )</t>
  </si>
  <si>
    <t xml:space="preserve">*TRONTON </t>
  </si>
  <si>
    <t>Date</t>
  </si>
  <si>
    <t>Plan tgl 20 OKT'25  jam 15.00</t>
  </si>
  <si>
    <t>CARGO ADD</t>
  </si>
  <si>
    <t>CARGO NEXT DAY</t>
  </si>
  <si>
    <t>Summary (Plan+ Add + Next Day)</t>
  </si>
  <si>
    <t>KEBUTUHAN</t>
  </si>
  <si>
    <t>Add</t>
  </si>
  <si>
    <t>REMARK</t>
  </si>
  <si>
    <t>Realz update 21 OKT’25 jam 07.00</t>
  </si>
  <si>
    <t>Tgl 20 OKT’25 diatas jam 15.00</t>
  </si>
  <si>
    <t>Tgl 20 OKT’25</t>
  </si>
  <si>
    <t>17.10.2025</t>
  </si>
  <si>
    <t>PT PABRIK KERTAS TJIWI KIMIA SIDOARJO</t>
  </si>
  <si>
    <t>PRODUK</t>
  </si>
  <si>
    <t>JML TRUCK</t>
  </si>
  <si>
    <t>JMLTRUCK</t>
  </si>
  <si>
    <t xml:space="preserve">JML TRUCK  </t>
  </si>
  <si>
    <t>20.10.2025</t>
  </si>
  <si>
    <t>PLAN</t>
  </si>
  <si>
    <t>REALZ</t>
  </si>
  <si>
    <t>GAP</t>
  </si>
  <si>
    <t>ADD</t>
  </si>
  <si>
    <t>PLAN + ADD + NEXT DAY</t>
  </si>
  <si>
    <t>DAYA EKA</t>
  </si>
  <si>
    <t>KREASI KOTAKMEGAH, PT (GD) DELI SERDANG</t>
  </si>
  <si>
    <t>40 HC</t>
  </si>
  <si>
    <t>BROWN</t>
  </si>
  <si>
    <t>16.10.2025</t>
  </si>
  <si>
    <t>PT. KREASI KOTAKMEGAH MEDAN</t>
  </si>
  <si>
    <t>PT.MULIA GRAND MANUFACTURE GRESIK</t>
  </si>
  <si>
    <t>TRAILER 14 M</t>
  </si>
  <si>
    <t>PT PABRIK KERTAS TJIWI KIMIA MOJOKERTO</t>
  </si>
  <si>
    <t>TRONTON TC</t>
  </si>
  <si>
    <t>AMBIL SENDIRI</t>
  </si>
  <si>
    <t>PT. SENTRAL KEMASINDO TEGUH MOJOKERTO</t>
  </si>
  <si>
    <t>TRAILER 12 M</t>
  </si>
  <si>
    <t>DEWI SRI</t>
  </si>
  <si>
    <t>MITRACITRA MANDIRIOFFSET, PT (GD) MOJOKERTO</t>
  </si>
  <si>
    <t>MBI</t>
  </si>
  <si>
    <t>MULTIBOX INDAH, PT TANGERANG</t>
  </si>
  <si>
    <t>TNJ</t>
  </si>
  <si>
    <t>TRWB</t>
  </si>
  <si>
    <t>21.10.2025</t>
  </si>
  <si>
    <t>PT. JAWASURYA KENCANAINDAH SEMARANG</t>
  </si>
  <si>
    <t>SILOG TC</t>
  </si>
  <si>
    <t>PT.SURINDO TEGUH GEMILANG GRESIK</t>
  </si>
  <si>
    <t>PT. SETIAJAYA KEMASINDO MADYA TANGERANG</t>
  </si>
  <si>
    <t>Plan tgl 17-19 OKT'25  jam 15.00</t>
  </si>
  <si>
    <t>Realz update 20 OKT’25 jam 07.00</t>
  </si>
  <si>
    <t>Tgl 17 OKT’25 diatas jam 15.00</t>
  </si>
  <si>
    <t>Tgl 17 OKT’25</t>
  </si>
  <si>
    <t>31.10.2025</t>
  </si>
  <si>
    <t xml:space="preserve">DAYA EKA </t>
  </si>
  <si>
    <t>13.10.2025</t>
  </si>
  <si>
    <t>14.10.2025</t>
  </si>
  <si>
    <t xml:space="preserve">JAWA TIMUR  </t>
  </si>
  <si>
    <t>MANDALA</t>
  </si>
  <si>
    <t>DEWISRI</t>
  </si>
  <si>
    <t>PRESTIGE</t>
  </si>
  <si>
    <t xml:space="preserve">PT. SENTRAL KEMASINDO TEGUH MOJOKERTO </t>
  </si>
  <si>
    <t xml:space="preserve">*PT. SENTRAL KEMASINDO TEGUH MOJOKERTO </t>
  </si>
  <si>
    <t>SMJ</t>
  </si>
  <si>
    <t>15.10.2025</t>
  </si>
  <si>
    <t>MULTI ARTHA ABADI, PT TANGERANG</t>
  </si>
  <si>
    <t>PT. PARAMITRA GUNAKARYA CEMERLANG BOGOR (KT)</t>
  </si>
  <si>
    <t>PT. CARTONINDUS SUMBERJAYA TANGERANG</t>
  </si>
  <si>
    <t>WING BOX</t>
  </si>
  <si>
    <t>TOTAL PLAN JAM 3 UP</t>
  </si>
  <si>
    <t xml:space="preserve">PT. PARAMITRA GUNAKARYA CEMERLANG BOGOR </t>
  </si>
  <si>
    <t>TPILL</t>
  </si>
  <si>
    <t>CN 40 HC</t>
  </si>
  <si>
    <t>PT. KEDAWUNG SETIA CORRUGATED SURABAYA</t>
  </si>
  <si>
    <t>CIPTA MULTI BUANA PERKASA, PT TGR</t>
  </si>
  <si>
    <t>COKOT SORANGAN</t>
  </si>
  <si>
    <t>PT. UNIVERSAL JASA KEMAS</t>
  </si>
  <si>
    <t>PT. SENTRAL KEMASINDO TEGUH</t>
  </si>
  <si>
    <t>CR OVER/SELF PICKUP/NEXT DAY</t>
  </si>
  <si>
    <t>*2TRAILER KENDAL</t>
  </si>
  <si>
    <t>*MUATJUMAT*</t>
  </si>
  <si>
    <t xml:space="preserve">JAWA TENGAH </t>
  </si>
  <si>
    <t xml:space="preserve">JAWA TIMUR </t>
  </si>
  <si>
    <t>16.09.2025 CR OVER</t>
  </si>
  <si>
    <t>17.09.2025</t>
  </si>
  <si>
    <t>PT. KATI KARTIKA MURNI TANGERANG TANGERANG</t>
  </si>
  <si>
    <t>18.09.2025</t>
  </si>
  <si>
    <t>PT. UNIVERSAL JASA KEMAS (GD) PASURUAN</t>
  </si>
  <si>
    <t>PT. KARYA WANGSA INVESTAMA KENDAL</t>
  </si>
  <si>
    <t>PT SENTRALINDO TEGUH GEMILANG BEKASI</t>
  </si>
  <si>
    <t>SENTRALINDO TEGUH GEMILANG, PT (GD) CIKARANG</t>
  </si>
  <si>
    <t>PT. TRISTAR MAKMUR KARTONINDO, GD CIKARANG</t>
  </si>
  <si>
    <t>PT. PUTRA UNIVERSAL CORRUGATED TANGERANG</t>
  </si>
  <si>
    <t>PT. PUTRA UNIVERSAL CORRUGATED TGR</t>
  </si>
  <si>
    <t>SURINDO TEGUH GEMILANG, PT (GD) GRESIK</t>
  </si>
  <si>
    <t>CEK MLS</t>
  </si>
  <si>
    <t>19.09.2025</t>
  </si>
  <si>
    <t>SEMERU</t>
  </si>
  <si>
    <t>PT. UNIVERSAL JASA KEMAS PASURUAN</t>
  </si>
  <si>
    <t>PT KATI KARTIKA MURNI TANGERANG</t>
  </si>
  <si>
    <t>PT. TRISTAR MAKMUR KARTONINDO, GD BEKASI</t>
  </si>
  <si>
    <t>CHANGE DARI BRJ ( 3331553799 )</t>
  </si>
  <si>
    <t>PT. ANUGRAH ANEKABOX &amp; PT. CAKRAWALA CEMERLANG BOX (BONGKAR CCB)</t>
  </si>
  <si>
    <t>PT. ANUGRAH ANEKABOX  GRESIK</t>
  </si>
  <si>
    <t>KEIMILAU</t>
  </si>
  <si>
    <t>20.09.2025</t>
  </si>
  <si>
    <t xml:space="preserve">BRJ </t>
  </si>
  <si>
    <t>21.09.2025</t>
  </si>
  <si>
    <t>PT UNIVERSAL JASA KEMAS PASURUAN</t>
  </si>
  <si>
    <t>22.09.2025</t>
  </si>
  <si>
    <t>23.09.2025</t>
  </si>
  <si>
    <t>DI ATAS JAM 15.00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</si>
  <si>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</si>
  <si>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diatas jam 15.00</t>
  </si>
  <si>
    <t>24.09.2025</t>
  </si>
  <si>
    <t>26.09.2025</t>
  </si>
  <si>
    <t>kim</t>
  </si>
  <si>
    <t>PT. UNIVERSAL JASA KEMAS (GD)</t>
  </si>
  <si>
    <t>SILOG KT</t>
  </si>
  <si>
    <t>BAKTI TRANS</t>
  </si>
  <si>
    <t>PT. PARAMITRA GUNAKARYA CEMERLANG BOGOR (WB)</t>
  </si>
  <si>
    <t>TRONTON WING BOX</t>
  </si>
  <si>
    <t>total</t>
  </si>
  <si>
    <t>basah</t>
  </si>
  <si>
    <t xml:space="preserve">kendal </t>
  </si>
  <si>
    <t>kota kota</t>
  </si>
  <si>
    <t>*TRAILER 2 PEP DEMAK 1 TJWII 1 CCB</t>
  </si>
  <si>
    <t xml:space="preserve">16.09.2025 </t>
  </si>
  <si>
    <t>17.09.2025 CR OVER</t>
  </si>
  <si>
    <t>CR OVER</t>
  </si>
  <si>
    <t>PT KARYA INDAH MULTIGUNA BEKASI</t>
  </si>
  <si>
    <t>PT. APP PURINUSA EKAPERSADA SEMARANG BAWEN</t>
  </si>
  <si>
    <t>BGR</t>
  </si>
  <si>
    <t>25.09.2025</t>
  </si>
  <si>
    <t>YUSHAR, GANTI SILOG</t>
  </si>
  <si>
    <t>PT. APP PURINUSA EKAPERSADA JAWA TENGAH</t>
  </si>
  <si>
    <t>PT. KEMASAN INDAH SEJAHTERA TANGERANG</t>
  </si>
  <si>
    <t>CEK</t>
  </si>
  <si>
    <t>KMI</t>
  </si>
  <si>
    <t>TNJ, GANTI YUSHAR</t>
  </si>
  <si>
    <t>BLM BOOKING, SILOG</t>
  </si>
  <si>
    <t>27.09.2025</t>
  </si>
  <si>
    <t>SEINO, GANTI SILOG</t>
  </si>
  <si>
    <t>28.09.2025</t>
  </si>
  <si>
    <t>BLM BOOKING, TFT</t>
  </si>
  <si>
    <t>BLM BOOKING, YUSHAR</t>
  </si>
  <si>
    <t>PT. MODERN MULTI KEMASINDO TANGERANG</t>
  </si>
  <si>
    <t>DIATAS JAM 15.00</t>
  </si>
  <si>
    <t>KIM AMBIL SENDIRI</t>
  </si>
  <si>
    <t>CARRY OVER KEMARIN</t>
  </si>
  <si>
    <t>CARRY OVER</t>
  </si>
  <si>
    <t>LALA MOVE</t>
  </si>
  <si>
    <t>PT.MITRACITRA MANDIRIOFFSET</t>
  </si>
  <si>
    <t>PT MULIA GRAND MANUFACTURE GRESIK</t>
  </si>
  <si>
    <t>Plan tgl 13 OKT'25  jam 15.00</t>
  </si>
  <si>
    <t>REMAKS</t>
  </si>
  <si>
    <t>DN LAMA</t>
  </si>
  <si>
    <t>Column1</t>
  </si>
  <si>
    <t>Realz update 14 OKT’25 jam 07.00</t>
  </si>
  <si>
    <t>Tgl 13 OKT’25 diatas jam 15.00</t>
  </si>
  <si>
    <t>Tgl 13 OKT’25</t>
  </si>
  <si>
    <t>KAB. DEMAK, JAWA TENGAH</t>
  </si>
  <si>
    <t>PT KONVERTA MITRA ABADI LAMPUNG</t>
  </si>
  <si>
    <t>WB</t>
  </si>
  <si>
    <t xml:space="preserve">SEMESTA </t>
  </si>
  <si>
    <t xml:space="preserve">ANEKA </t>
  </si>
  <si>
    <t>KREASI KOTAKMEGAH, PT (GD)</t>
  </si>
  <si>
    <t>DELI SERDANG</t>
  </si>
  <si>
    <t>07.10.2025</t>
  </si>
  <si>
    <t>SEMARANG</t>
  </si>
  <si>
    <t>PT. JAWASURYA KENCANAINDAH</t>
  </si>
  <si>
    <t>10.10.2025</t>
  </si>
  <si>
    <t>PT OJI SINAR MAS PACKAGING CIKARANG (WB)</t>
  </si>
  <si>
    <t>PT OJI SINAR MAS PACKAGING CIKARANG</t>
  </si>
  <si>
    <t>LOCO</t>
  </si>
  <si>
    <t>Plan tgl 14 OKT'25  jam 15.00</t>
  </si>
  <si>
    <t>Realz update 15 OKT’25 jam 07.00</t>
  </si>
  <si>
    <t>Tgl 14 OKT’25 diatas jam 15.00</t>
  </si>
  <si>
    <t>Tgl 14 OKT’25</t>
  </si>
  <si>
    <t>3331561267, 3331561291</t>
  </si>
  <si>
    <t>TRONTON BOX</t>
  </si>
  <si>
    <t>PT. SURYA PRIMA SEMESTA SIDOARJO</t>
  </si>
  <si>
    <t>NOT PLANNING</t>
  </si>
  <si>
    <t xml:space="preserve">PT. KARYA WANGSA INVESTAMA KENDAL </t>
  </si>
  <si>
    <t>m</t>
  </si>
  <si>
    <t xml:space="preserve">AMBIL SENDIRI </t>
  </si>
  <si>
    <t>Plan tgl 16 OKT'25  jam 15.00</t>
  </si>
  <si>
    <t>Realz update 17 OKT’25 jam 07.00</t>
  </si>
  <si>
    <t>Tgl 16 OKT’25 diatas jam 15.00</t>
  </si>
  <si>
    <t>Tgl 16 OKT’25</t>
  </si>
  <si>
    <t>DATANG JUMAT</t>
  </si>
  <si>
    <t>PT KONVERTA MITRA ABADI</t>
  </si>
  <si>
    <t>TRAILER WB</t>
  </si>
  <si>
    <t>SIDOARJO</t>
  </si>
  <si>
    <t>PT.MULIA GRAND MANUFACTURE</t>
  </si>
  <si>
    <t>Plan tgl 15 OKT'25  jam 15.00</t>
  </si>
  <si>
    <t>Realz update 16 OKT’25 jam 07.00</t>
  </si>
  <si>
    <t>Tgl 15 OKT’25 diatas jam 15.00</t>
  </si>
  <si>
    <t>Tgl 15 OKT’25</t>
  </si>
  <si>
    <t>MULTIBOX INDAH, PT DESA KAREO-TANGERANG</t>
  </si>
  <si>
    <t>ANEKA</t>
  </si>
  <si>
    <t>08.10.2025</t>
  </si>
  <si>
    <t>PT. HEXA PRIMA PERSADA TANGERANG</t>
  </si>
  <si>
    <t>Plan tgl 10-12 OKT'25  jam 15.00</t>
  </si>
  <si>
    <t>Realz update 13 OKT’25 jam 07.00</t>
  </si>
  <si>
    <t>Tgl 10-12 OKT’25 diatas jam 15.00</t>
  </si>
  <si>
    <t>Tgl 10-12 OKT’25</t>
  </si>
  <si>
    <t>09.10.2025</t>
  </si>
  <si>
    <t xml:space="preserve">PT. ASIA PAPERINDO PERKASA </t>
  </si>
  <si>
    <t>SEMESTA</t>
  </si>
  <si>
    <t>PT. UNIVERSAL JASA KEMAS (GD) PASURUAN/UJK2</t>
  </si>
  <si>
    <t xml:space="preserve">PT. UNIVERSAL JASA KEMAS PASURUAN 1 </t>
  </si>
  <si>
    <t xml:space="preserve">JATIM </t>
  </si>
  <si>
    <t>ANEKA, GANTI SEMESTA</t>
  </si>
  <si>
    <t>11.10.2025</t>
  </si>
  <si>
    <t>KIM MASUK MINGGU, GANTI BRJ</t>
  </si>
  <si>
    <t>12.10.2025</t>
  </si>
  <si>
    <t xml:space="preserve">KIM  </t>
  </si>
  <si>
    <t>AMBIL SENDIRI-3</t>
  </si>
  <si>
    <t>PT. MULIA GRAND</t>
  </si>
  <si>
    <t>Plan tgl 30 SEPT'25  jam 15.00</t>
  </si>
  <si>
    <t>Realz update 01 OKT’25 jam 07.00</t>
  </si>
  <si>
    <t>Tgl 30 SEPT’25 diatas jam 15.00</t>
  </si>
  <si>
    <t>Tgl 30 SEPT’25</t>
  </si>
  <si>
    <t>29.09.2025</t>
  </si>
  <si>
    <t xml:space="preserve">PT. UNIVERSAL JASA KEMAS PASURUAN </t>
  </si>
  <si>
    <t xml:space="preserve">PT. UNIVERSAL JASA KEMAS (GD) PASURUAN </t>
  </si>
  <si>
    <t>DILARANG MERUBAH RUMUS YANG ADA !!!!!!</t>
  </si>
  <si>
    <t>SUPAYA TIDAK ERROR (˶ᵔ ᵕ ᵔ˶) WKWK</t>
  </si>
  <si>
    <t>PT.SURINDO TEGUH GEMILANG</t>
  </si>
  <si>
    <t>MITRACITRA MANDIRIOFFSET, PT (GD) MOJO</t>
  </si>
  <si>
    <t>01.10.2025</t>
  </si>
  <si>
    <t>Plan tgl 01 OKT'25  jam 15.00</t>
  </si>
  <si>
    <t>Realz update 02 OKT’25 jam 07.00</t>
  </si>
  <si>
    <t>Tgl 01 OKT’25 diatas jam 15.00</t>
  </si>
  <si>
    <t>Tgl 01 OKT’25</t>
  </si>
  <si>
    <t>PML</t>
  </si>
  <si>
    <t>SIBSUR</t>
  </si>
  <si>
    <t>02.10.2025</t>
  </si>
  <si>
    <t>TRONTON JAWA</t>
  </si>
  <si>
    <t>WINGBOX</t>
  </si>
  <si>
    <t>Plan tgl 02 OKT'25  jam 15.00</t>
  </si>
  <si>
    <t>Realz update 03 OKT’25 jam 07.00</t>
  </si>
  <si>
    <t>Tgl 02 OKT’25 diatas jam 15.00</t>
  </si>
  <si>
    <t>Tgl 02 OKT’25</t>
  </si>
  <si>
    <t xml:space="preserve">JABODETABEK  </t>
  </si>
  <si>
    <t>PT. PARAMITRA GUNAKARYA CEMERLANG bogor</t>
  </si>
  <si>
    <t>03.10.2025</t>
  </si>
  <si>
    <t>JABODETABEK  NEXT DAY</t>
  </si>
  <si>
    <t>SEMESTAH</t>
  </si>
  <si>
    <t>Plan tgl 03-05 OKT'25  jam 15.00</t>
  </si>
  <si>
    <t>Realz update 06 OKT’25 jam 07.00</t>
  </si>
  <si>
    <t>Tgl 03 OKT’25 diatas jam 15.00</t>
  </si>
  <si>
    <t>Tgl 03 OKT’25</t>
  </si>
  <si>
    <t>o</t>
  </si>
  <si>
    <t xml:space="preserve">PT.MULIA GRAND MANUFACTURE GRESIK </t>
  </si>
  <si>
    <t>PT QINGDA MASPION PAPER PRODUCTS</t>
  </si>
  <si>
    <t>PT. KATI KARTIKA MURNI TANNGERANG</t>
  </si>
  <si>
    <t>04.10.2025</t>
  </si>
  <si>
    <t>Plan tgl 06 OKT'25  jam 15.00</t>
  </si>
  <si>
    <t>Realz update 07 OKT’25 jam 07.00</t>
  </si>
  <si>
    <t>Tgl 06 OKT’25 diatas jam 15.00</t>
  </si>
  <si>
    <t>Tgl 06 OKT’25</t>
  </si>
  <si>
    <t>06.10.2025</t>
  </si>
  <si>
    <t>JAWA TENGAH  NEXT DAY</t>
  </si>
  <si>
    <t>SILOG, GANTI TNJ</t>
  </si>
  <si>
    <t>PT. PUTRA UNIVERSAL CORRUGATED</t>
  </si>
  <si>
    <t>PT SENTRALINDO TEGUH GEMILANG BEKASI 1</t>
  </si>
  <si>
    <t>SENTRALINDO TEGUH GEMILANG, PT (GD) CIKARANG 2</t>
  </si>
  <si>
    <t>PT OJI SINAR MAS PACKAGING BEKASI</t>
  </si>
  <si>
    <t>Plan tgl 07 OKT'25  jam 15.00</t>
  </si>
  <si>
    <t>Realz update 08 OKT’25 jam 07.00</t>
  </si>
  <si>
    <t>Tgl 07 OKT’25 diatas jam 15.00</t>
  </si>
  <si>
    <t>Tgl 07 OKT’25</t>
  </si>
  <si>
    <t>PT QINGDA MASPION PAPER PRODUCTS SIDOARJO</t>
  </si>
  <si>
    <t>PT.DONGJU RAYA INDONESIA CIKARANG</t>
  </si>
  <si>
    <t>SENTRALINDO TEGUH GEMILANG, PT (GD) CIKARANG STG 2</t>
  </si>
  <si>
    <t>PT SENTRALINDO TEGUH GEMILANG BEKASI STG 1</t>
  </si>
  <si>
    <t>Plan tgl 08 OKT'25  jam 15.00</t>
  </si>
  <si>
    <t>Realz update 09 OKT’25 jam 07.00</t>
  </si>
  <si>
    <t>Tgl 08 OKT’25 diatas jam 15.00</t>
  </si>
  <si>
    <t>Tgl 08 OKT’25</t>
  </si>
  <si>
    <t xml:space="preserve">PT. APP PURINUSA EKAPERSADA BAWEN </t>
  </si>
  <si>
    <t xml:space="preserve">TFT </t>
  </si>
  <si>
    <t>PT. APP PURINUSA EKAPERSADA DEMAK TRWB</t>
  </si>
  <si>
    <t xml:space="preserve">SILOG </t>
  </si>
  <si>
    <t>PT. APP PURINUSA EKAPERSADA BANDUNG (WING BOX)</t>
  </si>
  <si>
    <t>SENTRALINDO TEGUH GEMILANG, PT (GD) CIKARANG STG 2 (WING BOX)</t>
  </si>
  <si>
    <t>PT. ASIA PAPERINDO PERKASA KOTA BATAM</t>
  </si>
  <si>
    <t>Realz update 14 Nov’25 jam 07.00</t>
  </si>
  <si>
    <t>Tgl 13 Nov’25 diatas jam 15.00</t>
  </si>
  <si>
    <t>Tgl 13 Nov’25</t>
  </si>
  <si>
    <t>30.11.2025</t>
  </si>
  <si>
    <t>10.11.2025</t>
  </si>
  <si>
    <t>KREASI KOTAKMEGAH, PT (GD) medan</t>
  </si>
  <si>
    <t>11.11.2025</t>
  </si>
  <si>
    <t>12.11.2025</t>
  </si>
  <si>
    <t>14.11.2025</t>
  </si>
  <si>
    <t>NEXTDAY + ADD JANGAN LUPA</t>
  </si>
  <si>
    <t>SUMATERA</t>
  </si>
  <si>
    <t>PT. CAKRAWALA CEMERLANG BOX  MOJOKERTO</t>
  </si>
  <si>
    <t>PT. QINGDA MASPION PAPER PRODUCTS SIDOARJO</t>
  </si>
  <si>
    <t>PT. UNIVERSAL JASA KEMAS (GD) pasuruan</t>
  </si>
  <si>
    <t>PT. GLOBAL PAPYRUS SEMESTA SEMARANG</t>
  </si>
  <si>
    <t>LUAR PULAU NEXT DAY</t>
  </si>
  <si>
    <t>15.11.2025</t>
  </si>
  <si>
    <t>16.11.2025</t>
  </si>
  <si>
    <t>JABODETAK</t>
  </si>
  <si>
    <t>KONVERTA MITRA ABADI LAMPUNG</t>
  </si>
  <si>
    <t>KONVERTA LAMPUNG</t>
  </si>
  <si>
    <t>MULTI ARTHA ABADI</t>
  </si>
  <si>
    <t>CARTONIDUS TANGGERANG</t>
  </si>
  <si>
    <t xml:space="preserve">JABODETABEK </t>
  </si>
  <si>
    <t>APP PURINUSA EKAPERSADA</t>
  </si>
  <si>
    <t>KARYA WANGSA KENDAL</t>
  </si>
  <si>
    <t>SENTRALINDO TEGUH GEMILANG</t>
  </si>
  <si>
    <t>PT. KARYA WANGSA INVESTAMA</t>
  </si>
  <si>
    <t>PT. KEDAWUNG SETIA CORRUGATED</t>
  </si>
  <si>
    <t>Plan Delivery 13 Nov'2025</t>
  </si>
  <si>
    <t>06.11.2025</t>
  </si>
  <si>
    <t>masuk</t>
  </si>
  <si>
    <t>13.11.2025</t>
  </si>
  <si>
    <t>HOLD SHIPMENT</t>
  </si>
  <si>
    <t>Plan Delivery 12Nov'2025</t>
  </si>
  <si>
    <t>Realz update 12 Nov’25 jam 07.00</t>
  </si>
  <si>
    <t>Tgl 11 Nov’25 diatas jam 15.00</t>
  </si>
  <si>
    <t>Tgl 11 Nov’25</t>
  </si>
  <si>
    <t>add</t>
  </si>
  <si>
    <t>Plan Delivery 11 Nov'2025</t>
  </si>
  <si>
    <t>05.11.2025</t>
  </si>
  <si>
    <t>PT. APP PURINUSA EKAPERSADA bawen</t>
  </si>
  <si>
    <t>SUMATERA JAYA</t>
  </si>
  <si>
    <t>PT. UNIVERSAL JASA KEMAS (GD) PASURUAN DUA</t>
  </si>
  <si>
    <t>Plan Delivery 07-09 Nov'2025</t>
  </si>
  <si>
    <t>Realz update 10 Nov’25 jam 07.00</t>
  </si>
  <si>
    <t>Tgl 07 Nov’25 diatas jam 15.00</t>
  </si>
  <si>
    <t>Tgl 07 Nov’25</t>
  </si>
  <si>
    <t>03.11.2025</t>
  </si>
  <si>
    <t>07.11.2025</t>
  </si>
  <si>
    <t>08.11.2025</t>
  </si>
  <si>
    <t>09.11.2025</t>
  </si>
  <si>
    <t>Plan Delivery 06 Nov'2025</t>
  </si>
  <si>
    <t>Realz update 07 Nov’25 jam 07.00</t>
  </si>
  <si>
    <t>Tgl 06 Nov’25 diatas jam 15.00</t>
  </si>
  <si>
    <t>Tgl 06 Nov’25</t>
  </si>
  <si>
    <t>04.11.2025</t>
  </si>
  <si>
    <t>PT. ZINYANG INDONESIA BOYOLALI</t>
  </si>
  <si>
    <t>PT. CARTONINDUS SUMBERJAYA</t>
  </si>
  <si>
    <t>PT. KREASI KOTAKMEGAH</t>
  </si>
  <si>
    <t>MEDAN</t>
  </si>
  <si>
    <t>NEXT DAY CN40HC 07</t>
  </si>
  <si>
    <t>Plan Delivery 05 Nov'2025</t>
  </si>
  <si>
    <t>Realz update 06 Nov’25 jam 07.00</t>
  </si>
  <si>
    <t>Tgl 05 Nov’25 diatas jam 15.00</t>
  </si>
  <si>
    <t>Tgl 05 Nov’25</t>
  </si>
  <si>
    <t xml:space="preserve">SUMATERA </t>
  </si>
  <si>
    <t>Plan Delivery 04 Nov'2025</t>
  </si>
  <si>
    <t>Realz update 05 Nov’25 jam 07.00</t>
  </si>
  <si>
    <t>Tgl 04 Nov’25 diatas jam 15.00</t>
  </si>
  <si>
    <t>Tgl 04 Nov’25</t>
  </si>
  <si>
    <t>PT PANCAMITRA PACKINDO TANGERANG</t>
  </si>
  <si>
    <t>PT.DONGJU RAYA INDONESIA CIBITUNG</t>
  </si>
  <si>
    <t>Plan Delivery 03 Nov'2025</t>
  </si>
  <si>
    <t>Realz update 04 Nov’25 jam 07.00</t>
  </si>
  <si>
    <t>Tgl 03 Nov’25 diatas jam 15.00</t>
  </si>
  <si>
    <t>Tgl 03 Nov’25</t>
  </si>
  <si>
    <t>30.10.2025</t>
  </si>
  <si>
    <t xml:space="preserve">Plan Delivery 31 Okt - 02 Nov 2025 </t>
  </si>
  <si>
    <t>Realz update 03 Nov’25 jam 07.00</t>
  </si>
  <si>
    <t>Tgl 02 Nov’25 diatas jam 15.00</t>
  </si>
  <si>
    <t>Tgl 02 Nov’25</t>
  </si>
  <si>
    <t>27.10.2025</t>
  </si>
  <si>
    <t xml:space="preserve">sumatera   </t>
  </si>
  <si>
    <t xml:space="preserve">PT KONVERTA MITRA ABADI LAMPUNG </t>
  </si>
  <si>
    <t>28.10.2025</t>
  </si>
  <si>
    <t>29.10.2025</t>
  </si>
  <si>
    <t>SUMBER BERKAH</t>
  </si>
  <si>
    <t>dewi sri</t>
  </si>
  <si>
    <t>02.11.2025</t>
  </si>
  <si>
    <t>01.11.2025</t>
  </si>
  <si>
    <t>CIPTA MULTI BUANA PERKASA, PT TANGERANG</t>
  </si>
  <si>
    <t>PT. TRISTAR MAKMUR KARTONINDO</t>
  </si>
  <si>
    <t>SENTOSA INDAH</t>
  </si>
  <si>
    <t>PT PINDO DELI PULP AND PAPER MILLS KARAWAMG</t>
  </si>
  <si>
    <t>SAMPLE</t>
  </si>
  <si>
    <t>CDE</t>
  </si>
  <si>
    <t>Plan tgl 30 OKT'25  jam 15.00</t>
  </si>
  <si>
    <t>Realz update 31 OKT’25 jam 07.00</t>
  </si>
  <si>
    <t>Tgl 30 OKT’25 diatas jam 15.00</t>
  </si>
  <si>
    <t>Tgl 30 OKT’25</t>
  </si>
  <si>
    <t>SEINO</t>
  </si>
  <si>
    <t>36,51</t>
  </si>
  <si>
    <t>SUMATERA (MASUK TGL 31)</t>
  </si>
  <si>
    <t>PT SINAR GARUDA MAKMURINDO GRESIK</t>
  </si>
  <si>
    <t>PT. ZINYANG INDONESIA BOYOLALI JAWA TENGAH</t>
  </si>
  <si>
    <t>22.10.2025</t>
  </si>
  <si>
    <t>Plan tgl 29  OKT'25  jam 15.00</t>
  </si>
  <si>
    <t>Realz update 30 OKT’25 jam 07.00</t>
  </si>
  <si>
    <t>Tgl 29 OKT’25 diatas jam 15.00</t>
  </si>
  <si>
    <t>Tgl 29 OKT’25</t>
  </si>
  <si>
    <t>prestige</t>
  </si>
  <si>
    <t xml:space="preserve">40 hc </t>
  </si>
  <si>
    <t>silog</t>
  </si>
  <si>
    <t>PT.MULIA GRAND MANUFACTURE gresik</t>
  </si>
  <si>
    <t>Jawa Timur</t>
  </si>
  <si>
    <t>MULTIBOX INDAH, PT</t>
  </si>
  <si>
    <t>PT KARYA WANGSA INVESTAMA</t>
  </si>
  <si>
    <t>Plan tgl 28  OKT'25  jam 15.00</t>
  </si>
  <si>
    <t>Realz update 29 OKT’25 jam 07.00</t>
  </si>
  <si>
    <t>Tgl 28 OKT’25 diatas jam 15.00</t>
  </si>
  <si>
    <t>Tgl 28 OKT’25</t>
  </si>
  <si>
    <t>24.10.2025</t>
  </si>
  <si>
    <t>PT PABRIK KERTAS TJIWI KIMIA sidoarjo</t>
  </si>
  <si>
    <t>40 hc</t>
  </si>
  <si>
    <t>semesta</t>
  </si>
  <si>
    <t>brj</t>
  </si>
  <si>
    <t>PT SINAR GARUDA MAKMURINDO</t>
  </si>
  <si>
    <t>MITRACITRA MANDIRIOFFSET, PT (GD)</t>
  </si>
  <si>
    <t>SENTRALINDO TEGUH GEMILANG, PT (GD) CIKARANG (STG 2)</t>
  </si>
  <si>
    <t>Plan tgl 23 OKT'25  jam 15.00</t>
  </si>
  <si>
    <t>Realz update 24 OKT’25 jam 07.00</t>
  </si>
  <si>
    <t>Tgl 23 OKT’25 diatas jam 15.00</t>
  </si>
  <si>
    <t>Tgl 23 OKT’25</t>
  </si>
  <si>
    <t>23.10.2025</t>
  </si>
  <si>
    <t>DEWI TRANS</t>
  </si>
  <si>
    <t xml:space="preserve">PT. APP PURINUSA EKAPERSADA DEMAK </t>
  </si>
  <si>
    <t>KARYA MARGA</t>
  </si>
  <si>
    <t>Plan tgl 22 OKT'25  jam 15.00</t>
  </si>
  <si>
    <t>Realz update 23 OKT’25 jam 07.00</t>
  </si>
  <si>
    <t>Tgl 22 OKT’25 diatas jam 15.00</t>
  </si>
  <si>
    <t>Tgl 22 OKT’25</t>
  </si>
  <si>
    <t>SUDAH CETAK IML BELUM TIMBANG 1</t>
  </si>
  <si>
    <t>PT. TRISTAR MAKMUR KARTONINDO CIKARANG</t>
  </si>
  <si>
    <t>Plan tgl 21 OKT'25  jam 15.00</t>
  </si>
  <si>
    <t>Realz update 22 OKT’25 jam 07.00</t>
  </si>
  <si>
    <t>Tgl 21 OKT’25 diatas jam 15.00</t>
  </si>
  <si>
    <t>Tgl 21 OKT’25</t>
  </si>
  <si>
    <t xml:space="preserve">KARYA MARGA </t>
  </si>
  <si>
    <t>25.10.2025</t>
  </si>
  <si>
    <t>PT. APP PURINUSA EKAPERSADA BANDUNG (TRWB)</t>
  </si>
  <si>
    <t>a</t>
  </si>
  <si>
    <t>b</t>
  </si>
  <si>
    <t>c</t>
  </si>
  <si>
    <t>d</t>
  </si>
  <si>
    <t>e</t>
  </si>
  <si>
    <t>f</t>
  </si>
  <si>
    <t>g</t>
  </si>
  <si>
    <t>h</t>
  </si>
  <si>
    <t>TUNGGU GABUNGAN</t>
  </si>
  <si>
    <t>KIRIM TR01 23.10</t>
  </si>
  <si>
    <t>PT SENTRALINDO TEGUH GEMILANG</t>
  </si>
  <si>
    <t>KIRIM TRO1 22.10</t>
  </si>
  <si>
    <t>SENTRALINDO TEGUH GEMILANG, PT (GD)</t>
  </si>
  <si>
    <t>KIRIM TR01 23</t>
  </si>
  <si>
    <t>KIRIM CN40HC 22.10</t>
  </si>
  <si>
    <t>DESA KAREO-TANGERANG</t>
  </si>
  <si>
    <t>AMBIL SENDIRI-1</t>
  </si>
  <si>
    <t>AMBIL SENDIRI-GB-2</t>
  </si>
  <si>
    <t>GRESIK</t>
  </si>
  <si>
    <t>KIRIM TRL1-GB1 23</t>
  </si>
  <si>
    <t>KIRIM TRL1 23.10</t>
  </si>
  <si>
    <t>KAB. BOGOR, JAWA BARAT</t>
  </si>
  <si>
    <t>KIRIM 40HC 22.10</t>
  </si>
  <si>
    <t>KAB. PURWAKARTA, JAWA BARAT</t>
  </si>
  <si>
    <t>HOLD ABNORMAL</t>
  </si>
  <si>
    <t>19.10.2025</t>
  </si>
  <si>
    <t>HOLD INFO CMI</t>
  </si>
  <si>
    <t>KAB. TANGERANG</t>
  </si>
  <si>
    <t>KIRIM TRO1-GB1 22.10</t>
  </si>
  <si>
    <t>KAB.SEMARANG, JAWA TENGAH</t>
  </si>
  <si>
    <t>KIRIM GB1 CN40HC 22</t>
  </si>
  <si>
    <t>KOTA BATAM</t>
  </si>
  <si>
    <t>KOTA BEKASI JAWA BARAT</t>
  </si>
  <si>
    <t>B9923KEH/HOLIL</t>
  </si>
  <si>
    <t>B9894KEH/HARI SAPUTR</t>
  </si>
  <si>
    <t>AMBIL SENDIRI-GB-3</t>
  </si>
  <si>
    <t>AMBIL SENDIRI-GB-4</t>
  </si>
  <si>
    <t>B9915KEH/SUMARJI</t>
  </si>
  <si>
    <t>AMBIL SENDIRI-GB-5</t>
  </si>
  <si>
    <t>PT DAYACIPTA KEMASINDO</t>
  </si>
  <si>
    <t>KOTA TANGERANG BANTEN</t>
  </si>
  <si>
    <t>HOLD R-DN</t>
  </si>
  <si>
    <t>LAMPUNG</t>
  </si>
  <si>
    <t>KIRIM TR03 22.10</t>
  </si>
  <si>
    <t>B9664UIY/RINTO</t>
  </si>
  <si>
    <t>MOJOKERTO</t>
  </si>
  <si>
    <t>KIRIM TRL1 21.10</t>
  </si>
  <si>
    <t>KIRIM 40HC-GB1  22.1</t>
  </si>
  <si>
    <t>KIRIM 40HC-GB1 22.10</t>
  </si>
  <si>
    <t>KIRIM TR01-GB1 23.10</t>
  </si>
  <si>
    <t>Tangerang</t>
  </si>
  <si>
    <t>NEXT DAY TR01 29.10</t>
  </si>
  <si>
    <t>NEXT DAY TR01-GB1 29</t>
  </si>
  <si>
    <t>NEXT DAY TR01 30.10</t>
  </si>
  <si>
    <t>KIRIM TRO1 GB1 23.10</t>
  </si>
  <si>
    <t>Plan tgl 27  OKT'25  jam 15.00</t>
  </si>
  <si>
    <t>Realz update 28 OKT’25 jam 07.00</t>
  </si>
  <si>
    <t>PT SENTRALINDO TEGUH GEMILANG BEKASI (STG 1)</t>
  </si>
  <si>
    <t>Plan tgl 09 OKT'25  jam 15.00</t>
  </si>
  <si>
    <t>Realz update 10 OKT’25 jam 07.00</t>
  </si>
  <si>
    <t>Tgl 09 OKT’25 diatas jam 15.00</t>
  </si>
  <si>
    <t>Tgl 09 OKT’25</t>
  </si>
  <si>
    <t>PT. UNIVERSAL JASA KEMAS (GD) PASURUAN 2</t>
  </si>
  <si>
    <t>PT. DAYACIPTA KEMASINDO (GD) KARWANG</t>
  </si>
  <si>
    <t>Plan tgl 24-26  OKT'25  jam 15.00</t>
  </si>
  <si>
    <t>Realz update 27 OKT’25 jam 07.00</t>
  </si>
  <si>
    <t>Tgl 27 OKT’25 diatas jam 15.00</t>
  </si>
  <si>
    <t>Tgl 27 OKT’25</t>
  </si>
  <si>
    <t xml:space="preserve">SURINDO TEGUH GEMILANG, PT (GD) GRESIK </t>
  </si>
  <si>
    <t>DEWI</t>
  </si>
  <si>
    <t>PT. SARANA PACKAGING AGRAPANA  (GD) LAMONGAN</t>
  </si>
  <si>
    <t>KIM GANTI SILOG</t>
  </si>
  <si>
    <t>MGM GANTI SILOG</t>
  </si>
  <si>
    <t>+</t>
  </si>
  <si>
    <t>5 TRAILER JAWA , 6 TRONTON LAMPUNG</t>
  </si>
  <si>
    <t>Plan tgl 29 SEPT'25  jam 15.00</t>
  </si>
  <si>
    <t>Realz update 29 SEPT’25 jam 07.00</t>
  </si>
  <si>
    <t>Tgl 29 SEPT’25 diatas jam 15.00</t>
  </si>
  <si>
    <t>Tgl 29 SEPT’25</t>
  </si>
  <si>
    <t>JABOTABEK</t>
  </si>
  <si>
    <t>JATENG</t>
  </si>
  <si>
    <t>JATIM</t>
  </si>
  <si>
    <t>AntarPulau</t>
  </si>
  <si>
    <t>PT. CAKRAWALA CEMERLANG BOX mojo</t>
  </si>
  <si>
    <t>BELUM MASUK NEXT DAY</t>
  </si>
  <si>
    <t>SMT</t>
  </si>
  <si>
    <t>30 X 40 HC</t>
  </si>
  <si>
    <t>inputan 21</t>
  </si>
  <si>
    <t>(All)</t>
  </si>
  <si>
    <t>Count of KEBUTUHAN</t>
  </si>
  <si>
    <t>PRESTIGE Total</t>
  </si>
  <si>
    <t>GRAND TOTAL</t>
  </si>
  <si>
    <t>LUAR KOTA TODAY</t>
  </si>
  <si>
    <t>KOTA-KOTA</t>
  </si>
  <si>
    <t>Plan Delivery 14-16 Nov'2025</t>
  </si>
  <si>
    <t>Realz update 14-16 Nov’25 jam 07.00</t>
  </si>
  <si>
    <t>Tgl 14-16 Nov’25 diatas jam 15.00</t>
  </si>
  <si>
    <t>Tgl 14-16 Nov’25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</si>
</sst>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_(* #,##0_);_(* \(#,##0\);_(* &quot;-&quot;??_);_(@_)"/>
    <numFmt numFmtId="166" formatCode="[$-F400]h:mm:ss\ AM/PM"/>
    <numFmt numFmtId="167" formatCode="#,##0;[Red]#,##0"/>
  </numFmts>
  <fonts count="200">
    <font>
      <sz val="11"/>
      <name val="Calibri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b/>
      <sz val="16"/>
      <name val="Calibri"/>
      <family val="2"/>
    </font>
    <font>
      <sz val="11"/>
      <name val="Calibri"/>
      <family val="2"/>
      <charset val="1"/>
    </font>
    <font>
      <sz val="11"/>
      <color rgb="FF242424"/>
      <name val="Aptos Narrow"/>
      <family val="2"/>
    </font>
    <font>
      <b/>
      <i/>
      <sz val="14"/>
      <name val="Calibri"/>
      <family val="2"/>
    </font>
    <font>
      <b/>
      <sz val="11"/>
      <color rgb="FF242424"/>
      <name val="Aptos Narrow"/>
      <family val="2"/>
    </font>
    <font>
      <b/>
      <sz val="10"/>
      <name val="Calibri"/>
      <family val="2"/>
    </font>
    <font>
      <b/>
      <u/>
      <sz val="11"/>
      <name val="Calibri"/>
      <family val="2"/>
    </font>
    <font>
      <b/>
      <sz val="18"/>
      <name val="Calibri"/>
      <family val="2"/>
    </font>
    <font>
      <b/>
      <i/>
      <sz val="14"/>
      <name val="Calibri"/>
      <family val="2"/>
      <charset val="1"/>
    </font>
    <font>
      <b/>
      <i/>
      <sz val="18"/>
      <name val="Calibri"/>
      <family val="2"/>
    </font>
    <font>
      <i/>
      <sz val="11"/>
      <name val="Calibri"/>
      <family val="2"/>
    </font>
    <font>
      <b/>
      <i/>
      <sz val="16"/>
      <name val="Calibri"/>
      <family val="2"/>
    </font>
    <font>
      <b/>
      <i/>
      <sz val="26"/>
      <name val="Calibri"/>
      <family val="2"/>
    </font>
    <font>
      <sz val="11"/>
      <color theme="1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b/>
      <i/>
      <sz val="20"/>
      <name val="Calibri"/>
      <family val="2"/>
    </font>
    <font>
      <b/>
      <sz val="2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b/>
      <i/>
      <sz val="12"/>
      <name val="Calibri"/>
      <family val="2"/>
    </font>
    <font>
      <b/>
      <sz val="12"/>
      <color theme="1"/>
      <name val="Calibri"/>
      <family val="2"/>
    </font>
    <font>
      <b/>
      <sz val="8"/>
      <name val="Calibri"/>
      <family val="2"/>
    </font>
    <font>
      <b/>
      <i/>
      <sz val="18"/>
      <name val="Calibri"/>
      <family val="2"/>
      <charset val="1"/>
    </font>
    <font>
      <b/>
      <u/>
      <sz val="16"/>
      <name val="Calibri"/>
      <family val="2"/>
    </font>
    <font>
      <b/>
      <sz val="20"/>
      <color theme="1"/>
      <name val="Calibri"/>
      <family val="2"/>
    </font>
    <font>
      <b/>
      <i/>
      <u/>
      <sz val="11"/>
      <color rgb="FF242424"/>
      <name val="Aptos Narrow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b/>
      <i/>
      <u/>
      <sz val="11"/>
      <color rgb="FF000000"/>
      <name val="Calibri"/>
      <family val="2"/>
    </font>
    <font>
      <b/>
      <i/>
      <sz val="12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9" tint="0.39997558519241921"/>
      <name val="Calibri"/>
      <family val="2"/>
    </font>
    <font>
      <sz val="11"/>
      <color theme="9" tint="0.39997558519241921"/>
      <name val="Calibri"/>
      <family val="2"/>
    </font>
    <font>
      <sz val="11"/>
      <color theme="9" tint="0.39997558519241921"/>
      <name val="Calibri"/>
      <family val="2"/>
      <charset val="1"/>
    </font>
    <font>
      <b/>
      <sz val="12"/>
      <color theme="9" tint="0.39997558519241921"/>
      <name val="Calibri"/>
      <family val="2"/>
    </font>
    <font>
      <b/>
      <sz val="11"/>
      <color theme="8" tint="-0.499984740745262"/>
      <name val="Calibri"/>
      <family val="2"/>
    </font>
    <font>
      <b/>
      <sz val="11"/>
      <color theme="8" tint="-0.499984740745262"/>
      <name val="Calibri"/>
      <family val="2"/>
      <charset val="1"/>
    </font>
    <font>
      <b/>
      <sz val="12"/>
      <color theme="8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8" tint="-0.499984740745262"/>
      <name val="Calibri"/>
      <family val="2"/>
      <charset val="1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  <charset val="1"/>
    </font>
    <font>
      <b/>
      <sz val="12"/>
      <color theme="8" tint="-0.249977111117893"/>
      <name val="Calibri"/>
      <family val="2"/>
    </font>
    <font>
      <sz val="11"/>
      <color theme="8" tint="-0.249977111117893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5"/>
      <name val="Calibri"/>
      <family val="2"/>
    </font>
    <font>
      <sz val="11"/>
      <color rgb="FFFF0000"/>
      <name val="Calibri"/>
      <family val="2"/>
      <charset val="1"/>
    </font>
    <font>
      <b/>
      <sz val="11"/>
      <color theme="5"/>
      <name val="Calibri"/>
      <family val="2"/>
    </font>
    <font>
      <b/>
      <i/>
      <sz val="11"/>
      <color theme="5" tint="-0.249977111117893"/>
      <name val="Calibri"/>
      <family val="2"/>
    </font>
    <font>
      <b/>
      <i/>
      <sz val="11"/>
      <color theme="5" tint="-0.249977111117893"/>
      <name val="Calibri"/>
      <family val="2"/>
      <charset val="1"/>
    </font>
    <font>
      <b/>
      <i/>
      <sz val="12"/>
      <color theme="5" tint="-0.249977111117893"/>
      <name val="Calibri"/>
      <family val="2"/>
    </font>
    <font>
      <i/>
      <sz val="11"/>
      <color theme="5" tint="-0.249977111117893"/>
      <name val="Calibri"/>
      <family val="2"/>
    </font>
    <font>
      <i/>
      <sz val="11"/>
      <color theme="5" tint="-0.249977111117893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rgb="FF000000"/>
      <name val="Calibri"/>
      <family val="2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  <charset val="1"/>
    </font>
    <font>
      <b/>
      <sz val="11"/>
      <color theme="4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  <font>
      <b/>
      <sz val="11"/>
      <color theme="5" tint="-0.249977111117893"/>
      <name val="Calibri"/>
      <family val="2"/>
      <charset val="1"/>
    </font>
    <font>
      <b/>
      <sz val="12"/>
      <color theme="5" tint="-0.249977111117893"/>
      <name val="Calibri"/>
      <family val="2"/>
    </font>
    <font>
      <b/>
      <i/>
      <sz val="11"/>
      <color theme="1"/>
      <name val="Calibri"/>
      <family val="2"/>
    </font>
    <font>
      <b/>
      <i/>
      <sz val="11"/>
      <color theme="1"/>
      <name val="Calibri"/>
      <family val="2"/>
      <charset val="1"/>
    </font>
    <font>
      <sz val="11"/>
      <color indexed="8"/>
      <name val="Calibri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1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4"/>
      <color indexed="8"/>
      <name val="Times New Roman"/>
      <family val="1"/>
    </font>
    <font>
      <sz val="14"/>
      <color indexed="25"/>
      <name val="Times New Roman"/>
      <family val="1"/>
    </font>
    <font>
      <sz val="11"/>
      <color indexed="14"/>
      <name val="Times New Roman"/>
      <family val="1"/>
    </font>
    <font>
      <b/>
      <sz val="14"/>
      <color indexed="25"/>
      <name val="Times New Roman"/>
      <family val="1"/>
    </font>
    <font>
      <sz val="11"/>
      <color indexed="30"/>
      <name val="Times New Roman"/>
      <family val="1"/>
    </font>
    <font>
      <sz val="11"/>
      <color indexed="8"/>
      <name val="Times New Roman"/>
      <family val="1"/>
    </font>
    <font>
      <sz val="11"/>
      <color indexed="62"/>
      <name val="Times New Roman"/>
      <family val="1"/>
    </font>
    <font>
      <b/>
      <u/>
      <sz val="14"/>
      <color indexed="8"/>
      <name val="Times New Roman"/>
      <family val="1"/>
    </font>
    <font>
      <b/>
      <u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name val="Times New Roman"/>
      <family val="1"/>
    </font>
    <font>
      <sz val="11"/>
      <color theme="7" tint="0.39997558519241921"/>
      <name val="Calibri"/>
      <family val="2"/>
    </font>
    <font>
      <b/>
      <sz val="11"/>
      <color theme="7" tint="0.39997558519241921"/>
      <name val="Calibri"/>
      <family val="2"/>
    </font>
    <font>
      <i/>
      <sz val="11"/>
      <color rgb="FF000000"/>
      <name val="Calibri"/>
      <family val="2"/>
      <charset val="1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theme="1"/>
      <name val="Calibri"/>
      <family val="2"/>
      <charset val="1"/>
    </font>
    <font>
      <i/>
      <sz val="10"/>
      <color theme="5" tint="-0.249977111117893"/>
      <name val="Calibri"/>
      <family val="2"/>
    </font>
    <font>
      <i/>
      <sz val="10"/>
      <color rgb="FF000000"/>
      <name val="Calibri"/>
      <family val="2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40"/>
      <color rgb="FFFF0000"/>
      <name val="Times New Roman"/>
      <family val="1"/>
    </font>
    <font>
      <b/>
      <sz val="25"/>
      <color rgb="FF000000"/>
      <name val="Calibri"/>
      <family val="2"/>
    </font>
    <font>
      <b/>
      <sz val="11"/>
      <name val="Calibri"/>
      <family val="2"/>
      <charset val="1"/>
    </font>
    <font>
      <b/>
      <sz val="11"/>
      <color theme="7" tint="0.39997558519241921"/>
      <name val="Calibri"/>
      <family val="2"/>
      <charset val="1"/>
    </font>
    <font>
      <b/>
      <sz val="11"/>
      <color theme="4"/>
      <name val="Calibri"/>
      <family val="2"/>
      <charset val="1"/>
    </font>
    <font>
      <sz val="11"/>
      <color theme="7" tint="0.39997558519241921"/>
      <name val="Calibri"/>
      <family val="2"/>
      <charset val="1"/>
    </font>
    <font>
      <b/>
      <i/>
      <sz val="11"/>
      <color theme="7" tint="0.39997558519241921"/>
      <name val="Calibri"/>
      <family val="2"/>
      <charset val="1"/>
    </font>
    <font>
      <b/>
      <sz val="12"/>
      <color theme="7" tint="0.39997558519241921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1"/>
      <name val="Calibri"/>
      <family val="2"/>
      <charset val="1"/>
    </font>
    <font>
      <sz val="13"/>
      <name val="Times New Roman"/>
      <family val="1"/>
    </font>
    <font>
      <sz val="12"/>
      <name val="Times New Roman"/>
      <family val="1"/>
    </font>
    <font>
      <b/>
      <sz val="11"/>
      <color theme="7" tint="0.39997558519241921"/>
      <name val="Times New Roman"/>
      <family val="1"/>
    </font>
    <font>
      <b/>
      <sz val="11"/>
      <color theme="7" tint="0.39997558519241921"/>
      <name val="Calibri"/>
      <charset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CALI"/>
    </font>
    <font>
      <sz val="11"/>
      <color rgb="FF000000"/>
      <name val="CALI"/>
    </font>
    <font>
      <i/>
      <sz val="11"/>
      <color rgb="FF000000"/>
      <name val="CALI"/>
    </font>
    <font>
      <sz val="12"/>
      <color rgb="FF000000"/>
      <name val="CALI"/>
    </font>
    <font>
      <b/>
      <sz val="11"/>
      <color theme="7" tint="-0.249977111117893"/>
      <name val="CALI"/>
    </font>
    <font>
      <b/>
      <i/>
      <sz val="11"/>
      <color theme="7" tint="-0.249977111117893"/>
      <name val="CALI"/>
    </font>
    <font>
      <b/>
      <sz val="12"/>
      <color theme="7" tint="-0.249977111117893"/>
      <name val="CALI"/>
    </font>
    <font>
      <sz val="11"/>
      <color theme="7" tint="-0.249977111117893"/>
      <name val="CALI"/>
    </font>
    <font>
      <i/>
      <sz val="11"/>
      <color theme="7" tint="-0.249977111117893"/>
      <name val="CALI"/>
    </font>
    <font>
      <sz val="11"/>
      <color rgb="FFFF0000"/>
      <name val="CALI"/>
    </font>
    <font>
      <sz val="12"/>
      <color theme="7" tint="-0.249977111117893"/>
      <name val="CALI"/>
    </font>
    <font>
      <b/>
      <sz val="11"/>
      <color rgb="FFFF0000"/>
      <name val="CAL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11"/>
      <color rgb="FF000000"/>
      <name val="Calibri"/>
    </font>
    <font>
      <sz val="12"/>
      <color rgb="FF000000"/>
      <name val="Calibri"/>
    </font>
    <font>
      <b/>
      <sz val="11"/>
      <color theme="4"/>
      <name val="Calibri"/>
    </font>
    <font>
      <i/>
      <sz val="11"/>
      <color rgb="FF000000"/>
      <name val="Calibri"/>
      <charset val="1"/>
    </font>
    <font>
      <sz val="12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7" tint="-0.249977111117893"/>
      <name val="Calibri"/>
    </font>
    <font>
      <b/>
      <i/>
      <sz val="11"/>
      <color theme="7" tint="-0.249977111117893"/>
      <name val="Calibri"/>
    </font>
    <font>
      <b/>
      <sz val="12"/>
      <color theme="7" tint="-0.249977111117893"/>
      <name val="Calibri"/>
      <charset val="1"/>
    </font>
    <font>
      <b/>
      <sz val="12"/>
      <color theme="7" tint="-0.249977111117893"/>
      <name val="Calibri"/>
    </font>
    <font>
      <b/>
      <sz val="11"/>
      <color theme="7" tint="-0.249977111117893"/>
      <name val="Calibri"/>
      <charset val="1"/>
    </font>
    <font>
      <sz val="11"/>
      <color theme="7" tint="-0.249977111117893"/>
      <name val="Calibri"/>
    </font>
    <font>
      <b/>
      <sz val="11"/>
      <color rgb="FF000000"/>
      <name val="Calibri"/>
      <charset val="1"/>
    </font>
    <font>
      <b/>
      <i/>
      <sz val="11"/>
      <color theme="7" tint="-0.249977111117893"/>
      <name val="Calibri"/>
      <charset val="1"/>
    </font>
    <font>
      <b/>
      <sz val="11"/>
      <color theme="4"/>
      <name val="Calibri"/>
      <charset val="1"/>
    </font>
    <font>
      <b/>
      <sz val="12"/>
      <color rgb="FF000000"/>
      <name val="Calibri"/>
      <charset val="1"/>
    </font>
    <font>
      <b/>
      <i/>
      <sz val="11"/>
      <color rgb="FF000000"/>
      <name val="Calibri"/>
      <charset val="1"/>
    </font>
    <font>
      <b/>
      <sz val="11"/>
      <color rgb="FFFF0000"/>
      <name val="Calibri"/>
      <charset val="1"/>
    </font>
    <font>
      <b/>
      <sz val="14"/>
      <color theme="7" tint="-0.249977111117893"/>
      <name val="Times New Roman"/>
      <family val="1"/>
    </font>
    <font>
      <b/>
      <sz val="12"/>
      <color theme="7" tint="-0.249977111117893"/>
      <name val="Times New Roman"/>
      <family val="1"/>
    </font>
    <font>
      <b/>
      <sz val="11"/>
      <color theme="7" tint="-0.249977111117893"/>
      <name val="Times New Roman"/>
      <family val="1"/>
    </font>
    <font>
      <b/>
      <sz val="11"/>
      <color rgb="FF7030A0"/>
      <name val="Calibri"/>
    </font>
    <font>
      <b/>
      <sz val="11"/>
      <color rgb="FF7030A0"/>
      <name val="Calibri"/>
      <charset val="1"/>
    </font>
    <font>
      <b/>
      <i/>
      <sz val="11"/>
      <color rgb="FF7030A0"/>
      <name val="Calibri"/>
      <charset val="1"/>
    </font>
    <font>
      <b/>
      <sz val="12"/>
      <color rgb="FF7030A0"/>
      <name val="Calibri"/>
      <charset val="1"/>
    </font>
    <font>
      <b/>
      <i/>
      <sz val="11"/>
      <color rgb="FF7030A0"/>
      <name val="Calibri"/>
    </font>
    <font>
      <b/>
      <sz val="11"/>
      <color theme="1"/>
      <name val="Calibri"/>
      <charset val="1"/>
    </font>
    <font>
      <b/>
      <sz val="12"/>
      <color rgb="FFFF0000"/>
      <name val="Calibri"/>
      <charset val="1"/>
    </font>
    <font>
      <sz val="11"/>
      <color theme="7" tint="-0.249977111117893"/>
      <name val="Calibri"/>
      <charset val="1"/>
    </font>
    <font>
      <b/>
      <sz val="12"/>
      <color theme="1"/>
      <name val="Calibri"/>
      <charset val="1"/>
    </font>
    <font>
      <b/>
      <sz val="11"/>
      <color theme="7" tint="-0.249977111117893"/>
      <name val="Calibri"/>
      <family val="2"/>
      <charset val="1"/>
    </font>
    <font>
      <b/>
      <sz val="11"/>
      <name val="Calibri"/>
      <charset val="1"/>
    </font>
    <font>
      <sz val="11"/>
      <color rgb="FFFF0000"/>
      <name val="Calibri"/>
      <charset val="1"/>
    </font>
    <font>
      <sz val="11"/>
      <color theme="1"/>
      <name val="Calibri"/>
      <charset val="1"/>
    </font>
    <font>
      <b/>
      <sz val="11"/>
      <color theme="1" tint="4.9989318521683403E-2"/>
      <name val="Calibri"/>
      <family val="2"/>
      <charset val="1"/>
    </font>
    <font>
      <sz val="11"/>
      <color theme="1" tint="4.9989318521683403E-2"/>
      <name val="Calibri"/>
      <family val="2"/>
      <charset val="1"/>
    </font>
    <font>
      <sz val="11"/>
      <color theme="1" tint="4.9989318521683403E-2"/>
      <name val="Calibri"/>
      <charset val="1"/>
    </font>
    <font>
      <sz val="12"/>
      <color theme="1" tint="4.9989318521683403E-2"/>
      <name val="Calibri"/>
      <charset val="1"/>
    </font>
    <font>
      <b/>
      <sz val="11"/>
      <color theme="1" tint="4.9989318521683403E-2"/>
      <name val="Calibri"/>
      <charset val="1"/>
    </font>
    <font>
      <sz val="12"/>
      <name val="Calibri"/>
      <charset val="1"/>
    </font>
    <font>
      <sz val="12"/>
      <color theme="1" tint="4.9989318521683403E-2"/>
      <name val="Calibri"/>
      <family val="2"/>
      <charset val="1"/>
    </font>
    <font>
      <sz val="11"/>
      <color theme="1" tint="4.9989318521683403E-2"/>
      <name val="Calibri"/>
      <family val="2"/>
    </font>
    <font>
      <b/>
      <sz val="18"/>
      <name val="Calibri"/>
      <charset val="1"/>
    </font>
    <font>
      <sz val="48"/>
      <name val="Calibri"/>
      <charset val="1"/>
    </font>
    <font>
      <b/>
      <sz val="28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55"/>
      <color rgb="FFFF0000"/>
      <name val="Times New Roman"/>
      <family val="1"/>
    </font>
    <font>
      <b/>
      <i/>
      <sz val="11"/>
      <name val="Calibri"/>
      <charset val="1"/>
    </font>
    <font>
      <sz val="11"/>
      <color rgb="FF242424"/>
      <name val="Aptos Narrow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0" fontId="89" fillId="0" borderId="0"/>
  </cellStyleXfs>
  <cellXfs count="1652">
    <xf numFmtId="0" fontId="0" fillId="0" borderId="0" xfId="0"/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4" fontId="0" fillId="0" borderId="0" xfId="0" applyNumberFormat="1"/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4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top"/>
    </xf>
    <xf numFmtId="4" fontId="6" fillId="3" borderId="1" xfId="0" applyNumberFormat="1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14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4" borderId="0" xfId="0" applyFont="1" applyFill="1"/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14" fontId="5" fillId="6" borderId="2" xfId="0" applyNumberFormat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1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0" fillId="4" borderId="0" xfId="0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/>
    <xf numFmtId="14" fontId="5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0" fillId="3" borderId="3" xfId="0" applyFill="1" applyBorder="1"/>
    <xf numFmtId="0" fontId="1" fillId="3" borderId="7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3" fontId="0" fillId="3" borderId="3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/>
    </xf>
    <xf numFmtId="0" fontId="0" fillId="3" borderId="7" xfId="0" applyFill="1" applyBorder="1"/>
    <xf numFmtId="3" fontId="0" fillId="3" borderId="7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3" fontId="1" fillId="6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6" borderId="0" xfId="0" applyFont="1" applyFill="1"/>
    <xf numFmtId="14" fontId="5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14" fontId="5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7" borderId="0" xfId="0" applyFont="1" applyFill="1"/>
    <xf numFmtId="0" fontId="1" fillId="3" borderId="0" xfId="0" applyFont="1" applyFill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/>
    <xf numFmtId="0" fontId="0" fillId="2" borderId="1" xfId="0" applyFill="1" applyBorder="1"/>
    <xf numFmtId="0" fontId="1" fillId="2" borderId="0" xfId="0" applyFont="1" applyFill="1"/>
    <xf numFmtId="14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4" borderId="7" xfId="0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14" fontId="1" fillId="4" borderId="7" xfId="0" applyNumberFormat="1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center" vertical="center"/>
    </xf>
    <xf numFmtId="4" fontId="0" fillId="4" borderId="7" xfId="0" applyNumberFormat="1" applyFill="1" applyBorder="1"/>
    <xf numFmtId="3" fontId="1" fillId="7" borderId="7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3" fontId="1" fillId="6" borderId="1" xfId="0" applyNumberFormat="1" applyFont="1" applyFill="1" applyBorder="1" applyAlignment="1">
      <alignment horizontal="center" vertical="center"/>
    </xf>
    <xf numFmtId="0" fontId="0" fillId="4" borderId="3" xfId="0" applyFill="1" applyBorder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7" fillId="5" borderId="1" xfId="0" applyFont="1" applyFill="1" applyBorder="1"/>
    <xf numFmtId="0" fontId="7" fillId="4" borderId="1" xfId="0" applyFont="1" applyFill="1" applyBorder="1"/>
    <xf numFmtId="14" fontId="1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4" xfId="0" applyFill="1" applyBorder="1"/>
    <xf numFmtId="0" fontId="0" fillId="4" borderId="10" xfId="0" applyFill="1" applyBorder="1"/>
    <xf numFmtId="14" fontId="1" fillId="3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1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165" fontId="0" fillId="2" borderId="1" xfId="0" applyNumberFormat="1" applyFill="1" applyBorder="1"/>
    <xf numFmtId="165" fontId="0" fillId="2" borderId="2" xfId="0" applyNumberFormat="1" applyFill="1" applyBorder="1"/>
    <xf numFmtId="165" fontId="0" fillId="2" borderId="1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4" fontId="10" fillId="2" borderId="2" xfId="0" applyNumberFormat="1" applyFon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/>
    </xf>
    <xf numFmtId="165" fontId="1" fillId="11" borderId="2" xfId="0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4" fontId="5" fillId="2" borderId="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4" xfId="0" applyNumberFormat="1" applyFill="1" applyBorder="1" applyAlignment="1">
      <alignment horizontal="center"/>
    </xf>
    <xf numFmtId="0" fontId="0" fillId="0" borderId="0" xfId="0" pivotButton="1"/>
    <xf numFmtId="22" fontId="0" fillId="0" borderId="0" xfId="0" applyNumberFormat="1"/>
    <xf numFmtId="0" fontId="0" fillId="4" borderId="7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3" fontId="0" fillId="12" borderId="1" xfId="0" applyNumberForma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12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14" fontId="1" fillId="13" borderId="1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4" fillId="12" borderId="15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22" fontId="0" fillId="0" borderId="1" xfId="0" applyNumberFormat="1" applyBorder="1"/>
    <xf numFmtId="166" fontId="1" fillId="4" borderId="3" xfId="0" applyNumberFormat="1" applyFont="1" applyFill="1" applyBorder="1" applyAlignment="1">
      <alignment horizontal="center"/>
    </xf>
    <xf numFmtId="0" fontId="14" fillId="12" borderId="16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16" fillId="0" borderId="0" xfId="0" applyFont="1"/>
    <xf numFmtId="3" fontId="0" fillId="2" borderId="3" xfId="0" applyNumberForma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4" fontId="10" fillId="6" borderId="1" xfId="0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0" fontId="0" fillId="6" borderId="0" xfId="0" applyFill="1"/>
    <xf numFmtId="3" fontId="0" fillId="4" borderId="1" xfId="0" applyNumberForma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/>
    </xf>
    <xf numFmtId="14" fontId="10" fillId="4" borderId="1" xfId="0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165" fontId="0" fillId="4" borderId="3" xfId="0" applyNumberFormat="1" applyFill="1" applyBorder="1" applyAlignment="1">
      <alignment horizontal="center"/>
    </xf>
    <xf numFmtId="14" fontId="10" fillId="4" borderId="2" xfId="0" applyNumberFormat="1" applyFont="1" applyFill="1" applyBorder="1" applyAlignment="1">
      <alignment horizontal="center" vertical="center"/>
    </xf>
    <xf numFmtId="165" fontId="0" fillId="4" borderId="9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4" borderId="8" xfId="0" applyFill="1" applyBorder="1"/>
    <xf numFmtId="166" fontId="1" fillId="2" borderId="1" xfId="0" applyNumberFormat="1" applyFont="1" applyFill="1" applyBorder="1" applyAlignment="1">
      <alignment horizontal="center"/>
    </xf>
    <xf numFmtId="19" fontId="0" fillId="12" borderId="1" xfId="0" applyNumberFormat="1" applyFill="1" applyBorder="1" applyAlignment="1">
      <alignment horizontal="center"/>
    </xf>
    <xf numFmtId="166" fontId="1" fillId="12" borderId="1" xfId="0" applyNumberFormat="1" applyFont="1" applyFill="1" applyBorder="1" applyAlignment="1">
      <alignment horizontal="center"/>
    </xf>
    <xf numFmtId="0" fontId="17" fillId="0" borderId="0" xfId="0" applyFont="1"/>
    <xf numFmtId="166" fontId="1" fillId="4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166" fontId="1" fillId="4" borderId="5" xfId="0" applyNumberFormat="1" applyFont="1" applyFill="1" applyBorder="1" applyAlignment="1">
      <alignment horizontal="center"/>
    </xf>
    <xf numFmtId="166" fontId="1" fillId="4" borderId="4" xfId="0" applyNumberFormat="1" applyFont="1" applyFill="1" applyBorder="1" applyAlignment="1">
      <alignment horizontal="center"/>
    </xf>
    <xf numFmtId="0" fontId="18" fillId="0" borderId="19" xfId="0" applyFont="1" applyBorder="1" applyAlignment="1">
      <alignment horizontal="center" vertical="center"/>
    </xf>
    <xf numFmtId="165" fontId="18" fillId="0" borderId="17" xfId="0" applyNumberFormat="1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65" fontId="18" fillId="0" borderId="20" xfId="0" applyNumberFormat="1" applyFont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7" fillId="0" borderId="0" xfId="0" applyFont="1"/>
    <xf numFmtId="0" fontId="1" fillId="4" borderId="2" xfId="0" applyFont="1" applyFill="1" applyBorder="1" applyAlignment="1">
      <alignment horizontal="center" indent="2"/>
    </xf>
    <xf numFmtId="165" fontId="18" fillId="0" borderId="0" xfId="0" applyNumberFormat="1" applyFont="1" applyAlignment="1">
      <alignment horizontal="left" vertical="center"/>
    </xf>
    <xf numFmtId="166" fontId="0" fillId="2" borderId="3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166" fontId="1" fillId="7" borderId="3" xfId="0" applyNumberFormat="1" applyFont="1" applyFill="1" applyBorder="1" applyAlignment="1">
      <alignment horizontal="center"/>
    </xf>
    <xf numFmtId="0" fontId="0" fillId="7" borderId="0" xfId="0" applyFill="1"/>
    <xf numFmtId="166" fontId="1" fillId="7" borderId="1" xfId="0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3" fontId="0" fillId="7" borderId="3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6" fontId="1" fillId="4" borderId="5" xfId="0" applyNumberFormat="1" applyFont="1" applyFill="1" applyBorder="1" applyAlignment="1">
      <alignment horizontal="center" vertical="center"/>
    </xf>
    <xf numFmtId="166" fontId="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/>
    <xf numFmtId="0" fontId="19" fillId="13" borderId="22" xfId="0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left" vertical="top"/>
    </xf>
    <xf numFmtId="0" fontId="19" fillId="13" borderId="24" xfId="0" applyFont="1" applyFill="1" applyBorder="1" applyAlignment="1">
      <alignment horizontal="center" vertical="center"/>
    </xf>
    <xf numFmtId="165" fontId="20" fillId="9" borderId="2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14" fontId="22" fillId="13" borderId="13" xfId="0" applyNumberFormat="1" applyFont="1" applyFill="1" applyBorder="1" applyAlignment="1">
      <alignment horizontal="center" vertical="center" wrapText="1"/>
    </xf>
    <xf numFmtId="14" fontId="23" fillId="9" borderId="14" xfId="0" applyNumberFormat="1" applyFont="1" applyFill="1" applyBorder="1" applyAlignment="1">
      <alignment horizontal="center" vertical="center" wrapText="1"/>
    </xf>
    <xf numFmtId="1" fontId="23" fillId="9" borderId="14" xfId="0" applyNumberFormat="1" applyFont="1" applyFill="1" applyBorder="1" applyAlignment="1">
      <alignment horizontal="center" vertical="center" wrapText="1"/>
    </xf>
    <xf numFmtId="14" fontId="22" fillId="13" borderId="26" xfId="0" applyNumberFormat="1" applyFont="1" applyFill="1" applyBorder="1" applyAlignment="1">
      <alignment horizontal="center" vertical="center" wrapText="1"/>
    </xf>
    <xf numFmtId="1" fontId="23" fillId="9" borderId="27" xfId="0" applyNumberFormat="1" applyFont="1" applyFill="1" applyBorder="1" applyAlignment="1">
      <alignment horizontal="center" vertical="center" wrapText="1"/>
    </xf>
    <xf numFmtId="22" fontId="24" fillId="2" borderId="1" xfId="0" applyNumberFormat="1" applyFont="1" applyFill="1" applyBorder="1"/>
    <xf numFmtId="166" fontId="0" fillId="2" borderId="1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9" fillId="13" borderId="13" xfId="0" applyFont="1" applyFill="1" applyBorder="1" applyAlignment="1">
      <alignment horizontal="center" vertical="center"/>
    </xf>
    <xf numFmtId="165" fontId="20" fillId="9" borderId="23" xfId="0" applyNumberFormat="1" applyFont="1" applyFill="1" applyBorder="1" applyAlignment="1">
      <alignment horizontal="center" vertical="top"/>
    </xf>
    <xf numFmtId="14" fontId="22" fillId="4" borderId="0" xfId="0" applyNumberFormat="1" applyFont="1" applyFill="1" applyAlignment="1">
      <alignment horizontal="center" vertical="center" wrapText="1"/>
    </xf>
    <xf numFmtId="1" fontId="23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5" fillId="0" borderId="0" xfId="0" applyFont="1"/>
    <xf numFmtId="3" fontId="26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166" fontId="1" fillId="2" borderId="4" xfId="0" applyNumberFormat="1" applyFont="1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165" fontId="0" fillId="4" borderId="0" xfId="0" applyNumberFormat="1" applyFill="1"/>
    <xf numFmtId="0" fontId="19" fillId="4" borderId="0" xfId="0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top"/>
    </xf>
    <xf numFmtId="0" fontId="15" fillId="0" borderId="1" xfId="0" applyFont="1" applyBorder="1" applyAlignment="1">
      <alignment horizontal="center"/>
    </xf>
    <xf numFmtId="14" fontId="22" fillId="2" borderId="13" xfId="0" applyNumberFormat="1" applyFont="1" applyFill="1" applyBorder="1" applyAlignment="1">
      <alignment horizontal="center" vertical="center" wrapText="1"/>
    </xf>
    <xf numFmtId="14" fontId="22" fillId="2" borderId="26" xfId="0" applyNumberFormat="1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1" fontId="23" fillId="4" borderId="14" xfId="0" applyNumberFormat="1" applyFont="1" applyFill="1" applyBorder="1" applyAlignment="1">
      <alignment horizontal="center" vertical="center" wrapText="1"/>
    </xf>
    <xf numFmtId="1" fontId="23" fillId="4" borderId="27" xfId="0" applyNumberFormat="1" applyFont="1" applyFill="1" applyBorder="1" applyAlignment="1">
      <alignment horizontal="center" vertical="center" wrapText="1"/>
    </xf>
    <xf numFmtId="165" fontId="20" fillId="4" borderId="30" xfId="0" applyNumberFormat="1" applyFont="1" applyFill="1" applyBorder="1" applyAlignment="1">
      <alignment horizontal="center" vertical="center"/>
    </xf>
    <xf numFmtId="165" fontId="20" fillId="4" borderId="28" xfId="0" applyNumberFormat="1" applyFont="1" applyFill="1" applyBorder="1" applyAlignment="1">
      <alignment horizontal="center" vertical="center"/>
    </xf>
    <xf numFmtId="165" fontId="18" fillId="0" borderId="18" xfId="0" applyNumberFormat="1" applyFont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14" fontId="27" fillId="9" borderId="13" xfId="0" applyNumberFormat="1" applyFont="1" applyFill="1" applyBorder="1" applyAlignment="1">
      <alignment horizontal="center" vertical="center" wrapText="1"/>
    </xf>
    <xf numFmtId="0" fontId="27" fillId="9" borderId="17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27" fillId="9" borderId="32" xfId="0" applyFont="1" applyFill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4" fontId="14" fillId="2" borderId="33" xfId="0" applyNumberFormat="1" applyFont="1" applyFill="1" applyBorder="1" applyAlignment="1">
      <alignment horizontal="center" vertical="center" wrapText="1"/>
    </xf>
    <xf numFmtId="1" fontId="23" fillId="4" borderId="34" xfId="0" applyNumberFormat="1" applyFont="1" applyFill="1" applyBorder="1" applyAlignment="1">
      <alignment horizontal="center" vertical="center" wrapText="1"/>
    </xf>
    <xf numFmtId="3" fontId="30" fillId="4" borderId="1" xfId="0" applyNumberFormat="1" applyFont="1" applyFill="1" applyBorder="1" applyAlignment="1">
      <alignment horizontal="center"/>
    </xf>
    <xf numFmtId="19" fontId="0" fillId="4" borderId="1" xfId="0" applyNumberForma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22" fontId="24" fillId="4" borderId="1" xfId="0" applyNumberFormat="1" applyFont="1" applyFill="1" applyBorder="1"/>
    <xf numFmtId="166" fontId="0" fillId="4" borderId="1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166" fontId="0" fillId="4" borderId="8" xfId="0" applyNumberFormat="1" applyFill="1" applyBorder="1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22" fontId="13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0" fontId="31" fillId="2" borderId="1" xfId="0" applyFont="1" applyFill="1" applyBorder="1" applyAlignment="1">
      <alignment horizontal="center"/>
    </xf>
    <xf numFmtId="3" fontId="24" fillId="2" borderId="1" xfId="0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19" fillId="4" borderId="0" xfId="0" applyNumberFormat="1" applyFont="1" applyFill="1" applyAlignment="1">
      <alignment horizontal="center" vertical="top"/>
    </xf>
    <xf numFmtId="14" fontId="14" fillId="5" borderId="33" xfId="0" applyNumberFormat="1" applyFont="1" applyFill="1" applyBorder="1" applyAlignment="1">
      <alignment horizontal="center" vertical="center" wrapText="1"/>
    </xf>
    <xf numFmtId="14" fontId="22" fillId="5" borderId="26" xfId="0" applyNumberFormat="1" applyFont="1" applyFill="1" applyBorder="1" applyAlignment="1">
      <alignment horizontal="center" vertical="center" wrapText="1"/>
    </xf>
    <xf numFmtId="14" fontId="22" fillId="5" borderId="13" xfId="0" applyNumberFormat="1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11" xfId="0" applyFill="1" applyBorder="1" applyAlignment="1">
      <alignment horizontal="center"/>
    </xf>
    <xf numFmtId="166" fontId="1" fillId="2" borderId="8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5" borderId="29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" fillId="9" borderId="3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9" fillId="5" borderId="15" xfId="0" applyFont="1" applyFill="1" applyBorder="1" applyAlignment="1">
      <alignment horizontal="center" vertical="center"/>
    </xf>
    <xf numFmtId="0" fontId="0" fillId="0" borderId="17" xfId="0" applyBorder="1"/>
    <xf numFmtId="3" fontId="1" fillId="2" borderId="1" xfId="0" applyNumberFormat="1" applyFont="1" applyFill="1" applyBorder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9" fillId="5" borderId="17" xfId="0" applyFont="1" applyFill="1" applyBorder="1" applyAlignment="1">
      <alignment horizontal="center" vertical="center"/>
    </xf>
    <xf numFmtId="165" fontId="20" fillId="4" borderId="21" xfId="0" applyNumberFormat="1" applyFont="1" applyFill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/>
    </xf>
    <xf numFmtId="165" fontId="20" fillId="4" borderId="17" xfId="0" applyNumberFormat="1" applyFont="1" applyFill="1" applyBorder="1" applyAlignment="1">
      <alignment horizontal="center" vertical="center"/>
    </xf>
    <xf numFmtId="165" fontId="20" fillId="4" borderId="20" xfId="0" applyNumberFormat="1" applyFont="1" applyFill="1" applyBorder="1" applyAlignment="1">
      <alignment horizontal="center" vertical="center"/>
    </xf>
    <xf numFmtId="165" fontId="20" fillId="4" borderId="31" xfId="0" applyNumberFormat="1" applyFont="1" applyFill="1" applyBorder="1" applyAlignment="1">
      <alignment horizontal="center" vertical="center"/>
    </xf>
    <xf numFmtId="0" fontId="32" fillId="0" borderId="0" xfId="0" applyFont="1"/>
    <xf numFmtId="4" fontId="0" fillId="4" borderId="1" xfId="0" applyNumberFormat="1" applyFill="1" applyBorder="1" applyAlignment="1">
      <alignment horizontal="center"/>
    </xf>
    <xf numFmtId="14" fontId="27" fillId="9" borderId="17" xfId="0" applyNumberFormat="1" applyFont="1" applyFill="1" applyBorder="1" applyAlignment="1">
      <alignment horizontal="center" vertical="center" wrapText="1"/>
    </xf>
    <xf numFmtId="14" fontId="23" fillId="9" borderId="37" xfId="0" applyNumberFormat="1" applyFont="1" applyFill="1" applyBorder="1" applyAlignment="1">
      <alignment horizontal="center" vertical="center" wrapText="1"/>
    </xf>
    <xf numFmtId="0" fontId="33" fillId="9" borderId="19" xfId="0" applyFont="1" applyFill="1" applyBorder="1" applyAlignment="1">
      <alignment horizontal="center" vertical="top"/>
    </xf>
    <xf numFmtId="22" fontId="34" fillId="9" borderId="17" xfId="0" applyNumberFormat="1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9" fillId="4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4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8" fillId="9" borderId="19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6" fillId="5" borderId="17" xfId="0" applyFont="1" applyFill="1" applyBorder="1" applyAlignment="1">
      <alignment horizontal="left" vertical="center"/>
    </xf>
    <xf numFmtId="0" fontId="36" fillId="5" borderId="16" xfId="0" applyFont="1" applyFill="1" applyBorder="1" applyAlignment="1">
      <alignment horizontal="left" vertical="center"/>
    </xf>
    <xf numFmtId="14" fontId="20" fillId="5" borderId="33" xfId="0" applyNumberFormat="1" applyFont="1" applyFill="1" applyBorder="1" applyAlignment="1">
      <alignment horizontal="center" vertical="center" wrapText="1"/>
    </xf>
    <xf numFmtId="1" fontId="20" fillId="4" borderId="34" xfId="0" applyNumberFormat="1" applyFont="1" applyFill="1" applyBorder="1" applyAlignment="1">
      <alignment horizontal="center" vertical="center" wrapText="1"/>
    </xf>
    <xf numFmtId="14" fontId="20" fillId="5" borderId="26" xfId="0" applyNumberFormat="1" applyFont="1" applyFill="1" applyBorder="1" applyAlignment="1">
      <alignment horizontal="center" vertical="center" wrapText="1"/>
    </xf>
    <xf numFmtId="1" fontId="20" fillId="4" borderId="27" xfId="0" applyNumberFormat="1" applyFont="1" applyFill="1" applyBorder="1" applyAlignment="1">
      <alignment horizontal="center" vertical="center" wrapText="1"/>
    </xf>
    <xf numFmtId="14" fontId="20" fillId="5" borderId="13" xfId="0" applyNumberFormat="1" applyFont="1" applyFill="1" applyBorder="1" applyAlignment="1">
      <alignment horizontal="center" vertical="center" wrapText="1"/>
    </xf>
    <xf numFmtId="1" fontId="20" fillId="4" borderId="14" xfId="0" applyNumberFormat="1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27" fillId="9" borderId="0" xfId="0" applyFont="1" applyFill="1" applyAlignment="1">
      <alignment horizontal="center" vertical="center"/>
    </xf>
    <xf numFmtId="0" fontId="27" fillId="9" borderId="18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37" fillId="0" borderId="0" xfId="0" applyFont="1"/>
    <xf numFmtId="165" fontId="18" fillId="0" borderId="37" xfId="0" applyNumberFormat="1" applyFont="1" applyBorder="1" applyAlignment="1">
      <alignment horizontal="left" vertical="center"/>
    </xf>
    <xf numFmtId="0" fontId="14" fillId="5" borderId="17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7" fillId="9" borderId="20" xfId="0" applyFont="1" applyFill="1" applyBorder="1" applyAlignment="1">
      <alignment horizontal="center" vertical="center"/>
    </xf>
    <xf numFmtId="1" fontId="23" fillId="12" borderId="17" xfId="0" applyNumberFormat="1" applyFont="1" applyFill="1" applyBorder="1" applyAlignment="1">
      <alignment horizontal="center" vertical="center" wrapText="1"/>
    </xf>
    <xf numFmtId="0" fontId="19" fillId="14" borderId="17" xfId="0" applyFont="1" applyFill="1" applyBorder="1" applyAlignment="1">
      <alignment horizontal="left" vertical="center"/>
    </xf>
    <xf numFmtId="165" fontId="20" fillId="14" borderId="31" xfId="0" applyNumberFormat="1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4" fontId="22" fillId="5" borderId="39" xfId="0" applyNumberFormat="1" applyFont="1" applyFill="1" applyBorder="1" applyAlignment="1">
      <alignment horizontal="center" vertical="center" wrapText="1"/>
    </xf>
    <xf numFmtId="14" fontId="27" fillId="12" borderId="15" xfId="0" applyNumberFormat="1" applyFont="1" applyFill="1" applyBorder="1" applyAlignment="1">
      <alignment horizontal="center" vertical="center" wrapText="1"/>
    </xf>
    <xf numFmtId="1" fontId="23" fillId="4" borderId="40" xfId="0" applyNumberFormat="1" applyFont="1" applyFill="1" applyBorder="1" applyAlignment="1">
      <alignment horizontal="center" vertical="center" wrapText="1"/>
    </xf>
    <xf numFmtId="14" fontId="22" fillId="12" borderId="15" xfId="0" applyNumberFormat="1" applyFont="1" applyFill="1" applyBorder="1" applyAlignment="1">
      <alignment horizontal="center" vertical="center" wrapText="1"/>
    </xf>
    <xf numFmtId="165" fontId="23" fillId="12" borderId="17" xfId="0" applyNumberFormat="1" applyFont="1" applyFill="1" applyBorder="1" applyAlignment="1">
      <alignment vertical="center" wrapText="1"/>
    </xf>
    <xf numFmtId="1" fontId="23" fillId="12" borderId="17" xfId="0" applyNumberFormat="1" applyFont="1" applyFill="1" applyBorder="1" applyAlignment="1">
      <alignment horizontal="right" vertical="center" wrapText="1"/>
    </xf>
    <xf numFmtId="0" fontId="18" fillId="0" borderId="41" xfId="0" applyFont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3" fontId="21" fillId="4" borderId="0" xfId="0" applyNumberFormat="1" applyFont="1" applyFill="1" applyAlignment="1">
      <alignment horizontal="center" vertical="center"/>
    </xf>
    <xf numFmtId="0" fontId="39" fillId="0" borderId="0" xfId="0" applyFont="1"/>
    <xf numFmtId="0" fontId="19" fillId="7" borderId="17" xfId="0" applyFont="1" applyFill="1" applyBorder="1" applyAlignment="1">
      <alignment horizontal="center" vertical="center"/>
    </xf>
    <xf numFmtId="165" fontId="20" fillId="7" borderId="31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/>
    </xf>
    <xf numFmtId="0" fontId="40" fillId="2" borderId="3" xfId="0" applyFont="1" applyFill="1" applyBorder="1" applyAlignment="1">
      <alignment horizontal="center" vertical="center"/>
    </xf>
    <xf numFmtId="4" fontId="40" fillId="2" borderId="3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166" fontId="1" fillId="4" borderId="7" xfId="0" applyNumberFormat="1" applyFont="1" applyFill="1" applyBorder="1" applyAlignment="1">
      <alignment horizontal="center"/>
    </xf>
    <xf numFmtId="3" fontId="40" fillId="2" borderId="3" xfId="0" applyNumberFormat="1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/>
    </xf>
    <xf numFmtId="3" fontId="41" fillId="2" borderId="1" xfId="0" applyNumberFormat="1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166" fontId="41" fillId="2" borderId="2" xfId="0" applyNumberFormat="1" applyFont="1" applyFill="1" applyBorder="1" applyAlignment="1">
      <alignment horizontal="center"/>
    </xf>
    <xf numFmtId="0" fontId="42" fillId="2" borderId="4" xfId="0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3" fontId="42" fillId="2" borderId="1" xfId="0" applyNumberFormat="1" applyFont="1" applyFill="1" applyBorder="1" applyAlignment="1">
      <alignment horizontal="center"/>
    </xf>
    <xf numFmtId="0" fontId="42" fillId="2" borderId="2" xfId="0" applyFont="1" applyFill="1" applyBorder="1" applyAlignment="1">
      <alignment horizontal="center"/>
    </xf>
    <xf numFmtId="166" fontId="42" fillId="2" borderId="2" xfId="0" applyNumberFormat="1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2" fillId="10" borderId="1" xfId="0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/>
    </xf>
    <xf numFmtId="0" fontId="42" fillId="2" borderId="42" xfId="0" applyFont="1" applyFill="1" applyBorder="1" applyAlignment="1">
      <alignment horizontal="center"/>
    </xf>
    <xf numFmtId="0" fontId="42" fillId="2" borderId="9" xfId="0" applyFont="1" applyFill="1" applyBorder="1" applyAlignment="1">
      <alignment horizontal="center" vertical="center"/>
    </xf>
    <xf numFmtId="166" fontId="42" fillId="2" borderId="6" xfId="0" applyNumberFormat="1" applyFont="1" applyFill="1" applyBorder="1" applyAlignment="1">
      <alignment horizontal="center" vertical="center"/>
    </xf>
    <xf numFmtId="166" fontId="42" fillId="2" borderId="2" xfId="0" applyNumberFormat="1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3" fontId="40" fillId="4" borderId="3" xfId="0" applyNumberFormat="1" applyFont="1" applyFill="1" applyBorder="1" applyAlignment="1">
      <alignment horizontal="center" vertical="center"/>
    </xf>
    <xf numFmtId="166" fontId="42" fillId="4" borderId="6" xfId="0" applyNumberFormat="1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3" fontId="40" fillId="2" borderId="8" xfId="0" applyNumberFormat="1" applyFont="1" applyFill="1" applyBorder="1" applyAlignment="1">
      <alignment horizontal="center" vertical="center"/>
    </xf>
    <xf numFmtId="0" fontId="41" fillId="2" borderId="8" xfId="0" applyFont="1" applyFill="1" applyBorder="1" applyAlignment="1">
      <alignment horizontal="center" vertical="center"/>
    </xf>
    <xf numFmtId="166" fontId="42" fillId="2" borderId="43" xfId="0" applyNumberFormat="1" applyFont="1" applyFill="1" applyBorder="1" applyAlignment="1">
      <alignment horizontal="center" vertical="center"/>
    </xf>
    <xf numFmtId="4" fontId="40" fillId="4" borderId="3" xfId="0" applyNumberFormat="1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 vertical="center"/>
    </xf>
    <xf numFmtId="3" fontId="44" fillId="2" borderId="3" xfId="0" applyNumberFormat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/>
    </xf>
    <xf numFmtId="166" fontId="46" fillId="2" borderId="6" xfId="0" applyNumberFormat="1" applyFont="1" applyFill="1" applyBorder="1" applyAlignment="1">
      <alignment horizontal="center" vertical="center"/>
    </xf>
    <xf numFmtId="165" fontId="18" fillId="12" borderId="17" xfId="0" applyNumberFormat="1" applyFont="1" applyFill="1" applyBorder="1" applyAlignment="1">
      <alignment horizontal="left" vertical="center"/>
    </xf>
    <xf numFmtId="0" fontId="14" fillId="12" borderId="17" xfId="0" applyFont="1" applyFill="1" applyBorder="1" applyAlignment="1">
      <alignment horizontal="center" vertical="center"/>
    </xf>
    <xf numFmtId="0" fontId="18" fillId="12" borderId="41" xfId="0" applyFont="1" applyFill="1" applyBorder="1" applyAlignment="1">
      <alignment horizontal="center" vertical="center"/>
    </xf>
    <xf numFmtId="0" fontId="18" fillId="12" borderId="16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left" vertical="center" wrapText="1"/>
    </xf>
    <xf numFmtId="0" fontId="44" fillId="4" borderId="3" xfId="0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left" vertical="center"/>
    </xf>
    <xf numFmtId="0" fontId="19" fillId="5" borderId="35" xfId="0" applyFont="1" applyFill="1" applyBorder="1" applyAlignment="1">
      <alignment horizontal="left" vertical="center"/>
    </xf>
    <xf numFmtId="0" fontId="19" fillId="5" borderId="17" xfId="0" applyFont="1" applyFill="1" applyBorder="1" applyAlignment="1">
      <alignment horizontal="left" vertical="center"/>
    </xf>
    <xf numFmtId="3" fontId="44" fillId="4" borderId="3" xfId="0" applyNumberFormat="1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0" fontId="49" fillId="14" borderId="17" xfId="0" applyFont="1" applyFill="1" applyBorder="1" applyAlignment="1">
      <alignment horizontal="left" vertical="center"/>
    </xf>
    <xf numFmtId="165" fontId="33" fillId="14" borderId="31" xfId="0" applyNumberFormat="1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27" fillId="9" borderId="16" xfId="0" applyFont="1" applyFill="1" applyBorder="1" applyAlignment="1">
      <alignment horizontal="center" vertical="center"/>
    </xf>
    <xf numFmtId="14" fontId="27" fillId="12" borderId="16" xfId="0" applyNumberFormat="1" applyFont="1" applyFill="1" applyBorder="1" applyAlignment="1">
      <alignment horizontal="center" vertical="center" wrapText="1"/>
    </xf>
    <xf numFmtId="1" fontId="23" fillId="12" borderId="18" xfId="0" applyNumberFormat="1" applyFont="1" applyFill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/>
    </xf>
    <xf numFmtId="0" fontId="0" fillId="10" borderId="0" xfId="0" applyFill="1"/>
    <xf numFmtId="0" fontId="43" fillId="4" borderId="0" xfId="0" applyFont="1" applyFill="1"/>
    <xf numFmtId="0" fontId="43" fillId="2" borderId="0" xfId="0" applyFont="1" applyFill="1"/>
    <xf numFmtId="0" fontId="51" fillId="2" borderId="3" xfId="0" applyFont="1" applyFill="1" applyBorder="1" applyAlignment="1">
      <alignment horizontal="center" vertical="center"/>
    </xf>
    <xf numFmtId="0" fontId="40" fillId="8" borderId="3" xfId="0" applyFont="1" applyFill="1" applyBorder="1" applyAlignment="1">
      <alignment horizontal="center" vertical="center"/>
    </xf>
    <xf numFmtId="3" fontId="40" fillId="8" borderId="3" xfId="0" applyNumberFormat="1" applyFont="1" applyFill="1" applyBorder="1" applyAlignment="1">
      <alignment horizontal="center" vertical="center"/>
    </xf>
    <xf numFmtId="166" fontId="42" fillId="8" borderId="6" xfId="0" applyNumberFormat="1" applyFont="1" applyFill="1" applyBorder="1" applyAlignment="1">
      <alignment horizontal="center" vertical="center"/>
    </xf>
    <xf numFmtId="0" fontId="24" fillId="4" borderId="0" xfId="0" applyFont="1" applyFill="1"/>
    <xf numFmtId="0" fontId="24" fillId="0" borderId="0" xfId="0" applyFont="1"/>
    <xf numFmtId="0" fontId="24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166" fontId="34" fillId="2" borderId="6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166" fontId="41" fillId="2" borderId="6" xfId="0" applyNumberFormat="1" applyFont="1" applyFill="1" applyBorder="1" applyAlignment="1">
      <alignment horizontal="center" vertical="center"/>
    </xf>
    <xf numFmtId="0" fontId="40" fillId="16" borderId="3" xfId="0" applyFont="1" applyFill="1" applyBorder="1" applyAlignment="1">
      <alignment horizontal="center" vertical="center" wrapText="1"/>
    </xf>
    <xf numFmtId="3" fontId="40" fillId="16" borderId="3" xfId="0" applyNumberFormat="1" applyFont="1" applyFill="1" applyBorder="1" applyAlignment="1">
      <alignment horizontal="center" vertical="center" wrapText="1"/>
    </xf>
    <xf numFmtId="166" fontId="42" fillId="16" borderId="6" xfId="0" applyNumberFormat="1" applyFont="1" applyFill="1" applyBorder="1" applyAlignment="1">
      <alignment horizontal="center" vertical="center" wrapText="1"/>
    </xf>
    <xf numFmtId="0" fontId="53" fillId="15" borderId="5" xfId="0" applyFont="1" applyFill="1" applyBorder="1" applyAlignment="1">
      <alignment horizontal="center" vertical="center"/>
    </xf>
    <xf numFmtId="0" fontId="54" fillId="15" borderId="3" xfId="0" applyFont="1" applyFill="1" applyBorder="1" applyAlignment="1">
      <alignment horizontal="center" vertical="center"/>
    </xf>
    <xf numFmtId="0" fontId="53" fillId="15" borderId="3" xfId="0" applyFont="1" applyFill="1" applyBorder="1" applyAlignment="1">
      <alignment horizontal="center" vertical="center"/>
    </xf>
    <xf numFmtId="0" fontId="55" fillId="15" borderId="3" xfId="0" applyFont="1" applyFill="1" applyBorder="1" applyAlignment="1">
      <alignment horizontal="center" vertical="center"/>
    </xf>
    <xf numFmtId="166" fontId="56" fillId="15" borderId="6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6" fontId="41" fillId="4" borderId="6" xfId="0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40" fillId="11" borderId="3" xfId="0" applyFont="1" applyFill="1" applyBorder="1" applyAlignment="1">
      <alignment horizontal="center" vertical="center"/>
    </xf>
    <xf numFmtId="0" fontId="44" fillId="11" borderId="3" xfId="0" applyFont="1" applyFill="1" applyBorder="1" applyAlignment="1">
      <alignment horizontal="center" vertical="center"/>
    </xf>
    <xf numFmtId="3" fontId="40" fillId="11" borderId="3" xfId="0" applyNumberFormat="1" applyFont="1" applyFill="1" applyBorder="1" applyAlignment="1">
      <alignment horizontal="center" vertical="center"/>
    </xf>
    <xf numFmtId="166" fontId="41" fillId="11" borderId="6" xfId="0" applyNumberFormat="1" applyFont="1" applyFill="1" applyBorder="1" applyAlignment="1">
      <alignment horizontal="center" vertical="center"/>
    </xf>
    <xf numFmtId="14" fontId="22" fillId="17" borderId="13" xfId="0" applyNumberFormat="1" applyFont="1" applyFill="1" applyBorder="1" applyAlignment="1">
      <alignment horizontal="center" vertical="center" wrapText="1"/>
    </xf>
    <xf numFmtId="1" fontId="23" fillId="17" borderId="14" xfId="0" applyNumberFormat="1" applyFont="1" applyFill="1" applyBorder="1" applyAlignment="1">
      <alignment horizontal="center" vertical="center" wrapText="1"/>
    </xf>
    <xf numFmtId="0" fontId="7" fillId="17" borderId="0" xfId="0" applyFont="1" applyFill="1"/>
    <xf numFmtId="0" fontId="51" fillId="4" borderId="3" xfId="0" applyFont="1" applyFill="1" applyBorder="1" applyAlignment="1">
      <alignment horizontal="center" vertical="center"/>
    </xf>
    <xf numFmtId="0" fontId="57" fillId="4" borderId="5" xfId="0" applyFont="1" applyFill="1" applyBorder="1" applyAlignment="1">
      <alignment horizontal="center" vertical="center"/>
    </xf>
    <xf numFmtId="0" fontId="57" fillId="4" borderId="3" xfId="0" applyFont="1" applyFill="1" applyBorder="1" applyAlignment="1">
      <alignment horizontal="center" vertical="center"/>
    </xf>
    <xf numFmtId="166" fontId="59" fillId="4" borderId="6" xfId="0" applyNumberFormat="1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 vertical="center"/>
    </xf>
    <xf numFmtId="0" fontId="62" fillId="2" borderId="3" xfId="0" applyFont="1" applyFill="1" applyBorder="1" applyAlignment="1">
      <alignment horizontal="center" vertical="center"/>
    </xf>
    <xf numFmtId="3" fontId="60" fillId="2" borderId="3" xfId="0" applyNumberFormat="1" applyFont="1" applyFill="1" applyBorder="1" applyAlignment="1">
      <alignment horizontal="center" vertical="center"/>
    </xf>
    <xf numFmtId="166" fontId="59" fillId="2" borderId="6" xfId="0" applyNumberFormat="1" applyFont="1" applyFill="1" applyBorder="1" applyAlignment="1">
      <alignment horizontal="center" vertical="center"/>
    </xf>
    <xf numFmtId="0" fontId="57" fillId="4" borderId="0" xfId="0" applyFont="1" applyFill="1"/>
    <xf numFmtId="0" fontId="61" fillId="4" borderId="0" xfId="0" applyFont="1" applyFill="1"/>
    <xf numFmtId="0" fontId="63" fillId="4" borderId="3" xfId="0" applyFont="1" applyFill="1" applyBorder="1" applyAlignment="1">
      <alignment horizontal="center" vertical="center"/>
    </xf>
    <xf numFmtId="166" fontId="66" fillId="4" borderId="6" xfId="0" applyNumberFormat="1" applyFont="1" applyFill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0" fontId="63" fillId="2" borderId="5" xfId="0" applyFont="1" applyFill="1" applyBorder="1" applyAlignment="1">
      <alignment horizontal="center" vertical="center"/>
    </xf>
    <xf numFmtId="0" fontId="63" fillId="2" borderId="3" xfId="0" applyFont="1" applyFill="1" applyBorder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67" fillId="2" borderId="3" xfId="0" applyFont="1" applyFill="1" applyBorder="1" applyAlignment="1">
      <alignment horizontal="center" vertical="center"/>
    </xf>
    <xf numFmtId="3" fontId="64" fillId="2" borderId="3" xfId="0" applyNumberFormat="1" applyFont="1" applyFill="1" applyBorder="1" applyAlignment="1">
      <alignment horizontal="center" vertical="center"/>
    </xf>
    <xf numFmtId="166" fontId="66" fillId="2" borderId="6" xfId="0" applyNumberFormat="1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 vertical="center"/>
    </xf>
    <xf numFmtId="4" fontId="57" fillId="2" borderId="3" xfId="0" applyNumberFormat="1" applyFont="1" applyFill="1" applyBorder="1" applyAlignment="1">
      <alignment horizontal="center" vertical="center"/>
    </xf>
    <xf numFmtId="0" fontId="68" fillId="2" borderId="3" xfId="0" applyFont="1" applyFill="1" applyBorder="1" applyAlignment="1">
      <alignment horizontal="center" vertical="center"/>
    </xf>
    <xf numFmtId="0" fontId="60" fillId="4" borderId="3" xfId="0" applyFont="1" applyFill="1" applyBorder="1" applyAlignment="1">
      <alignment horizontal="center" vertical="center"/>
    </xf>
    <xf numFmtId="0" fontId="62" fillId="4" borderId="3" xfId="0" applyFont="1" applyFill="1" applyBorder="1" applyAlignment="1">
      <alignment horizontal="center" vertical="center"/>
    </xf>
    <xf numFmtId="3" fontId="60" fillId="4" borderId="3" xfId="0" applyNumberFormat="1" applyFont="1" applyFill="1" applyBorder="1" applyAlignment="1">
      <alignment horizontal="center" vertical="center"/>
    </xf>
    <xf numFmtId="0" fontId="69" fillId="4" borderId="3" xfId="0" applyFont="1" applyFill="1" applyBorder="1" applyAlignment="1">
      <alignment horizontal="center" vertical="center"/>
    </xf>
    <xf numFmtId="0" fontId="70" fillId="4" borderId="0" xfId="0" applyFont="1" applyFill="1"/>
    <xf numFmtId="0" fontId="31" fillId="4" borderId="3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68" fillId="4" borderId="3" xfId="0" applyFont="1" applyFill="1" applyBorder="1" applyAlignment="1">
      <alignment horizontal="center" vertical="center"/>
    </xf>
    <xf numFmtId="0" fontId="70" fillId="2" borderId="0" xfId="0" applyFont="1" applyFill="1"/>
    <xf numFmtId="4" fontId="44" fillId="2" borderId="3" xfId="0" applyNumberFormat="1" applyFont="1" applyFill="1" applyBorder="1" applyAlignment="1">
      <alignment horizontal="center" vertical="center"/>
    </xf>
    <xf numFmtId="0" fontId="31" fillId="4" borderId="5" xfId="0" applyFont="1" applyFill="1" applyBorder="1" applyAlignment="1">
      <alignment horizontal="center" vertical="center"/>
    </xf>
    <xf numFmtId="166" fontId="34" fillId="4" borderId="6" xfId="0" applyNumberFormat="1" applyFont="1" applyFill="1" applyBorder="1" applyAlignment="1">
      <alignment horizontal="center" vertical="center"/>
    </xf>
    <xf numFmtId="0" fontId="31" fillId="4" borderId="0" xfId="0" applyFont="1" applyFill="1"/>
    <xf numFmtId="3" fontId="52" fillId="2" borderId="3" xfId="0" applyNumberFormat="1" applyFont="1" applyFill="1" applyBorder="1" applyAlignment="1">
      <alignment horizontal="center" vertical="center"/>
    </xf>
    <xf numFmtId="3" fontId="55" fillId="15" borderId="3" xfId="0" applyNumberFormat="1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center" vertical="center"/>
    </xf>
    <xf numFmtId="166" fontId="46" fillId="4" borderId="6" xfId="0" applyNumberFormat="1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3" fontId="6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9" fillId="2" borderId="3" xfId="0" applyFont="1" applyFill="1" applyBorder="1" applyAlignment="1">
      <alignment horizontal="center" vertical="center"/>
    </xf>
    <xf numFmtId="0" fontId="29" fillId="2" borderId="0" xfId="0" applyFont="1" applyFill="1"/>
    <xf numFmtId="0" fontId="31" fillId="2" borderId="0" xfId="0" applyFont="1" applyFill="1"/>
    <xf numFmtId="3" fontId="51" fillId="2" borderId="3" xfId="0" applyNumberFormat="1" applyFont="1" applyFill="1" applyBorder="1" applyAlignment="1">
      <alignment horizontal="center" vertical="center"/>
    </xf>
    <xf numFmtId="0" fontId="72" fillId="2" borderId="0" xfId="0" applyFont="1" applyFill="1"/>
    <xf numFmtId="0" fontId="40" fillId="16" borderId="3" xfId="0" applyFont="1" applyFill="1" applyBorder="1" applyAlignment="1">
      <alignment horizontal="center" vertical="center"/>
    </xf>
    <xf numFmtId="0" fontId="44" fillId="16" borderId="3" xfId="0" applyFont="1" applyFill="1" applyBorder="1" applyAlignment="1">
      <alignment horizontal="center" vertical="center"/>
    </xf>
    <xf numFmtId="3" fontId="40" fillId="16" borderId="3" xfId="0" applyNumberFormat="1" applyFont="1" applyFill="1" applyBorder="1" applyAlignment="1">
      <alignment horizontal="center" vertical="center"/>
    </xf>
    <xf numFmtId="166" fontId="42" fillId="16" borderId="6" xfId="0" applyNumberFormat="1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71" fillId="2" borderId="3" xfId="0" applyFont="1" applyFill="1" applyBorder="1" applyAlignment="1">
      <alignment horizontal="center" vertical="center"/>
    </xf>
    <xf numFmtId="3" fontId="71" fillId="2" borderId="3" xfId="0" applyNumberFormat="1" applyFont="1" applyFill="1" applyBorder="1" applyAlignment="1">
      <alignment horizontal="center" vertical="center"/>
    </xf>
    <xf numFmtId="166" fontId="45" fillId="2" borderId="6" xfId="0" applyNumberFormat="1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166" fontId="47" fillId="2" borderId="6" xfId="0" applyNumberFormat="1" applyFont="1" applyFill="1" applyBorder="1" applyAlignment="1">
      <alignment horizontal="center" vertical="center"/>
    </xf>
    <xf numFmtId="0" fontId="30" fillId="2" borderId="0" xfId="0" applyFont="1" applyFill="1"/>
    <xf numFmtId="0" fontId="0" fillId="0" borderId="0" xfId="0" applyAlignment="1">
      <alignment horizontal="center"/>
    </xf>
    <xf numFmtId="3" fontId="68" fillId="4" borderId="3" xfId="0" applyNumberFormat="1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166" fontId="42" fillId="2" borderId="1" xfId="0" applyNumberFormat="1" applyFont="1" applyFill="1" applyBorder="1" applyAlignment="1">
      <alignment horizontal="center" vertical="center"/>
    </xf>
    <xf numFmtId="14" fontId="73" fillId="4" borderId="1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0" fontId="74" fillId="4" borderId="1" xfId="0" applyFont="1" applyFill="1" applyBorder="1" applyAlignment="1">
      <alignment horizontal="center" vertical="center"/>
    </xf>
    <xf numFmtId="166" fontId="75" fillId="4" borderId="1" xfId="0" applyNumberFormat="1" applyFont="1" applyFill="1" applyBorder="1" applyAlignment="1">
      <alignment horizontal="center" vertical="center"/>
    </xf>
    <xf numFmtId="0" fontId="73" fillId="4" borderId="0" xfId="0" applyFont="1" applyFill="1" applyAlignment="1">
      <alignment horizontal="center" vertical="center"/>
    </xf>
    <xf numFmtId="0" fontId="73" fillId="4" borderId="0" xfId="0" applyFont="1" applyFill="1"/>
    <xf numFmtId="14" fontId="73" fillId="4" borderId="5" xfId="0" applyNumberFormat="1" applyFont="1" applyFill="1" applyBorder="1" applyAlignment="1">
      <alignment horizontal="center" vertical="center"/>
    </xf>
    <xf numFmtId="0" fontId="73" fillId="4" borderId="3" xfId="0" applyFont="1" applyFill="1" applyBorder="1" applyAlignment="1">
      <alignment horizontal="center" vertical="center"/>
    </xf>
    <xf numFmtId="3" fontId="76" fillId="4" borderId="3" xfId="0" applyNumberFormat="1" applyFont="1" applyFill="1" applyBorder="1" applyAlignment="1">
      <alignment horizontal="center" vertical="center"/>
    </xf>
    <xf numFmtId="0" fontId="76" fillId="4" borderId="3" xfId="0" applyFont="1" applyFill="1" applyBorder="1" applyAlignment="1">
      <alignment horizontal="center" vertical="center"/>
    </xf>
    <xf numFmtId="0" fontId="74" fillId="4" borderId="3" xfId="0" applyFont="1" applyFill="1" applyBorder="1" applyAlignment="1">
      <alignment horizontal="center" vertical="center"/>
    </xf>
    <xf numFmtId="0" fontId="77" fillId="4" borderId="0" xfId="0" applyFont="1" applyFill="1"/>
    <xf numFmtId="0" fontId="78" fillId="4" borderId="1" xfId="0" applyFont="1" applyFill="1" applyBorder="1" applyAlignment="1">
      <alignment horizontal="center" vertical="center"/>
    </xf>
    <xf numFmtId="0" fontId="79" fillId="4" borderId="3" xfId="0" applyFont="1" applyFill="1" applyBorder="1" applyAlignment="1">
      <alignment horizontal="center" vertical="center"/>
    </xf>
    <xf numFmtId="0" fontId="79" fillId="4" borderId="0" xfId="0" applyFont="1" applyFill="1" applyAlignment="1">
      <alignment horizontal="center" vertical="center"/>
    </xf>
    <xf numFmtId="14" fontId="73" fillId="2" borderId="1" xfId="0" applyNumberFormat="1" applyFont="1" applyFill="1" applyBorder="1" applyAlignment="1">
      <alignment horizontal="center" vertical="center"/>
    </xf>
    <xf numFmtId="0" fontId="73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166" fontId="75" fillId="2" borderId="1" xfId="0" applyNumberFormat="1" applyFont="1" applyFill="1" applyBorder="1" applyAlignment="1">
      <alignment horizontal="center" vertical="center"/>
    </xf>
    <xf numFmtId="0" fontId="81" fillId="4" borderId="3" xfId="0" applyFont="1" applyFill="1" applyBorder="1" applyAlignment="1">
      <alignment horizontal="center" vertical="center"/>
    </xf>
    <xf numFmtId="14" fontId="83" fillId="4" borderId="5" xfId="0" applyNumberFormat="1" applyFont="1" applyFill="1" applyBorder="1" applyAlignment="1">
      <alignment horizontal="center" vertical="center"/>
    </xf>
    <xf numFmtId="0" fontId="84" fillId="4" borderId="3" xfId="0" applyFont="1" applyFill="1" applyBorder="1" applyAlignment="1">
      <alignment horizontal="center" vertical="center"/>
    </xf>
    <xf numFmtId="3" fontId="84" fillId="4" borderId="3" xfId="0" applyNumberFormat="1" applyFont="1" applyFill="1" applyBorder="1" applyAlignment="1">
      <alignment horizontal="center" vertical="center"/>
    </xf>
    <xf numFmtId="0" fontId="85" fillId="4" borderId="3" xfId="0" applyFont="1" applyFill="1" applyBorder="1" applyAlignment="1">
      <alignment horizontal="center" vertical="center"/>
    </xf>
    <xf numFmtId="0" fontId="78" fillId="4" borderId="3" xfId="0" applyFont="1" applyFill="1" applyBorder="1" applyAlignment="1">
      <alignment horizontal="center" vertical="center"/>
    </xf>
    <xf numFmtId="0" fontId="87" fillId="4" borderId="3" xfId="0" applyFont="1" applyFill="1" applyBorder="1" applyAlignment="1">
      <alignment horizontal="center" vertical="center"/>
    </xf>
    <xf numFmtId="14" fontId="31" fillId="4" borderId="5" xfId="0" applyNumberFormat="1" applyFont="1" applyFill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3" fontId="52" fillId="4" borderId="3" xfId="0" applyNumberFormat="1" applyFont="1" applyFill="1" applyBorder="1" applyAlignment="1">
      <alignment horizontal="center" vertical="center"/>
    </xf>
    <xf numFmtId="0" fontId="87" fillId="4" borderId="1" xfId="0" applyFont="1" applyFill="1" applyBorder="1" applyAlignment="1">
      <alignment horizontal="center" vertical="center"/>
    </xf>
    <xf numFmtId="0" fontId="76" fillId="2" borderId="1" xfId="0" applyFont="1" applyFill="1" applyBorder="1" applyAlignment="1">
      <alignment horizontal="center" vertical="center"/>
    </xf>
    <xf numFmtId="3" fontId="76" fillId="2" borderId="1" xfId="0" applyNumberFormat="1" applyFont="1" applyFill="1" applyBorder="1" applyAlignment="1">
      <alignment horizontal="center" vertical="center"/>
    </xf>
    <xf numFmtId="14" fontId="73" fillId="2" borderId="5" xfId="0" applyNumberFormat="1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 vertical="center"/>
    </xf>
    <xf numFmtId="0" fontId="74" fillId="2" borderId="3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center" vertical="center"/>
    </xf>
    <xf numFmtId="0" fontId="88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/>
    </xf>
    <xf numFmtId="3" fontId="76" fillId="2" borderId="3" xfId="0" applyNumberFormat="1" applyFont="1" applyFill="1" applyBorder="1" applyAlignment="1">
      <alignment horizontal="center" vertical="center"/>
    </xf>
    <xf numFmtId="0" fontId="87" fillId="2" borderId="1" xfId="0" applyFont="1" applyFill="1" applyBorder="1" applyAlignment="1">
      <alignment horizontal="center" vertical="center"/>
    </xf>
    <xf numFmtId="3" fontId="84" fillId="2" borderId="3" xfId="0" applyNumberFormat="1" applyFont="1" applyFill="1" applyBorder="1" applyAlignment="1">
      <alignment horizontal="center" vertical="center"/>
    </xf>
    <xf numFmtId="0" fontId="79" fillId="2" borderId="0" xfId="0" applyFont="1" applyFill="1" applyAlignment="1">
      <alignment horizontal="center" vertical="center"/>
    </xf>
    <xf numFmtId="0" fontId="85" fillId="2" borderId="3" xfId="0" applyFont="1" applyFill="1" applyBorder="1" applyAlignment="1">
      <alignment horizontal="center" vertical="center"/>
    </xf>
    <xf numFmtId="0" fontId="90" fillId="0" borderId="0" xfId="7" applyFont="1"/>
    <xf numFmtId="0" fontId="91" fillId="18" borderId="0" xfId="7" applyFont="1" applyFill="1" applyAlignment="1">
      <alignment horizontal="center" vertical="center"/>
    </xf>
    <xf numFmtId="0" fontId="92" fillId="0" borderId="0" xfId="7" applyFont="1"/>
    <xf numFmtId="0" fontId="93" fillId="0" borderId="0" xfId="7" applyFont="1" applyAlignment="1">
      <alignment vertical="center"/>
    </xf>
    <xf numFmtId="0" fontId="91" fillId="18" borderId="0" xfId="7" applyFont="1" applyFill="1" applyAlignment="1">
      <alignment horizontal="left" vertical="center"/>
    </xf>
    <xf numFmtId="0" fontId="91" fillId="18" borderId="0" xfId="7" applyFont="1" applyFill="1" applyAlignment="1">
      <alignment horizontal="center"/>
    </xf>
    <xf numFmtId="0" fontId="92" fillId="20" borderId="0" xfId="7" applyFont="1" applyFill="1" applyAlignment="1">
      <alignment horizontal="center"/>
    </xf>
    <xf numFmtId="0" fontId="91" fillId="20" borderId="48" xfId="7" applyFont="1" applyFill="1" applyBorder="1" applyAlignment="1">
      <alignment vertical="center"/>
    </xf>
    <xf numFmtId="0" fontId="91" fillId="19" borderId="50" xfId="7" applyFont="1" applyFill="1" applyBorder="1" applyAlignment="1">
      <alignment horizontal="center" vertical="center"/>
    </xf>
    <xf numFmtId="0" fontId="91" fillId="20" borderId="50" xfId="7" applyFont="1" applyFill="1" applyBorder="1" applyAlignment="1">
      <alignment horizontal="center" vertical="center"/>
    </xf>
    <xf numFmtId="0" fontId="92" fillId="20" borderId="0" xfId="7" applyFont="1" applyFill="1" applyAlignment="1">
      <alignment horizontal="center" vertical="center"/>
    </xf>
    <xf numFmtId="0" fontId="91" fillId="20" borderId="50" xfId="7" applyFont="1" applyFill="1" applyBorder="1" applyAlignment="1">
      <alignment horizontal="center" vertical="center" wrapText="1"/>
    </xf>
    <xf numFmtId="0" fontId="94" fillId="20" borderId="50" xfId="7" applyFont="1" applyFill="1" applyBorder="1" applyAlignment="1">
      <alignment horizontal="center" vertical="center"/>
    </xf>
    <xf numFmtId="0" fontId="91" fillId="18" borderId="50" xfId="7" applyFont="1" applyFill="1" applyBorder="1" applyAlignment="1">
      <alignment horizontal="center"/>
    </xf>
    <xf numFmtId="0" fontId="95" fillId="18" borderId="50" xfId="7" applyFont="1" applyFill="1" applyBorder="1" applyAlignment="1">
      <alignment horizontal="center"/>
    </xf>
    <xf numFmtId="0" fontId="95" fillId="2" borderId="50" xfId="7" applyFont="1" applyFill="1" applyBorder="1" applyAlignment="1">
      <alignment horizontal="center"/>
    </xf>
    <xf numFmtId="0" fontId="96" fillId="18" borderId="50" xfId="7" applyFont="1" applyFill="1" applyBorder="1" applyAlignment="1">
      <alignment horizontal="center" vertical="center"/>
    </xf>
    <xf numFmtId="0" fontId="97" fillId="18" borderId="0" xfId="7" applyFont="1" applyFill="1" applyAlignment="1">
      <alignment horizontal="center"/>
    </xf>
    <xf numFmtId="0" fontId="96" fillId="18" borderId="51" xfId="7" applyFont="1" applyFill="1" applyBorder="1" applyAlignment="1">
      <alignment horizontal="center"/>
    </xf>
    <xf numFmtId="0" fontId="92" fillId="18" borderId="0" xfId="7" applyFont="1" applyFill="1" applyAlignment="1">
      <alignment horizontal="center"/>
    </xf>
    <xf numFmtId="0" fontId="96" fillId="0" borderId="50" xfId="7" applyFont="1" applyBorder="1" applyAlignment="1">
      <alignment horizontal="center"/>
    </xf>
    <xf numFmtId="0" fontId="91" fillId="2" borderId="0" xfId="7" applyFont="1" applyFill="1" applyAlignment="1">
      <alignment horizontal="center" vertical="center"/>
    </xf>
    <xf numFmtId="0" fontId="98" fillId="18" borderId="0" xfId="7" applyFont="1" applyFill="1" applyAlignment="1">
      <alignment horizontal="center" vertical="center"/>
    </xf>
    <xf numFmtId="0" fontId="92" fillId="0" borderId="0" xfId="7" applyFont="1" applyAlignment="1">
      <alignment horizontal="center"/>
    </xf>
    <xf numFmtId="0" fontId="91" fillId="0" borderId="0" xfId="7" applyFont="1" applyAlignment="1">
      <alignment horizontal="center"/>
    </xf>
    <xf numFmtId="0" fontId="91" fillId="2" borderId="0" xfId="7" applyFont="1" applyFill="1" applyAlignment="1">
      <alignment horizontal="center"/>
    </xf>
    <xf numFmtId="0" fontId="98" fillId="0" borderId="0" xfId="7" applyFont="1" applyAlignment="1">
      <alignment horizontal="center"/>
    </xf>
    <xf numFmtId="0" fontId="90" fillId="0" borderId="0" xfId="7" applyFont="1" applyAlignment="1">
      <alignment horizontal="center"/>
    </xf>
    <xf numFmtId="0" fontId="91" fillId="21" borderId="0" xfId="7" applyFont="1" applyFill="1" applyAlignment="1">
      <alignment horizontal="center"/>
    </xf>
    <xf numFmtId="0" fontId="98" fillId="21" borderId="0" xfId="7" applyFont="1" applyFill="1" applyAlignment="1">
      <alignment horizontal="center"/>
    </xf>
    <xf numFmtId="0" fontId="91" fillId="0" borderId="0" xfId="7" applyFont="1" applyAlignment="1">
      <alignment horizontal="center" vertical="center"/>
    </xf>
    <xf numFmtId="0" fontId="99" fillId="0" borderId="0" xfId="7" applyFont="1" applyAlignment="1">
      <alignment horizontal="center"/>
    </xf>
    <xf numFmtId="0" fontId="100" fillId="0" borderId="0" xfId="7" applyFont="1" applyAlignment="1">
      <alignment horizontal="center"/>
    </xf>
    <xf numFmtId="0" fontId="101" fillId="0" borderId="0" xfId="7" applyFont="1" applyAlignment="1">
      <alignment horizontal="center"/>
    </xf>
    <xf numFmtId="0" fontId="91" fillId="19" borderId="52" xfId="7" applyFont="1" applyFill="1" applyBorder="1" applyAlignment="1">
      <alignment horizontal="center" vertical="center"/>
    </xf>
    <xf numFmtId="0" fontId="91" fillId="20" borderId="52" xfId="7" applyFont="1" applyFill="1" applyBorder="1" applyAlignment="1">
      <alignment horizontal="center" vertical="center"/>
    </xf>
    <xf numFmtId="0" fontId="94" fillId="20" borderId="52" xfId="7" applyFont="1" applyFill="1" applyBorder="1" applyAlignment="1">
      <alignment horizontal="center" vertical="center"/>
    </xf>
    <xf numFmtId="0" fontId="91" fillId="20" borderId="53" xfId="7" applyFont="1" applyFill="1" applyBorder="1" applyAlignment="1">
      <alignment horizontal="center" vertical="center"/>
    </xf>
    <xf numFmtId="0" fontId="95" fillId="0" borderId="50" xfId="7" applyFont="1" applyBorder="1" applyAlignment="1">
      <alignment horizontal="center"/>
    </xf>
    <xf numFmtId="0" fontId="95" fillId="0" borderId="54" xfId="7" applyFont="1" applyBorder="1" applyAlignment="1">
      <alignment horizontal="center"/>
    </xf>
    <xf numFmtId="0" fontId="102" fillId="18" borderId="50" xfId="7" applyFont="1" applyFill="1" applyBorder="1" applyAlignment="1">
      <alignment horizontal="center"/>
    </xf>
    <xf numFmtId="0" fontId="103" fillId="18" borderId="50" xfId="7" applyFont="1" applyFill="1" applyBorder="1" applyAlignment="1">
      <alignment horizontal="center"/>
    </xf>
    <xf numFmtId="0" fontId="100" fillId="18" borderId="0" xfId="7" applyFont="1" applyFill="1" applyAlignment="1">
      <alignment horizontal="center"/>
    </xf>
    <xf numFmtId="0" fontId="104" fillId="18" borderId="0" xfId="7" applyFont="1" applyFill="1" applyAlignment="1">
      <alignment horizontal="center"/>
    </xf>
    <xf numFmtId="0" fontId="98" fillId="18" borderId="0" xfId="7" applyFont="1" applyFill="1" applyAlignment="1">
      <alignment horizontal="center"/>
    </xf>
    <xf numFmtId="0" fontId="105" fillId="0" borderId="0" xfId="7" applyFont="1" applyAlignment="1">
      <alignment horizontal="center"/>
    </xf>
    <xf numFmtId="0" fontId="95" fillId="4" borderId="50" xfId="7" applyFont="1" applyFill="1" applyBorder="1" applyAlignment="1">
      <alignment horizontal="center"/>
    </xf>
    <xf numFmtId="0" fontId="91" fillId="22" borderId="0" xfId="7" applyFont="1" applyFill="1" applyAlignment="1">
      <alignment horizontal="center"/>
    </xf>
    <xf numFmtId="0" fontId="98" fillId="22" borderId="0" xfId="7" applyFont="1" applyFill="1" applyAlignment="1">
      <alignment horizontal="center"/>
    </xf>
    <xf numFmtId="0" fontId="51" fillId="4" borderId="1" xfId="0" applyFont="1" applyFill="1" applyBorder="1" applyAlignment="1">
      <alignment horizontal="center" vertical="center"/>
    </xf>
    <xf numFmtId="0" fontId="82" fillId="4" borderId="3" xfId="0" applyFont="1" applyFill="1" applyBorder="1" applyAlignment="1">
      <alignment horizontal="center" vertical="center"/>
    </xf>
    <xf numFmtId="166" fontId="80" fillId="2" borderId="1" xfId="0" applyNumberFormat="1" applyFont="1" applyFill="1" applyBorder="1" applyAlignment="1">
      <alignment horizontal="center" vertical="center"/>
    </xf>
    <xf numFmtId="166" fontId="86" fillId="4" borderId="1" xfId="0" applyNumberFormat="1" applyFont="1" applyFill="1" applyBorder="1" applyAlignment="1">
      <alignment horizontal="center" vertical="center"/>
    </xf>
    <xf numFmtId="166" fontId="42" fillId="4" borderId="1" xfId="0" applyNumberFormat="1" applyFont="1" applyFill="1" applyBorder="1" applyAlignment="1">
      <alignment horizontal="center" vertical="center"/>
    </xf>
    <xf numFmtId="0" fontId="73" fillId="2" borderId="2" xfId="0" applyFont="1" applyFill="1" applyBorder="1" applyAlignment="1">
      <alignment horizontal="center" vertical="center"/>
    </xf>
    <xf numFmtId="0" fontId="73" fillId="4" borderId="2" xfId="0" applyFont="1" applyFill="1" applyBorder="1" applyAlignment="1">
      <alignment horizontal="center" vertical="center"/>
    </xf>
    <xf numFmtId="0" fontId="73" fillId="4" borderId="6" xfId="0" applyFont="1" applyFill="1" applyBorder="1" applyAlignment="1">
      <alignment horizontal="center" vertical="center"/>
    </xf>
    <xf numFmtId="0" fontId="79" fillId="2" borderId="6" xfId="0" applyFont="1" applyFill="1" applyBorder="1" applyAlignment="1">
      <alignment horizontal="center" vertical="center"/>
    </xf>
    <xf numFmtId="0" fontId="73" fillId="2" borderId="6" xfId="0" applyFont="1" applyFill="1" applyBorder="1" applyAlignment="1">
      <alignment horizontal="center" vertical="center"/>
    </xf>
    <xf numFmtId="0" fontId="79" fillId="4" borderId="6" xfId="0" applyFont="1" applyFill="1" applyBorder="1" applyAlignment="1">
      <alignment horizontal="center" vertical="center"/>
    </xf>
    <xf numFmtId="166" fontId="42" fillId="4" borderId="43" xfId="0" applyNumberFormat="1" applyFont="1" applyFill="1" applyBorder="1" applyAlignment="1">
      <alignment horizontal="center" vertical="center"/>
    </xf>
    <xf numFmtId="0" fontId="107" fillId="0" borderId="0" xfId="0" applyFont="1"/>
    <xf numFmtId="0" fontId="0" fillId="0" borderId="1" xfId="0" applyBorder="1" applyAlignment="1">
      <alignment vertical="center"/>
    </xf>
    <xf numFmtId="0" fontId="108" fillId="4" borderId="3" xfId="0" applyFont="1" applyFill="1" applyBorder="1" applyAlignment="1">
      <alignment horizontal="center" vertical="center"/>
    </xf>
    <xf numFmtId="166" fontId="41" fillId="4" borderId="1" xfId="0" applyNumberFormat="1" applyFont="1" applyFill="1" applyBorder="1" applyAlignment="1">
      <alignment horizontal="center" vertical="center"/>
    </xf>
    <xf numFmtId="14" fontId="109" fillId="2" borderId="5" xfId="0" applyNumberFormat="1" applyFont="1" applyFill="1" applyBorder="1" applyAlignment="1">
      <alignment horizontal="center" vertical="center"/>
    </xf>
    <xf numFmtId="0" fontId="110" fillId="2" borderId="3" xfId="0" applyFont="1" applyFill="1" applyBorder="1" applyAlignment="1">
      <alignment horizontal="center" vertical="center"/>
    </xf>
    <xf numFmtId="0" fontId="110" fillId="2" borderId="1" xfId="0" applyFont="1" applyFill="1" applyBorder="1" applyAlignment="1">
      <alignment horizontal="center" vertical="center"/>
    </xf>
    <xf numFmtId="0" fontId="111" fillId="2" borderId="3" xfId="0" applyFont="1" applyFill="1" applyBorder="1" applyAlignment="1">
      <alignment horizontal="center" vertical="center"/>
    </xf>
    <xf numFmtId="0" fontId="110" fillId="2" borderId="6" xfId="0" applyFont="1" applyFill="1" applyBorder="1" applyAlignment="1">
      <alignment horizontal="center" vertical="center"/>
    </xf>
    <xf numFmtId="166" fontId="110" fillId="2" borderId="1" xfId="0" applyNumberFormat="1" applyFont="1" applyFill="1" applyBorder="1" applyAlignment="1">
      <alignment horizontal="center" vertical="center"/>
    </xf>
    <xf numFmtId="0" fontId="112" fillId="2" borderId="2" xfId="0" applyFont="1" applyFill="1" applyBorder="1" applyAlignment="1">
      <alignment horizontal="center" vertical="center"/>
    </xf>
    <xf numFmtId="0" fontId="108" fillId="2" borderId="3" xfId="0" applyFont="1" applyFill="1" applyBorder="1" applyAlignment="1">
      <alignment horizontal="center" vertical="center"/>
    </xf>
    <xf numFmtId="166" fontId="41" fillId="2" borderId="1" xfId="0" applyNumberFormat="1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5" fillId="0" borderId="51" xfId="0" applyFont="1" applyBorder="1" applyAlignment="1">
      <alignment horizontal="center" vertical="center"/>
    </xf>
    <xf numFmtId="0" fontId="115" fillId="0" borderId="47" xfId="0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90" fillId="8" borderId="51" xfId="0" applyFont="1" applyFill="1" applyBorder="1" applyAlignment="1">
      <alignment horizontal="center" vertical="center"/>
    </xf>
    <xf numFmtId="0" fontId="90" fillId="8" borderId="55" xfId="0" applyFont="1" applyFill="1" applyBorder="1" applyAlignment="1">
      <alignment horizontal="center" vertical="center"/>
    </xf>
    <xf numFmtId="0" fontId="105" fillId="8" borderId="55" xfId="0" applyFont="1" applyFill="1" applyBorder="1" applyAlignment="1">
      <alignment horizontal="center" vertical="center" wrapText="1"/>
    </xf>
    <xf numFmtId="0" fontId="90" fillId="0" borderId="55" xfId="0" applyFont="1" applyBorder="1" applyAlignment="1">
      <alignment horizontal="center" vertical="center"/>
    </xf>
    <xf numFmtId="0" fontId="117" fillId="0" borderId="51" xfId="0" applyFont="1" applyBorder="1" applyAlignment="1">
      <alignment horizontal="center" vertical="center"/>
    </xf>
    <xf numFmtId="0" fontId="117" fillId="0" borderId="55" xfId="0" applyFont="1" applyBorder="1" applyAlignment="1">
      <alignment horizontal="center" vertical="center"/>
    </xf>
    <xf numFmtId="0" fontId="117" fillId="0" borderId="47" xfId="0" applyFont="1" applyBorder="1" applyAlignment="1">
      <alignment horizontal="center" vertical="center"/>
    </xf>
    <xf numFmtId="0" fontId="117" fillId="0" borderId="50" xfId="0" applyFont="1" applyBorder="1" applyAlignment="1">
      <alignment horizontal="center" vertical="center"/>
    </xf>
    <xf numFmtId="0" fontId="117" fillId="0" borderId="54" xfId="0" applyFont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0" borderId="50" xfId="0" applyFont="1" applyBorder="1" applyAlignment="1">
      <alignment horizontal="center" vertical="center"/>
    </xf>
    <xf numFmtId="0" fontId="90" fillId="8" borderId="59" xfId="0" applyFont="1" applyFill="1" applyBorder="1" applyAlignment="1">
      <alignment horizontal="center" vertical="center"/>
    </xf>
    <xf numFmtId="0" fontId="105" fillId="8" borderId="54" xfId="0" applyFont="1" applyFill="1" applyBorder="1" applyAlignment="1">
      <alignment horizontal="center" vertical="center" wrapText="1"/>
    </xf>
    <xf numFmtId="0" fontId="90" fillId="8" borderId="60" xfId="0" applyFont="1" applyFill="1" applyBorder="1" applyAlignment="1">
      <alignment horizontal="center" vertical="center"/>
    </xf>
    <xf numFmtId="0" fontId="118" fillId="8" borderId="50" xfId="0" applyFont="1" applyFill="1" applyBorder="1" applyAlignment="1">
      <alignment horizontal="center" vertical="center"/>
    </xf>
    <xf numFmtId="0" fontId="118" fillId="8" borderId="51" xfId="0" applyFont="1" applyFill="1" applyBorder="1" applyAlignment="1">
      <alignment horizontal="center" vertical="center"/>
    </xf>
    <xf numFmtId="0" fontId="118" fillId="8" borderId="45" xfId="0" applyFont="1" applyFill="1" applyBorder="1" applyAlignment="1">
      <alignment horizontal="center" vertical="center"/>
    </xf>
    <xf numFmtId="0" fontId="90" fillId="24" borderId="0" xfId="0" applyFont="1" applyFill="1" applyAlignment="1">
      <alignment horizontal="center" vertical="center"/>
    </xf>
    <xf numFmtId="0" fontId="114" fillId="24" borderId="0" xfId="0" applyFont="1" applyFill="1" applyAlignment="1">
      <alignment horizontal="center" vertical="center"/>
    </xf>
    <xf numFmtId="0" fontId="90" fillId="0" borderId="0" xfId="0" applyFont="1" applyAlignment="1">
      <alignment horizontal="left" vertical="top"/>
    </xf>
    <xf numFmtId="0" fontId="90" fillId="0" borderId="0" xfId="0" applyFont="1" applyAlignment="1">
      <alignment horizontal="left" vertical="center"/>
    </xf>
    <xf numFmtId="0" fontId="113" fillId="2" borderId="1" xfId="0" applyFont="1" applyFill="1" applyBorder="1"/>
    <xf numFmtId="1" fontId="23" fillId="4" borderId="17" xfId="0" applyNumberFormat="1" applyFont="1" applyFill="1" applyBorder="1" applyAlignment="1">
      <alignment horizontal="center" vertical="center" wrapText="1"/>
    </xf>
    <xf numFmtId="14" fontId="22" fillId="5" borderId="15" xfId="0" applyNumberFormat="1" applyFont="1" applyFill="1" applyBorder="1" applyAlignment="1">
      <alignment horizontal="center" vertical="center" wrapText="1"/>
    </xf>
    <xf numFmtId="0" fontId="40" fillId="4" borderId="1" xfId="0" applyFont="1" applyFill="1" applyBorder="1"/>
    <xf numFmtId="0" fontId="40" fillId="2" borderId="6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center" vertical="center"/>
    </xf>
    <xf numFmtId="166" fontId="47" fillId="2" borderId="1" xfId="0" applyNumberFormat="1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4" fillId="4" borderId="1" xfId="0" applyFont="1" applyFill="1" applyBorder="1"/>
    <xf numFmtId="0" fontId="108" fillId="4" borderId="1" xfId="0" applyFont="1" applyFill="1" applyBorder="1" applyAlignment="1">
      <alignment horizontal="center" vertical="center"/>
    </xf>
    <xf numFmtId="3" fontId="44" fillId="4" borderId="1" xfId="0" applyNumberFormat="1" applyFont="1" applyFill="1" applyBorder="1" applyAlignment="1">
      <alignment horizontal="center" vertical="center"/>
    </xf>
    <xf numFmtId="0" fontId="7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0" fillId="2" borderId="2" xfId="0" applyFont="1" applyFill="1" applyBorder="1" applyAlignment="1">
      <alignment horizontal="center" vertical="center"/>
    </xf>
    <xf numFmtId="0" fontId="24" fillId="2" borderId="2" xfId="0" applyFont="1" applyFill="1" applyBorder="1"/>
    <xf numFmtId="0" fontId="40" fillId="2" borderId="1" xfId="0" applyFont="1" applyFill="1" applyBorder="1"/>
    <xf numFmtId="0" fontId="68" fillId="4" borderId="1" xfId="0" applyFont="1" applyFill="1" applyBorder="1" applyAlignment="1">
      <alignment horizontal="center" vertical="center"/>
    </xf>
    <xf numFmtId="0" fontId="82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108" fillId="2" borderId="1" xfId="0" applyFont="1" applyFill="1" applyBorder="1" applyAlignment="1">
      <alignment horizontal="center" vertical="center"/>
    </xf>
    <xf numFmtId="3" fontId="44" fillId="2" borderId="1" xfId="0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/>
    </xf>
    <xf numFmtId="0" fontId="118" fillId="8" borderId="65" xfId="0" applyFont="1" applyFill="1" applyBorder="1" applyAlignment="1">
      <alignment horizontal="center" vertical="center"/>
    </xf>
    <xf numFmtId="0" fontId="118" fillId="0" borderId="65" xfId="0" applyFont="1" applyBorder="1" applyAlignment="1">
      <alignment horizontal="center" vertical="center"/>
    </xf>
    <xf numFmtId="0" fontId="117" fillId="0" borderId="65" xfId="0" applyFont="1" applyBorder="1" applyAlignment="1">
      <alignment horizontal="center" vertical="center"/>
    </xf>
    <xf numFmtId="0" fontId="115" fillId="0" borderId="65" xfId="0" applyFont="1" applyBorder="1" applyAlignment="1">
      <alignment horizontal="center" vertical="center"/>
    </xf>
    <xf numFmtId="0" fontId="123" fillId="2" borderId="1" xfId="0" applyFont="1" applyFill="1" applyBorder="1" applyAlignment="1">
      <alignment horizontal="center" vertical="center"/>
    </xf>
    <xf numFmtId="0" fontId="122" fillId="2" borderId="1" xfId="0" applyFont="1" applyFill="1" applyBorder="1" applyAlignment="1">
      <alignment horizontal="center" vertical="center"/>
    </xf>
    <xf numFmtId="0" fontId="71" fillId="2" borderId="1" xfId="0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106" fillId="4" borderId="1" xfId="0" applyFont="1" applyFill="1" applyBorder="1" applyAlignment="1">
      <alignment horizontal="center" vertical="center"/>
    </xf>
    <xf numFmtId="0" fontId="124" fillId="4" borderId="1" xfId="0" applyFont="1" applyFill="1" applyBorder="1" applyAlignment="1">
      <alignment horizontal="center" vertical="center"/>
    </xf>
    <xf numFmtId="0" fontId="122" fillId="4" borderId="1" xfId="0" applyFont="1" applyFill="1" applyBorder="1" applyAlignment="1">
      <alignment horizontal="center" vertical="center"/>
    </xf>
    <xf numFmtId="3" fontId="124" fillId="4" borderId="1" xfId="0" applyNumberFormat="1" applyFont="1" applyFill="1" applyBorder="1" applyAlignment="1">
      <alignment horizontal="center" vertical="center"/>
    </xf>
    <xf numFmtId="0" fontId="107" fillId="4" borderId="1" xfId="0" applyFont="1" applyFill="1" applyBorder="1" applyAlignment="1">
      <alignment horizontal="center" vertical="center"/>
    </xf>
    <xf numFmtId="0" fontId="125" fillId="4" borderId="1" xfId="0" applyFont="1" applyFill="1" applyBorder="1" applyAlignment="1">
      <alignment horizontal="center" vertical="center"/>
    </xf>
    <xf numFmtId="3" fontId="122" fillId="4" borderId="1" xfId="0" applyNumberFormat="1" applyFont="1" applyFill="1" applyBorder="1" applyAlignment="1">
      <alignment horizontal="center" vertical="center"/>
    </xf>
    <xf numFmtId="166" fontId="126" fillId="4" borderId="1" xfId="0" applyNumberFormat="1" applyFont="1" applyFill="1" applyBorder="1" applyAlignment="1">
      <alignment horizontal="center" vertical="center"/>
    </xf>
    <xf numFmtId="0" fontId="107" fillId="4" borderId="4" xfId="0" applyFont="1" applyFill="1" applyBorder="1" applyAlignment="1">
      <alignment horizontal="center" vertical="center"/>
    </xf>
    <xf numFmtId="0" fontId="106" fillId="4" borderId="4" xfId="0" applyFont="1" applyFill="1" applyBorder="1" applyAlignment="1">
      <alignment horizontal="center" vertical="center"/>
    </xf>
    <xf numFmtId="0" fontId="44" fillId="4" borderId="2" xfId="0" applyFont="1" applyFill="1" applyBorder="1"/>
    <xf numFmtId="0" fontId="1" fillId="3" borderId="11" xfId="0" applyFont="1" applyFill="1" applyBorder="1" applyAlignment="1">
      <alignment vertical="center"/>
    </xf>
    <xf numFmtId="0" fontId="44" fillId="4" borderId="6" xfId="0" applyFont="1" applyFill="1" applyBorder="1"/>
    <xf numFmtId="166" fontId="41" fillId="4" borderId="3" xfId="0" applyNumberFormat="1" applyFont="1" applyFill="1" applyBorder="1" applyAlignment="1">
      <alignment horizontal="center" vertical="center"/>
    </xf>
    <xf numFmtId="0" fontId="122" fillId="4" borderId="2" xfId="0" applyFont="1" applyFill="1" applyBorder="1"/>
    <xf numFmtId="166" fontId="41" fillId="2" borderId="3" xfId="0" applyNumberFormat="1" applyFont="1" applyFill="1" applyBorder="1" applyAlignment="1">
      <alignment horizontal="center" vertical="center"/>
    </xf>
    <xf numFmtId="166" fontId="126" fillId="2" borderId="1" xfId="0" applyNumberFormat="1" applyFont="1" applyFill="1" applyBorder="1" applyAlignment="1">
      <alignment horizontal="center" vertical="center"/>
    </xf>
    <xf numFmtId="0" fontId="127" fillId="2" borderId="4" xfId="0" applyFont="1" applyFill="1" applyBorder="1" applyAlignment="1">
      <alignment horizontal="center" vertical="center"/>
    </xf>
    <xf numFmtId="0" fontId="107" fillId="2" borderId="4" xfId="0" applyFont="1" applyFill="1" applyBorder="1" applyAlignment="1">
      <alignment horizontal="center" vertical="center"/>
    </xf>
    <xf numFmtId="0" fontId="125" fillId="2" borderId="1" xfId="0" applyFont="1" applyFill="1" applyBorder="1" applyAlignment="1">
      <alignment horizontal="center" vertical="center"/>
    </xf>
    <xf numFmtId="3" fontId="122" fillId="2" borderId="1" xfId="0" applyNumberFormat="1" applyFont="1" applyFill="1" applyBorder="1" applyAlignment="1">
      <alignment horizontal="center" vertical="center"/>
    </xf>
    <xf numFmtId="0" fontId="127" fillId="2" borderId="5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166" fontId="42" fillId="2" borderId="3" xfId="0" applyNumberFormat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128" fillId="2" borderId="1" xfId="0" applyFont="1" applyFill="1" applyBorder="1" applyAlignment="1">
      <alignment horizontal="center" vertical="center"/>
    </xf>
    <xf numFmtId="3" fontId="52" fillId="2" borderId="1" xfId="0" applyNumberFormat="1" applyFont="1" applyFill="1" applyBorder="1" applyAlignment="1">
      <alignment horizontal="center" vertical="center"/>
    </xf>
    <xf numFmtId="166" fontId="34" fillId="2" borderId="1" xfId="0" applyNumberFormat="1" applyFont="1" applyFill="1" applyBorder="1" applyAlignment="1">
      <alignment horizontal="center" vertical="center"/>
    </xf>
    <xf numFmtId="0" fontId="124" fillId="4" borderId="2" xfId="0" applyFont="1" applyFill="1" applyBorder="1"/>
    <xf numFmtId="0" fontId="117" fillId="0" borderId="0" xfId="0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51" fillId="4" borderId="2" xfId="0" applyFont="1" applyFill="1" applyBorder="1"/>
    <xf numFmtId="0" fontId="124" fillId="2" borderId="2" xfId="0" applyFont="1" applyFill="1" applyBorder="1"/>
    <xf numFmtId="0" fontId="90" fillId="8" borderId="50" xfId="0" applyFont="1" applyFill="1" applyBorder="1" applyAlignment="1">
      <alignment horizontal="center" vertical="center"/>
    </xf>
    <xf numFmtId="0" fontId="44" fillId="2" borderId="2" xfId="0" applyFont="1" applyFill="1" applyBorder="1"/>
    <xf numFmtId="0" fontId="81" fillId="2" borderId="1" xfId="0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 vertical="center"/>
    </xf>
    <xf numFmtId="0" fontId="82" fillId="2" borderId="5" xfId="0" applyFont="1" applyFill="1" applyBorder="1" applyAlignment="1">
      <alignment horizontal="center" vertical="center"/>
    </xf>
    <xf numFmtId="0" fontId="82" fillId="2" borderId="4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18" fillId="8" borderId="61" xfId="0" applyFont="1" applyFill="1" applyBorder="1" applyAlignment="1">
      <alignment horizontal="center" vertical="center"/>
    </xf>
    <xf numFmtId="0" fontId="118" fillId="8" borderId="52" xfId="0" applyFont="1" applyFill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0" fontId="117" fillId="0" borderId="46" xfId="0" applyFont="1" applyBorder="1" applyAlignment="1">
      <alignment horizontal="center" vertical="center"/>
    </xf>
    <xf numFmtId="0" fontId="90" fillId="8" borderId="63" xfId="0" applyFont="1" applyFill="1" applyBorder="1" applyAlignment="1">
      <alignment horizontal="center" vertical="center"/>
    </xf>
    <xf numFmtId="0" fontId="90" fillId="8" borderId="62" xfId="0" applyFont="1" applyFill="1" applyBorder="1" applyAlignment="1">
      <alignment horizontal="center" vertical="center"/>
    </xf>
    <xf numFmtId="0" fontId="90" fillId="8" borderId="0" xfId="0" applyFont="1" applyFill="1" applyAlignment="1">
      <alignment horizontal="center" vertical="center"/>
    </xf>
    <xf numFmtId="0" fontId="105" fillId="8" borderId="57" xfId="0" applyFont="1" applyFill="1" applyBorder="1" applyAlignment="1">
      <alignment horizontal="center" vertical="center" wrapText="1"/>
    </xf>
    <xf numFmtId="0" fontId="90" fillId="0" borderId="50" xfId="0" applyFont="1" applyBorder="1" applyAlignment="1">
      <alignment horizontal="center" vertical="center"/>
    </xf>
    <xf numFmtId="0" fontId="115" fillId="0" borderId="50" xfId="0" applyFont="1" applyBorder="1" applyAlignment="1">
      <alignment horizontal="center" vertical="center"/>
    </xf>
    <xf numFmtId="0" fontId="124" fillId="2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4" fontId="8" fillId="9" borderId="10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/>
    </xf>
    <xf numFmtId="0" fontId="8" fillId="9" borderId="43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0" fontId="40" fillId="2" borderId="2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 vertical="center"/>
    </xf>
    <xf numFmtId="3" fontId="40" fillId="10" borderId="1" xfId="0" applyNumberFormat="1" applyFont="1" applyFill="1" applyBorder="1" applyAlignment="1">
      <alignment horizontal="center"/>
    </xf>
    <xf numFmtId="0" fontId="40" fillId="10" borderId="1" xfId="0" applyFont="1" applyFill="1" applyBorder="1" applyAlignment="1">
      <alignment horizontal="center"/>
    </xf>
    <xf numFmtId="0" fontId="40" fillId="10" borderId="2" xfId="0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3" fontId="40" fillId="2" borderId="3" xfId="0" applyNumberFormat="1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3" fontId="30" fillId="2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15" fillId="0" borderId="1" xfId="0" applyFont="1" applyBorder="1"/>
    <xf numFmtId="22" fontId="13" fillId="0" borderId="1" xfId="0" applyNumberFormat="1" applyFont="1" applyBorder="1"/>
    <xf numFmtId="0" fontId="8" fillId="2" borderId="8" xfId="0" applyFont="1" applyFill="1" applyBorder="1" applyAlignment="1">
      <alignment horizontal="center" wrapText="1"/>
    </xf>
    <xf numFmtId="0" fontId="48" fillId="4" borderId="3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0" fontId="40" fillId="4" borderId="0" xfId="0" applyFont="1" applyFill="1"/>
    <xf numFmtId="0" fontId="40" fillId="2" borderId="0" xfId="0" applyFont="1" applyFill="1"/>
    <xf numFmtId="3" fontId="24" fillId="2" borderId="3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0" fillId="0" borderId="0" xfId="0" applyFont="1"/>
    <xf numFmtId="3" fontId="54" fillId="15" borderId="3" xfId="0" applyNumberFormat="1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0" fillId="11" borderId="5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40" fillId="11" borderId="0" xfId="0" applyFont="1" applyFill="1"/>
    <xf numFmtId="0" fontId="8" fillId="4" borderId="0" xfId="0" applyFont="1" applyFill="1" applyAlignment="1">
      <alignment horizontal="center" vertical="center"/>
    </xf>
    <xf numFmtId="3" fontId="57" fillId="2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3" fontId="31" fillId="2" borderId="3" xfId="0" applyNumberFormat="1" applyFont="1" applyFill="1" applyBorder="1" applyAlignment="1">
      <alignment horizontal="center" vertical="center"/>
    </xf>
    <xf numFmtId="3" fontId="31" fillId="4" borderId="3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2" borderId="0" xfId="0" applyFont="1" applyFill="1"/>
    <xf numFmtId="0" fontId="40" fillId="10" borderId="3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14" fontId="8" fillId="9" borderId="12" xfId="0" applyNumberFormat="1" applyFont="1" applyFill="1" applyBorder="1" applyAlignment="1">
      <alignment horizontal="center"/>
    </xf>
    <xf numFmtId="0" fontId="8" fillId="9" borderId="43" xfId="0" applyFont="1" applyFill="1" applyBorder="1" applyAlignment="1">
      <alignment horizontal="center"/>
    </xf>
    <xf numFmtId="14" fontId="8" fillId="2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3" fontId="73" fillId="2" borderId="1" xfId="0" applyNumberFormat="1" applyFont="1" applyFill="1" applyBorder="1" applyAlignment="1">
      <alignment horizontal="center" vertical="center"/>
    </xf>
    <xf numFmtId="3" fontId="73" fillId="4" borderId="1" xfId="0" applyNumberFormat="1" applyFont="1" applyFill="1" applyBorder="1" applyAlignment="1">
      <alignment horizontal="center" vertical="center"/>
    </xf>
    <xf numFmtId="3" fontId="73" fillId="2" borderId="3" xfId="0" applyNumberFormat="1" applyFont="1" applyFill="1" applyBorder="1" applyAlignment="1">
      <alignment horizontal="center" vertical="center"/>
    </xf>
    <xf numFmtId="0" fontId="83" fillId="4" borderId="3" xfId="0" applyFont="1" applyFill="1" applyBorder="1" applyAlignment="1">
      <alignment horizontal="center" vertical="center"/>
    </xf>
    <xf numFmtId="3" fontId="83" fillId="4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/>
    </xf>
    <xf numFmtId="3" fontId="83" fillId="2" borderId="3" xfId="0" applyNumberFormat="1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40" fillId="9" borderId="12" xfId="0" applyNumberFormat="1" applyFont="1" applyFill="1" applyBorder="1" applyAlignment="1">
      <alignment horizontal="center" vertical="center"/>
    </xf>
    <xf numFmtId="0" fontId="40" fillId="9" borderId="8" xfId="0" applyFont="1" applyFill="1" applyBorder="1" applyAlignment="1">
      <alignment horizontal="center" vertical="center"/>
    </xf>
    <xf numFmtId="0" fontId="40" fillId="9" borderId="43" xfId="0" applyFont="1" applyFill="1" applyBorder="1" applyAlignment="1">
      <alignment horizontal="center" vertical="center"/>
    </xf>
    <xf numFmtId="0" fontId="40" fillId="9" borderId="1" xfId="0" applyFont="1" applyFill="1" applyBorder="1" applyAlignment="1">
      <alignment horizontal="center" vertical="center"/>
    </xf>
    <xf numFmtId="0" fontId="40" fillId="9" borderId="0" xfId="0" applyFont="1" applyFill="1" applyAlignment="1">
      <alignment horizontal="center" vertical="center"/>
    </xf>
    <xf numFmtId="0" fontId="109" fillId="2" borderId="3" xfId="0" applyFont="1" applyFill="1" applyBorder="1" applyAlignment="1">
      <alignment horizontal="center" vertical="center"/>
    </xf>
    <xf numFmtId="3" fontId="109" fillId="2" borderId="3" xfId="0" applyNumberFormat="1" applyFont="1" applyFill="1" applyBorder="1" applyAlignment="1">
      <alignment horizontal="center" vertical="center"/>
    </xf>
    <xf numFmtId="0" fontId="40" fillId="2" borderId="2" xfId="0" applyFont="1" applyFill="1" applyBorder="1"/>
    <xf numFmtId="4" fontId="40" fillId="2" borderId="5" xfId="0" applyNumberFormat="1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4" fontId="8" fillId="9" borderId="10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4" borderId="2" xfId="0" applyFont="1" applyFill="1" applyBorder="1"/>
    <xf numFmtId="0" fontId="8" fillId="4" borderId="2" xfId="0" applyFont="1" applyFill="1" applyBorder="1"/>
    <xf numFmtId="0" fontId="131" fillId="0" borderId="0" xfId="0" applyFont="1" applyAlignment="1">
      <alignment horizontal="center" vertical="center"/>
    </xf>
    <xf numFmtId="0" fontId="132" fillId="0" borderId="0" xfId="0" applyFont="1"/>
    <xf numFmtId="0" fontId="133" fillId="8" borderId="61" xfId="0" applyFont="1" applyFill="1" applyBorder="1" applyAlignment="1">
      <alignment horizontal="center" vertical="center"/>
    </xf>
    <xf numFmtId="0" fontId="133" fillId="8" borderId="52" xfId="0" applyFont="1" applyFill="1" applyBorder="1" applyAlignment="1">
      <alignment horizontal="center" vertical="center"/>
    </xf>
    <xf numFmtId="0" fontId="133" fillId="0" borderId="45" xfId="0" applyFont="1" applyBorder="1" applyAlignment="1">
      <alignment horizontal="center" vertical="center"/>
    </xf>
    <xf numFmtId="0" fontId="134" fillId="0" borderId="47" xfId="0" applyFont="1" applyBorder="1" applyAlignment="1">
      <alignment horizontal="center" vertical="center"/>
    </xf>
    <xf numFmtId="0" fontId="134" fillId="0" borderId="17" xfId="0" applyFont="1" applyBorder="1" applyAlignment="1">
      <alignment horizontal="center" vertical="center"/>
    </xf>
    <xf numFmtId="0" fontId="90" fillId="8" borderId="15" xfId="0" applyFont="1" applyFill="1" applyBorder="1" applyAlignment="1">
      <alignment horizontal="center" vertical="center"/>
    </xf>
    <xf numFmtId="0" fontId="90" fillId="8" borderId="31" xfId="0" applyFont="1" applyFill="1" applyBorder="1" applyAlignment="1">
      <alignment horizontal="center" vertical="center"/>
    </xf>
    <xf numFmtId="0" fontId="115" fillId="0" borderId="55" xfId="0" applyFont="1" applyBorder="1" applyAlignment="1">
      <alignment horizontal="center" vertical="center"/>
    </xf>
    <xf numFmtId="0" fontId="90" fillId="8" borderId="17" xfId="0" applyFont="1" applyFill="1" applyBorder="1" applyAlignment="1">
      <alignment horizontal="center" vertical="center"/>
    </xf>
    <xf numFmtId="0" fontId="105" fillId="8" borderId="15" xfId="0" applyFont="1" applyFill="1" applyBorder="1" applyAlignment="1">
      <alignment horizontal="center" vertical="center" wrapText="1"/>
    </xf>
    <xf numFmtId="0" fontId="136" fillId="4" borderId="4" xfId="0" applyFont="1" applyFill="1" applyBorder="1" applyAlignment="1">
      <alignment horizontal="center" vertical="center"/>
    </xf>
    <xf numFmtId="0" fontId="136" fillId="4" borderId="1" xfId="0" applyFont="1" applyFill="1" applyBorder="1" applyAlignment="1">
      <alignment horizontal="center" vertical="center"/>
    </xf>
    <xf numFmtId="0" fontId="136" fillId="4" borderId="3" xfId="0" applyFont="1" applyFill="1" applyBorder="1" applyAlignment="1">
      <alignment horizontal="center" vertical="center"/>
    </xf>
    <xf numFmtId="0" fontId="137" fillId="4" borderId="1" xfId="0" applyFont="1" applyFill="1" applyBorder="1" applyAlignment="1">
      <alignment horizontal="center" vertical="center"/>
    </xf>
    <xf numFmtId="3" fontId="136" fillId="4" borderId="1" xfId="0" applyNumberFormat="1" applyFont="1" applyFill="1" applyBorder="1" applyAlignment="1">
      <alignment horizontal="center" vertical="center"/>
    </xf>
    <xf numFmtId="166" fontId="138" fillId="4" borderId="1" xfId="0" applyNumberFormat="1" applyFont="1" applyFill="1" applyBorder="1" applyAlignment="1">
      <alignment horizontal="center" vertical="center"/>
    </xf>
    <xf numFmtId="0" fontId="136" fillId="4" borderId="2" xfId="0" applyFont="1" applyFill="1" applyBorder="1"/>
    <xf numFmtId="0" fontId="136" fillId="4" borderId="5" xfId="0" applyFont="1" applyFill="1" applyBorder="1" applyAlignment="1">
      <alignment horizontal="center" vertical="center"/>
    </xf>
    <xf numFmtId="3" fontId="136" fillId="4" borderId="3" xfId="0" applyNumberFormat="1" applyFont="1" applyFill="1" applyBorder="1" applyAlignment="1">
      <alignment horizontal="center" vertical="center"/>
    </xf>
    <xf numFmtId="166" fontId="138" fillId="4" borderId="3" xfId="0" applyNumberFormat="1" applyFont="1" applyFill="1" applyBorder="1" applyAlignment="1">
      <alignment horizontal="center" vertical="center"/>
    </xf>
    <xf numFmtId="0" fontId="136" fillId="4" borderId="6" xfId="0" applyFont="1" applyFill="1" applyBorder="1"/>
    <xf numFmtId="0" fontId="137" fillId="4" borderId="3" xfId="0" applyFont="1" applyFill="1" applyBorder="1" applyAlignment="1">
      <alignment horizontal="center" vertical="center"/>
    </xf>
    <xf numFmtId="0" fontId="136" fillId="4" borderId="1" xfId="0" applyFont="1" applyFill="1" applyBorder="1"/>
    <xf numFmtId="0" fontId="136" fillId="0" borderId="0" xfId="0" applyFont="1"/>
    <xf numFmtId="14" fontId="136" fillId="9" borderId="10" xfId="0" applyNumberFormat="1" applyFont="1" applyFill="1" applyBorder="1" applyAlignment="1">
      <alignment horizontal="center" vertical="center"/>
    </xf>
    <xf numFmtId="0" fontId="136" fillId="9" borderId="7" xfId="0" applyFont="1" applyFill="1" applyBorder="1" applyAlignment="1">
      <alignment horizontal="center" vertical="center"/>
    </xf>
    <xf numFmtId="0" fontId="136" fillId="3" borderId="11" xfId="0" applyFont="1" applyFill="1" applyBorder="1" applyAlignment="1">
      <alignment vertical="center"/>
    </xf>
    <xf numFmtId="0" fontId="133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42" fillId="4" borderId="4" xfId="0" applyFont="1" applyFill="1" applyBorder="1" applyAlignment="1">
      <alignment horizontal="center" vertical="center"/>
    </xf>
    <xf numFmtId="0" fontId="142" fillId="4" borderId="1" xfId="0" applyFont="1" applyFill="1" applyBorder="1" applyAlignment="1">
      <alignment horizontal="center" vertical="center"/>
    </xf>
    <xf numFmtId="0" fontId="142" fillId="4" borderId="3" xfId="0" applyFont="1" applyFill="1" applyBorder="1" applyAlignment="1">
      <alignment horizontal="center" vertical="center"/>
    </xf>
    <xf numFmtId="0" fontId="143" fillId="4" borderId="1" xfId="0" applyFont="1" applyFill="1" applyBorder="1" applyAlignment="1">
      <alignment horizontal="center" vertical="center"/>
    </xf>
    <xf numFmtId="3" fontId="142" fillId="4" borderId="1" xfId="0" applyNumberFormat="1" applyFont="1" applyFill="1" applyBorder="1" applyAlignment="1">
      <alignment horizontal="center" vertical="center"/>
    </xf>
    <xf numFmtId="0" fontId="136" fillId="2" borderId="1" xfId="0" applyFont="1" applyFill="1" applyBorder="1" applyAlignment="1">
      <alignment horizontal="center" vertical="center"/>
    </xf>
    <xf numFmtId="3" fontId="136" fillId="2" borderId="1" xfId="0" applyNumberFormat="1" applyFont="1" applyFill="1" applyBorder="1" applyAlignment="1">
      <alignment horizontal="center" vertical="center"/>
    </xf>
    <xf numFmtId="0" fontId="137" fillId="2" borderId="1" xfId="0" applyFont="1" applyFill="1" applyBorder="1" applyAlignment="1">
      <alignment horizontal="center" vertical="center"/>
    </xf>
    <xf numFmtId="166" fontId="138" fillId="2" borderId="1" xfId="0" applyNumberFormat="1" applyFont="1" applyFill="1" applyBorder="1" applyAlignment="1">
      <alignment horizontal="center" vertical="center"/>
    </xf>
    <xf numFmtId="0" fontId="132" fillId="4" borderId="0" xfId="0" applyFont="1" applyFill="1"/>
    <xf numFmtId="3" fontId="142" fillId="4" borderId="2" xfId="0" applyNumberFormat="1" applyFont="1" applyFill="1" applyBorder="1" applyAlignment="1">
      <alignment horizontal="center" vertical="center"/>
    </xf>
    <xf numFmtId="0" fontId="142" fillId="4" borderId="7" xfId="0" applyFont="1" applyFill="1" applyBorder="1" applyAlignment="1">
      <alignment horizontal="center" vertical="center"/>
    </xf>
    <xf numFmtId="0" fontId="133" fillId="8" borderId="44" xfId="0" applyFont="1" applyFill="1" applyBorder="1" applyAlignment="1">
      <alignment horizontal="center" vertical="center"/>
    </xf>
    <xf numFmtId="0" fontId="133" fillId="8" borderId="49" xfId="0" applyFont="1" applyFill="1" applyBorder="1" applyAlignment="1">
      <alignment horizontal="center" vertical="center"/>
    </xf>
    <xf numFmtId="0" fontId="139" fillId="2" borderId="1" xfId="0" applyFont="1" applyFill="1" applyBorder="1" applyAlignment="1">
      <alignment horizontal="center" vertical="center"/>
    </xf>
    <xf numFmtId="0" fontId="139" fillId="2" borderId="4" xfId="0" applyFont="1" applyFill="1" applyBorder="1" applyAlignment="1">
      <alignment horizontal="center" vertical="center"/>
    </xf>
    <xf numFmtId="3" fontId="139" fillId="2" borderId="1" xfId="0" applyNumberFormat="1" applyFont="1" applyFill="1" applyBorder="1" applyAlignment="1">
      <alignment horizontal="center" vertical="center"/>
    </xf>
    <xf numFmtId="0" fontId="140" fillId="2" borderId="1" xfId="0" applyFont="1" applyFill="1" applyBorder="1" applyAlignment="1">
      <alignment horizontal="center" vertical="center"/>
    </xf>
    <xf numFmtId="166" fontId="141" fillId="2" borderId="1" xfId="0" applyNumberFormat="1" applyFont="1" applyFill="1" applyBorder="1" applyAlignment="1">
      <alignment horizontal="center" vertical="center"/>
    </xf>
    <xf numFmtId="0" fontId="136" fillId="2" borderId="4" xfId="0" applyFont="1" applyFill="1" applyBorder="1" applyAlignment="1">
      <alignment horizontal="center" vertical="center"/>
    </xf>
    <xf numFmtId="0" fontId="136" fillId="2" borderId="3" xfId="0" applyFont="1" applyFill="1" applyBorder="1" applyAlignment="1">
      <alignment horizontal="center" vertical="center"/>
    </xf>
    <xf numFmtId="0" fontId="139" fillId="2" borderId="3" xfId="0" applyFont="1" applyFill="1" applyBorder="1" applyAlignment="1">
      <alignment horizontal="center" vertical="center"/>
    </xf>
    <xf numFmtId="0" fontId="135" fillId="2" borderId="1" xfId="0" applyFont="1" applyFill="1" applyBorder="1" applyAlignment="1">
      <alignment horizontal="center" vertical="center"/>
    </xf>
    <xf numFmtId="0" fontId="135" fillId="2" borderId="4" xfId="0" applyFont="1" applyFill="1" applyBorder="1" applyAlignment="1">
      <alignment horizontal="center" vertical="center"/>
    </xf>
    <xf numFmtId="3" fontId="135" fillId="2" borderId="1" xfId="0" applyNumberFormat="1" applyFont="1" applyFill="1" applyBorder="1" applyAlignment="1">
      <alignment horizontal="center" vertical="center"/>
    </xf>
    <xf numFmtId="0" fontId="130" fillId="4" borderId="0" xfId="0" applyFont="1" applyFill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114" fillId="4" borderId="0" xfId="0" applyFont="1" applyFill="1" applyAlignment="1">
      <alignment horizontal="center" vertical="center"/>
    </xf>
    <xf numFmtId="0" fontId="92" fillId="4" borderId="0" xfId="0" applyFont="1" applyFill="1" applyAlignment="1">
      <alignment horizontal="center" vertical="center"/>
    </xf>
    <xf numFmtId="0" fontId="142" fillId="2" borderId="1" xfId="0" applyFont="1" applyFill="1" applyBorder="1" applyAlignment="1">
      <alignment horizontal="center" vertical="center"/>
    </xf>
    <xf numFmtId="3" fontId="142" fillId="2" borderId="1" xfId="0" applyNumberFormat="1" applyFont="1" applyFill="1" applyBorder="1" applyAlignment="1">
      <alignment horizontal="center" vertical="center"/>
    </xf>
    <xf numFmtId="0" fontId="143" fillId="2" borderId="1" xfId="0" applyFont="1" applyFill="1" applyBorder="1" applyAlignment="1">
      <alignment horizontal="center" vertical="center"/>
    </xf>
    <xf numFmtId="166" fontId="145" fillId="2" borderId="1" xfId="0" applyNumberFormat="1" applyFont="1" applyFill="1" applyBorder="1" applyAlignment="1">
      <alignment horizontal="center" vertical="center"/>
    </xf>
    <xf numFmtId="0" fontId="136" fillId="2" borderId="5" xfId="0" applyFont="1" applyFill="1" applyBorder="1" applyAlignment="1">
      <alignment horizontal="center" vertical="center"/>
    </xf>
    <xf numFmtId="3" fontId="136" fillId="2" borderId="3" xfId="0" applyNumberFormat="1" applyFont="1" applyFill="1" applyBorder="1" applyAlignment="1">
      <alignment horizontal="center" vertical="center"/>
    </xf>
    <xf numFmtId="166" fontId="138" fillId="2" borderId="3" xfId="0" applyNumberFormat="1" applyFont="1" applyFill="1" applyBorder="1" applyAlignment="1">
      <alignment horizontal="center" vertical="center"/>
    </xf>
    <xf numFmtId="0" fontId="146" fillId="2" borderId="3" xfId="0" applyFont="1" applyFill="1" applyBorder="1" applyAlignment="1">
      <alignment horizontal="center" vertical="center"/>
    </xf>
    <xf numFmtId="0" fontId="136" fillId="2" borderId="2" xfId="0" applyFont="1" applyFill="1" applyBorder="1"/>
    <xf numFmtId="3" fontId="144" fillId="2" borderId="1" xfId="0" applyNumberFormat="1" applyFont="1" applyFill="1" applyBorder="1" applyAlignment="1">
      <alignment horizontal="center" vertical="center"/>
    </xf>
    <xf numFmtId="14" fontId="147" fillId="9" borderId="10" xfId="0" applyNumberFormat="1" applyFont="1" applyFill="1" applyBorder="1" applyAlignment="1">
      <alignment horizontal="center" vertical="center"/>
    </xf>
    <xf numFmtId="0" fontId="147" fillId="9" borderId="7" xfId="0" applyFont="1" applyFill="1" applyBorder="1" applyAlignment="1">
      <alignment horizontal="center" vertical="center"/>
    </xf>
    <xf numFmtId="0" fontId="147" fillId="3" borderId="11" xfId="0" applyFont="1" applyFill="1" applyBorder="1" applyAlignment="1">
      <alignment vertical="center"/>
    </xf>
    <xf numFmtId="0" fontId="148" fillId="4" borderId="1" xfId="0" applyFont="1" applyFill="1" applyBorder="1" applyAlignment="1">
      <alignment horizontal="center" vertical="center"/>
    </xf>
    <xf numFmtId="0" fontId="147" fillId="4" borderId="2" xfId="0" applyFont="1" applyFill="1" applyBorder="1"/>
    <xf numFmtId="0" fontId="147" fillId="4" borderId="1" xfId="0" applyFont="1" applyFill="1" applyBorder="1" applyAlignment="1">
      <alignment horizontal="center" vertical="center"/>
    </xf>
    <xf numFmtId="0" fontId="148" fillId="4" borderId="3" xfId="0" applyFont="1" applyFill="1" applyBorder="1" applyAlignment="1">
      <alignment horizontal="center" vertical="center"/>
    </xf>
    <xf numFmtId="0" fontId="147" fillId="4" borderId="4" xfId="0" applyFont="1" applyFill="1" applyBorder="1" applyAlignment="1">
      <alignment horizontal="center" vertical="center"/>
    </xf>
    <xf numFmtId="0" fontId="150" fillId="4" borderId="1" xfId="0" applyFont="1" applyFill="1" applyBorder="1" applyAlignment="1">
      <alignment horizontal="center" vertical="center"/>
    </xf>
    <xf numFmtId="3" fontId="147" fillId="4" borderId="1" xfId="0" applyNumberFormat="1" applyFont="1" applyFill="1" applyBorder="1" applyAlignment="1">
      <alignment horizontal="center" vertical="center"/>
    </xf>
    <xf numFmtId="166" fontId="151" fillId="4" borderId="1" xfId="0" applyNumberFormat="1" applyFont="1" applyFill="1" applyBorder="1" applyAlignment="1">
      <alignment horizontal="center" vertical="center"/>
    </xf>
    <xf numFmtId="0" fontId="147" fillId="4" borderId="3" xfId="0" applyFont="1" applyFill="1" applyBorder="1" applyAlignment="1">
      <alignment horizontal="center" vertical="center"/>
    </xf>
    <xf numFmtId="3" fontId="147" fillId="4" borderId="2" xfId="0" applyNumberFormat="1" applyFont="1" applyFill="1" applyBorder="1" applyAlignment="1">
      <alignment horizontal="center" vertical="center"/>
    </xf>
    <xf numFmtId="0" fontId="147" fillId="4" borderId="7" xfId="0" applyFont="1" applyFill="1" applyBorder="1" applyAlignment="1">
      <alignment horizontal="center" vertical="center"/>
    </xf>
    <xf numFmtId="0" fontId="147" fillId="4" borderId="5" xfId="0" applyFont="1" applyFill="1" applyBorder="1" applyAlignment="1">
      <alignment horizontal="center" vertical="center"/>
    </xf>
    <xf numFmtId="3" fontId="147" fillId="4" borderId="3" xfId="0" applyNumberFormat="1" applyFont="1" applyFill="1" applyBorder="1" applyAlignment="1">
      <alignment horizontal="center" vertical="center"/>
    </xf>
    <xf numFmtId="166" fontId="151" fillId="4" borderId="3" xfId="0" applyNumberFormat="1" applyFont="1" applyFill="1" applyBorder="1" applyAlignment="1">
      <alignment horizontal="center" vertical="center"/>
    </xf>
    <xf numFmtId="0" fontId="147" fillId="4" borderId="6" xfId="0" applyFont="1" applyFill="1" applyBorder="1"/>
    <xf numFmtId="0" fontId="150" fillId="4" borderId="3" xfId="0" applyFont="1" applyFill="1" applyBorder="1" applyAlignment="1">
      <alignment horizontal="center" vertical="center"/>
    </xf>
    <xf numFmtId="0" fontId="147" fillId="4" borderId="1" xfId="0" applyFont="1" applyFill="1" applyBorder="1"/>
    <xf numFmtId="0" fontId="147" fillId="0" borderId="0" xfId="0" applyFont="1"/>
    <xf numFmtId="0" fontId="156" fillId="4" borderId="4" xfId="0" applyFont="1" applyFill="1" applyBorder="1" applyAlignment="1">
      <alignment horizontal="center" vertical="center"/>
    </xf>
    <xf numFmtId="0" fontId="156" fillId="4" borderId="1" xfId="0" applyFont="1" applyFill="1" applyBorder="1" applyAlignment="1">
      <alignment horizontal="center" vertical="center"/>
    </xf>
    <xf numFmtId="3" fontId="156" fillId="4" borderId="1" xfId="0" applyNumberFormat="1" applyFont="1" applyFill="1" applyBorder="1" applyAlignment="1">
      <alignment horizontal="center" vertical="center"/>
    </xf>
    <xf numFmtId="0" fontId="157" fillId="4" borderId="1" xfId="0" applyFont="1" applyFill="1" applyBorder="1" applyAlignment="1">
      <alignment horizontal="center" vertical="center"/>
    </xf>
    <xf numFmtId="166" fontId="159" fillId="4" borderId="1" xfId="0" applyNumberFormat="1" applyFont="1" applyFill="1" applyBorder="1" applyAlignment="1">
      <alignment horizontal="center" vertical="center"/>
    </xf>
    <xf numFmtId="3" fontId="156" fillId="4" borderId="2" xfId="0" applyNumberFormat="1" applyFont="1" applyFill="1" applyBorder="1" applyAlignment="1">
      <alignment horizontal="center" vertical="center"/>
    </xf>
    <xf numFmtId="0" fontId="156" fillId="4" borderId="7" xfId="0" applyFont="1" applyFill="1" applyBorder="1" applyAlignment="1">
      <alignment horizontal="center" vertical="center"/>
    </xf>
    <xf numFmtId="0" fontId="161" fillId="4" borderId="2" xfId="0" applyFont="1" applyFill="1" applyBorder="1"/>
    <xf numFmtId="0" fontId="156" fillId="2" borderId="4" xfId="0" applyFont="1" applyFill="1" applyBorder="1" applyAlignment="1">
      <alignment horizontal="center" vertical="center"/>
    </xf>
    <xf numFmtId="0" fontId="156" fillId="2" borderId="1" xfId="0" applyFont="1" applyFill="1" applyBorder="1" applyAlignment="1">
      <alignment horizontal="center" vertical="center"/>
    </xf>
    <xf numFmtId="3" fontId="156" fillId="2" borderId="1" xfId="0" applyNumberFormat="1" applyFont="1" applyFill="1" applyBorder="1" applyAlignment="1">
      <alignment horizontal="center" vertical="center"/>
    </xf>
    <xf numFmtId="0" fontId="157" fillId="2" borderId="1" xfId="0" applyFont="1" applyFill="1" applyBorder="1" applyAlignment="1">
      <alignment horizontal="center" vertical="center"/>
    </xf>
    <xf numFmtId="166" fontId="158" fillId="2" borderId="1" xfId="0" applyNumberFormat="1" applyFont="1" applyFill="1" applyBorder="1" applyAlignment="1">
      <alignment horizontal="center" vertical="center"/>
    </xf>
    <xf numFmtId="0" fontId="160" fillId="2" borderId="1" xfId="0" applyFont="1" applyFill="1" applyBorder="1" applyAlignment="1">
      <alignment horizontal="center" vertical="center"/>
    </xf>
    <xf numFmtId="0" fontId="147" fillId="2" borderId="4" xfId="0" applyFont="1" applyFill="1" applyBorder="1" applyAlignment="1">
      <alignment horizontal="center" vertical="center"/>
    </xf>
    <xf numFmtId="0" fontId="147" fillId="2" borderId="1" xfId="0" applyFont="1" applyFill="1" applyBorder="1" applyAlignment="1">
      <alignment horizontal="center" vertical="center"/>
    </xf>
    <xf numFmtId="3" fontId="148" fillId="2" borderId="1" xfId="0" applyNumberFormat="1" applyFont="1" applyFill="1" applyBorder="1" applyAlignment="1">
      <alignment horizontal="center" vertical="center"/>
    </xf>
    <xf numFmtId="0" fontId="148" fillId="2" borderId="1" xfId="0" applyFont="1" applyFill="1" applyBorder="1" applyAlignment="1">
      <alignment horizontal="center" vertical="center"/>
    </xf>
    <xf numFmtId="0" fontId="153" fillId="2" borderId="1" xfId="0" applyFont="1" applyFill="1" applyBorder="1" applyAlignment="1">
      <alignment horizontal="center" vertical="center"/>
    </xf>
    <xf numFmtId="3" fontId="147" fillId="2" borderId="1" xfId="0" applyNumberFormat="1" applyFont="1" applyFill="1" applyBorder="1" applyAlignment="1">
      <alignment horizontal="center" vertical="center"/>
    </xf>
    <xf numFmtId="166" fontId="149" fillId="2" borderId="1" xfId="0" applyNumberFormat="1" applyFont="1" applyFill="1" applyBorder="1" applyAlignment="1">
      <alignment horizontal="center" vertical="center"/>
    </xf>
    <xf numFmtId="0" fontId="148" fillId="2" borderId="4" xfId="0" applyFont="1" applyFill="1" applyBorder="1" applyAlignment="1">
      <alignment horizontal="center" vertical="center"/>
    </xf>
    <xf numFmtId="0" fontId="155" fillId="2" borderId="1" xfId="0" applyFont="1" applyFill="1" applyBorder="1" applyAlignment="1">
      <alignment horizontal="center" vertical="center"/>
    </xf>
    <xf numFmtId="166" fontId="154" fillId="2" borderId="1" xfId="0" applyNumberFormat="1" applyFont="1" applyFill="1" applyBorder="1" applyAlignment="1">
      <alignment horizontal="center" vertical="center"/>
    </xf>
    <xf numFmtId="0" fontId="150" fillId="2" borderId="1" xfId="0" applyFont="1" applyFill="1" applyBorder="1" applyAlignment="1">
      <alignment horizontal="center" vertical="center"/>
    </xf>
    <xf numFmtId="166" fontId="151" fillId="2" borderId="1" xfId="0" applyNumberFormat="1" applyFont="1" applyFill="1" applyBorder="1" applyAlignment="1">
      <alignment horizontal="center" vertical="center"/>
    </xf>
    <xf numFmtId="0" fontId="156" fillId="4" borderId="2" xfId="0" applyFont="1" applyFill="1" applyBorder="1"/>
    <xf numFmtId="3" fontId="162" fillId="2" borderId="1" xfId="0" applyNumberFormat="1" applyFont="1" applyFill="1" applyBorder="1" applyAlignment="1">
      <alignment horizontal="center" vertical="center"/>
    </xf>
    <xf numFmtId="166" fontId="159" fillId="2" borderId="1" xfId="0" applyNumberFormat="1" applyFont="1" applyFill="1" applyBorder="1" applyAlignment="1">
      <alignment horizontal="center" vertical="center"/>
    </xf>
    <xf numFmtId="0" fontId="152" fillId="2" borderId="1" xfId="0" applyFont="1" applyFill="1" applyBorder="1" applyAlignment="1">
      <alignment horizontal="center" vertical="center"/>
    </xf>
    <xf numFmtId="3" fontId="155" fillId="2" borderId="1" xfId="0" applyNumberFormat="1" applyFont="1" applyFill="1" applyBorder="1" applyAlignment="1">
      <alignment horizontal="center" vertical="center"/>
    </xf>
    <xf numFmtId="0" fontId="163" fillId="2" borderId="1" xfId="0" applyFont="1" applyFill="1" applyBorder="1" applyAlignment="1">
      <alignment horizontal="center" vertical="center"/>
    </xf>
    <xf numFmtId="0" fontId="156" fillId="2" borderId="3" xfId="0" applyFont="1" applyFill="1" applyBorder="1" applyAlignment="1">
      <alignment horizontal="center" vertical="center"/>
    </xf>
    <xf numFmtId="0" fontId="147" fillId="2" borderId="2" xfId="0" applyFont="1" applyFill="1" applyBorder="1"/>
    <xf numFmtId="0" fontId="155" fillId="0" borderId="0" xfId="0" applyFont="1"/>
    <xf numFmtId="14" fontId="155" fillId="9" borderId="10" xfId="0" applyNumberFormat="1" applyFont="1" applyFill="1" applyBorder="1" applyAlignment="1">
      <alignment horizontal="center" vertical="center"/>
    </xf>
    <xf numFmtId="0" fontId="155" fillId="9" borderId="7" xfId="0" applyFont="1" applyFill="1" applyBorder="1" applyAlignment="1">
      <alignment horizontal="center" vertical="center"/>
    </xf>
    <xf numFmtId="0" fontId="155" fillId="3" borderId="11" xfId="0" applyFont="1" applyFill="1" applyBorder="1" applyAlignment="1">
      <alignment vertical="center"/>
    </xf>
    <xf numFmtId="0" fontId="160" fillId="2" borderId="4" xfId="0" applyFont="1" applyFill="1" applyBorder="1" applyAlignment="1">
      <alignment horizontal="center" vertical="center"/>
    </xf>
    <xf numFmtId="3" fontId="160" fillId="2" borderId="1" xfId="0" applyNumberFormat="1" applyFont="1" applyFill="1" applyBorder="1" applyAlignment="1">
      <alignment horizontal="center" vertical="center"/>
    </xf>
    <xf numFmtId="0" fontId="160" fillId="4" borderId="4" xfId="0" applyFont="1" applyFill="1" applyBorder="1" applyAlignment="1">
      <alignment horizontal="center" vertical="center"/>
    </xf>
    <xf numFmtId="0" fontId="160" fillId="4" borderId="1" xfId="0" applyFont="1" applyFill="1" applyBorder="1" applyAlignment="1">
      <alignment horizontal="center" vertical="center"/>
    </xf>
    <xf numFmtId="3" fontId="160" fillId="4" borderId="1" xfId="0" applyNumberFormat="1" applyFont="1" applyFill="1" applyBorder="1" applyAlignment="1">
      <alignment horizontal="center" vertical="center"/>
    </xf>
    <xf numFmtId="0" fontId="163" fillId="4" borderId="1" xfId="0" applyFont="1" applyFill="1" applyBorder="1" applyAlignment="1">
      <alignment horizontal="center" vertical="center"/>
    </xf>
    <xf numFmtId="166" fontId="158" fillId="4" borderId="1" xfId="0" applyNumberFormat="1" applyFont="1" applyFill="1" applyBorder="1" applyAlignment="1">
      <alignment horizontal="center" vertical="center"/>
    </xf>
    <xf numFmtId="0" fontId="155" fillId="4" borderId="2" xfId="0" applyFont="1" applyFill="1" applyBorder="1"/>
    <xf numFmtId="0" fontId="162" fillId="2" borderId="4" xfId="0" applyFont="1" applyFill="1" applyBorder="1" applyAlignment="1">
      <alignment horizontal="center" vertical="center"/>
    </xf>
    <xf numFmtId="0" fontId="162" fillId="2" borderId="1" xfId="0" applyFont="1" applyFill="1" applyBorder="1" applyAlignment="1">
      <alignment horizontal="center" vertical="center"/>
    </xf>
    <xf numFmtId="0" fontId="160" fillId="4" borderId="2" xfId="0" applyFont="1" applyFill="1" applyBorder="1"/>
    <xf numFmtId="166" fontId="165" fillId="2" borderId="1" xfId="0" applyNumberFormat="1" applyFont="1" applyFill="1" applyBorder="1" applyAlignment="1">
      <alignment horizontal="center" vertical="center"/>
    </xf>
    <xf numFmtId="0" fontId="155" fillId="4" borderId="4" xfId="0" applyFont="1" applyFill="1" applyBorder="1" applyAlignment="1">
      <alignment horizontal="center" vertical="center"/>
    </xf>
    <xf numFmtId="0" fontId="155" fillId="4" borderId="1" xfId="0" applyFont="1" applyFill="1" applyBorder="1" applyAlignment="1">
      <alignment horizontal="center" vertical="center"/>
    </xf>
    <xf numFmtId="0" fontId="155" fillId="4" borderId="3" xfId="0" applyFont="1" applyFill="1" applyBorder="1" applyAlignment="1">
      <alignment horizontal="center" vertical="center"/>
    </xf>
    <xf numFmtId="0" fontId="153" fillId="4" borderId="1" xfId="0" applyFont="1" applyFill="1" applyBorder="1" applyAlignment="1">
      <alignment horizontal="center" vertical="center"/>
    </xf>
    <xf numFmtId="3" fontId="155" fillId="4" borderId="1" xfId="0" applyNumberFormat="1" applyFont="1" applyFill="1" applyBorder="1" applyAlignment="1">
      <alignment horizontal="center" vertical="center"/>
    </xf>
    <xf numFmtId="166" fontId="154" fillId="4" borderId="1" xfId="0" applyNumberFormat="1" applyFont="1" applyFill="1" applyBorder="1" applyAlignment="1">
      <alignment horizontal="center" vertical="center"/>
    </xf>
    <xf numFmtId="0" fontId="162" fillId="4" borderId="1" xfId="0" applyFont="1" applyFill="1" applyBorder="1" applyAlignment="1">
      <alignment horizontal="center" vertical="center"/>
    </xf>
    <xf numFmtId="0" fontId="162" fillId="4" borderId="3" xfId="0" applyFont="1" applyFill="1" applyBorder="1" applyAlignment="1">
      <alignment horizontal="center" vertical="center"/>
    </xf>
    <xf numFmtId="3" fontId="155" fillId="4" borderId="2" xfId="0" applyNumberFormat="1" applyFont="1" applyFill="1" applyBorder="1" applyAlignment="1">
      <alignment horizontal="center" vertical="center"/>
    </xf>
    <xf numFmtId="0" fontId="155" fillId="4" borderId="7" xfId="0" applyFont="1" applyFill="1" applyBorder="1" applyAlignment="1">
      <alignment horizontal="center" vertical="center"/>
    </xf>
    <xf numFmtId="0" fontId="155" fillId="4" borderId="5" xfId="0" applyFont="1" applyFill="1" applyBorder="1" applyAlignment="1">
      <alignment horizontal="center" vertical="center"/>
    </xf>
    <xf numFmtId="3" fontId="155" fillId="4" borderId="3" xfId="0" applyNumberFormat="1" applyFont="1" applyFill="1" applyBorder="1" applyAlignment="1">
      <alignment horizontal="center" vertical="center"/>
    </xf>
    <xf numFmtId="166" fontId="154" fillId="4" borderId="3" xfId="0" applyNumberFormat="1" applyFont="1" applyFill="1" applyBorder="1" applyAlignment="1">
      <alignment horizontal="center" vertical="center"/>
    </xf>
    <xf numFmtId="0" fontId="155" fillId="4" borderId="6" xfId="0" applyFont="1" applyFill="1" applyBorder="1"/>
    <xf numFmtId="0" fontId="153" fillId="4" borderId="3" xfId="0" applyFont="1" applyFill="1" applyBorder="1" applyAlignment="1">
      <alignment horizontal="center" vertical="center"/>
    </xf>
    <xf numFmtId="0" fontId="155" fillId="4" borderId="1" xfId="0" applyFont="1" applyFill="1" applyBorder="1"/>
    <xf numFmtId="0" fontId="164" fillId="4" borderId="1" xfId="0" applyFont="1" applyFill="1" applyBorder="1" applyAlignment="1">
      <alignment horizontal="center" vertical="center"/>
    </xf>
    <xf numFmtId="3" fontId="162" fillId="4" borderId="1" xfId="0" applyNumberFormat="1" applyFont="1" applyFill="1" applyBorder="1" applyAlignment="1">
      <alignment horizontal="center" vertical="center"/>
    </xf>
    <xf numFmtId="166" fontId="165" fillId="4" borderId="1" xfId="0" applyNumberFormat="1" applyFont="1" applyFill="1" applyBorder="1" applyAlignment="1">
      <alignment horizontal="center" vertical="center"/>
    </xf>
    <xf numFmtId="0" fontId="167" fillId="4" borderId="1" xfId="0" applyFont="1" applyFill="1" applyBorder="1" applyAlignment="1">
      <alignment horizontal="center" vertical="center"/>
    </xf>
    <xf numFmtId="0" fontId="147" fillId="4" borderId="2" xfId="0" applyFont="1" applyFill="1" applyBorder="1" applyAlignment="1">
      <alignment horizontal="center" vertical="center"/>
    </xf>
    <xf numFmtId="0" fontId="156" fillId="4" borderId="2" xfId="0" applyFont="1" applyFill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68" fillId="4" borderId="0" xfId="0" applyFont="1" applyFill="1" applyAlignment="1">
      <alignment horizontal="center" vertical="center"/>
    </xf>
    <xf numFmtId="0" fontId="169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60" fillId="0" borderId="0" xfId="0" applyFont="1"/>
    <xf numFmtId="4" fontId="160" fillId="2" borderId="1" xfId="0" applyNumberFormat="1" applyFont="1" applyFill="1" applyBorder="1" applyAlignment="1">
      <alignment horizontal="center" vertical="center"/>
    </xf>
    <xf numFmtId="0" fontId="172" fillId="4" borderId="1" xfId="0" applyFont="1" applyFill="1" applyBorder="1" applyAlignment="1">
      <alignment horizontal="center" vertical="center"/>
    </xf>
    <xf numFmtId="0" fontId="173" fillId="4" borderId="1" xfId="0" applyFont="1" applyFill="1" applyBorder="1" applyAlignment="1">
      <alignment horizontal="center" vertical="center"/>
    </xf>
    <xf numFmtId="166" fontId="174" fillId="4" borderId="1" xfId="0" applyNumberFormat="1" applyFont="1" applyFill="1" applyBorder="1" applyAlignment="1">
      <alignment horizontal="center" vertical="center"/>
    </xf>
    <xf numFmtId="0" fontId="166" fillId="2" borderId="1" xfId="0" applyFont="1" applyFill="1" applyBorder="1" applyAlignment="1">
      <alignment horizontal="center" vertical="center"/>
    </xf>
    <xf numFmtId="0" fontId="171" fillId="2" borderId="4" xfId="0" applyFont="1" applyFill="1" applyBorder="1" applyAlignment="1">
      <alignment horizontal="center" vertical="center"/>
    </xf>
    <xf numFmtId="0" fontId="171" fillId="2" borderId="1" xfId="0" applyFont="1" applyFill="1" applyBorder="1" applyAlignment="1">
      <alignment horizontal="center" vertical="center"/>
    </xf>
    <xf numFmtId="0" fontId="172" fillId="2" borderId="1" xfId="0" applyFont="1" applyFill="1" applyBorder="1" applyAlignment="1">
      <alignment horizontal="center" vertical="center"/>
    </xf>
    <xf numFmtId="0" fontId="173" fillId="2" borderId="1" xfId="0" applyFont="1" applyFill="1" applyBorder="1" applyAlignment="1">
      <alignment horizontal="center" vertical="center"/>
    </xf>
    <xf numFmtId="3" fontId="171" fillId="2" borderId="1" xfId="0" applyNumberFormat="1" applyFont="1" applyFill="1" applyBorder="1" applyAlignment="1">
      <alignment horizontal="center" vertical="center"/>
    </xf>
    <xf numFmtId="166" fontId="174" fillId="2" borderId="1" xfId="0" applyNumberFormat="1" applyFont="1" applyFill="1" applyBorder="1" applyAlignment="1">
      <alignment horizontal="center" vertical="center"/>
    </xf>
    <xf numFmtId="166" fontId="177" fillId="4" borderId="1" xfId="0" applyNumberFormat="1" applyFont="1" applyFill="1" applyBorder="1" applyAlignment="1">
      <alignment horizontal="center" vertical="center"/>
    </xf>
    <xf numFmtId="0" fontId="161" fillId="4" borderId="4" xfId="0" applyFont="1" applyFill="1" applyBorder="1" applyAlignment="1">
      <alignment horizontal="center" vertical="center"/>
    </xf>
    <xf numFmtId="0" fontId="161" fillId="4" borderId="1" xfId="0" applyFont="1" applyFill="1" applyBorder="1" applyAlignment="1">
      <alignment horizontal="center" vertical="center"/>
    </xf>
    <xf numFmtId="4" fontId="162" fillId="2" borderId="1" xfId="0" applyNumberFormat="1" applyFont="1" applyFill="1" applyBorder="1" applyAlignment="1">
      <alignment horizontal="center" vertical="center"/>
    </xf>
    <xf numFmtId="0" fontId="175" fillId="2" borderId="1" xfId="0" applyFont="1" applyFill="1" applyBorder="1" applyAlignment="1">
      <alignment horizontal="center" vertical="center"/>
    </xf>
    <xf numFmtId="0" fontId="164" fillId="2" borderId="1" xfId="0" applyFont="1" applyFill="1" applyBorder="1" applyAlignment="1">
      <alignment horizontal="center" vertical="center"/>
    </xf>
    <xf numFmtId="0" fontId="176" fillId="2" borderId="1" xfId="0" applyFont="1" applyFill="1" applyBorder="1" applyAlignment="1">
      <alignment horizontal="center" vertical="center"/>
    </xf>
    <xf numFmtId="0" fontId="155" fillId="2" borderId="4" xfId="0" applyFont="1" applyFill="1" applyBorder="1" applyAlignment="1">
      <alignment horizontal="center" vertical="center"/>
    </xf>
    <xf numFmtId="0" fontId="160" fillId="2" borderId="7" xfId="0" applyFont="1" applyFill="1" applyBorder="1" applyAlignment="1">
      <alignment horizontal="center" vertical="center"/>
    </xf>
    <xf numFmtId="3" fontId="160" fillId="2" borderId="2" xfId="0" applyNumberFormat="1" applyFont="1" applyFill="1" applyBorder="1" applyAlignment="1">
      <alignment horizontal="center" vertical="center"/>
    </xf>
    <xf numFmtId="0" fontId="167" fillId="2" borderId="1" xfId="0" applyFont="1" applyFill="1" applyBorder="1" applyAlignment="1">
      <alignment horizontal="center" vertical="center"/>
    </xf>
    <xf numFmtId="166" fontId="177" fillId="2" borderId="1" xfId="0" applyNumberFormat="1" applyFont="1" applyFill="1" applyBorder="1" applyAlignment="1">
      <alignment horizontal="center" vertical="center"/>
    </xf>
    <xf numFmtId="3" fontId="68" fillId="2" borderId="1" xfId="0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/>
    </xf>
    <xf numFmtId="166" fontId="179" fillId="2" borderId="1" xfId="0" applyNumberFormat="1" applyFont="1" applyFill="1" applyBorder="1" applyAlignment="1">
      <alignment horizontal="center" vertical="center"/>
    </xf>
    <xf numFmtId="0" fontId="160" fillId="2" borderId="3" xfId="0" applyFont="1" applyFill="1" applyBorder="1" applyAlignment="1">
      <alignment horizontal="center" vertical="center"/>
    </xf>
    <xf numFmtId="166" fontId="158" fillId="2" borderId="3" xfId="0" applyNumberFormat="1" applyFont="1" applyFill="1" applyBorder="1" applyAlignment="1">
      <alignment horizontal="center" vertical="center"/>
    </xf>
    <xf numFmtId="0" fontId="180" fillId="2" borderId="1" xfId="0" applyFont="1" applyFill="1" applyBorder="1" applyAlignment="1">
      <alignment horizontal="center" vertical="center"/>
    </xf>
    <xf numFmtId="3" fontId="180" fillId="2" borderId="1" xfId="0" applyNumberFormat="1" applyFont="1" applyFill="1" applyBorder="1" applyAlignment="1">
      <alignment horizontal="center" vertical="center"/>
    </xf>
    <xf numFmtId="0" fontId="180" fillId="2" borderId="1" xfId="0" applyFont="1" applyFill="1" applyBorder="1" applyAlignment="1">
      <alignment horizontal="center"/>
    </xf>
    <xf numFmtId="0" fontId="178" fillId="2" borderId="1" xfId="0" applyFont="1" applyFill="1" applyBorder="1" applyAlignment="1">
      <alignment horizontal="center"/>
    </xf>
    <xf numFmtId="3" fontId="160" fillId="2" borderId="3" xfId="0" applyNumberFormat="1" applyFont="1" applyFill="1" applyBorder="1" applyAlignment="1">
      <alignment horizontal="center" vertical="center"/>
    </xf>
    <xf numFmtId="0" fontId="163" fillId="2" borderId="3" xfId="0" applyFont="1" applyFill="1" applyBorder="1" applyAlignment="1">
      <alignment horizontal="center" vertical="center"/>
    </xf>
    <xf numFmtId="0" fontId="178" fillId="2" borderId="1" xfId="0" applyFont="1" applyFill="1" applyBorder="1" applyAlignment="1">
      <alignment horizontal="center" vertical="center"/>
    </xf>
    <xf numFmtId="0" fontId="178" fillId="4" borderId="1" xfId="0" applyFont="1" applyFill="1" applyBorder="1" applyAlignment="1">
      <alignment horizontal="center"/>
    </xf>
    <xf numFmtId="3" fontId="178" fillId="2" borderId="1" xfId="0" applyNumberFormat="1" applyFont="1" applyFill="1" applyBorder="1" applyAlignment="1">
      <alignment horizontal="center"/>
    </xf>
    <xf numFmtId="3" fontId="178" fillId="4" borderId="1" xfId="0" applyNumberFormat="1" applyFont="1" applyFill="1" applyBorder="1" applyAlignment="1">
      <alignment horizontal="center"/>
    </xf>
    <xf numFmtId="0" fontId="178" fillId="2" borderId="4" xfId="0" applyFont="1" applyFill="1" applyBorder="1" applyAlignment="1">
      <alignment horizontal="center" vertical="center"/>
    </xf>
    <xf numFmtId="0" fontId="160" fillId="2" borderId="5" xfId="0" applyFont="1" applyFill="1" applyBorder="1" applyAlignment="1">
      <alignment horizontal="center" vertical="center"/>
    </xf>
    <xf numFmtId="0" fontId="178" fillId="2" borderId="4" xfId="0" applyFont="1" applyFill="1" applyBorder="1" applyAlignment="1">
      <alignment horizontal="center"/>
    </xf>
    <xf numFmtId="0" fontId="178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55" fillId="4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14" fontId="162" fillId="9" borderId="10" xfId="0" applyNumberFormat="1" applyFont="1" applyFill="1" applyBorder="1" applyAlignment="1">
      <alignment horizontal="center" vertical="center"/>
    </xf>
    <xf numFmtId="0" fontId="162" fillId="9" borderId="7" xfId="0" applyFont="1" applyFill="1" applyBorder="1" applyAlignment="1">
      <alignment horizontal="center" vertical="center"/>
    </xf>
    <xf numFmtId="0" fontId="162" fillId="3" borderId="11" xfId="0" applyFont="1" applyFill="1" applyBorder="1" applyAlignment="1">
      <alignment vertical="center"/>
    </xf>
    <xf numFmtId="0" fontId="160" fillId="4" borderId="1" xfId="0" applyFont="1" applyFill="1" applyBorder="1" applyAlignment="1">
      <alignment horizontal="center"/>
    </xf>
    <xf numFmtId="0" fontId="167" fillId="4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0" fillId="2" borderId="2" xfId="0" applyFont="1" applyFill="1" applyBorder="1"/>
    <xf numFmtId="167" fontId="0" fillId="2" borderId="1" xfId="0" applyNumberFormat="1" applyFill="1" applyBorder="1" applyAlignment="1">
      <alignment horizontal="center"/>
    </xf>
    <xf numFmtId="0" fontId="180" fillId="4" borderId="1" xfId="0" applyFont="1" applyFill="1" applyBorder="1" applyAlignment="1">
      <alignment horizontal="center" vertical="center"/>
    </xf>
    <xf numFmtId="0" fontId="180" fillId="4" borderId="1" xfId="0" applyFont="1" applyFill="1" applyBorder="1" applyAlignment="1">
      <alignment horizontal="center"/>
    </xf>
    <xf numFmtId="0" fontId="155" fillId="4" borderId="4" xfId="0" applyFont="1" applyFill="1" applyBorder="1" applyAlignment="1">
      <alignment horizontal="center"/>
    </xf>
    <xf numFmtId="0" fontId="155" fillId="4" borderId="1" xfId="0" applyFont="1" applyFill="1" applyBorder="1" applyAlignment="1">
      <alignment horizontal="center"/>
    </xf>
    <xf numFmtId="3" fontId="155" fillId="4" borderId="1" xfId="0" applyNumberFormat="1" applyFont="1" applyFill="1" applyBorder="1" applyAlignment="1">
      <alignment horizontal="center"/>
    </xf>
    <xf numFmtId="0" fontId="155" fillId="4" borderId="2" xfId="0" applyFont="1" applyFill="1" applyBorder="1" applyAlignment="1">
      <alignment horizontal="center"/>
    </xf>
    <xf numFmtId="167" fontId="155" fillId="4" borderId="1" xfId="0" applyNumberFormat="1" applyFont="1" applyFill="1" applyBorder="1" applyAlignment="1">
      <alignment horizontal="center"/>
    </xf>
    <xf numFmtId="0" fontId="155" fillId="4" borderId="5" xfId="0" applyFont="1" applyFill="1" applyBorder="1" applyAlignment="1">
      <alignment horizontal="center"/>
    </xf>
    <xf numFmtId="0" fontId="155" fillId="4" borderId="3" xfId="0" applyFont="1" applyFill="1" applyBorder="1" applyAlignment="1">
      <alignment horizontal="center"/>
    </xf>
    <xf numFmtId="3" fontId="155" fillId="4" borderId="3" xfId="0" applyNumberFormat="1" applyFont="1" applyFill="1" applyBorder="1" applyAlignment="1">
      <alignment horizontal="center"/>
    </xf>
    <xf numFmtId="0" fontId="155" fillId="4" borderId="6" xfId="0" applyFont="1" applyFill="1" applyBorder="1" applyAlignment="1">
      <alignment horizontal="center"/>
    </xf>
    <xf numFmtId="0" fontId="155" fillId="0" borderId="1" xfId="0" applyFont="1" applyBorder="1" applyAlignment="1">
      <alignment horizontal="center"/>
    </xf>
    <xf numFmtId="0" fontId="160" fillId="4" borderId="4" xfId="0" applyFont="1" applyFill="1" applyBorder="1" applyAlignment="1">
      <alignment horizontal="center"/>
    </xf>
    <xf numFmtId="166" fontId="158" fillId="4" borderId="1" xfId="0" applyNumberFormat="1" applyFont="1" applyFill="1" applyBorder="1" applyAlignment="1">
      <alignment horizontal="center"/>
    </xf>
    <xf numFmtId="0" fontId="155" fillId="2" borderId="4" xfId="0" applyFont="1" applyFill="1" applyBorder="1" applyAlignment="1">
      <alignment horizontal="center"/>
    </xf>
    <xf numFmtId="0" fontId="155" fillId="2" borderId="1" xfId="0" applyFont="1" applyFill="1" applyBorder="1" applyAlignment="1">
      <alignment horizontal="center"/>
    </xf>
    <xf numFmtId="3" fontId="155" fillId="2" borderId="1" xfId="0" applyNumberFormat="1" applyFont="1" applyFill="1" applyBorder="1" applyAlignment="1">
      <alignment horizontal="center"/>
    </xf>
    <xf numFmtId="3" fontId="180" fillId="4" borderId="1" xfId="0" applyNumberFormat="1" applyFont="1" applyFill="1" applyBorder="1" applyAlignment="1">
      <alignment horizontal="center"/>
    </xf>
    <xf numFmtId="0" fontId="160" fillId="2" borderId="4" xfId="0" applyFont="1" applyFill="1" applyBorder="1" applyAlignment="1">
      <alignment horizontal="center"/>
    </xf>
    <xf numFmtId="3" fontId="180" fillId="2" borderId="1" xfId="0" applyNumberFormat="1" applyFont="1" applyFill="1" applyBorder="1" applyAlignment="1">
      <alignment horizontal="center"/>
    </xf>
    <xf numFmtId="0" fontId="160" fillId="2" borderId="1" xfId="0" applyFont="1" applyFill="1" applyBorder="1" applyAlignment="1">
      <alignment horizontal="center"/>
    </xf>
    <xf numFmtId="166" fontId="158" fillId="2" borderId="1" xfId="0" applyNumberFormat="1" applyFont="1" applyFill="1" applyBorder="1" applyAlignment="1">
      <alignment horizontal="center"/>
    </xf>
    <xf numFmtId="0" fontId="162" fillId="2" borderId="1" xfId="0" applyFont="1" applyFill="1" applyBorder="1" applyAlignment="1">
      <alignment horizontal="center"/>
    </xf>
    <xf numFmtId="0" fontId="155" fillId="2" borderId="2" xfId="0" applyFont="1" applyFill="1" applyBorder="1" applyAlignment="1">
      <alignment horizontal="center"/>
    </xf>
    <xf numFmtId="0" fontId="90" fillId="0" borderId="0" xfId="0" applyFont="1" applyAlignment="1">
      <alignment horizontal="left" vertical="top" wrapText="1"/>
    </xf>
    <xf numFmtId="3" fontId="160" fillId="2" borderId="1" xfId="0" applyNumberFormat="1" applyFont="1" applyFill="1" applyBorder="1" applyAlignment="1">
      <alignment horizontal="center"/>
    </xf>
    <xf numFmtId="0" fontId="181" fillId="2" borderId="2" xfId="0" applyFont="1" applyFill="1" applyBorder="1" applyAlignment="1">
      <alignment horizontal="center"/>
    </xf>
    <xf numFmtId="0" fontId="0" fillId="2" borderId="2" xfId="0" applyFill="1" applyBorder="1"/>
    <xf numFmtId="0" fontId="69" fillId="2" borderId="1" xfId="0" applyFont="1" applyFill="1" applyBorder="1" applyAlignment="1">
      <alignment horizontal="center"/>
    </xf>
    <xf numFmtId="0" fontId="155" fillId="0" borderId="2" xfId="0" applyFont="1" applyBorder="1" applyAlignment="1">
      <alignment horizontal="center"/>
    </xf>
    <xf numFmtId="0" fontId="162" fillId="4" borderId="1" xfId="0" applyFont="1" applyFill="1" applyBorder="1" applyAlignment="1">
      <alignment horizontal="center"/>
    </xf>
    <xf numFmtId="166" fontId="165" fillId="4" borderId="1" xfId="0" applyNumberFormat="1" applyFont="1" applyFill="1" applyBorder="1" applyAlignment="1">
      <alignment horizontal="center"/>
    </xf>
    <xf numFmtId="0" fontId="51" fillId="4" borderId="1" xfId="0" applyFont="1" applyFill="1" applyBorder="1" applyAlignment="1">
      <alignment horizontal="center"/>
    </xf>
    <xf numFmtId="0" fontId="162" fillId="4" borderId="4" xfId="0" applyFont="1" applyFill="1" applyBorder="1" applyAlignment="1">
      <alignment horizontal="center"/>
    </xf>
    <xf numFmtId="3" fontId="51" fillId="4" borderId="1" xfId="0" applyNumberFormat="1" applyFont="1" applyFill="1" applyBorder="1" applyAlignment="1">
      <alignment horizontal="center"/>
    </xf>
    <xf numFmtId="3" fontId="178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/>
    </xf>
    <xf numFmtId="3" fontId="44" fillId="4" borderId="1" xfId="0" applyNumberFormat="1" applyFont="1" applyFill="1" applyBorder="1" applyAlignment="1">
      <alignment horizontal="center"/>
    </xf>
    <xf numFmtId="0" fontId="155" fillId="2" borderId="5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/>
    </xf>
    <xf numFmtId="166" fontId="165" fillId="2" borderId="1" xfId="0" applyNumberFormat="1" applyFont="1" applyFill="1" applyBorder="1" applyAlignment="1">
      <alignment horizontal="center"/>
    </xf>
    <xf numFmtId="3" fontId="44" fillId="2" borderId="1" xfId="0" applyNumberFormat="1" applyFont="1" applyFill="1" applyBorder="1" applyAlignment="1">
      <alignment horizontal="center"/>
    </xf>
    <xf numFmtId="0" fontId="44" fillId="2" borderId="1" xfId="0" quotePrefix="1" applyFont="1" applyFill="1" applyBorder="1" applyAlignment="1">
      <alignment horizontal="center"/>
    </xf>
    <xf numFmtId="4" fontId="155" fillId="2" borderId="1" xfId="0" applyNumberFormat="1" applyFont="1" applyFill="1" applyBorder="1" applyAlignment="1">
      <alignment horizontal="center"/>
    </xf>
    <xf numFmtId="0" fontId="160" fillId="2" borderId="69" xfId="0" applyFont="1" applyFill="1" applyBorder="1" applyAlignment="1">
      <alignment horizontal="center" vertical="center"/>
    </xf>
    <xf numFmtId="0" fontId="160" fillId="4" borderId="69" xfId="0" applyFont="1" applyFill="1" applyBorder="1" applyAlignment="1">
      <alignment horizontal="center" vertical="center"/>
    </xf>
    <xf numFmtId="0" fontId="162" fillId="4" borderId="7" xfId="0" applyFont="1" applyFill="1" applyBorder="1" applyAlignment="1">
      <alignment horizontal="center" vertical="center"/>
    </xf>
    <xf numFmtId="0" fontId="181" fillId="4" borderId="1" xfId="0" applyFont="1" applyFill="1" applyBorder="1" applyAlignment="1">
      <alignment horizontal="center"/>
    </xf>
    <xf numFmtId="0" fontId="0" fillId="4" borderId="2" xfId="0" applyFill="1" applyBorder="1"/>
    <xf numFmtId="0" fontId="162" fillId="2" borderId="3" xfId="0" applyFont="1" applyFill="1" applyBorder="1" applyAlignment="1">
      <alignment horizontal="center" vertical="center"/>
    </xf>
    <xf numFmtId="166" fontId="165" fillId="2" borderId="3" xfId="0" applyNumberFormat="1" applyFont="1" applyFill="1" applyBorder="1" applyAlignment="1">
      <alignment horizontal="center" vertical="center"/>
    </xf>
    <xf numFmtId="3" fontId="160" fillId="4" borderId="1" xfId="0" applyNumberFormat="1" applyFont="1" applyFill="1" applyBorder="1" applyAlignment="1">
      <alignment horizontal="center"/>
    </xf>
    <xf numFmtId="0" fontId="181" fillId="4" borderId="2" xfId="0" applyFont="1" applyFill="1" applyBorder="1" applyAlignment="1">
      <alignment horizontal="center"/>
    </xf>
    <xf numFmtId="166" fontId="154" fillId="4" borderId="1" xfId="0" applyNumberFormat="1" applyFont="1" applyFill="1" applyBorder="1" applyAlignment="1">
      <alignment horizontal="center"/>
    </xf>
    <xf numFmtId="0" fontId="181" fillId="0" borderId="0" xfId="0" applyFont="1"/>
    <xf numFmtId="0" fontId="181" fillId="4" borderId="0" xfId="0" applyFont="1" applyFill="1"/>
    <xf numFmtId="166" fontId="154" fillId="2" borderId="1" xfId="0" applyNumberFormat="1" applyFont="1" applyFill="1" applyBorder="1" applyAlignment="1">
      <alignment horizontal="center"/>
    </xf>
    <xf numFmtId="0" fontId="181" fillId="2" borderId="2" xfId="0" applyFont="1" applyFill="1" applyBorder="1" applyAlignment="1">
      <alignment horizontal="center" vertical="center"/>
    </xf>
    <xf numFmtId="0" fontId="155" fillId="2" borderId="0" xfId="0" applyFont="1" applyFill="1" applyAlignment="1">
      <alignment horizontal="center"/>
    </xf>
    <xf numFmtId="0" fontId="167" fillId="2" borderId="1" xfId="0" applyFont="1" applyFill="1" applyBorder="1" applyAlignment="1">
      <alignment horizontal="center"/>
    </xf>
    <xf numFmtId="0" fontId="155" fillId="2" borderId="3" xfId="0" applyFont="1" applyFill="1" applyBorder="1" applyAlignment="1">
      <alignment horizontal="center" vertical="center"/>
    </xf>
    <xf numFmtId="166" fontId="154" fillId="2" borderId="3" xfId="0" applyNumberFormat="1" applyFont="1" applyFill="1" applyBorder="1" applyAlignment="1">
      <alignment horizontal="center" vertical="center"/>
    </xf>
    <xf numFmtId="3" fontId="51" fillId="2" borderId="1" xfId="0" applyNumberFormat="1" applyFont="1" applyFill="1" applyBorder="1" applyAlignment="1">
      <alignment horizontal="center"/>
    </xf>
    <xf numFmtId="0" fontId="51" fillId="2" borderId="1" xfId="0" applyFont="1" applyFill="1" applyBorder="1" applyAlignment="1">
      <alignment horizontal="center"/>
    </xf>
    <xf numFmtId="0" fontId="162" fillId="2" borderId="4" xfId="0" applyFont="1" applyFill="1" applyBorder="1" applyAlignment="1">
      <alignment horizontal="center"/>
    </xf>
    <xf numFmtId="4" fontId="44" fillId="2" borderId="1" xfId="0" applyNumberFormat="1" applyFont="1" applyFill="1" applyBorder="1" applyAlignment="1">
      <alignment horizontal="center"/>
    </xf>
    <xf numFmtId="0" fontId="178" fillId="2" borderId="5" xfId="0" applyFont="1" applyFill="1" applyBorder="1" applyAlignment="1">
      <alignment horizontal="center" vertical="center"/>
    </xf>
    <xf numFmtId="0" fontId="162" fillId="9" borderId="1" xfId="0" applyFont="1" applyFill="1" applyBorder="1" applyAlignment="1">
      <alignment horizontal="center" vertical="center"/>
    </xf>
    <xf numFmtId="0" fontId="155" fillId="2" borderId="5" xfId="0" applyFont="1" applyFill="1" applyBorder="1" applyAlignment="1">
      <alignment horizontal="center"/>
    </xf>
    <xf numFmtId="0" fontId="155" fillId="2" borderId="3" xfId="0" applyFont="1" applyFill="1" applyBorder="1" applyAlignment="1">
      <alignment horizontal="center"/>
    </xf>
    <xf numFmtId="3" fontId="155" fillId="2" borderId="3" xfId="0" applyNumberFormat="1" applyFont="1" applyFill="1" applyBorder="1" applyAlignment="1">
      <alignment horizontal="center"/>
    </xf>
    <xf numFmtId="0" fontId="182" fillId="2" borderId="1" xfId="0" applyFont="1" applyFill="1" applyBorder="1" applyAlignment="1">
      <alignment horizontal="center"/>
    </xf>
    <xf numFmtId="0" fontId="183" fillId="2" borderId="4" xfId="0" applyFont="1" applyFill="1" applyBorder="1" applyAlignment="1">
      <alignment horizontal="center"/>
    </xf>
    <xf numFmtId="0" fontId="183" fillId="2" borderId="1" xfId="0" applyFont="1" applyFill="1" applyBorder="1" applyAlignment="1">
      <alignment horizontal="center"/>
    </xf>
    <xf numFmtId="0" fontId="183" fillId="2" borderId="1" xfId="0" applyFont="1" applyFill="1" applyBorder="1" applyAlignment="1">
      <alignment horizontal="center" vertical="center"/>
    </xf>
    <xf numFmtId="0" fontId="176" fillId="2" borderId="4" xfId="0" applyFont="1" applyFill="1" applyBorder="1" applyAlignment="1">
      <alignment horizontal="center"/>
    </xf>
    <xf numFmtId="0" fontId="176" fillId="2" borderId="1" xfId="0" applyFont="1" applyFill="1" applyBorder="1" applyAlignment="1">
      <alignment horizontal="center"/>
    </xf>
    <xf numFmtId="167" fontId="155" fillId="2" borderId="1" xfId="0" applyNumberFormat="1" applyFont="1" applyFill="1" applyBorder="1" applyAlignment="1">
      <alignment horizontal="center"/>
    </xf>
    <xf numFmtId="0" fontId="183" fillId="4" borderId="2" xfId="0" applyFont="1" applyFill="1" applyBorder="1" applyAlignment="1">
      <alignment horizontal="center"/>
    </xf>
    <xf numFmtId="3" fontId="183" fillId="2" borderId="1" xfId="0" applyNumberFormat="1" applyFont="1" applyFill="1" applyBorder="1" applyAlignment="1">
      <alignment horizontal="center"/>
    </xf>
    <xf numFmtId="166" fontId="179" fillId="2" borderId="1" xfId="0" applyNumberFormat="1" applyFont="1" applyFill="1" applyBorder="1" applyAlignment="1">
      <alignment horizontal="center"/>
    </xf>
    <xf numFmtId="3" fontId="176" fillId="2" borderId="1" xfId="0" applyNumberFormat="1" applyFont="1" applyFill="1" applyBorder="1" applyAlignment="1">
      <alignment horizontal="center"/>
    </xf>
    <xf numFmtId="0" fontId="176" fillId="4" borderId="2" xfId="0" applyFont="1" applyFill="1" applyBorder="1" applyAlignment="1">
      <alignment horizontal="center"/>
    </xf>
    <xf numFmtId="0" fontId="162" fillId="4" borderId="2" xfId="0" applyFont="1" applyFill="1" applyBorder="1" applyAlignment="1">
      <alignment horizontal="center"/>
    </xf>
    <xf numFmtId="0" fontId="155" fillId="4" borderId="75" xfId="0" applyFont="1" applyFill="1" applyBorder="1" applyAlignment="1">
      <alignment horizontal="center"/>
    </xf>
    <xf numFmtId="0" fontId="155" fillId="4" borderId="78" xfId="0" applyFont="1" applyFill="1" applyBorder="1" applyAlignment="1">
      <alignment horizontal="center"/>
    </xf>
    <xf numFmtId="166" fontId="154" fillId="4" borderId="79" xfId="0" applyNumberFormat="1" applyFont="1" applyFill="1" applyBorder="1" applyAlignment="1">
      <alignment horizontal="center"/>
    </xf>
    <xf numFmtId="166" fontId="154" fillId="4" borderId="79" xfId="0" applyNumberFormat="1" applyFont="1" applyFill="1" applyBorder="1" applyAlignment="1">
      <alignment horizontal="center" vertical="center"/>
    </xf>
    <xf numFmtId="0" fontId="155" fillId="4" borderId="80" xfId="0" applyFont="1" applyFill="1" applyBorder="1" applyAlignment="1">
      <alignment horizontal="center"/>
    </xf>
    <xf numFmtId="3" fontId="155" fillId="4" borderId="80" xfId="0" applyNumberFormat="1" applyFont="1" applyFill="1" applyBorder="1" applyAlignment="1">
      <alignment horizontal="center"/>
    </xf>
    <xf numFmtId="0" fontId="71" fillId="4" borderId="1" xfId="0" applyFont="1" applyFill="1" applyBorder="1" applyAlignment="1">
      <alignment horizontal="center"/>
    </xf>
    <xf numFmtId="0" fontId="52" fillId="4" borderId="1" xfId="0" applyFont="1" applyFill="1" applyBorder="1" applyAlignment="1">
      <alignment horizontal="center"/>
    </xf>
    <xf numFmtId="14" fontId="162" fillId="9" borderId="1" xfId="0" applyNumberFormat="1" applyFont="1" applyFill="1" applyBorder="1" applyAlignment="1">
      <alignment horizontal="center" vertical="center"/>
    </xf>
    <xf numFmtId="3" fontId="162" fillId="2" borderId="1" xfId="0" applyNumberFormat="1" applyFont="1" applyFill="1" applyBorder="1" applyAlignment="1">
      <alignment horizontal="center"/>
    </xf>
    <xf numFmtId="0" fontId="155" fillId="2" borderId="75" xfId="0" applyFont="1" applyFill="1" applyBorder="1" applyAlignment="1">
      <alignment horizontal="center"/>
    </xf>
    <xf numFmtId="0" fontId="155" fillId="2" borderId="76" xfId="0" applyFont="1" applyFill="1" applyBorder="1" applyAlignment="1">
      <alignment horizontal="center"/>
    </xf>
    <xf numFmtId="0" fontId="44" fillId="2" borderId="77" xfId="0" applyFont="1" applyFill="1" applyBorder="1" applyAlignment="1">
      <alignment horizontal="center"/>
    </xf>
    <xf numFmtId="3" fontId="44" fillId="2" borderId="77" xfId="0" applyNumberFormat="1" applyFont="1" applyFill="1" applyBorder="1" applyAlignment="1">
      <alignment horizontal="center"/>
    </xf>
    <xf numFmtId="0" fontId="155" fillId="2" borderId="78" xfId="0" applyFont="1" applyFill="1" applyBorder="1" applyAlignment="1">
      <alignment horizontal="center"/>
    </xf>
    <xf numFmtId="0" fontId="71" fillId="2" borderId="77" xfId="0" applyFont="1" applyFill="1" applyBorder="1" applyAlignment="1">
      <alignment horizontal="center"/>
    </xf>
    <xf numFmtId="0" fontId="155" fillId="2" borderId="77" xfId="0" applyFont="1" applyFill="1" applyBorder="1" applyAlignment="1">
      <alignment horizontal="center"/>
    </xf>
    <xf numFmtId="166" fontId="154" fillId="2" borderId="23" xfId="0" applyNumberFormat="1" applyFont="1" applyFill="1" applyBorder="1" applyAlignment="1">
      <alignment horizontal="center"/>
    </xf>
    <xf numFmtId="0" fontId="71" fillId="2" borderId="1" xfId="0" applyFont="1" applyFill="1" applyBorder="1" applyAlignment="1">
      <alignment horizontal="center"/>
    </xf>
    <xf numFmtId="166" fontId="154" fillId="2" borderId="79" xfId="0" applyNumberFormat="1" applyFont="1" applyFill="1" applyBorder="1" applyAlignment="1">
      <alignment horizontal="center"/>
    </xf>
    <xf numFmtId="0" fontId="183" fillId="4" borderId="4" xfId="0" applyFont="1" applyFill="1" applyBorder="1" applyAlignment="1">
      <alignment horizontal="center"/>
    </xf>
    <xf numFmtId="0" fontId="183" fillId="4" borderId="1" xfId="0" applyFont="1" applyFill="1" applyBorder="1" applyAlignment="1">
      <alignment horizontal="center"/>
    </xf>
    <xf numFmtId="0" fontId="176" fillId="4" borderId="1" xfId="0" applyFont="1" applyFill="1" applyBorder="1" applyAlignment="1">
      <alignment horizontal="center"/>
    </xf>
    <xf numFmtId="3" fontId="183" fillId="4" borderId="1" xfId="0" applyNumberFormat="1" applyFont="1" applyFill="1" applyBorder="1" applyAlignment="1">
      <alignment horizontal="center"/>
    </xf>
    <xf numFmtId="3" fontId="162" fillId="4" borderId="1" xfId="0" applyNumberFormat="1" applyFont="1" applyFill="1" applyBorder="1" applyAlignment="1">
      <alignment horizontal="center"/>
    </xf>
    <xf numFmtId="0" fontId="181" fillId="4" borderId="7" xfId="0" applyFont="1" applyFill="1" applyBorder="1" applyAlignment="1">
      <alignment horizontal="center"/>
    </xf>
    <xf numFmtId="0" fontId="162" fillId="3" borderId="11" xfId="0" applyFont="1" applyFill="1" applyBorder="1" applyAlignment="1">
      <alignment horizontal="center" vertical="center"/>
    </xf>
    <xf numFmtId="0" fontId="181" fillId="0" borderId="1" xfId="0" applyFont="1" applyBorder="1" applyAlignment="1">
      <alignment horizontal="center"/>
    </xf>
    <xf numFmtId="0" fontId="90" fillId="8" borderId="84" xfId="0" applyFont="1" applyFill="1" applyBorder="1" applyAlignment="1">
      <alignment horizontal="center" vertical="center"/>
    </xf>
    <xf numFmtId="0" fontId="90" fillId="8" borderId="85" xfId="0" applyFont="1" applyFill="1" applyBorder="1" applyAlignment="1">
      <alignment horizontal="center" vertical="center"/>
    </xf>
    <xf numFmtId="0" fontId="90" fillId="0" borderId="86" xfId="0" applyFont="1" applyBorder="1" applyAlignment="1">
      <alignment horizontal="center" vertical="center"/>
    </xf>
    <xf numFmtId="0" fontId="117" fillId="0" borderId="87" xfId="0" applyFont="1" applyBorder="1" applyAlignment="1">
      <alignment horizontal="center" vertical="center"/>
    </xf>
    <xf numFmtId="0" fontId="115" fillId="0" borderId="37" xfId="0" applyFont="1" applyBorder="1" applyAlignment="1">
      <alignment horizontal="center" vertical="center"/>
    </xf>
    <xf numFmtId="0" fontId="90" fillId="8" borderId="89" xfId="0" applyFont="1" applyFill="1" applyBorder="1" applyAlignment="1">
      <alignment horizontal="center" vertical="center"/>
    </xf>
    <xf numFmtId="0" fontId="117" fillId="0" borderId="86" xfId="0" applyFont="1" applyBorder="1" applyAlignment="1">
      <alignment horizontal="center" vertical="center"/>
    </xf>
    <xf numFmtId="0" fontId="105" fillId="8" borderId="89" xfId="0" applyFont="1" applyFill="1" applyBorder="1" applyAlignment="1">
      <alignment horizontal="center" vertical="center" wrapText="1"/>
    </xf>
    <xf numFmtId="0" fontId="162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6" fontId="154" fillId="2" borderId="79" xfId="0" applyNumberFormat="1" applyFont="1" applyFill="1" applyBorder="1" applyAlignment="1">
      <alignment horizontal="center" vertical="center"/>
    </xf>
    <xf numFmtId="166" fontId="158" fillId="4" borderId="2" xfId="0" applyNumberFormat="1" applyFont="1" applyFill="1" applyBorder="1" applyAlignment="1">
      <alignment horizontal="center"/>
    </xf>
    <xf numFmtId="0" fontId="181" fillId="2" borderId="1" xfId="0" applyFont="1" applyFill="1" applyBorder="1" applyAlignment="1">
      <alignment horizontal="center"/>
    </xf>
    <xf numFmtId="4" fontId="176" fillId="2" borderId="1" xfId="0" applyNumberFormat="1" applyFont="1" applyFill="1" applyBorder="1" applyAlignment="1">
      <alignment horizontal="center"/>
    </xf>
    <xf numFmtId="0" fontId="155" fillId="2" borderId="82" xfId="0" applyFont="1" applyFill="1" applyBorder="1" applyAlignment="1">
      <alignment horizontal="center"/>
    </xf>
    <xf numFmtId="166" fontId="154" fillId="2" borderId="9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2" fillId="2" borderId="1" xfId="0" applyFont="1" applyFill="1" applyBorder="1" applyAlignment="1">
      <alignment horizontal="center"/>
    </xf>
    <xf numFmtId="0" fontId="155" fillId="25" borderId="78" xfId="0" applyFont="1" applyFill="1" applyBorder="1" applyAlignment="1">
      <alignment horizontal="center"/>
    </xf>
    <xf numFmtId="0" fontId="44" fillId="25" borderId="1" xfId="0" applyFont="1" applyFill="1" applyBorder="1" applyAlignment="1">
      <alignment horizontal="center"/>
    </xf>
    <xf numFmtId="0" fontId="52" fillId="25" borderId="1" xfId="0" applyFont="1" applyFill="1" applyBorder="1" applyAlignment="1">
      <alignment horizontal="center"/>
    </xf>
    <xf numFmtId="3" fontId="44" fillId="25" borderId="1" xfId="0" applyNumberFormat="1" applyFont="1" applyFill="1" applyBorder="1" applyAlignment="1">
      <alignment horizontal="center"/>
    </xf>
    <xf numFmtId="0" fontId="155" fillId="25" borderId="1" xfId="0" applyFont="1" applyFill="1" applyBorder="1" applyAlignment="1">
      <alignment horizontal="center"/>
    </xf>
    <xf numFmtId="166" fontId="154" fillId="25" borderId="79" xfId="0" applyNumberFormat="1" applyFont="1" applyFill="1" applyBorder="1" applyAlignment="1">
      <alignment horizontal="center"/>
    </xf>
    <xf numFmtId="0" fontId="133" fillId="4" borderId="0" xfId="0" applyFont="1" applyFill="1" applyAlignment="1">
      <alignment horizontal="center" vertical="center"/>
    </xf>
    <xf numFmtId="4" fontId="155" fillId="4" borderId="1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62" fillId="3" borderId="1" xfId="0" applyFont="1" applyFill="1" applyBorder="1" applyAlignment="1">
      <alignment horizontal="center" vertical="center"/>
    </xf>
    <xf numFmtId="0" fontId="162" fillId="9" borderId="1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/>
    </xf>
    <xf numFmtId="0" fontId="155" fillId="4" borderId="10" xfId="0" applyFont="1" applyFill="1" applyBorder="1" applyAlignment="1">
      <alignment horizontal="center"/>
    </xf>
    <xf numFmtId="0" fontId="155" fillId="4" borderId="7" xfId="0" applyFont="1" applyFill="1" applyBorder="1" applyAlignment="1">
      <alignment horizontal="center"/>
    </xf>
    <xf numFmtId="0" fontId="162" fillId="4" borderId="7" xfId="0" applyFont="1" applyFill="1" applyBorder="1" applyAlignment="1">
      <alignment horizontal="center"/>
    </xf>
    <xf numFmtId="3" fontId="155" fillId="4" borderId="7" xfId="0" applyNumberFormat="1" applyFont="1" applyFill="1" applyBorder="1" applyAlignment="1">
      <alignment horizontal="center"/>
    </xf>
    <xf numFmtId="166" fontId="165" fillId="4" borderId="7" xfId="0" applyNumberFormat="1" applyFont="1" applyFill="1" applyBorder="1" applyAlignment="1">
      <alignment horizontal="center"/>
    </xf>
    <xf numFmtId="0" fontId="155" fillId="4" borderId="11" xfId="0" applyFont="1" applyFill="1" applyBorder="1" applyAlignment="1">
      <alignment horizontal="center"/>
    </xf>
    <xf numFmtId="0" fontId="108" fillId="2" borderId="1" xfId="0" applyFont="1" applyFill="1" applyBorder="1" applyAlignment="1">
      <alignment horizontal="center"/>
    </xf>
    <xf numFmtId="0" fontId="81" fillId="2" borderId="1" xfId="0" applyFont="1" applyFill="1" applyBorder="1" applyAlignment="1">
      <alignment horizontal="center"/>
    </xf>
    <xf numFmtId="4" fontId="0" fillId="0" borderId="1" xfId="0" applyNumberFormat="1" applyBorder="1"/>
    <xf numFmtId="0" fontId="164" fillId="4" borderId="1" xfId="0" applyFont="1" applyFill="1" applyBorder="1" applyAlignment="1">
      <alignment horizontal="center"/>
    </xf>
    <xf numFmtId="0" fontId="164" fillId="2" borderId="1" xfId="0" applyFont="1" applyFill="1" applyBorder="1" applyAlignment="1">
      <alignment horizontal="center"/>
    </xf>
    <xf numFmtId="0" fontId="162" fillId="10" borderId="4" xfId="0" applyFont="1" applyFill="1" applyBorder="1" applyAlignment="1">
      <alignment horizontal="center"/>
    </xf>
    <xf numFmtId="0" fontId="162" fillId="10" borderId="1" xfId="0" applyFont="1" applyFill="1" applyBorder="1" applyAlignment="1">
      <alignment horizontal="center"/>
    </xf>
    <xf numFmtId="0" fontId="176" fillId="10" borderId="1" xfId="0" applyFont="1" applyFill="1" applyBorder="1" applyAlignment="1">
      <alignment horizontal="center"/>
    </xf>
    <xf numFmtId="0" fontId="155" fillId="10" borderId="1" xfId="0" applyFont="1" applyFill="1" applyBorder="1" applyAlignment="1">
      <alignment horizontal="center"/>
    </xf>
    <xf numFmtId="3" fontId="155" fillId="10" borderId="1" xfId="0" applyNumberFormat="1" applyFont="1" applyFill="1" applyBorder="1" applyAlignment="1">
      <alignment horizontal="center"/>
    </xf>
    <xf numFmtId="166" fontId="158" fillId="10" borderId="1" xfId="0" applyNumberFormat="1" applyFont="1" applyFill="1" applyBorder="1" applyAlignment="1">
      <alignment horizontal="center"/>
    </xf>
    <xf numFmtId="3" fontId="162" fillId="10" borderId="1" xfId="0" applyNumberFormat="1" applyFont="1" applyFill="1" applyBorder="1" applyAlignment="1">
      <alignment horizontal="center"/>
    </xf>
    <xf numFmtId="166" fontId="158" fillId="10" borderId="1" xfId="0" applyNumberFormat="1" applyFont="1" applyFill="1" applyBorder="1" applyAlignment="1">
      <alignment horizontal="center" vertical="center"/>
    </xf>
    <xf numFmtId="0" fontId="155" fillId="10" borderId="4" xfId="0" applyFont="1" applyFill="1" applyBorder="1" applyAlignment="1">
      <alignment horizontal="center"/>
    </xf>
    <xf numFmtId="4" fontId="155" fillId="10" borderId="1" xfId="0" applyNumberFormat="1" applyFont="1" applyFill="1" applyBorder="1" applyAlignment="1">
      <alignment horizontal="center"/>
    </xf>
    <xf numFmtId="0" fontId="164" fillId="2" borderId="4" xfId="0" applyFont="1" applyFill="1" applyBorder="1" applyAlignment="1">
      <alignment horizontal="center"/>
    </xf>
    <xf numFmtId="166" fontId="179" fillId="4" borderId="1" xfId="0" applyNumberFormat="1" applyFont="1" applyFill="1" applyBorder="1" applyAlignment="1">
      <alignment horizontal="center"/>
    </xf>
    <xf numFmtId="0" fontId="164" fillId="4" borderId="4" xfId="0" applyFont="1" applyFill="1" applyBorder="1" applyAlignment="1">
      <alignment horizontal="center"/>
    </xf>
    <xf numFmtId="0" fontId="133" fillId="8" borderId="55" xfId="0" applyFont="1" applyFill="1" applyBorder="1" applyAlignment="1">
      <alignment horizontal="center" vertical="center"/>
    </xf>
    <xf numFmtId="166" fontId="158" fillId="2" borderId="2" xfId="0" applyNumberFormat="1" applyFont="1" applyFill="1" applyBorder="1" applyAlignment="1">
      <alignment horizontal="center"/>
    </xf>
    <xf numFmtId="0" fontId="69" fillId="4" borderId="1" xfId="0" applyFont="1" applyFill="1" applyBorder="1" applyAlignment="1">
      <alignment horizontal="center"/>
    </xf>
    <xf numFmtId="0" fontId="162" fillId="4" borderId="6" xfId="0" applyFont="1" applyFill="1" applyBorder="1" applyAlignment="1">
      <alignment horizontal="center"/>
    </xf>
    <xf numFmtId="0" fontId="176" fillId="2" borderId="2" xfId="0" applyFont="1" applyFill="1" applyBorder="1" applyAlignment="1">
      <alignment horizontal="center"/>
    </xf>
    <xf numFmtId="0" fontId="44" fillId="4" borderId="0" xfId="0" applyFont="1" applyFill="1"/>
    <xf numFmtId="0" fontId="186" fillId="4" borderId="4" xfId="0" applyFont="1" applyFill="1" applyBorder="1" applyAlignment="1">
      <alignment horizontal="center"/>
    </xf>
    <xf numFmtId="0" fontId="186" fillId="4" borderId="1" xfId="0" applyFont="1" applyFill="1" applyBorder="1" applyAlignment="1">
      <alignment horizontal="center"/>
    </xf>
    <xf numFmtId="0" fontId="185" fillId="4" borderId="1" xfId="0" applyFont="1" applyFill="1" applyBorder="1" applyAlignment="1">
      <alignment horizontal="center"/>
    </xf>
    <xf numFmtId="3" fontId="185" fillId="4" borderId="1" xfId="0" applyNumberFormat="1" applyFont="1" applyFill="1" applyBorder="1" applyAlignment="1">
      <alignment horizontal="center"/>
    </xf>
    <xf numFmtId="0" fontId="184" fillId="4" borderId="1" xfId="0" applyFont="1" applyFill="1" applyBorder="1" applyAlignment="1">
      <alignment horizontal="center"/>
    </xf>
    <xf numFmtId="0" fontId="162" fillId="4" borderId="42" xfId="0" applyFont="1" applyFill="1" applyBorder="1" applyAlignment="1">
      <alignment horizontal="center"/>
    </xf>
    <xf numFmtId="0" fontId="162" fillId="4" borderId="11" xfId="0" applyFont="1" applyFill="1" applyBorder="1" applyAlignment="1">
      <alignment horizontal="center"/>
    </xf>
    <xf numFmtId="0" fontId="188" fillId="2" borderId="1" xfId="0" applyFont="1" applyFill="1" applyBorder="1" applyAlignment="1">
      <alignment horizontal="center"/>
    </xf>
    <xf numFmtId="0" fontId="186" fillId="2" borderId="4" xfId="0" applyFont="1" applyFill="1" applyBorder="1" applyAlignment="1">
      <alignment horizontal="center"/>
    </xf>
    <xf numFmtId="0" fontId="186" fillId="2" borderId="1" xfId="0" applyFont="1" applyFill="1" applyBorder="1" applyAlignment="1">
      <alignment horizontal="center"/>
    </xf>
    <xf numFmtId="3" fontId="186" fillId="2" borderId="1" xfId="0" applyNumberFormat="1" applyFont="1" applyFill="1" applyBorder="1" applyAlignment="1">
      <alignment horizontal="center"/>
    </xf>
    <xf numFmtId="3" fontId="155" fillId="4" borderId="4" xfId="0" applyNumberFormat="1" applyFont="1" applyFill="1" applyBorder="1" applyAlignment="1">
      <alignment horizontal="center"/>
    </xf>
    <xf numFmtId="0" fontId="184" fillId="2" borderId="1" xfId="0" applyFont="1" applyFill="1" applyBorder="1" applyAlignment="1">
      <alignment horizontal="center"/>
    </xf>
    <xf numFmtId="0" fontId="185" fillId="2" borderId="1" xfId="0" applyFont="1" applyFill="1" applyBorder="1" applyAlignment="1">
      <alignment horizontal="center"/>
    </xf>
    <xf numFmtId="3" fontId="185" fillId="2" borderId="1" xfId="0" applyNumberFormat="1" applyFont="1" applyFill="1" applyBorder="1" applyAlignment="1">
      <alignment horizontal="center"/>
    </xf>
    <xf numFmtId="166" fontId="187" fillId="2" borderId="1" xfId="0" applyNumberFormat="1" applyFont="1" applyFill="1" applyBorder="1" applyAlignment="1">
      <alignment horizontal="center" vertical="center"/>
    </xf>
    <xf numFmtId="3" fontId="155" fillId="2" borderId="4" xfId="0" applyNumberFormat="1" applyFont="1" applyFill="1" applyBorder="1" applyAlignment="1">
      <alignment horizontal="center"/>
    </xf>
    <xf numFmtId="0" fontId="162" fillId="2" borderId="7" xfId="0" applyFont="1" applyFill="1" applyBorder="1" applyAlignment="1">
      <alignment horizontal="center"/>
    </xf>
    <xf numFmtId="0" fontId="155" fillId="2" borderId="7" xfId="0" applyFont="1" applyFill="1" applyBorder="1" applyAlignment="1">
      <alignment horizontal="center"/>
    </xf>
    <xf numFmtId="0" fontId="176" fillId="2" borderId="7" xfId="0" applyFont="1" applyFill="1" applyBorder="1" applyAlignment="1">
      <alignment horizontal="center"/>
    </xf>
    <xf numFmtId="3" fontId="155" fillId="2" borderId="7" xfId="0" applyNumberFormat="1" applyFont="1" applyFill="1" applyBorder="1" applyAlignment="1">
      <alignment horizontal="center"/>
    </xf>
    <xf numFmtId="166" fontId="158" fillId="2" borderId="7" xfId="0" applyNumberFormat="1" applyFont="1" applyFill="1" applyBorder="1" applyAlignment="1">
      <alignment horizontal="center"/>
    </xf>
    <xf numFmtId="0" fontId="186" fillId="4" borderId="5" xfId="0" applyFont="1" applyFill="1" applyBorder="1" applyAlignment="1">
      <alignment horizontal="center"/>
    </xf>
    <xf numFmtId="0" fontId="184" fillId="4" borderId="3" xfId="0" applyFont="1" applyFill="1" applyBorder="1" applyAlignment="1">
      <alignment horizontal="center"/>
    </xf>
    <xf numFmtId="0" fontId="185" fillId="4" borderId="3" xfId="0" applyFont="1" applyFill="1" applyBorder="1" applyAlignment="1">
      <alignment horizontal="center"/>
    </xf>
    <xf numFmtId="3" fontId="185" fillId="4" borderId="3" xfId="0" applyNumberFormat="1" applyFont="1" applyFill="1" applyBorder="1" applyAlignment="1">
      <alignment horizontal="center"/>
    </xf>
    <xf numFmtId="0" fontId="186" fillId="2" borderId="7" xfId="0" applyFont="1" applyFill="1" applyBorder="1" applyAlignment="1">
      <alignment horizontal="center"/>
    </xf>
    <xf numFmtId="3" fontId="186" fillId="2" borderId="7" xfId="0" applyNumberFormat="1" applyFont="1" applyFill="1" applyBorder="1" applyAlignment="1">
      <alignment horizontal="center"/>
    </xf>
    <xf numFmtId="166" fontId="187" fillId="2" borderId="7" xfId="0" applyNumberFormat="1" applyFont="1" applyFill="1" applyBorder="1" applyAlignment="1">
      <alignment horizontal="center"/>
    </xf>
    <xf numFmtId="0" fontId="162" fillId="2" borderId="10" xfId="0" applyFont="1" applyFill="1" applyBorder="1" applyAlignment="1">
      <alignment horizontal="center"/>
    </xf>
    <xf numFmtId="0" fontId="186" fillId="2" borderId="2" xfId="0" applyFont="1" applyFill="1" applyBorder="1" applyAlignment="1">
      <alignment horizontal="center"/>
    </xf>
    <xf numFmtId="0" fontId="186" fillId="0" borderId="4" xfId="0" applyFont="1" applyBorder="1" applyAlignment="1">
      <alignment horizontal="center"/>
    </xf>
    <xf numFmtId="0" fontId="184" fillId="0" borderId="1" xfId="0" applyFont="1" applyBorder="1" applyAlignment="1">
      <alignment horizontal="center"/>
    </xf>
    <xf numFmtId="0" fontId="186" fillId="0" borderId="1" xfId="0" applyFont="1" applyBorder="1" applyAlignment="1">
      <alignment horizontal="center"/>
    </xf>
    <xf numFmtId="0" fontId="185" fillId="0" borderId="1" xfId="0" applyFont="1" applyBorder="1" applyAlignment="1">
      <alignment horizontal="center"/>
    </xf>
    <xf numFmtId="3" fontId="185" fillId="0" borderId="1" xfId="0" applyNumberFormat="1" applyFont="1" applyBorder="1" applyAlignment="1">
      <alignment horizontal="center"/>
    </xf>
    <xf numFmtId="0" fontId="176" fillId="2" borderId="3" xfId="0" applyFont="1" applyFill="1" applyBorder="1" applyAlignment="1">
      <alignment horizontal="center"/>
    </xf>
    <xf numFmtId="0" fontId="176" fillId="2" borderId="5" xfId="0" applyFont="1" applyFill="1" applyBorder="1" applyAlignment="1">
      <alignment horizontal="center"/>
    </xf>
    <xf numFmtId="0" fontId="183" fillId="2" borderId="3" xfId="0" applyFont="1" applyFill="1" applyBorder="1" applyAlignment="1">
      <alignment horizontal="center"/>
    </xf>
    <xf numFmtId="3" fontId="183" fillId="2" borderId="3" xfId="0" applyNumberFormat="1" applyFont="1" applyFill="1" applyBorder="1" applyAlignment="1">
      <alignment horizontal="center"/>
    </xf>
    <xf numFmtId="0" fontId="162" fillId="2" borderId="5" xfId="0" applyFont="1" applyFill="1" applyBorder="1" applyAlignment="1">
      <alignment horizontal="center"/>
    </xf>
    <xf numFmtId="0" fontId="162" fillId="2" borderId="3" xfId="0" applyFont="1" applyFill="1" applyBorder="1" applyAlignment="1">
      <alignment horizontal="center"/>
    </xf>
    <xf numFmtId="0" fontId="162" fillId="4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86" fillId="2" borderId="5" xfId="0" applyFont="1" applyFill="1" applyBorder="1" applyAlignment="1">
      <alignment horizontal="center"/>
    </xf>
    <xf numFmtId="0" fontId="184" fillId="2" borderId="3" xfId="0" applyFont="1" applyFill="1" applyBorder="1" applyAlignment="1">
      <alignment horizontal="center"/>
    </xf>
    <xf numFmtId="0" fontId="186" fillId="2" borderId="3" xfId="0" applyFont="1" applyFill="1" applyBorder="1" applyAlignment="1">
      <alignment horizontal="center"/>
    </xf>
    <xf numFmtId="0" fontId="185" fillId="2" borderId="3" xfId="0" applyFont="1" applyFill="1" applyBorder="1" applyAlignment="1">
      <alignment horizontal="center"/>
    </xf>
    <xf numFmtId="0" fontId="44" fillId="4" borderId="3" xfId="0" applyFont="1" applyFill="1" applyBorder="1" applyAlignment="1">
      <alignment horizontal="center"/>
    </xf>
    <xf numFmtId="3" fontId="185" fillId="2" borderId="3" xfId="0" applyNumberFormat="1" applyFont="1" applyFill="1" applyBorder="1" applyAlignment="1">
      <alignment horizontal="center"/>
    </xf>
    <xf numFmtId="0" fontId="186" fillId="4" borderId="3" xfId="0" applyFont="1" applyFill="1" applyBorder="1" applyAlignment="1">
      <alignment horizontal="center"/>
    </xf>
    <xf numFmtId="3" fontId="186" fillId="4" borderId="1" xfId="0" applyNumberFormat="1" applyFont="1" applyFill="1" applyBorder="1" applyAlignment="1">
      <alignment horizontal="center"/>
    </xf>
    <xf numFmtId="0" fontId="186" fillId="4" borderId="7" xfId="0" applyFont="1" applyFill="1" applyBorder="1" applyAlignment="1">
      <alignment horizontal="center"/>
    </xf>
    <xf numFmtId="3" fontId="186" fillId="4" borderId="7" xfId="0" applyNumberFormat="1" applyFont="1" applyFill="1" applyBorder="1" applyAlignment="1">
      <alignment horizontal="center"/>
    </xf>
    <xf numFmtId="0" fontId="182" fillId="4" borderId="1" xfId="0" applyFont="1" applyFill="1" applyBorder="1" applyAlignment="1">
      <alignment horizontal="center"/>
    </xf>
    <xf numFmtId="166" fontId="165" fillId="2" borderId="2" xfId="0" applyNumberFormat="1" applyFont="1" applyFill="1" applyBorder="1" applyAlignment="1">
      <alignment horizontal="center"/>
    </xf>
    <xf numFmtId="0" fontId="183" fillId="2" borderId="2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/>
    </xf>
    <xf numFmtId="0" fontId="189" fillId="2" borderId="4" xfId="0" applyFont="1" applyFill="1" applyBorder="1" applyAlignment="1">
      <alignment horizontal="center"/>
    </xf>
    <xf numFmtId="0" fontId="154" fillId="2" borderId="1" xfId="0" applyFont="1" applyFill="1" applyBorder="1" applyAlignment="1">
      <alignment horizontal="center"/>
    </xf>
    <xf numFmtId="0" fontId="190" fillId="2" borderId="1" xfId="0" applyFont="1" applyFill="1" applyBorder="1" applyAlignment="1">
      <alignment horizontal="center"/>
    </xf>
    <xf numFmtId="3" fontId="189" fillId="2" borderId="1" xfId="0" applyNumberFormat="1" applyFont="1" applyFill="1" applyBorder="1" applyAlignment="1">
      <alignment horizontal="center"/>
    </xf>
    <xf numFmtId="0" fontId="187" fillId="2" borderId="1" xfId="0" applyFont="1" applyFill="1" applyBorder="1" applyAlignment="1">
      <alignment horizontal="center"/>
    </xf>
    <xf numFmtId="0" fontId="105" fillId="8" borderId="92" xfId="0" applyFont="1" applyFill="1" applyBorder="1" applyAlignment="1">
      <alignment horizontal="center" vertical="center" wrapText="1"/>
    </xf>
    <xf numFmtId="0" fontId="90" fillId="8" borderId="93" xfId="0" applyFont="1" applyFill="1" applyBorder="1" applyAlignment="1">
      <alignment horizontal="center" vertical="center"/>
    </xf>
    <xf numFmtId="0" fontId="133" fillId="8" borderId="57" xfId="0" applyFont="1" applyFill="1" applyBorder="1" applyAlignment="1">
      <alignment horizontal="center" vertical="center"/>
    </xf>
    <xf numFmtId="0" fontId="133" fillId="8" borderId="54" xfId="0" applyFont="1" applyFill="1" applyBorder="1" applyAlignment="1">
      <alignment horizontal="center" vertical="center"/>
    </xf>
    <xf numFmtId="0" fontId="90" fillId="8" borderId="92" xfId="0" applyFont="1" applyFill="1" applyBorder="1" applyAlignment="1">
      <alignment horizontal="center" vertical="center"/>
    </xf>
    <xf numFmtId="0" fontId="105" fillId="8" borderId="16" xfId="0" applyFont="1" applyFill="1" applyBorder="1" applyAlignment="1">
      <alignment horizontal="center" vertical="center" wrapText="1"/>
    </xf>
    <xf numFmtId="0" fontId="90" fillId="8" borderId="16" xfId="0" applyFont="1" applyFill="1" applyBorder="1" applyAlignment="1">
      <alignment horizontal="center" vertical="center"/>
    </xf>
    <xf numFmtId="0" fontId="90" fillId="8" borderId="18" xfId="0" applyFont="1" applyFill="1" applyBorder="1" applyAlignment="1">
      <alignment horizontal="center" vertical="center"/>
    </xf>
    <xf numFmtId="0" fontId="155" fillId="2" borderId="10" xfId="0" applyFont="1" applyFill="1" applyBorder="1" applyAlignment="1">
      <alignment horizontal="center"/>
    </xf>
    <xf numFmtId="4" fontId="183" fillId="2" borderId="1" xfId="0" applyNumberFormat="1" applyFont="1" applyFill="1" applyBorder="1" applyAlignment="1">
      <alignment horizontal="center"/>
    </xf>
    <xf numFmtId="0" fontId="90" fillId="8" borderId="37" xfId="0" applyFont="1" applyFill="1" applyBorder="1" applyAlignment="1">
      <alignment horizontal="center" vertical="center"/>
    </xf>
    <xf numFmtId="0" fontId="186" fillId="2" borderId="91" xfId="0" applyFont="1" applyFill="1" applyBorder="1" applyAlignment="1">
      <alignment horizontal="center"/>
    </xf>
    <xf numFmtId="3" fontId="186" fillId="2" borderId="91" xfId="0" applyNumberFormat="1" applyFont="1" applyFill="1" applyBorder="1" applyAlignment="1">
      <alignment horizontal="center"/>
    </xf>
    <xf numFmtId="0" fontId="186" fillId="4" borderId="91" xfId="0" applyFont="1" applyFill="1" applyBorder="1" applyAlignment="1">
      <alignment horizontal="center"/>
    </xf>
    <xf numFmtId="3" fontId="186" fillId="4" borderId="91" xfId="0" applyNumberFormat="1" applyFont="1" applyFill="1" applyBorder="1" applyAlignment="1">
      <alignment horizontal="center"/>
    </xf>
    <xf numFmtId="4" fontId="183" fillId="4" borderId="1" xfId="0" applyNumberFormat="1" applyFont="1" applyFill="1" applyBorder="1" applyAlignment="1">
      <alignment horizontal="center"/>
    </xf>
    <xf numFmtId="0" fontId="155" fillId="25" borderId="4" xfId="0" applyFont="1" applyFill="1" applyBorder="1" applyAlignment="1">
      <alignment horizontal="center"/>
    </xf>
    <xf numFmtId="0" fontId="155" fillId="25" borderId="2" xfId="0" applyFont="1" applyFill="1" applyBorder="1" applyAlignment="1">
      <alignment horizontal="center"/>
    </xf>
    <xf numFmtId="0" fontId="185" fillId="25" borderId="1" xfId="0" applyFont="1" applyFill="1" applyBorder="1" applyAlignment="1">
      <alignment horizontal="center"/>
    </xf>
    <xf numFmtId="3" fontId="155" fillId="25" borderId="1" xfId="0" applyNumberFormat="1" applyFont="1" applyFill="1" applyBorder="1" applyAlignment="1">
      <alignment horizontal="center"/>
    </xf>
    <xf numFmtId="166" fontId="158" fillId="25" borderId="1" xfId="0" applyNumberFormat="1" applyFont="1" applyFill="1" applyBorder="1" applyAlignment="1">
      <alignment horizontal="center"/>
    </xf>
    <xf numFmtId="0" fontId="162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40" fillId="4" borderId="1" xfId="0" applyFont="1" applyFill="1" applyBorder="1" applyAlignment="1">
      <alignment horizontal="center"/>
    </xf>
    <xf numFmtId="0" fontId="191" fillId="4" borderId="1" xfId="0" applyFont="1" applyFill="1" applyBorder="1" applyAlignment="1">
      <alignment horizontal="center"/>
    </xf>
    <xf numFmtId="4" fontId="181" fillId="4" borderId="1" xfId="0" applyNumberFormat="1" applyFont="1" applyFill="1" applyBorder="1" applyAlignment="1">
      <alignment horizontal="center"/>
    </xf>
    <xf numFmtId="0" fontId="123" fillId="2" borderId="1" xfId="0" applyFont="1" applyFill="1" applyBorder="1" applyAlignment="1">
      <alignment horizontal="center"/>
    </xf>
    <xf numFmtId="0" fontId="188" fillId="10" borderId="1" xfId="0" applyFont="1" applyFill="1" applyBorder="1" applyAlignment="1">
      <alignment horizontal="center"/>
    </xf>
    <xf numFmtId="0" fontId="195" fillId="0" borderId="0" xfId="0" applyFont="1"/>
    <xf numFmtId="0" fontId="196" fillId="0" borderId="0" xfId="0" applyFont="1"/>
    <xf numFmtId="22" fontId="196" fillId="0" borderId="0" xfId="0" applyNumberFormat="1" applyFont="1"/>
    <xf numFmtId="4" fontId="155" fillId="4" borderId="2" xfId="0" applyNumberFormat="1" applyFont="1" applyFill="1" applyBorder="1" applyAlignment="1">
      <alignment horizontal="center"/>
    </xf>
    <xf numFmtId="4" fontId="155" fillId="2" borderId="1" xfId="0" applyNumberFormat="1" applyFont="1" applyFill="1" applyBorder="1" applyAlignment="1">
      <alignment horizontal="center" vertical="center"/>
    </xf>
    <xf numFmtId="3" fontId="196" fillId="0" borderId="0" xfId="0" applyNumberFormat="1" applyFont="1"/>
    <xf numFmtId="0" fontId="0" fillId="0" borderId="35" xfId="0" applyBorder="1"/>
    <xf numFmtId="0" fontId="0" fillId="0" borderId="21" xfId="0" applyBorder="1"/>
    <xf numFmtId="0" fontId="0" fillId="0" borderId="16" xfId="0" applyBorder="1"/>
    <xf numFmtId="0" fontId="0" fillId="0" borderId="97" xfId="0" applyBorder="1"/>
    <xf numFmtId="0" fontId="0" fillId="0" borderId="37" xfId="0" applyBorder="1"/>
    <xf numFmtId="0" fontId="166" fillId="26" borderId="4" xfId="0" applyFont="1" applyFill="1" applyBorder="1" applyAlignment="1">
      <alignment horizontal="center"/>
    </xf>
    <xf numFmtId="0" fontId="166" fillId="26" borderId="1" xfId="0" applyFont="1" applyFill="1" applyBorder="1" applyAlignment="1">
      <alignment horizontal="center"/>
    </xf>
    <xf numFmtId="3" fontId="166" fillId="26" borderId="1" xfId="0" applyNumberFormat="1" applyFont="1" applyFill="1" applyBorder="1" applyAlignment="1">
      <alignment horizontal="center"/>
    </xf>
    <xf numFmtId="0" fontId="166" fillId="26" borderId="2" xfId="0" applyFont="1" applyFill="1" applyBorder="1" applyAlignment="1">
      <alignment horizontal="center"/>
    </xf>
    <xf numFmtId="0" fontId="198" fillId="26" borderId="1" xfId="0" applyFont="1" applyFill="1" applyBorder="1" applyAlignment="1">
      <alignment horizontal="center"/>
    </xf>
    <xf numFmtId="0" fontId="199" fillId="2" borderId="0" xfId="0" applyFont="1" applyFill="1" applyAlignment="1">
      <alignment horizontal="center"/>
    </xf>
    <xf numFmtId="0" fontId="155" fillId="4" borderId="42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4" fontId="40" fillId="4" borderId="1" xfId="0" applyNumberFormat="1" applyFont="1" applyFill="1" applyBorder="1" applyAlignment="1">
      <alignment horizontal="center" vertical="center"/>
    </xf>
    <xf numFmtId="4" fontId="40" fillId="2" borderId="1" xfId="0" applyNumberFormat="1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11" fillId="9" borderId="2" xfId="0" applyNumberFormat="1" applyFont="1" applyFill="1" applyBorder="1" applyAlignment="1">
      <alignment horizontal="center" vertical="center" wrapText="1"/>
    </xf>
    <xf numFmtId="14" fontId="11" fillId="9" borderId="4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6" fontId="1" fillId="2" borderId="3" xfId="0" applyNumberFormat="1" applyFont="1" applyFill="1" applyBorder="1" applyAlignment="1">
      <alignment horizontal="center" vertical="center"/>
    </xf>
    <xf numFmtId="166" fontId="1" fillId="4" borderId="3" xfId="0" applyNumberFormat="1" applyFont="1" applyFill="1" applyBorder="1" applyAlignment="1">
      <alignment horizontal="center" vertical="center"/>
    </xf>
    <xf numFmtId="0" fontId="28" fillId="9" borderId="15" xfId="0" applyFont="1" applyFill="1" applyBorder="1" applyAlignment="1">
      <alignment horizontal="center" vertical="center"/>
    </xf>
    <xf numFmtId="0" fontId="28" fillId="9" borderId="3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8" fillId="9" borderId="19" xfId="0" applyFont="1" applyFill="1" applyBorder="1" applyAlignment="1">
      <alignment horizontal="center" vertical="center"/>
    </xf>
    <xf numFmtId="0" fontId="28" fillId="9" borderId="3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22" fontId="38" fillId="9" borderId="15" xfId="0" applyNumberFormat="1" applyFont="1" applyFill="1" applyBorder="1" applyAlignment="1">
      <alignment horizontal="center" vertical="center"/>
    </xf>
    <xf numFmtId="22" fontId="38" fillId="9" borderId="31" xfId="0" applyNumberFormat="1" applyFont="1" applyFill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/>
    </xf>
    <xf numFmtId="0" fontId="27" fillId="9" borderId="36" xfId="0" applyFont="1" applyFill="1" applyBorder="1" applyAlignment="1">
      <alignment horizontal="center" vertical="center"/>
    </xf>
    <xf numFmtId="14" fontId="27" fillId="12" borderId="20" xfId="0" applyNumberFormat="1" applyFont="1" applyFill="1" applyBorder="1" applyAlignment="1">
      <alignment horizontal="center" vertical="center" wrapText="1"/>
    </xf>
    <xf numFmtId="14" fontId="27" fillId="12" borderId="38" xfId="0" applyNumberFormat="1" applyFont="1" applyFill="1" applyBorder="1" applyAlignment="1">
      <alignment horizontal="center" vertical="center" wrapText="1"/>
    </xf>
    <xf numFmtId="14" fontId="23" fillId="12" borderId="36" xfId="0" applyNumberFormat="1" applyFont="1" applyFill="1" applyBorder="1" applyAlignment="1">
      <alignment horizontal="center" vertical="center" wrapText="1"/>
    </xf>
    <xf numFmtId="14" fontId="23" fillId="12" borderId="21" xfId="0" applyNumberFormat="1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/>
    </xf>
    <xf numFmtId="0" fontId="27" fillId="9" borderId="41" xfId="0" applyFont="1" applyFill="1" applyBorder="1" applyAlignment="1">
      <alignment horizontal="center" vertical="center"/>
    </xf>
    <xf numFmtId="0" fontId="27" fillId="9" borderId="31" xfId="0" applyFont="1" applyFill="1" applyBorder="1" applyAlignment="1">
      <alignment horizontal="center" vertical="center"/>
    </xf>
    <xf numFmtId="0" fontId="133" fillId="8" borderId="52" xfId="0" applyFont="1" applyFill="1" applyBorder="1" applyAlignment="1">
      <alignment horizontal="center" vertical="center"/>
    </xf>
    <xf numFmtId="0" fontId="133" fillId="8" borderId="55" xfId="0" applyFont="1" applyFill="1" applyBorder="1" applyAlignment="1">
      <alignment horizontal="center" vertical="center"/>
    </xf>
    <xf numFmtId="0" fontId="134" fillId="8" borderId="45" xfId="0" applyFont="1" applyFill="1" applyBorder="1" applyAlignment="1">
      <alignment horizontal="center" vertical="center"/>
    </xf>
    <xf numFmtId="0" fontId="134" fillId="8" borderId="46" xfId="0" applyFont="1" applyFill="1" applyBorder="1" applyAlignment="1">
      <alignment horizontal="center" vertical="center"/>
    </xf>
    <xf numFmtId="0" fontId="134" fillId="8" borderId="47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0" fillId="8" borderId="73" xfId="0" applyFont="1" applyFill="1" applyBorder="1" applyAlignment="1">
      <alignment horizontal="center" vertical="center"/>
    </xf>
    <xf numFmtId="0" fontId="90" fillId="8" borderId="74" xfId="0" applyFont="1" applyFill="1" applyBorder="1" applyAlignment="1">
      <alignment horizontal="center" vertical="center"/>
    </xf>
    <xf numFmtId="0" fontId="90" fillId="8" borderId="15" xfId="0" applyFont="1" applyFill="1" applyBorder="1" applyAlignment="1">
      <alignment horizontal="center" vertical="center"/>
    </xf>
    <xf numFmtId="0" fontId="90" fillId="8" borderId="41" xfId="0" applyFont="1" applyFill="1" applyBorder="1" applyAlignment="1">
      <alignment horizontal="center" vertical="center"/>
    </xf>
    <xf numFmtId="0" fontId="90" fillId="8" borderId="31" xfId="0" applyFont="1" applyFill="1" applyBorder="1" applyAlignment="1">
      <alignment horizontal="center" vertical="center"/>
    </xf>
    <xf numFmtId="0" fontId="90" fillId="8" borderId="70" xfId="0" applyFont="1" applyFill="1" applyBorder="1" applyAlignment="1">
      <alignment horizontal="center" vertical="center"/>
    </xf>
    <xf numFmtId="0" fontId="90" fillId="8" borderId="71" xfId="0" applyFont="1" applyFill="1" applyBorder="1" applyAlignment="1">
      <alignment horizontal="center" vertical="center"/>
    </xf>
    <xf numFmtId="0" fontId="90" fillId="8" borderId="72" xfId="0" applyFont="1" applyFill="1" applyBorder="1" applyAlignment="1">
      <alignment horizontal="center" vertical="center"/>
    </xf>
    <xf numFmtId="0" fontId="90" fillId="0" borderId="62" xfId="0" applyFont="1" applyBorder="1" applyAlignment="1">
      <alignment horizontal="center" vertical="center"/>
    </xf>
    <xf numFmtId="0" fontId="116" fillId="0" borderId="62" xfId="0" applyFont="1" applyBorder="1" applyAlignment="1">
      <alignment horizontal="center" vertical="center"/>
    </xf>
    <xf numFmtId="0" fontId="90" fillId="8" borderId="52" xfId="0" applyFont="1" applyFill="1" applyBorder="1" applyAlignment="1">
      <alignment horizontal="center" vertical="center"/>
    </xf>
    <xf numFmtId="0" fontId="90" fillId="8" borderId="83" xfId="0" applyFont="1" applyFill="1" applyBorder="1" applyAlignment="1">
      <alignment horizontal="center" vertical="center"/>
    </xf>
    <xf numFmtId="0" fontId="90" fillId="8" borderId="64" xfId="0" applyFont="1" applyFill="1" applyBorder="1" applyAlignment="1">
      <alignment horizontal="center" vertical="center"/>
    </xf>
    <xf numFmtId="0" fontId="90" fillId="8" borderId="88" xfId="0" applyFont="1" applyFill="1" applyBorder="1" applyAlignment="1">
      <alignment horizontal="center" vertical="center"/>
    </xf>
    <xf numFmtId="0" fontId="90" fillId="8" borderId="61" xfId="0" applyFont="1" applyFill="1" applyBorder="1" applyAlignment="1">
      <alignment horizontal="center" vertical="center"/>
    </xf>
    <xf numFmtId="0" fontId="90" fillId="8" borderId="48" xfId="0" applyFont="1" applyFill="1" applyBorder="1" applyAlignment="1">
      <alignment horizontal="center" vertical="center"/>
    </xf>
    <xf numFmtId="0" fontId="90" fillId="8" borderId="56" xfId="0" applyFont="1" applyFill="1" applyBorder="1" applyAlignment="1">
      <alignment horizontal="center" vertical="center"/>
    </xf>
    <xf numFmtId="0" fontId="90" fillId="8" borderId="46" xfId="0" applyFont="1" applyFill="1" applyBorder="1" applyAlignment="1">
      <alignment horizontal="center" vertical="center"/>
    </xf>
    <xf numFmtId="0" fontId="90" fillId="8" borderId="58" xfId="0" applyFont="1" applyFill="1" applyBorder="1" applyAlignment="1">
      <alignment horizontal="center" vertical="center"/>
    </xf>
    <xf numFmtId="0" fontId="90" fillId="8" borderId="45" xfId="0" applyFont="1" applyFill="1" applyBorder="1" applyAlignment="1">
      <alignment horizontal="center" vertical="center"/>
    </xf>
    <xf numFmtId="0" fontId="90" fillId="8" borderId="47" xfId="0" applyFont="1" applyFill="1" applyBorder="1" applyAlignment="1">
      <alignment horizontal="center" vertical="center"/>
    </xf>
    <xf numFmtId="14" fontId="23" fillId="9" borderId="19" xfId="0" applyNumberFormat="1" applyFont="1" applyFill="1" applyBorder="1" applyAlignment="1">
      <alignment horizontal="center" vertical="center" wrapText="1"/>
    </xf>
    <xf numFmtId="14" fontId="23" fillId="9" borderId="36" xfId="0" applyNumberFormat="1" applyFont="1" applyFill="1" applyBorder="1" applyAlignment="1">
      <alignment horizontal="center" vertical="center" wrapText="1"/>
    </xf>
    <xf numFmtId="14" fontId="23" fillId="9" borderId="16" xfId="0" applyNumberFormat="1" applyFont="1" applyFill="1" applyBorder="1" applyAlignment="1">
      <alignment horizontal="center" vertical="center" wrapText="1"/>
    </xf>
    <xf numFmtId="14" fontId="23" fillId="9" borderId="37" xfId="0" applyNumberFormat="1" applyFont="1" applyFill="1" applyBorder="1" applyAlignment="1">
      <alignment horizontal="center" vertical="center" wrapText="1"/>
    </xf>
    <xf numFmtId="22" fontId="38" fillId="9" borderId="41" xfId="0" applyNumberFormat="1" applyFont="1" applyFill="1" applyBorder="1" applyAlignment="1">
      <alignment horizontal="center" vertical="center"/>
    </xf>
    <xf numFmtId="0" fontId="27" fillId="9" borderId="17" xfId="0" applyFont="1" applyFill="1" applyBorder="1" applyAlignment="1">
      <alignment horizontal="center" vertical="center"/>
    </xf>
    <xf numFmtId="14" fontId="23" fillId="9" borderId="20" xfId="0" applyNumberFormat="1" applyFont="1" applyFill="1" applyBorder="1" applyAlignment="1">
      <alignment horizontal="center" vertical="center" wrapText="1"/>
    </xf>
    <xf numFmtId="14" fontId="23" fillId="9" borderId="15" xfId="0" applyNumberFormat="1" applyFont="1" applyFill="1" applyBorder="1" applyAlignment="1">
      <alignment horizontal="center" vertical="center" wrapText="1"/>
    </xf>
    <xf numFmtId="14" fontId="23" fillId="9" borderId="17" xfId="0" applyNumberFormat="1" applyFont="1" applyFill="1" applyBorder="1" applyAlignment="1">
      <alignment horizontal="center" vertical="center" wrapText="1"/>
    </xf>
    <xf numFmtId="22" fontId="38" fillId="9" borderId="17" xfId="0" applyNumberFormat="1" applyFont="1" applyFill="1" applyBorder="1" applyAlignment="1">
      <alignment horizontal="center" vertical="center"/>
    </xf>
    <xf numFmtId="0" fontId="90" fillId="8" borderId="57" xfId="0" applyFont="1" applyFill="1" applyBorder="1" applyAlignment="1">
      <alignment horizontal="center" vertical="center"/>
    </xf>
    <xf numFmtId="0" fontId="90" fillId="8" borderId="19" xfId="0" applyFont="1" applyFill="1" applyBorder="1" applyAlignment="1">
      <alignment horizontal="center" vertical="center"/>
    </xf>
    <xf numFmtId="0" fontId="90" fillId="8" borderId="32" xfId="0" applyFont="1" applyFill="1" applyBorder="1" applyAlignment="1">
      <alignment horizontal="center" vertical="center"/>
    </xf>
    <xf numFmtId="0" fontId="90" fillId="8" borderId="36" xfId="0" applyFont="1" applyFill="1" applyBorder="1" applyAlignment="1">
      <alignment horizontal="center" vertical="center"/>
    </xf>
    <xf numFmtId="0" fontId="90" fillId="8" borderId="26" xfId="0" applyFont="1" applyFill="1" applyBorder="1" applyAlignment="1">
      <alignment horizontal="center" vertical="center"/>
    </xf>
    <xf numFmtId="0" fontId="90" fillId="8" borderId="68" xfId="0" applyFont="1" applyFill="1" applyBorder="1" applyAlignment="1">
      <alignment horizontal="center" vertical="center"/>
    </xf>
    <xf numFmtId="0" fontId="90" fillId="8" borderId="27" xfId="0" applyFont="1" applyFill="1" applyBorder="1" applyAlignment="1">
      <alignment horizontal="center" vertical="center"/>
    </xf>
    <xf numFmtId="0" fontId="118" fillId="8" borderId="61" xfId="0" applyFont="1" applyFill="1" applyBorder="1" applyAlignment="1">
      <alignment horizontal="center" vertical="center"/>
    </xf>
    <xf numFmtId="0" fontId="118" fillId="8" borderId="57" xfId="0" applyFont="1" applyFill="1" applyBorder="1" applyAlignment="1">
      <alignment horizontal="center" vertical="center"/>
    </xf>
    <xf numFmtId="0" fontId="118" fillId="8" borderId="63" xfId="0" applyFont="1" applyFill="1" applyBorder="1" applyAlignment="1">
      <alignment horizontal="center" vertical="center"/>
    </xf>
    <xf numFmtId="0" fontId="90" fillId="8" borderId="0" xfId="0" applyFont="1" applyFill="1" applyAlignment="1">
      <alignment horizontal="center" vertical="center"/>
    </xf>
    <xf numFmtId="0" fontId="90" fillId="8" borderId="59" xfId="0" applyFont="1" applyFill="1" applyBorder="1" applyAlignment="1">
      <alignment horizontal="center" vertical="center"/>
    </xf>
    <xf numFmtId="0" fontId="90" fillId="8" borderId="5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19" fillId="4" borderId="0" xfId="0" applyFont="1" applyFill="1" applyAlignment="1">
      <alignment horizontal="center" vertical="center"/>
    </xf>
    <xf numFmtId="0" fontId="120" fillId="4" borderId="0" xfId="0" applyFont="1" applyFill="1" applyAlignment="1">
      <alignment horizontal="center" vertical="center"/>
    </xf>
    <xf numFmtId="0" fontId="121" fillId="4" borderId="0" xfId="0" applyFont="1" applyFill="1" applyAlignment="1">
      <alignment horizontal="center" vertical="center"/>
    </xf>
    <xf numFmtId="0" fontId="118" fillId="8" borderId="65" xfId="0" applyFont="1" applyFill="1" applyBorder="1" applyAlignment="1">
      <alignment horizontal="center" vertical="center"/>
    </xf>
    <xf numFmtId="0" fontId="90" fillId="8" borderId="65" xfId="0" applyFont="1" applyFill="1" applyBorder="1" applyAlignment="1">
      <alignment horizontal="center" vertical="center"/>
    </xf>
    <xf numFmtId="0" fontId="118" fillId="8" borderId="44" xfId="0" applyFont="1" applyFill="1" applyBorder="1" applyAlignment="1">
      <alignment horizontal="center" vertical="center"/>
    </xf>
    <xf numFmtId="0" fontId="118" fillId="8" borderId="49" xfId="0" applyFont="1" applyFill="1" applyBorder="1" applyAlignment="1">
      <alignment horizontal="center" vertical="center"/>
    </xf>
    <xf numFmtId="0" fontId="90" fillId="8" borderId="66" xfId="0" applyFont="1" applyFill="1" applyBorder="1" applyAlignment="1">
      <alignment horizontal="center" vertical="center"/>
    </xf>
    <xf numFmtId="0" fontId="90" fillId="8" borderId="67" xfId="0" applyFont="1" applyFill="1" applyBorder="1" applyAlignment="1">
      <alignment horizontal="center" vertical="center"/>
    </xf>
    <xf numFmtId="0" fontId="90" fillId="8" borderId="53" xfId="0" applyFont="1" applyFill="1" applyBorder="1" applyAlignment="1">
      <alignment horizontal="center" vertical="center"/>
    </xf>
    <xf numFmtId="0" fontId="90" fillId="8" borderId="20" xfId="0" applyFont="1" applyFill="1" applyBorder="1" applyAlignment="1">
      <alignment horizontal="center" vertical="center"/>
    </xf>
    <xf numFmtId="0" fontId="133" fillId="8" borderId="61" xfId="0" applyFont="1" applyFill="1" applyBorder="1" applyAlignment="1">
      <alignment horizontal="center" vertical="center"/>
    </xf>
    <xf numFmtId="0" fontId="197" fillId="2" borderId="0" xfId="0" applyFont="1" applyFill="1" applyAlignment="1">
      <alignment horizontal="center" vertical="center" wrapText="1"/>
    </xf>
    <xf numFmtId="0" fontId="134" fillId="8" borderId="15" xfId="0" applyFont="1" applyFill="1" applyBorder="1" applyAlignment="1">
      <alignment horizontal="center" vertical="center"/>
    </xf>
    <xf numFmtId="0" fontId="134" fillId="8" borderId="41" xfId="0" applyFont="1" applyFill="1" applyBorder="1" applyAlignment="1">
      <alignment horizontal="center" vertical="center"/>
    </xf>
    <xf numFmtId="0" fontId="134" fillId="8" borderId="31" xfId="0" applyFont="1" applyFill="1" applyBorder="1" applyAlignment="1">
      <alignment horizontal="center" vertical="center"/>
    </xf>
    <xf numFmtId="0" fontId="90" fillId="8" borderId="94" xfId="0" applyFont="1" applyFill="1" applyBorder="1" applyAlignment="1">
      <alignment horizontal="center" vertical="center"/>
    </xf>
    <xf numFmtId="0" fontId="90" fillId="8" borderId="95" xfId="0" applyFont="1" applyFill="1" applyBorder="1" applyAlignment="1">
      <alignment horizontal="center" vertical="center"/>
    </xf>
    <xf numFmtId="0" fontId="90" fillId="8" borderId="96" xfId="0" applyFont="1" applyFill="1" applyBorder="1" applyAlignment="1">
      <alignment horizontal="center" vertical="center"/>
    </xf>
    <xf numFmtId="0" fontId="90" fillId="8" borderId="17" xfId="0" applyFont="1" applyFill="1" applyBorder="1" applyAlignment="1">
      <alignment horizontal="center" vertical="center"/>
    </xf>
    <xf numFmtId="0" fontId="119" fillId="2" borderId="0" xfId="0" applyFont="1" applyFill="1" applyAlignment="1">
      <alignment horizontal="center" vertical="center" wrapText="1"/>
    </xf>
    <xf numFmtId="0" fontId="91" fillId="0" borderId="0" xfId="7" applyFont="1" applyAlignment="1">
      <alignment horizontal="left" vertical="center"/>
    </xf>
    <xf numFmtId="0" fontId="91" fillId="19" borderId="44" xfId="7" applyFont="1" applyFill="1" applyBorder="1" applyAlignment="1">
      <alignment horizontal="center" vertical="center"/>
    </xf>
    <xf numFmtId="0" fontId="91" fillId="19" borderId="49" xfId="7" applyFont="1" applyFill="1" applyBorder="1" applyAlignment="1">
      <alignment horizontal="center" vertical="center"/>
    </xf>
    <xf numFmtId="0" fontId="91" fillId="19" borderId="45" xfId="7" applyFont="1" applyFill="1" applyBorder="1" applyAlignment="1">
      <alignment horizontal="center" vertical="center"/>
    </xf>
    <xf numFmtId="0" fontId="91" fillId="19" borderId="46" xfId="7" applyFont="1" applyFill="1" applyBorder="1" applyAlignment="1">
      <alignment horizontal="center" vertical="center"/>
    </xf>
    <xf numFmtId="0" fontId="91" fillId="19" borderId="47" xfId="7" applyFont="1" applyFill="1" applyBorder="1" applyAlignment="1">
      <alignment horizontal="center" vertical="center"/>
    </xf>
    <xf numFmtId="0" fontId="91" fillId="20" borderId="45" xfId="7" applyFont="1" applyFill="1" applyBorder="1" applyAlignment="1">
      <alignment horizontal="center" vertical="center"/>
    </xf>
    <xf numFmtId="0" fontId="91" fillId="20" borderId="46" xfId="7" applyFont="1" applyFill="1" applyBorder="1" applyAlignment="1">
      <alignment horizontal="center" vertical="center"/>
    </xf>
    <xf numFmtId="0" fontId="91" fillId="20" borderId="47" xfId="7" applyFont="1" applyFill="1" applyBorder="1" applyAlignment="1">
      <alignment horizontal="center" vertical="center"/>
    </xf>
    <xf numFmtId="0" fontId="155" fillId="4" borderId="82" xfId="0" applyFont="1" applyFill="1" applyBorder="1" applyAlignment="1">
      <alignment horizontal="center" vertical="center"/>
    </xf>
    <xf numFmtId="0" fontId="155" fillId="4" borderId="81" xfId="0" applyFont="1" applyFill="1" applyBorder="1" applyAlignment="1">
      <alignment horizontal="center" vertical="center"/>
    </xf>
    <xf numFmtId="0" fontId="155" fillId="4" borderId="3" xfId="0" applyFont="1" applyFill="1" applyBorder="1" applyAlignment="1">
      <alignment horizontal="center" vertical="center"/>
    </xf>
    <xf numFmtId="0" fontId="155" fillId="4" borderId="7" xfId="0" applyFont="1" applyFill="1" applyBorder="1" applyAlignment="1">
      <alignment horizontal="center" vertical="center"/>
    </xf>
    <xf numFmtId="3" fontId="155" fillId="4" borderId="3" xfId="0" applyNumberFormat="1" applyFont="1" applyFill="1" applyBorder="1" applyAlignment="1">
      <alignment horizontal="center" vertical="center"/>
    </xf>
    <xf numFmtId="3" fontId="155" fillId="4" borderId="7" xfId="0" applyNumberFormat="1" applyFont="1" applyFill="1" applyBorder="1" applyAlignment="1">
      <alignment horizontal="center" vertical="center"/>
    </xf>
    <xf numFmtId="0" fontId="155" fillId="4" borderId="26" xfId="0" applyFont="1" applyFill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/>
    </xf>
    <xf numFmtId="3" fontId="44" fillId="4" borderId="3" xfId="0" applyNumberFormat="1" applyFont="1" applyFill="1" applyBorder="1" applyAlignment="1">
      <alignment horizontal="center" vertical="center"/>
    </xf>
    <xf numFmtId="3" fontId="44" fillId="4" borderId="7" xfId="0" applyNumberFormat="1" applyFont="1" applyFill="1" applyBorder="1" applyAlignment="1">
      <alignment horizontal="center" vertical="center"/>
    </xf>
    <xf numFmtId="0" fontId="192" fillId="12" borderId="75" xfId="0" applyFont="1" applyFill="1" applyBorder="1" applyAlignment="1">
      <alignment horizontal="center" vertical="center"/>
    </xf>
    <xf numFmtId="0" fontId="192" fillId="12" borderId="77" xfId="0" applyFont="1" applyFill="1" applyBorder="1" applyAlignment="1">
      <alignment horizontal="center" vertical="center"/>
    </xf>
    <xf numFmtId="0" fontId="192" fillId="12" borderId="23" xfId="0" applyFont="1" applyFill="1" applyBorder="1" applyAlignment="1">
      <alignment horizontal="center" vertical="center"/>
    </xf>
    <xf numFmtId="0" fontId="192" fillId="12" borderId="82" xfId="0" applyFont="1" applyFill="1" applyBorder="1" applyAlignment="1">
      <alignment horizontal="center" vertical="center"/>
    </xf>
    <xf numFmtId="0" fontId="192" fillId="12" borderId="3" xfId="0" applyFont="1" applyFill="1" applyBorder="1" applyAlignment="1">
      <alignment horizontal="center" vertical="center"/>
    </xf>
    <xf numFmtId="0" fontId="192" fillId="12" borderId="90" xfId="0" applyFont="1" applyFill="1" applyBorder="1" applyAlignment="1">
      <alignment horizontal="center" vertical="center"/>
    </xf>
    <xf numFmtId="0" fontId="193" fillId="0" borderId="75" xfId="0" applyFont="1" applyBorder="1" applyAlignment="1">
      <alignment horizontal="center" vertical="center"/>
    </xf>
    <xf numFmtId="0" fontId="193" fillId="0" borderId="77" xfId="0" applyFont="1" applyBorder="1" applyAlignment="1">
      <alignment horizontal="center" vertical="center"/>
    </xf>
    <xf numFmtId="0" fontId="193" fillId="0" borderId="23" xfId="0" applyFont="1" applyBorder="1" applyAlignment="1">
      <alignment horizontal="center" vertical="center"/>
    </xf>
    <xf numFmtId="0" fontId="193" fillId="0" borderId="78" xfId="0" applyFont="1" applyBorder="1" applyAlignment="1">
      <alignment horizontal="center" vertical="center"/>
    </xf>
    <xf numFmtId="0" fontId="193" fillId="0" borderId="1" xfId="0" applyFont="1" applyBorder="1" applyAlignment="1">
      <alignment horizontal="center" vertical="center"/>
    </xf>
    <xf numFmtId="0" fontId="193" fillId="0" borderId="79" xfId="0" applyFont="1" applyBorder="1" applyAlignment="1">
      <alignment horizontal="center" vertical="center"/>
    </xf>
    <xf numFmtId="0" fontId="193" fillId="0" borderId="98" xfId="0" applyFont="1" applyBorder="1" applyAlignment="1">
      <alignment horizontal="center" vertical="center"/>
    </xf>
    <xf numFmtId="0" fontId="193" fillId="0" borderId="80" xfId="0" applyFont="1" applyBorder="1" applyAlignment="1">
      <alignment horizontal="center" vertical="center"/>
    </xf>
    <xf numFmtId="0" fontId="193" fillId="0" borderId="25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37" xfId="0" applyBorder="1" applyAlignment="1">
      <alignment horizontal="center"/>
    </xf>
    <xf numFmtId="0" fontId="181" fillId="12" borderId="26" xfId="0" applyFont="1" applyFill="1" applyBorder="1" applyAlignment="1">
      <alignment horizontal="center"/>
    </xf>
    <xf numFmtId="0" fontId="181" fillId="12" borderId="68" xfId="0" applyFont="1" applyFill="1" applyBorder="1" applyAlignment="1">
      <alignment horizontal="center"/>
    </xf>
    <xf numFmtId="0" fontId="181" fillId="12" borderId="27" xfId="0" applyFont="1" applyFill="1" applyBorder="1" applyAlignment="1">
      <alignment horizontal="center"/>
    </xf>
    <xf numFmtId="0" fontId="194" fillId="0" borderId="75" xfId="0" applyFont="1" applyBorder="1" applyAlignment="1">
      <alignment horizontal="center" vertical="center"/>
    </xf>
    <xf numFmtId="0" fontId="194" fillId="0" borderId="77" xfId="0" applyFont="1" applyBorder="1" applyAlignment="1">
      <alignment horizontal="center" vertical="center"/>
    </xf>
    <xf numFmtId="0" fontId="194" fillId="0" borderId="23" xfId="0" applyFont="1" applyBorder="1" applyAlignment="1">
      <alignment horizontal="center" vertical="center"/>
    </xf>
    <xf numFmtId="0" fontId="194" fillId="0" borderId="98" xfId="0" applyFont="1" applyBorder="1" applyAlignment="1">
      <alignment horizontal="center" vertical="center"/>
    </xf>
    <xf numFmtId="0" fontId="194" fillId="0" borderId="80" xfId="0" applyFont="1" applyBorder="1" applyAlignment="1">
      <alignment horizontal="center" vertical="center"/>
    </xf>
    <xf numFmtId="0" fontId="194" fillId="0" borderId="25" xfId="0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3" fontId="30" fillId="2" borderId="1" xfId="0" applyNumberFormat="1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</cellXfs>
  <cellStyles count="8">
    <cellStyle name="Normal" xfId="0" builtinId="0"/>
    <cellStyle name="Normal 2" xfId="7" xr:uid="{82BF67AB-A412-41B8-8102-149C14DB60C0}"/>
    <cellStyle name="Pivot Table Category" xfId="4" xr:uid="{00000000-0005-0000-0000-000009000000}"/>
    <cellStyle name="Pivot Table Corner" xfId="2" xr:uid="{00000000-0005-0000-0000-000007000000}"/>
    <cellStyle name="Pivot Table Field" xfId="1" xr:uid="{00000000-0005-0000-0000-000006000000}"/>
    <cellStyle name="Pivot Table Result" xfId="6" xr:uid="{00000000-0005-0000-0000-00000B000000}"/>
    <cellStyle name="Pivot Table Title" xfId="5" xr:uid="{00000000-0005-0000-0000-00000A000000}"/>
    <cellStyle name="Pivot Table Value" xfId="3" xr:uid="{00000000-0005-0000-0000-000008000000}"/>
  </cellStyles>
  <dxfs count="8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br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color rgb="FF000000"/>
        <name val="CALI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color rgb="FF000000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numFmt numFmtId="0" formatCode="General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color rgb="FF000000"/>
        <charset val="1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rgb="FFFFFFFF"/>
          <bgColor rgb="FFFFFFFF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fill>
        <patternFill patternType="solid">
          <fgColor rgb="FFFFFFFF"/>
          <bgColor rgb="FFFFFFFF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color rgb="FF000000"/>
      </font>
      <numFmt numFmtId="0" formatCode="General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FFFFF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charset val="1"/>
        <scheme val="none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color rgb="FF000000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.xml"/><Relationship Id="rId68" Type="http://schemas.microsoft.com/office/2007/relationships/slicerCache" Target="slicerCaches/slicerCache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pivotCacheDefinition" Target="pivotCache/pivotCacheDefinition2.xml"/><Relationship Id="rId74" Type="http://schemas.openxmlformats.org/officeDocument/2006/relationships/styles" Target="styles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69" Type="http://schemas.microsoft.com/office/2007/relationships/slicerCache" Target="slicerCaches/slicerCache3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microsoft.com/office/2007/relationships/slicerCache" Target="slicerCaches/slicerCache6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07/relationships/slicerCache" Target="slicerCaches/slicerCach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microsoft.com/office/2007/relationships/slicerCache" Target="slicerCaches/slicerCache4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pivotCacheDefinition" Target="pivotCache/pivotCacheDefinition1.xml"/><Relationship Id="rId73" Type="http://schemas.openxmlformats.org/officeDocument/2006/relationships/theme" Target="theme/theme1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microsoft.com/office/2007/relationships/slicerCache" Target="slicerCaches/slicerCache5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16</xdr:col>
      <xdr:colOff>9525</xdr:colOff>
      <xdr:row>51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7B181-8A19-0FAD-5492-AC19504E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8475"/>
          <a:ext cx="18754725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16</xdr:col>
          <xdr:colOff>0</xdr:colOff>
          <xdr:row>86</xdr:row>
          <xdr:rowOff>40822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6F795BFE-D494-C0F4-C843-3C4B631B01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5" spid="_x0000_s10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341179"/>
              <a:ext cx="13348607" cy="602796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51954</xdr:rowOff>
        </xdr:from>
        <xdr:to>
          <xdr:col>16</xdr:col>
          <xdr:colOff>9525</xdr:colOff>
          <xdr:row>60</xdr:row>
          <xdr:rowOff>167739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FE62DB9-4BEC-3CC6-E19F-20CB41E15F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2" spid="_x0000_s21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8122227"/>
              <a:ext cx="17206480" cy="542751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16</xdr:col>
          <xdr:colOff>9525</xdr:colOff>
          <xdr:row>51</xdr:row>
          <xdr:rowOff>66675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3E6BBAC-66CF-C3EB-9F68-84519C6C7F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2" spid="_x0000_s31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6010275"/>
              <a:ext cx="14687550" cy="53054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16</xdr:col>
          <xdr:colOff>0</xdr:colOff>
          <xdr:row>47</xdr:row>
          <xdr:rowOff>190501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03C9AE8-6FCF-F27F-A9F6-6B3055B912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P$21" spid="_x0000_s41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6558643"/>
              <a:ext cx="17920607" cy="557892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16</xdr:col>
      <xdr:colOff>7620</xdr:colOff>
      <xdr:row>55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2A166-2124-ED93-CC24-7852DD6C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61020"/>
          <a:ext cx="1772412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76200</xdr:rowOff>
    </xdr:from>
    <xdr:to>
      <xdr:col>13</xdr:col>
      <xdr:colOff>390525</xdr:colOff>
      <xdr:row>14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livery 1">
              <a:extLst>
                <a:ext uri="{FF2B5EF4-FFF2-40B4-BE49-F238E27FC236}">
                  <a16:creationId xmlns:a16="http://schemas.microsoft.com/office/drawing/2014/main" id="{248A1484-98BE-CDF4-49DA-C20A92429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58150" y="266700"/>
              <a:ext cx="1838325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85725</xdr:colOff>
      <xdr:row>1</xdr:row>
      <xdr:rowOff>85725</xdr:rowOff>
    </xdr:from>
    <xdr:to>
      <xdr:col>7</xdr:col>
      <xdr:colOff>85725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or">
              <a:extLst>
                <a:ext uri="{FF2B5EF4-FFF2-40B4-BE49-F238E27FC236}">
                  <a16:creationId xmlns:a16="http://schemas.microsoft.com/office/drawing/2014/main" id="{6BE48E4C-BB03-9672-58F1-4FD37DF7B8A3}"/>
                </a:ext>
                <a:ext uri="{147F2762-F138-4A5C-976F-8EAC2B608ADB}">
                  <a16:predDERef xmlns:a16="http://schemas.microsoft.com/office/drawing/2014/main" pred="{248A1484-98BE-CDF4-49DA-C20A924298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5275" y="276225"/>
              <a:ext cx="18288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523875</xdr:colOff>
      <xdr:row>1</xdr:row>
      <xdr:rowOff>85725</xdr:rowOff>
    </xdr:from>
    <xdr:to>
      <xdr:col>16</xdr:col>
      <xdr:colOff>533400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REA">
              <a:extLst>
                <a:ext uri="{FF2B5EF4-FFF2-40B4-BE49-F238E27FC236}">
                  <a16:creationId xmlns:a16="http://schemas.microsoft.com/office/drawing/2014/main" id="{C39BA2E3-1298-3723-D68D-FDB9AF4ED6A9}"/>
                </a:ext>
                <a:ext uri="{147F2762-F138-4A5C-976F-8EAC2B608ADB}">
                  <a16:predDERef xmlns:a16="http://schemas.microsoft.com/office/drawing/2014/main" pred="{6BE48E4C-BB03-9672-58F1-4FD37DF7B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9825" y="276225"/>
              <a:ext cx="1838325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581025</xdr:colOff>
      <xdr:row>1</xdr:row>
      <xdr:rowOff>57150</xdr:rowOff>
    </xdr:from>
    <xdr:to>
      <xdr:col>19</xdr:col>
      <xdr:colOff>457200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RUCK TYPE">
              <a:extLst>
                <a:ext uri="{FF2B5EF4-FFF2-40B4-BE49-F238E27FC236}">
                  <a16:creationId xmlns:a16="http://schemas.microsoft.com/office/drawing/2014/main" id="{B6D615A0-6DCE-C33E-45AF-10A553E9742B}"/>
                </a:ext>
                <a:ext uri="{147F2762-F138-4A5C-976F-8EAC2B608ADB}">
                  <a16:predDERef xmlns:a16="http://schemas.microsoft.com/office/drawing/2014/main" pred="{C39BA2E3-1298-3723-D68D-FDB9AF4ED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UCK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5775" y="247650"/>
              <a:ext cx="17049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523875</xdr:colOff>
      <xdr:row>1</xdr:row>
      <xdr:rowOff>38100</xdr:rowOff>
    </xdr:from>
    <xdr:to>
      <xdr:col>22</xdr:col>
      <xdr:colOff>561975</xdr:colOff>
      <xdr:row>14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ATE IN ">
              <a:extLst>
                <a:ext uri="{FF2B5EF4-FFF2-40B4-BE49-F238E27FC236}">
                  <a16:creationId xmlns:a16="http://schemas.microsoft.com/office/drawing/2014/main" id="{78FCC768-E6E4-41FD-BFBE-E3A0C682589A}"/>
                </a:ext>
                <a:ext uri="{147F2762-F138-4A5C-976F-8EAC2B608ADB}">
                  <a16:predDERef xmlns:a16="http://schemas.microsoft.com/office/drawing/2014/main" pred="{B6D615A0-6DCE-C33E-45AF-10A553E974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TE IN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7425" y="228600"/>
              <a:ext cx="1866900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228600</xdr:colOff>
      <xdr:row>1</xdr:row>
      <xdr:rowOff>76200</xdr:rowOff>
    </xdr:from>
    <xdr:to>
      <xdr:col>10</xdr:col>
      <xdr:colOff>238125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Name ship-to party">
              <a:extLst>
                <a:ext uri="{FF2B5EF4-FFF2-40B4-BE49-F238E27FC236}">
                  <a16:creationId xmlns:a16="http://schemas.microsoft.com/office/drawing/2014/main" id="{738102D8-3D40-B074-8C5B-32B539024EA8}"/>
                </a:ext>
                <a:ext uri="{147F2762-F138-4A5C-976F-8EAC2B608ADB}">
                  <a16:predDERef xmlns:a16="http://schemas.microsoft.com/office/drawing/2014/main" pred="{78FCC768-E6E4-41FD-BFBE-E3A0C68258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ship-to par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6950" y="266700"/>
              <a:ext cx="1838325" cy="2505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itssc.sharepoint.com/teams/IKKLogistic/Shared%20Documents/General/LOGISTIK%20LOKAL/Local/Master%20Data/Reconsile/Format%20Rekon%20Baru/08.%20August/Rekon%20Planning%20Delivery%2019%20Agustus%202025.xlsx" TargetMode="External"/><Relationship Id="rId1" Type="http://schemas.openxmlformats.org/officeDocument/2006/relationships/externalLinkPath" Target="https://gitssc.sharepoint.com/teams/IKKLogistic/Shared%20Documents/General/LOGISTIK%20LOKAL/Local/Master%20Data/Reconsile/Format%20Rekon%20Baru/08.%20August/Rekon%20Planning%20Delivery%2019%20Agustu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itssc.sharepoint.com/teams/IKKLogistic/Shared%20Documents/General/FOLDER%20EACH%20SECTION/LOGISTIK%20LOCAL%20SALES%20DELIVERY/Reconsile/Planning%2029%20September.xlsx" TargetMode="External"/><Relationship Id="rId1" Type="http://schemas.openxmlformats.org/officeDocument/2006/relationships/externalLinkPath" Target="https://gitssc.sharepoint.com/teams/IKKLogistic/Shared%20Documents/General/FOLDER%20EACH%20SECTION/LOGISTIK%20LOCAL%20SALES%20DELIVERY/Reconsile/Planning%2029%20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aV50bLHm0yM7vfe1rKWtELSDGFwWFtEoPztQoEOy0k4TMs51yCsS4RnqHe7f30Y" itemId="013KOHDRYFJM3FGWNXBZEYKCUIQX6JLOAS">
      <xxl21:absoluteUrl r:id="rId2"/>
    </xxl21:alternateUrls>
    <sheetNames>
      <sheetName val="Data Plannning diatas jam 2"/>
      <sheetName val="Daily Monitoring"/>
      <sheetName val="Data GI"/>
      <sheetName val="Status MLS"/>
      <sheetName val="DB MLS"/>
      <sheetName val="Dashboard"/>
      <sheetName val="Data Plannning"/>
      <sheetName val="Sheet1"/>
      <sheetName val="Data Realisasi"/>
      <sheetName val="Master Data Customer"/>
      <sheetName val="Location ID SAP"/>
      <sheetName val="Pivot"/>
      <sheetName val="Grafik"/>
      <sheetName val="Pivot Graf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6aV50bLHm0yM7vfe1rKWtELSDGFwWFtEoPztQoEOy0k4TMs51yCsS4RnqHe7f30Y" itemId="013KOHDR37ZMMKPL5IVBBYBZWT5VPJOQHY">
      <xxl21:absoluteUrl r:id="rId2"/>
    </xxl21:alternateUrls>
    <sheetNames>
      <sheetName val="Manual"/>
      <sheetName val="DASHBOARD"/>
      <sheetName val="PLANNING JAM 3"/>
      <sheetName val="ADD"/>
      <sheetName val="REALISASI JAM 7 (VL06O)"/>
      <sheetName val="Realisasi Timbang 1"/>
      <sheetName val="PIVOT"/>
      <sheetName val="CUSTOM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AQ5" t="str">
            <v>Grand Total</v>
          </cell>
        </row>
        <row r="6">
          <cell r="CR6" t="str">
            <v>JABOTABEK</v>
          </cell>
          <cell r="CS6">
            <v>15</v>
          </cell>
        </row>
        <row r="7">
          <cell r="CR7" t="str">
            <v>JATENG</v>
          </cell>
          <cell r="CS7">
            <v>2</v>
          </cell>
        </row>
        <row r="8">
          <cell r="CR8" t="str">
            <v>JATIM</v>
          </cell>
          <cell r="CS8">
            <v>3</v>
          </cell>
        </row>
        <row r="9">
          <cell r="CR9" t="str">
            <v>AntarPulau</v>
          </cell>
          <cell r="CS9">
            <v>6</v>
          </cell>
        </row>
        <row r="15">
          <cell r="F15" t="str">
            <v>JABOTABEK</v>
          </cell>
          <cell r="G15">
            <v>18</v>
          </cell>
          <cell r="AD15" t="str">
            <v>JABOTABEK</v>
          </cell>
          <cell r="AE15">
            <v>0</v>
          </cell>
          <cell r="AP15" t="str">
            <v>JABOTABEK</v>
          </cell>
          <cell r="AQ15">
            <v>0</v>
          </cell>
        </row>
        <row r="16">
          <cell r="F16" t="str">
            <v>JATENG</v>
          </cell>
          <cell r="G16">
            <v>3</v>
          </cell>
          <cell r="AD16" t="str">
            <v>JATENG</v>
          </cell>
          <cell r="AE16">
            <v>0</v>
          </cell>
          <cell r="AP16" t="str">
            <v>JATENG</v>
          </cell>
          <cell r="AQ16">
            <v>0</v>
          </cell>
        </row>
        <row r="17">
          <cell r="F17" t="str">
            <v>JATIM</v>
          </cell>
          <cell r="G17">
            <v>11</v>
          </cell>
          <cell r="AD17" t="str">
            <v>JATIM</v>
          </cell>
          <cell r="AE17">
            <v>0</v>
          </cell>
          <cell r="AP17" t="str">
            <v>JATIM</v>
          </cell>
          <cell r="AQ17">
            <v>0</v>
          </cell>
        </row>
        <row r="18">
          <cell r="F18" t="str">
            <v>AntarPulau</v>
          </cell>
          <cell r="G18">
            <v>0</v>
          </cell>
        </row>
      </sheetData>
      <sheetData sheetId="7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4.961204629632" createdVersion="8" refreshedVersion="8" minRefreshableVersion="3" recordCount="81" xr:uid="{0F33A776-90B1-4BC7-9683-DDB99766053D}">
  <cacheSource type="worksheet">
    <worksheetSource ref="A1:AA82" sheet="MLS"/>
  </cacheSource>
  <cacheFields count="27">
    <cacheField name="No IML" numFmtId="0">
      <sharedItems containsSemiMixedTypes="0" containsString="0" containsNumber="1" containsInteger="1" minValue="44008632" maxValue="44008745"/>
    </cacheField>
    <cacheField name="No Polisi" numFmtId="0">
      <sharedItems containsNonDate="0" containsString="0" containsBlank="1"/>
    </cacheField>
    <cacheField name="Tanggal Daftar" numFmtId="22">
      <sharedItems containsSemiMixedTypes="0" containsNonDate="0" containsDate="1" containsString="0" minDate="2025-09-10T00:38:13" maxDate="2025-09-10T15:25:32"/>
    </cacheField>
    <cacheField name="Tujuan" numFmtId="0">
      <sharedItems/>
    </cacheField>
    <cacheField name="Type" numFmtId="0">
      <sharedItems/>
    </cacheField>
    <cacheField name="Gudang" numFmtId="0">
      <sharedItems count="7">
        <s v="RM BAHAN BAKU"/>
        <s v="Gudang FG BM3"/>
        <s v="SPARE PART"/>
        <s v="WASTE WATER TREATMENT" u="1"/>
        <s v="RMD UNCOATED" u="1"/>
        <s v="FG PD2 PM8/9 (PPC) EXPORT" u="1"/>
        <s v="RMD COATED PD2" u="1"/>
      </sharedItems>
    </cacheField>
    <cacheField name="Barang" numFmtId="0">
      <sharedItems/>
    </cacheField>
    <cacheField name="Jenis Barang" numFmtId="0">
      <sharedItems/>
    </cacheField>
    <cacheField name="Sopir" numFmtId="0">
      <sharedItems/>
    </cacheField>
    <cacheField name="Jenis Kendaraan" numFmtId="0">
      <sharedItems/>
    </cacheField>
    <cacheField name="Ekspedisi" numFmtId="0">
      <sharedItems containsBlank="1"/>
    </cacheField>
    <cacheField name="Supplier" numFmtId="0">
      <sharedItems/>
    </cacheField>
    <cacheField name="Tanggal Timbang 1" numFmtId="22">
      <sharedItems containsSemiMixedTypes="0" containsNonDate="0" containsDate="1" containsString="0" minDate="2025-09-01T05:10:09" maxDate="2025-09-10T15:28:01" count="841">
        <d v="2025-09-10T00:38:32"/>
        <d v="2025-09-10T05:51:39"/>
        <d v="2025-09-10T06:01:58"/>
        <d v="2025-09-10T06:04:46"/>
        <d v="2025-09-10T06:07:30"/>
        <d v="2025-09-10T06:08:45"/>
        <d v="2025-09-10T06:12:05"/>
        <d v="2025-09-10T06:14:15"/>
        <d v="2025-09-10T06:16:51"/>
        <d v="2025-09-10T06:22:50"/>
        <d v="2025-09-10T06:20:45"/>
        <d v="2025-09-10T06:24:27"/>
        <d v="2025-09-10T06:25:57"/>
        <d v="2025-09-10T06:27:59"/>
        <d v="2025-09-10T06:29:58"/>
        <d v="2025-09-10T06:32:14"/>
        <d v="2025-09-10T06:34:04"/>
        <d v="2025-09-10T06:36:24"/>
        <d v="2025-09-10T06:38:22"/>
        <d v="2025-09-10T06:40:18"/>
        <d v="2025-09-10T06:42:31"/>
        <d v="2025-09-10T06:45:39"/>
        <d v="2025-09-10T06:47:20"/>
        <d v="2025-09-10T06:52:16"/>
        <d v="2025-09-10T06:54:27"/>
        <d v="2025-09-10T06:55:58"/>
        <d v="2025-09-10T06:58:15"/>
        <d v="2025-09-10T07:01:37"/>
        <d v="2025-09-10T06:59:42"/>
        <d v="2025-09-10T07:03:02"/>
        <d v="2025-09-10T07:12:49"/>
        <d v="2025-09-10T07:21:43"/>
        <d v="2025-09-10T07:36:04"/>
        <d v="2025-09-10T07:42:20"/>
        <d v="2025-09-10T08:37:32"/>
        <d v="2025-09-10T08:40:21"/>
        <d v="2025-09-10T08:47:11"/>
        <d v="2025-09-10T09:11:37"/>
        <d v="2025-09-10T09:58:22"/>
        <d v="2025-09-10T10:12:20"/>
        <d v="2025-09-10T10:21:10"/>
        <d v="2025-09-10T10:25:14"/>
        <d v="2025-09-10T10:30:21"/>
        <d v="2025-09-10T10:33:29"/>
        <d v="2025-09-10T10:37:56"/>
        <d v="2025-09-10T10:42:10"/>
        <d v="2025-09-10T10:44:13"/>
        <d v="2025-09-10T10:46:30"/>
        <d v="2025-09-10T10:47:34"/>
        <d v="2025-09-10T10:56:25"/>
        <d v="2025-09-10T11:00:02"/>
        <d v="2025-09-10T11:07:53"/>
        <d v="2025-09-10T11:13:48"/>
        <d v="2025-09-10T11:15:41"/>
        <d v="2025-09-10T11:27:09"/>
        <d v="2025-09-10T11:41:15"/>
        <d v="2025-09-10T11:47:00"/>
        <d v="2025-09-10T11:50:44"/>
        <d v="2025-09-10T11:57:03"/>
        <d v="2025-09-10T11:59:16"/>
        <d v="2025-09-10T12:02:07"/>
        <d v="2025-09-10T13:18:02"/>
        <d v="2025-09-10T13:26:10"/>
        <d v="2025-09-10T13:31:00"/>
        <d v="2025-09-10T13:32:29"/>
        <d v="2025-09-10T13:33:55"/>
        <d v="2025-09-10T13:37:00"/>
        <d v="2025-09-10T13:41:14"/>
        <d v="2025-09-10T13:49:08"/>
        <d v="2025-09-10T13:51:58"/>
        <d v="2025-09-10T13:57:29"/>
        <d v="2025-09-10T14:00:21"/>
        <d v="2025-09-10T14:02:01"/>
        <d v="2025-09-10T14:15:18"/>
        <d v="2025-09-10T15:00:02"/>
        <d v="2025-09-10T15:02:46"/>
        <d v="2025-09-10T15:06:05"/>
        <d v="2025-09-10T15:10:24"/>
        <d v="2025-09-10T15:22:29"/>
        <d v="2025-09-10T15:28:01"/>
        <d v="2025-09-10T10:06:51" u="1"/>
        <d v="2025-09-10T07:09:44" u="1"/>
        <d v="2025-09-10T00:09:07" u="1"/>
        <d v="2025-09-10T00:42:15" u="1"/>
        <d v="2025-09-10T01:01:18" u="1"/>
        <d v="2025-09-10T01:05:39" u="1"/>
        <d v="2025-09-10T01:11:21" u="1"/>
        <d v="2025-09-10T01:35:21" u="1"/>
        <d v="2025-09-10T07:15:48" u="1"/>
        <d v="2025-09-10T07:18:46" u="1"/>
        <d v="2025-09-10T08:34:00" u="1"/>
        <d v="2025-09-10T07:53:02" u="1"/>
        <d v="2025-09-10T08:16:33" u="1"/>
        <d v="2025-09-10T08:24:07" u="1"/>
        <d v="2025-09-10T08:59:13" u="1"/>
        <d v="2025-09-10T09:09:03" u="1"/>
        <d v="2025-09-10T09:15:45" u="1"/>
        <d v="2025-09-10T09:20:24" u="1"/>
        <d v="2025-09-10T09:34:06" u="1"/>
        <d v="2025-09-10T09:47:07" u="1"/>
        <d v="2025-09-10T10:29:47" u="1"/>
        <d v="2025-09-09T11:56:58" u="1"/>
        <d v="2025-09-09T12:00:34" u="1"/>
        <d v="2025-09-09T12:02:51" u="1"/>
        <d v="2025-09-09T12:06:57" u="1"/>
        <d v="2025-09-09T12:10:34" u="1"/>
        <d v="2025-09-09T13:11:58" u="1"/>
        <d v="2025-09-09T13:16:52" u="1"/>
        <d v="2025-09-09T13:19:56" u="1"/>
        <d v="2025-09-09T13:23:08" u="1"/>
        <d v="2025-09-09T13:25:00" u="1"/>
        <d v="2025-09-09T13:35:11" u="1"/>
        <d v="2025-09-09T13:37:04" u="1"/>
        <d v="2025-09-09T08:21:53" u="1"/>
        <d v="2025-09-09T00:02:30" u="1"/>
        <d v="2025-09-09T00:03:58" u="1"/>
        <d v="2025-09-09T09:54:36" u="1"/>
        <d v="2025-09-09T10:15:51" u="1"/>
        <d v="2025-09-09T10:57:30" u="1"/>
        <d v="2025-09-09T11:03:52" u="1"/>
        <d v="2025-09-09T11:16:22" u="1"/>
        <d v="2025-09-09T11:30:17" u="1"/>
        <d v="2025-09-09T11:34:36" u="1"/>
        <d v="2025-09-09T11:37:38" u="1"/>
        <d v="2025-09-09T09:39:26" u="1"/>
        <d v="2025-09-09T09:48:40" u="1"/>
        <d v="2025-09-09T09:52:13" u="1"/>
        <d v="2025-09-09T00:58:28" u="1"/>
        <d v="2025-09-09T01:11:25" u="1"/>
        <d v="2025-09-09T01:40:15" u="1"/>
        <d v="2025-09-09T01:52:27" u="1"/>
        <d v="2025-09-09T02:35:32" u="1"/>
        <d v="2025-09-09T02:43:01" u="1"/>
        <d v="2025-09-09T02:57:03" u="1"/>
        <d v="2025-09-09T06:01:59" u="1"/>
        <d v="2025-09-09T06:05:20" u="1"/>
        <d v="2025-09-09T06:07:57" u="1"/>
        <d v="2025-09-09T06:08:59" u="1"/>
        <d v="2025-09-09T06:09:58" u="1"/>
        <d v="2025-09-09T06:18:19" u="1"/>
        <d v="2025-09-09T06:17:12" u="1"/>
        <d v="2025-09-09T06:15:13" u="1"/>
        <d v="2025-09-09T06:19:45" u="1"/>
        <d v="2025-09-09T06:21:28" u="1"/>
        <d v="2025-09-09T06:31:17" u="1"/>
        <d v="2025-09-09T06:32:20" u="1"/>
        <d v="2025-09-09T06:33:25" u="1"/>
        <d v="2025-09-09T06:34:23" u="1"/>
        <d v="2025-09-09T06:35:31" u="1"/>
        <d v="2025-09-09T06:36:35" u="1"/>
        <d v="2025-09-09T06:38:07" u="1"/>
        <d v="2025-09-09T06:39:30" u="1"/>
        <d v="2025-09-09T06:40:50" u="1"/>
        <d v="2025-09-09T06:42:50" u="1"/>
        <d v="2025-09-09T06:43:51" u="1"/>
        <d v="2025-09-09T06:44:45" u="1"/>
        <d v="2025-09-09T06:46:58" u="1"/>
        <d v="2025-09-09T06:48:06" u="1"/>
        <d v="2025-09-09T06:49:07" u="1"/>
        <d v="2025-09-09T06:50:22" u="1"/>
        <d v="2025-09-09T06:51:48" u="1"/>
        <d v="2025-09-09T06:52:59" u="1"/>
        <d v="2025-09-09T06:54:08" u="1"/>
        <d v="2025-09-09T06:55:45" u="1"/>
        <d v="2025-09-09T06:57:18" u="1"/>
        <d v="2025-09-09T07:00:13" u="1"/>
        <d v="2025-09-09T07:03:30" u="1"/>
        <d v="2025-09-09T07:06:26" u="1"/>
        <d v="2025-09-09T07:09:08" u="1"/>
        <d v="2025-09-09T07:12:37" u="1"/>
        <d v="2025-09-09T07:15:38" u="1"/>
        <d v="2025-09-09T07:18:18" u="1"/>
        <d v="2025-09-09T07:26:19" u="1"/>
        <d v="2025-09-09T07:29:24" u="1"/>
        <d v="2025-09-09T07:39:02" u="1"/>
        <d v="2025-09-09T08:00:18" u="1"/>
        <d v="2025-09-09T08:37:25" u="1"/>
        <d v="2025-09-09T08:43:51" u="1"/>
        <d v="2025-09-09T09:05:15" u="1"/>
        <d v="2025-09-09T09:21:33" u="1"/>
        <d v="2025-09-09T09:35:44" u="1"/>
        <d v="2025-09-09T09:37:10" u="1"/>
        <d v="2025-09-09T05:57:27" u="1"/>
        <d v="2025-09-09T08:10:33" u="1"/>
        <d v="2025-09-09T08:18:22" u="1"/>
        <d v="2025-09-09T08:27:03" u="1"/>
        <d v="2025-09-09T08:43:07" u="1"/>
        <d v="2025-09-09T09:17:16" u="1"/>
        <d v="2025-09-09T11:09:51" u="1"/>
        <d v="2025-09-09T11:20:32" u="1"/>
        <d v="2025-09-08T17:44:02" u="1"/>
        <d v="2025-09-08T17:58:31" u="1"/>
        <d v="2025-09-08T18:37:33" u="1"/>
        <d v="2025-09-08T18:47:49" u="1"/>
        <d v="2025-09-08T18:59:16" u="1"/>
        <d v="2025-09-08T16:11:55" u="1"/>
        <d v="2025-09-08T16:33:53" u="1"/>
        <d v="2025-09-08T17:21:27" u="1"/>
        <d v="2025-09-08T17:23:37" u="1"/>
        <d v="2025-09-08T17:26:27" u="1"/>
        <d v="2025-09-08T16:07:36" u="1"/>
        <d v="2025-09-08T16:05:16" u="1"/>
        <d v="2025-09-08T13:38:39" u="1"/>
        <d v="2025-09-08T13:49:29" u="1"/>
        <d v="2025-09-08T13:51:16" u="1"/>
        <d v="2025-09-08T14:00:32" u="1"/>
        <d v="2025-09-08T15:43:36" u="1"/>
        <d v="2025-09-08T14:24:44" u="1"/>
        <d v="2025-09-08T14:41:02" u="1"/>
        <d v="2025-09-08T14:43:41" u="1"/>
        <d v="2025-09-08T14:48:03" u="1"/>
        <d v="2025-09-08T14:49:21" u="1"/>
        <d v="2025-09-08T15:02:33" u="1"/>
        <d v="2025-09-08T15:08:47" u="1"/>
        <d v="2025-09-08T15:18:04" u="1"/>
        <d v="2025-09-08T15:40:38" u="1"/>
        <d v="2025-09-08T16:01:15" u="1"/>
        <d v="2025-09-08T01:56:09" u="1"/>
        <d v="2025-09-08T02:06:43" u="1"/>
        <d v="2025-09-08T03:03:56" u="1"/>
        <d v="2025-09-08T03:16:35" u="1"/>
        <d v="2025-09-08T03:19:59" u="1"/>
        <d v="2025-09-08T05:58:48" u="1"/>
        <d v="2025-09-08T05:59:40" u="1"/>
        <d v="2025-09-08T06:01:16" u="1"/>
        <d v="2025-09-08T06:02:20" u="1"/>
        <d v="2025-09-08T06:03:30" u="1"/>
        <d v="2025-09-08T06:04:48" u="1"/>
        <d v="2025-09-08T06:06:06" u="1"/>
        <d v="2025-09-08T06:08:18" u="1"/>
        <d v="2025-09-08T06:09:16" u="1"/>
        <d v="2025-09-08T06:10:05" u="1"/>
        <d v="2025-09-08T06:11:37" u="1"/>
        <d v="2025-09-08T06:12:33" u="1"/>
        <d v="2025-09-08T06:13:28" u="1"/>
        <d v="2025-09-08T06:14:15" u="1"/>
        <d v="2025-09-08T06:15:16" u="1"/>
        <d v="2025-09-08T06:16:23" u="1"/>
        <d v="2025-09-08T07:28:17" u="1"/>
        <d v="2025-09-08T07:31:07" u="1"/>
        <d v="2025-09-08T08:23:52" u="1"/>
        <d v="2025-09-08T08:48:23" u="1"/>
        <d v="2025-09-08T09:14:32" u="1"/>
        <d v="2025-09-08T09:20:51" u="1"/>
        <d v="2025-09-08T09:43:26" u="1"/>
        <d v="2025-09-08T09:57:04" u="1"/>
        <d v="2025-09-08T10:00:50" u="1"/>
        <d v="2025-09-08T10:06:43" u="1"/>
        <d v="2025-09-08T10:10:12" u="1"/>
        <d v="2025-09-08T11:06:01" u="1"/>
        <d v="2025-09-08T11:08:44" u="1"/>
        <d v="2025-09-08T11:23:20" u="1"/>
        <d v="2025-09-08T11:26:04" u="1"/>
        <d v="2025-09-08T11:24:42" u="1"/>
        <d v="2025-09-08T11:27:15" u="1"/>
        <d v="2025-09-08T11:33:00" u="1"/>
        <d v="2025-09-08T11:37:20" u="1"/>
        <d v="2025-09-08T11:36:06" u="1"/>
        <d v="2025-09-08T11:38:45" u="1"/>
        <d v="2025-09-08T11:41:52" u="1"/>
        <d v="2025-09-08T11:43:52" u="1"/>
        <d v="2025-09-08T11:45:09" u="1"/>
        <d v="2025-09-08T11:46:08" u="1"/>
        <d v="2025-09-08T13:08:10" u="1"/>
        <d v="2025-09-08T13:09:56" u="1"/>
        <d v="2025-09-08T13:18:08" u="1"/>
        <d v="2025-09-08T13:21:21" u="1"/>
        <d v="2025-09-08T13:24:47" u="1"/>
        <d v="2025-09-08T13:27:10" u="1"/>
        <d v="2025-09-08T13:33:15" u="1"/>
        <d v="2025-09-08T13:37:31" u="1"/>
        <d v="2025-09-08T08:10:01" u="1"/>
        <d v="2025-09-08T11:19:31" u="1"/>
        <d v="2025-09-08T11:50:38" u="1"/>
        <d v="2025-09-08T07:00:38" u="1"/>
        <d v="2025-09-08T10:03:44" u="1"/>
        <d v="2025-09-08T11:15:00" u="1"/>
        <d v="2025-09-08T11:13:55" u="1"/>
        <d v="2025-09-08T11:53:42" u="1"/>
        <d v="2025-09-08T11:54:45" u="1"/>
        <d v="2025-09-08T13:04:52" u="1"/>
        <d v="2025-09-08T14:53:25" u="1"/>
        <d v="2025-09-08T08:54:40" u="1"/>
        <d v="2025-09-08T08:59:32" u="1"/>
        <d v="2025-09-08T09:19:00" u="1"/>
        <d v="2025-09-08T11:11:39" u="1"/>
        <d v="2025-09-08T11:12:46" u="1"/>
        <d v="2025-09-08T13:52:33" u="1"/>
        <d v="2025-09-08T14:12:01" u="1"/>
        <d v="2025-09-08T09:47:53" u="1"/>
        <d v="2025-09-06T22:21:14" u="1"/>
        <d v="2025-09-06T23:10:42" u="1"/>
        <d v="2025-09-06T23:19:34" u="1"/>
        <d v="2025-09-06T21:30:30" u="1"/>
        <d v="2025-09-06T19:50:23" u="1"/>
        <d v="2025-09-06T20:33:02" u="1"/>
        <d v="2025-09-06T21:21:34" u="1"/>
        <d v="2025-09-06T18:33:41" u="1"/>
        <d v="2025-09-06T19:19:25" u="1"/>
        <d v="2025-09-06T17:37:41" u="1"/>
        <d v="2025-09-06T17:48:39" u="1"/>
        <d v="2025-09-06T17:54:41" u="1"/>
        <d v="2025-09-06T18:06:42" u="1"/>
        <d v="2025-09-06T15:41:04" u="1"/>
        <d v="2025-09-06T15:48:54" u="1"/>
        <d v="2025-09-06T17:32:27" u="1"/>
        <d v="2025-09-06T15:23:52" u="1"/>
        <d v="2025-09-06T15:38:19" u="1"/>
        <d v="2025-09-06T10:58:42" u="1"/>
        <d v="2025-09-06T11:00:31" u="1"/>
        <d v="2025-09-06T11:01:29" u="1"/>
        <d v="2025-09-06T11:07:12" u="1"/>
        <d v="2025-09-06T11:08:30" u="1"/>
        <d v="2025-09-06T11:11:55" u="1"/>
        <d v="2025-09-06T11:13:48" u="1"/>
        <d v="2025-09-06T11:16:30" u="1"/>
        <d v="2025-09-06T11:18:47" u="1"/>
        <d v="2025-09-06T11:23:11" u="1"/>
        <d v="2025-09-06T11:28:45" u="1"/>
        <d v="2025-09-06T11:32:51" u="1"/>
        <d v="2025-09-06T11:37:18" u="1"/>
        <d v="2025-09-06T11:39:10" u="1"/>
        <d v="2025-09-06T11:42:20" u="1"/>
        <d v="2025-09-06T11:46:46" u="1"/>
        <d v="2025-09-06T11:48:02" u="1"/>
        <d v="2025-09-06T11:54:22" u="1"/>
        <d v="2025-09-06T12:00:06" u="1"/>
        <d v="2025-09-06T14:58:41" u="1"/>
        <d v="2025-09-06T13:31:16" u="1"/>
        <d v="2025-09-06T13:37:14" u="1"/>
        <d v="2025-09-06T14:05:39" u="1"/>
        <d v="2025-09-06T14:12:51" u="1"/>
        <d v="2025-09-06T14:19:48" u="1"/>
        <d v="2025-09-06T14:22:54" u="1"/>
        <d v="2025-09-06T14:33:30" u="1"/>
        <d v="2025-09-06T15:18:29" u="1"/>
        <d v="2025-09-06T10:59:41" u="1"/>
        <d v="2025-09-06T01:21:28" u="1"/>
        <d v="2025-09-06T10:19:42" u="1"/>
        <d v="2025-09-06T09:52:15" u="1"/>
        <d v="2025-09-06T09:55:10" u="1"/>
        <d v="2025-09-06T09:56:24" u="1"/>
        <d v="2025-09-06T10:03:57" u="1"/>
        <d v="2025-09-06T10:15:37" u="1"/>
        <d v="2025-09-06T10:16:51" u="1"/>
        <d v="2025-09-06T10:18:02" u="1"/>
        <d v="2025-09-06T10:21:34" u="1"/>
        <d v="2025-09-06T10:23:42" u="1"/>
        <d v="2025-09-06T10:24:51" u="1"/>
        <d v="2025-09-06T10:26:22" u="1"/>
        <d v="2025-09-06T10:28:18" u="1"/>
        <d v="2025-09-06T10:30:01" u="1"/>
        <d v="2025-09-06T10:31:12" u="1"/>
        <d v="2025-09-06T10:32:31" u="1"/>
        <d v="2025-09-06T10:33:39" u="1"/>
        <d v="2025-09-06T10:35:35" u="1"/>
        <d v="2025-09-06T10:39:03" u="1"/>
        <d v="2025-09-06T10:40:04" u="1"/>
        <d v="2025-09-06T10:40:53" u="1"/>
        <d v="2025-09-06T10:43:00" u="1"/>
        <d v="2025-09-06T10:43:54" u="1"/>
        <d v="2025-09-06T10:44:45" u="1"/>
        <d v="2025-09-06T10:45:55" u="1"/>
        <d v="2025-09-06T10:46:44" u="1"/>
        <d v="2025-09-06T10:47:43" u="1"/>
        <d v="2025-09-06T10:48:24" u="1"/>
        <d v="2025-09-06T10:49:18" u="1"/>
        <d v="2025-09-06T10:52:34" u="1"/>
        <d v="2025-09-06T10:53:26" u="1"/>
        <d v="2025-09-06T10:55:02" u="1"/>
        <d v="2025-09-06T10:57:07" u="1"/>
        <d v="2025-09-05T01:25:08" u="1"/>
        <d v="2025-09-05T01:29:37" u="1"/>
        <d v="2025-09-05T06:06:53" u="1"/>
        <d v="2025-09-05T06:08:18" u="1"/>
        <d v="2025-09-05T06:10:04" u="1"/>
        <d v="2025-09-05T06:11:32" u="1"/>
        <d v="2025-09-05T06:20:10" u="1"/>
        <d v="2025-09-05T06:23:22" u="1"/>
        <d v="2025-09-05T06:25:13" u="1"/>
        <d v="2025-09-05T06:26:58" u="1"/>
        <d v="2025-09-05T06:28:29" u="1"/>
        <d v="2025-09-05T06:29:47" u="1"/>
        <d v="2025-09-05T06:30:52" u="1"/>
        <d v="2025-09-05T06:32:16" u="1"/>
        <d v="2025-09-05T06:33:42" u="1"/>
        <d v="2025-09-05T06:34:50" u="1"/>
        <d v="2025-09-05T06:36:09" u="1"/>
        <d v="2025-09-05T06:38:08" u="1"/>
        <d v="2025-09-05T06:39:30" u="1"/>
        <d v="2025-09-05T06:42:36" u="1"/>
        <d v="2025-09-05T06:44:08" u="1"/>
        <d v="2025-09-05T06:45:12" u="1"/>
        <d v="2025-09-05T06:47:37" u="1"/>
        <d v="2025-09-05T06:55:14" u="1"/>
        <d v="2025-09-05T07:04:34" u="1"/>
        <d v="2025-09-05T07:07:39" u="1"/>
        <d v="2025-09-05T07:11:08" u="1"/>
        <d v="2025-09-05T07:26:28" u="1"/>
        <d v="2025-09-05T07:29:32" u="1"/>
        <d v="2025-09-05T07:47:29" u="1"/>
        <d v="2025-09-05T08:00:37" u="1"/>
        <d v="2025-09-05T08:03:05" u="1"/>
        <d v="2025-09-05T08:06:00" u="1"/>
        <d v="2025-09-05T08:09:13" u="1"/>
        <d v="2025-09-05T08:30:08" u="1"/>
        <d v="2025-09-05T08:59:01" u="1"/>
        <d v="2025-09-05T09:47:15" u="1"/>
        <d v="2025-09-05T09:50:12" u="1"/>
        <d v="2025-09-05T09:59:12" u="1"/>
        <d v="2025-09-05T10:21:54" u="1"/>
        <d v="2025-09-05T10:25:04" u="1"/>
        <d v="2025-09-05T11:24:33" u="1"/>
        <d v="2025-09-05T10:32:22" u="1"/>
        <d v="2025-09-05T11:28:06" u="1"/>
        <d v="2025-09-05T10:37:50" u="1"/>
        <d v="2025-09-05T10:59:01" u="1"/>
        <d v="2025-09-05T11:47:15" u="1"/>
        <d v="2025-09-05T11:51:12" u="1"/>
        <d v="2025-09-05T12:08:57" u="1"/>
        <d v="2025-09-05T12:23:32" u="1"/>
        <d v="2025-09-05T12:26:40" u="1"/>
        <d v="2025-09-05T12:30:07" u="1"/>
        <d v="2025-09-05T12:32:38" u="1"/>
        <d v="2025-09-05T12:48:07" u="1"/>
        <d v="2025-09-05T13:21:10" u="1"/>
        <d v="2025-09-05T13:23:58" u="1"/>
        <d v="2025-09-05T13:35:19" u="1"/>
        <d v="2025-09-05T13:38:03" u="1"/>
        <d v="2025-09-05T13:40:27" u="1"/>
        <d v="2025-09-05T13:54:30" u="1"/>
        <d v="2025-09-05T14:07:07" u="1"/>
        <d v="2025-09-05T14:09:35" u="1"/>
        <d v="2025-09-05T14:22:18" u="1"/>
        <d v="2025-09-05T14:35:16" u="1"/>
        <d v="2025-09-05T14:47:04" u="1"/>
        <d v="2025-09-05T14:49:56" u="1"/>
        <d v="2025-09-05T14:56:56" u="1"/>
        <d v="2025-09-05T15:14:20" u="1"/>
        <d v="2025-09-05T16:00:01" u="1"/>
        <d v="2025-09-05T16:02:03" u="1"/>
        <d v="2025-09-05T16:06:00" u="1"/>
        <d v="2025-09-05T16:33:16" u="1"/>
        <d v="2025-09-05T16:37:24" u="1"/>
        <d v="2025-09-05T16:44:13" u="1"/>
        <d v="2025-09-05T16:53:02" u="1"/>
        <d v="2025-09-05T17:02:15" u="1"/>
        <d v="2025-09-05T17:05:36" u="1"/>
        <d v="2025-09-05T17:09:08" u="1"/>
        <d v="2025-09-05T17:14:31" u="1"/>
        <d v="2025-09-05T17:21:55" u="1"/>
        <d v="2025-09-05T17:32:31" u="1"/>
        <d v="2025-09-04T03:02:10" u="1"/>
        <d v="2025-09-04T04:54:45" u="1"/>
        <d v="2025-09-04T05:27:52" u="1"/>
        <d v="2025-09-04T05:33:32" u="1"/>
        <d v="2025-09-04T05:38:50" u="1"/>
        <d v="2025-09-04T05:42:10" u="1"/>
        <d v="2025-09-04T05:59:37" u="1"/>
        <d v="2025-09-04T06:00:26" u="1"/>
        <d v="2025-09-04T06:01:26" u="1"/>
        <d v="2025-09-04T06:07:49" u="1"/>
        <d v="2025-09-04T06:06:58" u="1"/>
        <d v="2025-09-04T06:12:19" u="1"/>
        <d v="2025-09-04T06:13:31" u="1"/>
        <d v="2025-09-04T06:15:30" u="1"/>
        <d v="2025-09-04T06:16:58" u="1"/>
        <d v="2025-09-04T06:17:56" u="1"/>
        <d v="2025-09-04T06:19:06" u="1"/>
        <d v="2025-09-04T06:20:05" u="1"/>
        <d v="2025-09-04T06:20:54" u="1"/>
        <d v="2025-09-04T06:21:51" u="1"/>
        <d v="2025-09-04T06:22:44" u="1"/>
        <d v="2025-09-04T06:23:36" u="1"/>
        <d v="2025-09-04T06:24:32" u="1"/>
        <d v="2025-09-04T06:26:45" u="1"/>
        <d v="2025-09-04T06:27:52" u="1"/>
        <d v="2025-09-04T06:28:42" u="1"/>
        <d v="2025-09-04T06:33:31" u="1"/>
        <d v="2025-09-04T06:36:43" u="1"/>
        <d v="2025-09-04T07:20:53" u="1"/>
        <d v="2025-09-04T08:12:12" u="1"/>
        <d v="2025-09-04T08:23:45" u="1"/>
        <d v="2025-09-04T08:45:02" u="1"/>
        <d v="2025-09-04T09:07:38" u="1"/>
        <d v="2025-09-04T09:11:19" u="1"/>
        <d v="2025-09-04T09:14:22" u="1"/>
        <d v="2025-09-04T09:17:31" u="1"/>
        <d v="2025-09-04T09:38:52" u="1"/>
        <d v="2025-09-04T10:04:34" u="1"/>
        <d v="2025-09-04T11:36:24" u="1"/>
        <d v="2025-09-04T10:15:47" u="1"/>
        <d v="2025-09-04T10:28:13" u="1"/>
        <d v="2025-09-04T10:37:55" u="1"/>
        <d v="2025-09-04T10:42:36" u="1"/>
        <d v="2025-09-04T11:55:06" u="1"/>
        <d v="2025-09-04T10:58:41" u="1"/>
        <d v="2025-09-04T11:01:44" u="1"/>
        <d v="2025-09-04T11:08:05" u="1"/>
        <d v="2025-09-04T11:12:06" u="1"/>
        <d v="2025-09-04T11:24:06" u="1"/>
        <d v="2025-09-04T11:38:42" u="1"/>
        <d v="2025-09-04T11:48:08" u="1"/>
        <d v="2025-09-04T11:52:38" u="1"/>
        <d v="2025-09-04T11:59:16" u="1"/>
        <d v="2025-09-04T12:11:45" u="1"/>
        <d v="2025-09-04T12:19:59" u="1"/>
        <d v="2025-09-04T12:22:44" u="1"/>
        <d v="2025-09-04T12:26:45" u="1"/>
        <d v="2025-09-04T12:28:50" u="1"/>
        <d v="2025-09-04T12:43:08" u="1"/>
        <d v="2025-09-04T12:52:14" u="1"/>
        <d v="2025-09-04T12:56:25" u="1"/>
        <d v="2025-09-04T13:01:53" u="1"/>
        <d v="2025-09-04T13:31:28" u="1"/>
        <d v="2025-09-04T13:38:00" u="1"/>
        <d v="2025-09-04T13:45:31" u="1"/>
        <d v="2025-09-04T14:06:33" u="1"/>
        <d v="2025-09-04T14:08:07" u="1"/>
        <d v="2025-09-04T14:10:12" u="1"/>
        <d v="2025-09-04T14:11:57" u="1"/>
        <d v="2025-09-04T14:30:15" u="1"/>
        <d v="2025-09-04T14:33:06" u="1"/>
        <d v="2025-09-04T14:38:30" u="1"/>
        <d v="2025-09-04T14:58:30" u="1"/>
        <d v="2025-09-04T14:59:56" u="1"/>
        <d v="2025-09-04T15:23:06" u="1"/>
        <d v="2025-09-04T15:37:53" u="1"/>
        <d v="2025-09-04T15:48:16" u="1"/>
        <d v="2025-09-04T15:52:48" u="1"/>
        <d v="2025-09-04T15:57:11" u="1"/>
        <d v="2025-09-04T16:00:46" u="1"/>
        <d v="2025-09-04T16:08:10" u="1"/>
        <d v="2025-09-04T14:55:02" u="1"/>
        <d v="2025-09-04T00:42:29" u="1"/>
        <d v="2025-09-04T09:22:16" u="1"/>
        <d v="2025-09-04T09:46:59" u="1"/>
        <d v="2025-09-04T08:42:16" u="1"/>
        <d v="2025-09-04T08:47:51" u="1"/>
        <d v="2025-09-04T09:22:44" u="1"/>
        <d v="2025-09-04T09:54:55" u="1"/>
        <d v="2025-09-04T10:22:39" u="1"/>
        <d v="2025-09-04T10:26:06" u="1"/>
        <d v="2025-09-04T11:20:31" u="1"/>
        <d v="2025-09-04T12:34:07" u="1"/>
        <d v="2025-09-04T13:16:32" u="1"/>
        <d v="2025-09-04T13:27:04" u="1"/>
        <d v="2025-09-03T16:59:20" u="1"/>
        <d v="2025-09-03T17:05:08" u="1"/>
        <d v="2025-09-03T17:09:53" u="1"/>
        <d v="2025-09-03T16:55:04" u="1"/>
        <d v="2025-09-03T16:39:55" u="1"/>
        <d v="2025-09-03T16:47:41" u="1"/>
        <d v="2025-09-03T16:50:41" u="1"/>
        <d v="2025-09-03T14:10:49" u="1"/>
        <d v="2025-09-03T14:20:07" u="1"/>
        <d v="2025-09-03T14:27:32" u="1"/>
        <d v="2025-09-03T14:31:53" u="1"/>
        <d v="2025-09-03T14:37:19" u="1"/>
        <d v="2025-09-03T14:57:22" u="1"/>
        <d v="2025-09-03T15:14:19" u="1"/>
        <d v="2025-09-03T15:07:56" u="1"/>
        <d v="2025-09-03T15:35:08" u="1"/>
        <d v="2025-09-03T15:40:15" u="1"/>
        <d v="2025-09-03T16:16:31" u="1"/>
        <d v="2025-09-03T16:23:17" u="1"/>
        <d v="2025-09-03T14:03:57" u="1"/>
        <d v="2025-09-03T14:01:13" u="1"/>
        <d v="2025-09-03T13:59:35" u="1"/>
        <d v="2025-09-03T13:47:05" u="1"/>
        <d v="2025-09-03T13:52:44" u="1"/>
        <d v="2025-09-03T13:12:23" u="1"/>
        <d v="2025-09-03T10:21:22" u="1"/>
        <d v="2025-09-03T10:30:41" u="1"/>
        <d v="2025-09-03T10:35:06" u="1"/>
        <d v="2025-09-03T10:37:03" u="1"/>
        <d v="2025-09-03T13:08:59" u="1"/>
        <d v="2025-09-03T08:58:52" u="1"/>
        <d v="2025-09-03T09:09:16" u="1"/>
        <d v="2025-09-03T09:29:41" u="1"/>
        <d v="2025-09-03T09:33:23" u="1"/>
        <d v="2025-09-03T10:13:35" u="1"/>
        <d v="2025-09-03T10:18:31" u="1"/>
        <d v="2025-09-03T07:49:51" u="1"/>
        <d v="2025-09-03T08:04:53" u="1"/>
        <d v="2025-09-03T08:12:11" u="1"/>
        <d v="2025-09-03T08:30:54" u="1"/>
        <d v="2025-09-03T08:34:02" u="1"/>
        <d v="2025-09-03T08:38:53" u="1"/>
        <d v="2025-09-03T07:45:21" u="1"/>
        <d v="2025-09-03T07:47:42" u="1"/>
        <d v="2025-09-03T07:26:20" u="1"/>
        <d v="2025-09-03T07:28:14" u="1"/>
        <d v="2025-09-03T07:34:00" u="1"/>
        <d v="2025-09-03T07:37:44" u="1"/>
        <d v="2025-09-03T07:39:48" u="1"/>
        <d v="2025-09-03T00:17:35" u="1"/>
        <d v="2025-09-03T00:26:23" u="1"/>
        <d v="2025-09-03T00:46:23" u="1"/>
        <d v="2025-09-03T01:01:47" u="1"/>
        <d v="2025-09-03T01:15:42" u="1"/>
        <d v="2025-09-03T01:23:09" u="1"/>
        <d v="2025-09-03T01:30:26" u="1"/>
        <d v="2025-09-03T01:35:47" u="1"/>
        <d v="2025-09-03T04:19:55" u="1"/>
        <d v="2025-09-03T04:54:40" u="1"/>
        <d v="2025-09-03T05:30:02" u="1"/>
        <d v="2025-09-03T06:01:33" u="1"/>
        <d v="2025-09-03T06:04:18" u="1"/>
        <d v="2025-09-03T06:06:20" u="1"/>
        <d v="2025-09-03T06:11:50" u="1"/>
        <d v="2025-09-03T06:16:34" u="1"/>
        <d v="2025-09-03T06:19:25" u="1"/>
        <d v="2025-09-03T06:24:36" u="1"/>
        <d v="2025-09-03T06:45:20" u="1"/>
        <d v="2025-09-03T06:49:14" u="1"/>
        <d v="2025-09-03T06:55:38" u="1"/>
        <d v="2025-09-03T07:03:42" u="1"/>
        <d v="2025-09-03T07:12:19" u="1"/>
        <d v="2025-09-03T07:14:17" u="1"/>
        <d v="2025-09-03T07:15:28" u="1"/>
        <d v="2025-09-03T07:17:20" u="1"/>
        <d v="2025-09-03T07:18:17" u="1"/>
        <d v="2025-09-03T07:19:38" u="1"/>
        <d v="2025-09-03T07:21:12" u="1"/>
        <d v="2025-09-03T07:22:20" u="1"/>
        <d v="2025-09-03T07:23:12" u="1"/>
        <d v="2025-09-03T07:24:55" u="1"/>
        <d v="2025-09-03T09:25:25" u="1"/>
        <d v="2025-09-03T10:05:56" u="1"/>
        <d v="2025-09-03T13:31:56" u="1"/>
        <d v="2025-09-03T00:08:18" u="1"/>
        <d v="2025-09-03T00:12:48" u="1"/>
        <d v="2025-09-03T01:52:53" u="1"/>
        <d v="2025-09-03T07:42:09" u="1"/>
        <d v="2025-09-03T12:52:55" u="1"/>
        <d v="2025-09-03T12:55:50" u="1"/>
        <d v="2025-09-03T13:06:08" u="1"/>
        <d v="2025-09-03T08:51:30" u="1"/>
        <d v="2025-09-03T08:56:07" u="1"/>
        <d v="2025-09-03T09:15:04" u="1"/>
        <d v="2025-09-03T09:55:57" u="1"/>
        <d v="2025-09-03T10:00:45" u="1"/>
        <d v="2025-09-02T00:07:38" u="1"/>
        <d v="2025-09-02T01:15:43" u="1"/>
        <d v="2025-09-02T01:53:41" u="1"/>
        <d v="2025-09-02T02:43:53" u="1"/>
        <d v="2025-09-02T08:23:51" u="1"/>
        <d v="2025-09-02T08:26:56" u="1"/>
        <d v="2025-09-02T14:47:26" u="1"/>
        <d v="2025-09-02T15:00:18" u="1"/>
        <d v="2025-09-02T15:02:57" u="1"/>
        <d v="2025-09-02T16:03:08" u="1"/>
        <d v="2025-09-02T09:12:37" u="1"/>
        <d v="2025-09-02T09:59:34" u="1"/>
        <d v="2025-09-02T10:22:40" u="1"/>
        <d v="2025-09-02T10:31:26" u="1"/>
        <d v="2025-09-02T10:34:17" u="1"/>
        <d v="2025-09-02T14:30:40" u="1"/>
        <d v="2025-09-02T14:37:31" u="1"/>
        <d v="2025-09-02T14:44:46" u="1"/>
        <d v="2025-09-02T14:54:28" u="1"/>
        <d v="2025-09-02T14:58:11" u="1"/>
        <d v="2025-09-02T15:05:52" u="1"/>
        <d v="2025-09-02T15:24:11" u="1"/>
        <d v="2025-09-02T15:29:38" u="1"/>
        <d v="2025-09-02T15:34:04" u="1"/>
        <d v="2025-09-02T15:35:36" u="1"/>
        <d v="2025-09-02T15:45:06" u="1"/>
        <d v="2025-09-02T15:49:24" u="1"/>
        <d v="2025-09-02T15:54:24" u="1"/>
        <d v="2025-09-02T15:56:09" u="1"/>
        <d v="2025-09-02T16:00:35" u="1"/>
        <d v="2025-09-02T16:04:28" u="1"/>
        <d v="2025-09-02T16:05:23" u="1"/>
        <d v="2025-09-02T10:39:53" u="1"/>
        <d v="2025-09-02T11:11:44" u="1"/>
        <d v="2025-09-02T11:18:02" u="1"/>
        <d v="2025-09-02T16:06:05" u="1"/>
        <d v="2025-09-02T01:12:12" u="1"/>
        <d v="2025-09-02T01:59:42" u="1"/>
        <d v="2025-09-02T02:09:21" u="1"/>
        <d v="2025-09-02T04:04:04" u="1"/>
        <d v="2025-09-02T05:04:31" u="1"/>
        <d v="2025-09-02T05:10:18" u="1"/>
        <d v="2025-09-02T05:47:20" u="1"/>
        <d v="2025-09-02T05:48:46" u="1"/>
        <d v="2025-09-02T05:50:08" u="1"/>
        <d v="2025-09-02T05:51:59" u="1"/>
        <d v="2025-09-02T05:53:03" u="1"/>
        <d v="2025-09-02T05:54:10" u="1"/>
        <d v="2025-09-02T05:55:20" u="1"/>
        <d v="2025-09-02T05:56:20" u="1"/>
        <d v="2025-09-02T05:57:18" u="1"/>
        <d v="2025-09-02T05:58:15" u="1"/>
        <d v="2025-09-02T05:59:08" u="1"/>
        <d v="2025-09-02T06:00:18" u="1"/>
        <d v="2025-09-02T06:01:38" u="1"/>
        <d v="2025-09-02T06:02:37" u="1"/>
        <d v="2025-09-02T06:03:36" u="1"/>
        <d v="2025-09-02T06:05:53" u="1"/>
        <d v="2025-09-02T06:06:40" u="1"/>
        <d v="2025-09-02T06:08:39" u="1"/>
        <d v="2025-09-02T06:12:53" u="1"/>
        <d v="2025-09-02T06:21:04" u="1"/>
        <d v="2025-09-02T06:24:45" u="1"/>
        <d v="2025-09-02T06:26:58" u="1"/>
        <d v="2025-09-02T06:29:26" u="1"/>
        <d v="2025-09-02T06:43:30" u="1"/>
        <d v="2025-09-02T06:50:11" u="1"/>
        <d v="2025-09-02T06:56:53" u="1"/>
        <d v="2025-09-02T07:01:40" u="1"/>
        <d v="2025-09-02T07:04:20" u="1"/>
        <d v="2025-09-02T07:44:31" u="1"/>
        <d v="2025-09-02T08:33:38" u="1"/>
        <d v="2025-09-02T08:46:25" u="1"/>
        <d v="2025-09-02T09:14:48" u="1"/>
        <d v="2025-09-02T09:19:51" u="1"/>
        <d v="2025-09-02T09:30:20" u="1"/>
        <d v="2025-09-02T09:38:45" u="1"/>
        <d v="2025-09-02T09:42:57" u="1"/>
        <d v="2025-09-02T10:07:39" u="1"/>
        <d v="2025-09-02T11:05:11" u="1"/>
        <d v="2025-09-02T11:16:08" u="1"/>
        <d v="2025-09-02T10:48:19" u="1"/>
        <d v="2025-09-02T11:01:07" u="1"/>
        <d v="2025-09-02T11:07:18" u="1"/>
        <d v="2025-09-02T13:25:50" u="1"/>
        <d v="2025-09-02T14:10:45" u="1"/>
        <d v="2025-09-02T15:10:39" u="1"/>
        <d v="2025-09-02T15:17:20" u="1"/>
        <d v="2025-09-02T15:21:27" u="1"/>
        <d v="2025-09-01T21:22:37" u="1"/>
        <d v="2025-09-01T21:26:42" u="1"/>
        <d v="2025-09-01T21:35:19" u="1"/>
        <d v="2025-09-01T22:29:19" u="1"/>
        <d v="2025-09-01T23:03:37" u="1"/>
        <d v="2025-09-01T23:11:04" u="1"/>
        <d v="2025-09-01T23:28:10" u="1"/>
        <d v="2025-09-01T20:48:04" u="1"/>
        <d v="2025-09-01T21:04:49" u="1"/>
        <d v="2025-09-01T19:33:36" u="1"/>
        <d v="2025-09-01T05:36:21" u="1"/>
        <d v="2025-09-01T05:39:25" u="1"/>
        <d v="2025-09-01T05:44:19" u="1"/>
        <d v="2025-09-01T05:47:53" u="1"/>
        <d v="2025-09-01T05:50:44" u="1"/>
        <d v="2025-09-01T06:01:39" u="1"/>
        <d v="2025-09-01T06:04:23" u="1"/>
        <d v="2025-09-01T06:07:23" u="1"/>
        <d v="2025-09-01T06:09:55" u="1"/>
        <d v="2025-09-01T06:12:21" u="1"/>
        <d v="2025-09-01T06:15:13" u="1"/>
        <d v="2025-09-01T06:17:37" u="1"/>
        <d v="2025-09-01T06:20:39" u="1"/>
        <d v="2025-09-01T06:23:07" u="1"/>
        <d v="2025-09-01T06:24:15" u="1"/>
        <d v="2025-09-01T06:25:45" u="1"/>
        <d v="2025-09-01T06:27:41" u="1"/>
        <d v="2025-09-01T06:31:57" u="1"/>
        <d v="2025-09-01T06:39:47" u="1"/>
        <d v="2025-09-01T06:52:13" u="1"/>
        <d v="2025-09-01T06:54:44" u="1"/>
        <d v="2025-09-01T07:38:37" u="1"/>
        <d v="2025-09-01T08:18:08" u="1"/>
        <d v="2025-09-01T08:39:21" u="1"/>
        <d v="2025-09-01T08:42:01" u="1"/>
        <d v="2025-09-01T09:44:17" u="1"/>
        <d v="2025-09-01T10:36:17" u="1"/>
        <d v="2025-09-01T10:32:59" u="1"/>
        <d v="2025-09-01T11:24:04" u="1"/>
        <d v="2025-09-01T11:12:49" u="1"/>
        <d v="2025-09-01T11:28:50" u="1"/>
        <d v="2025-09-01T11:35:21" u="1"/>
        <d v="2025-09-01T11:48:35" u="1"/>
        <d v="2025-09-01T11:51:04" u="1"/>
        <d v="2025-09-01T11:51:53" u="1"/>
        <d v="2025-09-01T11:56:19" u="1"/>
        <d v="2025-09-01T12:07:12" u="1"/>
        <d v="2025-09-01T12:16:58" u="1"/>
        <d v="2025-09-01T12:25:03" u="1"/>
        <d v="2025-09-01T12:48:18" u="1"/>
        <d v="2025-09-01T13:36:30" u="1"/>
        <d v="2025-09-01T13:40:57" u="1"/>
        <d v="2025-09-01T13:47:18" u="1"/>
        <d v="2025-09-01T13:51:03" u="1"/>
        <d v="2025-09-01T13:53:07" u="1"/>
        <d v="2025-09-01T13:56:24" u="1"/>
        <d v="2025-09-01T14:14:55" u="1"/>
        <d v="2025-09-01T14:16:09" u="1"/>
        <d v="2025-09-01T14:22:27" u="1"/>
        <d v="2025-09-01T15:07:05" u="1"/>
        <d v="2025-09-01T15:50:38" u="1"/>
        <d v="2025-09-01T15:53:31" u="1"/>
        <d v="2025-09-01T16:12:00" u="1"/>
        <d v="2025-09-01T17:11:03" u="1"/>
        <d v="2025-09-01T17:06:53" u="1"/>
        <d v="2025-09-01T17:17:35" u="1"/>
        <d v="2025-09-01T17:20:28" u="1"/>
        <d v="2025-09-01T17:26:33" u="1"/>
        <d v="2025-09-01T18:12:14" u="1"/>
        <d v="2025-09-01T18:41:23" u="1"/>
        <d v="2025-09-01T18:45:34" u="1"/>
        <d v="2025-09-01T18:51:27" u="1"/>
        <d v="2025-09-01T18:55:31" u="1"/>
        <d v="2025-09-01T19:09:27" u="1"/>
        <d v="2025-09-01T08:47:25" u="1"/>
        <d v="2025-09-01T11:54:13" u="1"/>
        <d v="2025-09-01T12:22:17" u="1"/>
        <d v="2025-09-01T05:10:09" u="1"/>
        <d v="2025-09-01T09:12:01" u="1"/>
        <d v="2025-09-01T13:18:39" u="1"/>
        <d v="2025-09-01T13:24:10" u="1"/>
        <d v="2025-09-01T13:59:53" u="1"/>
        <d v="2025-09-01T14:03:30" u="1"/>
        <d v="2025-09-01T14:31:16" u="1"/>
        <d v="2025-09-01T15:34:51" u="1"/>
        <d v="2025-09-01T15:45:35" u="1"/>
        <d v="2025-09-01T16:26:44" u="1"/>
        <d v="2025-09-01T16:28:15" u="1"/>
        <d v="2025-09-01T16:30:23" u="1"/>
        <d v="2025-09-01T16:32:36" u="1"/>
        <d v="2025-09-01T16:35:14" u="1"/>
        <d v="2025-09-01T16:42:10" u="1"/>
        <d v="2025-09-01T16:46:06" u="1"/>
        <d v="2025-09-01T08:23:58" u="1"/>
        <d v="2025-09-01T08:27:56" u="1"/>
        <d v="2025-09-01T08:56:52" u="1"/>
        <d v="2025-09-01T09:05:27" u="1"/>
        <d v="2025-09-01T10:11:51" u="1"/>
        <d v="2025-09-01T10:16:16" u="1"/>
        <d v="2025-09-01T10:29:22" u="1"/>
        <d v="2025-09-01T10:39:00" u="1"/>
        <d v="2025-09-01T10:47:29" u="1"/>
        <d v="2025-09-01T10:52:08" u="1"/>
        <d v="2025-09-01T10:58:57" u="1"/>
        <d v="2025-09-01T11:25:42" u="1"/>
        <d v="2025-09-01T11:24:23" u="1"/>
        <d v="2025-09-01T13:55:24" u="1"/>
        <d v="2025-09-01T14:27:21" u="1"/>
        <d v="2025-09-01T14:38:21" u="1"/>
      </sharedItems>
    </cacheField>
    <cacheField name="Berat Timbang 1" numFmtId="0">
      <sharedItems containsSemiMixedTypes="0" containsString="0" containsNumber="1" containsInteger="1" minValue="960" maxValue="44900"/>
    </cacheField>
    <cacheField name="Tanggal Timbang 2" numFmtId="0">
      <sharedItems containsNonDate="0" containsDate="1" containsString="0" containsBlank="1" minDate="2025-09-01T08:58:41" maxDate="2025-09-10T16:27:23" count="667">
        <d v="2025-09-10T10:16:22"/>
        <d v="2025-09-10T09:52:57"/>
        <d v="2025-09-10T08:18:52"/>
        <d v="2025-09-10T08:42:24"/>
        <d v="2025-09-10T08:50:31"/>
        <d v="2025-09-10T08:44:44"/>
        <d v="2025-09-10T09:48:55"/>
        <d v="2025-09-10T08:52:43"/>
        <d v="2025-09-10T09:01:12"/>
        <d v="2025-09-10T09:35:36"/>
        <d v="2025-09-10T09:25:10"/>
        <d v="2025-09-10T09:27:29"/>
        <d v="2025-09-10T09:51:04"/>
        <d v="2025-09-10T10:22:29"/>
        <d v="2025-09-10T10:27:06"/>
        <d v="2025-09-10T10:49:55"/>
        <d v="2025-09-10T10:51:00"/>
        <d v="2025-09-10T11:20:04"/>
        <d v="2025-09-10T11:18:53"/>
        <d v="2025-09-10T11:17:30"/>
        <d v="2025-09-10T11:43:30"/>
        <d v="2025-09-10T13:01:09"/>
        <d v="2025-09-10T11:35:45"/>
        <d v="2025-09-10T12:57:31"/>
        <d v="2025-09-10T13:23:20"/>
        <d v="2025-09-10T13:20:33"/>
        <d v="2025-09-10T13:19:21"/>
        <d v="2025-09-10T08:25:53"/>
        <d v="2025-09-10T13:21:58"/>
        <d v="2025-09-10T15:07:44"/>
        <m/>
        <d v="2025-09-10T15:19:34"/>
        <d v="2025-09-10T16:01:26"/>
        <d v="2025-09-10T15:39:47"/>
        <d v="2025-09-10T15:54:24"/>
        <d v="2025-09-10T16:27:23"/>
        <d v="2025-09-10T13:02:14"/>
        <d v="2025-09-10T14:07:39"/>
        <d v="2025-09-10T13:12:47"/>
        <d v="2025-09-10T13:30:03"/>
        <d v="2025-09-10T14:38:48"/>
        <d v="2025-09-10T13:24:27"/>
        <d v="2025-09-10T13:55:27"/>
        <d v="2025-09-10T14:17:06"/>
        <d v="2025-09-10T15:23:19"/>
        <d v="2025-09-10T16:13:26"/>
        <d v="2025-09-10T10:02:02" u="1"/>
        <d v="2025-09-10T10:18:24" u="1"/>
        <d v="2025-09-10T10:39:39" u="1"/>
        <d v="2025-09-10T10:35:42" u="1"/>
        <d v="2025-09-09T11:22:38" u="1"/>
        <d v="2025-09-09T01:34:43" u="1"/>
        <d v="2025-09-09T01:55:23" u="1"/>
        <d v="2025-09-09T10:48:34" u="1"/>
        <d v="2025-09-09T11:53:18" u="1"/>
        <d v="2025-09-09T13:34:14" u="1"/>
        <d v="2025-09-09T02:51:08" u="1"/>
        <d v="2025-09-09T03:01:09" u="1"/>
        <d v="2025-09-09T03:23:26" u="1"/>
        <d v="2025-09-09T03:33:21" u="1"/>
        <d v="2025-09-09T03:43:08" u="1"/>
        <d v="2025-09-09T08:28:51" u="1"/>
        <d v="2025-09-09T08:31:57" u="1"/>
        <d v="2025-09-09T08:40:12" u="1"/>
        <d v="2025-09-09T08:50:29" u="1"/>
        <d v="2025-09-09T08:54:06" u="1"/>
        <d v="2025-09-09T09:29:37" u="1"/>
        <d v="2025-09-09T09:28:36" u="1"/>
        <d v="2025-09-09T08:57:03" u="1"/>
        <d v="2025-09-09T09:40:39" u="1"/>
        <d v="2025-09-09T09:56:00" u="1"/>
        <d v="2025-09-09T11:02:14" u="1"/>
        <d v="2025-09-09T11:14:41" u="1"/>
        <d v="2025-09-09T11:25:44" u="1"/>
        <d v="2025-09-09T11:52:05" u="1"/>
        <d v="2025-09-09T11:59:33" u="1"/>
        <d v="2025-09-09T11:55:54" u="1"/>
        <d v="2025-09-09T11:58:05" u="1"/>
        <d v="2025-09-09T12:08:35" u="1"/>
        <d v="2025-09-09T12:01:28" u="1"/>
        <d v="2025-09-09T12:11:50" u="1"/>
        <d v="2025-09-09T13:09:06" u="1"/>
        <d v="2025-09-09T13:10:26" u="1"/>
        <d v="2025-09-09T08:20:27" u="1"/>
        <d v="2025-09-09T08:13:07" u="1"/>
        <d v="2025-09-09T11:28:49" u="1"/>
        <d v="2025-09-09T11:24:12" u="1"/>
        <d v="2025-09-09T11:26:59" u="1"/>
        <d v="2025-09-09T11:54:51" u="1"/>
        <d v="2025-09-09T09:42:53" u="1"/>
        <d v="2025-09-09T09:26:38" u="1"/>
        <d v="2025-09-09T11:12:17" u="1"/>
        <d v="2025-09-09T09:06:16" u="1"/>
        <d v="2025-09-09T05:34:36" u="1"/>
        <d v="2025-09-09T02:17:41" u="1"/>
        <d v="2025-09-08T20:06:13" u="1"/>
        <d v="2025-09-09T05:48:08" u="1"/>
        <d v="2025-09-08T17:40:02" u="1"/>
        <d v="2025-09-09T06:29:14" u="1"/>
        <d v="2025-09-09T06:25:48" u="1"/>
        <d v="2025-09-08T17:33:42" u="1"/>
        <d v="2025-09-08T22:28:47" u="1"/>
        <d v="2025-09-08T14:39:38" u="1"/>
        <d v="2025-09-08T17:15:10" u="1"/>
        <d v="2025-09-08T16:21:51" u="1"/>
        <d v="2025-09-08T15:51:03" u="1"/>
        <d v="2025-09-08T22:50:54" u="1"/>
        <d v="2025-09-08T16:45:04" u="1"/>
        <d v="2025-09-08T16:10:08" u="1"/>
        <d v="2025-09-09T02:21:56" u="1"/>
        <d v="2025-09-08T17:16:57" u="1"/>
        <d v="2025-09-08T16:58:23" u="1"/>
        <d v="2025-09-08T20:13:29" u="1"/>
        <d v="2025-09-08T17:11:55" u="1"/>
        <d v="2025-09-09T00:19:16" u="1"/>
        <d v="2025-09-08T17:36:02" u="1"/>
        <d v="2025-09-09T03:58:18" u="1"/>
        <d v="2025-09-08T03:30:51" u="1"/>
        <d v="2025-09-08T03:59:40" u="1"/>
        <d v="2025-09-08T11:51:23" u="1"/>
        <d v="2025-09-08T13:24:18" u="1"/>
        <d v="2025-09-08T13:20:40" u="1"/>
        <d v="2025-09-08T08:12:59" u="1"/>
        <d v="2025-09-08T08:15:24" u="1"/>
        <d v="2025-09-08T08:20:46" u="1"/>
        <d v="2025-09-08T08:33:12" u="1"/>
        <d v="2025-09-08T08:44:12" u="1"/>
        <d v="2025-09-08T10:01:58" u="1"/>
        <d v="2025-09-08T09:22:21" u="1"/>
        <d v="2025-09-08T09:45:36" u="1"/>
        <d v="2025-09-08T09:55:02" u="1"/>
        <d v="2025-09-08T10:07:46" u="1"/>
        <d v="2025-09-08T10:08:41" u="1"/>
        <d v="2025-09-08T11:09:45" u="1"/>
        <d v="2025-09-08T11:10:43" u="1"/>
        <d v="2025-09-08T11:28:39" u="1"/>
        <d v="2025-09-08T11:20:24" u="1"/>
        <d v="2025-09-08T11:29:28" u="1"/>
        <d v="2025-09-08T09:31:33" u="1"/>
        <d v="2025-09-08T11:31:55" u="1"/>
        <d v="2025-09-08T11:40:18" u="1"/>
        <d v="2025-09-08T11:46:52" u="1"/>
        <d v="2025-09-08T13:06:14" u="1"/>
        <d v="2025-09-08T11:47:57" u="1"/>
        <d v="2025-09-08T17:52:52" u="1"/>
        <d v="2025-09-08T16:37:46" u="1"/>
        <d v="2025-09-08T11:16:16" u="1"/>
        <d v="2025-09-08T11:17:09" u="1"/>
        <d v="2025-09-08T14:36:45" u="1"/>
        <d v="2025-09-08T11:49:02" u="1"/>
        <d v="2025-09-08T11:56:01" u="1"/>
        <d v="2025-09-08T11:52:18" u="1"/>
        <d v="2025-09-08T14:18:52" u="1"/>
        <d v="2025-09-08T14:08:06" u="1"/>
        <d v="2025-09-08T15:32:25" u="1"/>
        <d v="2025-09-08T14:03:15" u="1"/>
        <d v="2025-09-08T14:06:04" u="1"/>
        <d v="2025-09-08T14:20:26" u="1"/>
        <d v="2025-09-08T14:22:46" u="1"/>
        <d v="2025-09-08T18:51:25" u="1"/>
        <d v="2025-09-08T16:17:54" u="1"/>
        <d v="2025-09-08T14:06:57" u="1"/>
        <d v="2025-09-08T14:15:27" u="1"/>
        <d v="2025-09-08T14:28:24" u="1"/>
        <d v="2025-09-08T17:30:08" u="1"/>
        <d v="2025-09-08T14:27:08" u="1"/>
        <d v="2025-09-08T20:18:09" u="1"/>
        <d v="2025-09-08T20:29:40" u="1"/>
        <d v="2025-09-08T21:07:38" u="1"/>
        <d v="2025-09-08T22:07:49" u="1"/>
        <d v="2025-09-09T00:16:00" u="1"/>
        <d v="2025-09-08T10:11:38" u="1"/>
        <d v="2025-09-08T13:11:13" u="1"/>
        <d v="2025-09-08T14:13:50" u="1"/>
        <d v="2025-09-08T08:50:48" u="1"/>
        <d v="2025-09-08T13:55:15" u="1"/>
        <d v="2025-09-08T14:33:49" u="1"/>
        <d v="2025-09-08T15:52:24" u="1"/>
        <d v="2025-09-08T11:30:27" u="1"/>
        <d v="2025-09-08T14:04:45" u="1"/>
        <d v="2025-09-08T10:12:34" u="1"/>
        <d v="2025-09-08T14:30:08" u="1"/>
        <d v="2025-09-08T13:58:35" u="1"/>
        <d v="2025-09-08T14:32:12" u="1"/>
        <d v="2025-09-07T00:41:50" u="1"/>
        <d v="2025-09-07T00:44:35" u="1"/>
        <d v="2025-09-07T00:49:06" u="1"/>
        <d v="2025-09-06T22:24:20" u="1"/>
        <d v="2025-09-06T21:53:44" u="1"/>
        <d v="2025-09-06T21:23:54" u="1"/>
        <d v="2025-09-06T22:13:24" u="1"/>
        <d v="2025-09-06T21:38:10" u="1"/>
        <d v="2025-09-06T21:28:04" u="1"/>
        <d v="2025-09-06T19:48:07" u="1"/>
        <d v="2025-09-06T19:56:27" u="1"/>
        <d v="2025-09-06T21:35:04" u="1"/>
        <d v="2025-09-06T21:36:40" u="1"/>
        <d v="2025-09-06T21:39:43" u="1"/>
        <d v="2025-09-06T21:42:06" u="1"/>
        <d v="2025-09-06T19:38:08" u="1"/>
        <d v="2025-09-06T21:02:28" u="1"/>
        <d v="2025-09-06T21:15:43" u="1"/>
        <d v="2025-09-06T17:15:02" u="1"/>
        <d v="2025-09-06T17:40:00" u="1"/>
        <d v="2025-09-06T17:35:24" u="1"/>
        <d v="2025-09-06T19:33:58" u="1"/>
        <d v="2025-09-06T19:41:50" u="1"/>
        <d v="2025-09-06T14:25:44" u="1"/>
        <d v="2025-09-06T19:53:12" u="1"/>
        <d v="2025-09-06T20:05:08" u="1"/>
        <d v="2025-09-06T20:12:09" u="1"/>
        <d v="2025-09-06T20:15:08" u="1"/>
        <d v="2025-09-06T14:27:45" u="1"/>
        <d v="2025-09-06T14:35:21" u="1"/>
        <d v="2025-09-06T20:57:15" u="1"/>
        <d v="2025-09-06T20:52:18" u="1"/>
        <d v="2025-09-06T23:03:24" u="1"/>
        <d v="2025-09-06T22:58:28" u="1"/>
        <d v="2025-09-06T14:29:44" u="1"/>
        <d v="2025-09-06T14:58:03" u="1"/>
        <d v="2025-09-06T16:04:05" u="1"/>
        <d v="2025-09-06T16:50:55" u="1"/>
        <d v="2025-09-06T20:54:55" u="1"/>
        <d v="2025-09-06T15:06:16" u="1"/>
        <d v="2025-09-06T16:15:34" u="1"/>
        <d v="2025-09-06T16:01:44" u="1"/>
        <d v="2025-09-06T16:59:56" u="1"/>
        <d v="2025-09-06T17:03:13" u="1"/>
        <d v="2025-09-06T17:18:24" u="1"/>
        <d v="2025-09-06T20:59:43" u="1"/>
        <d v="2025-09-06T17:20:00" u="1"/>
        <d v="2025-09-06T02:22:33" u="1"/>
        <d v="2025-09-06T14:00:36" u="1"/>
        <d v="2025-09-06T11:24:28" u="1"/>
        <d v="2025-09-06T11:26:51" u="1"/>
        <d v="2025-09-06T11:25:42" u="1"/>
        <d v="2025-09-06T11:29:49" u="1"/>
        <d v="2025-09-06T11:34:19" u="1"/>
        <d v="2025-09-06T12:04:01" u="1"/>
        <d v="2025-09-06T13:28:56" u="1"/>
        <d v="2025-09-06T13:25:49" u="1"/>
        <d v="2025-09-06T13:27:27" u="1"/>
        <d v="2025-09-06T13:33:34" u="1"/>
        <d v="2025-09-06T14:31:17" u="1"/>
        <d v="2025-09-06T15:15:08" u="1"/>
        <d v="2025-09-06T14:38:39" u="1"/>
        <d v="2025-09-06T14:40:39" u="1"/>
        <d v="2025-09-06T15:03:05" u="1"/>
        <d v="2025-09-06T14:37:17" u="1"/>
        <d v="2025-09-06T14:41:52" u="1"/>
        <d v="2025-09-06T14:56:07" u="1"/>
        <d v="2025-09-06T15:07:57" u="1"/>
        <d v="2025-09-06T15:09:37" u="1"/>
        <d v="2025-09-06T15:16:24" u="1"/>
        <d v="2025-09-06T15:21:07" u="1"/>
        <d v="2025-09-06T15:12:48" u="1"/>
        <d v="2025-09-06T16:11:11" u="1"/>
        <d v="2025-09-06T16:13:30" u="1"/>
        <d v="2025-09-06T16:17:23" u="1"/>
        <d v="2025-09-06T16:19:13" u="1"/>
        <d v="2025-09-06T16:33:16" u="1"/>
        <d v="2025-09-06T16:37:35" u="1"/>
        <d v="2025-09-06T16:39:33" u="1"/>
        <d v="2025-09-06T16:46:46" u="1"/>
        <d v="2025-09-06T14:17:22" u="1"/>
        <d v="2025-09-05T14:16:10" u="1"/>
        <d v="2025-09-05T14:13:50" u="1"/>
        <d v="2025-09-05T08:35:35" u="1"/>
        <d v="2025-09-05T08:12:49" u="1"/>
        <d v="2025-09-05T08:15:37" u="1"/>
        <d v="2025-09-05T08:47:10" u="1"/>
        <d v="2025-09-05T09:04:23" u="1"/>
        <d v="2025-09-05T09:14:57" u="1"/>
        <d v="2025-09-05T09:42:03" u="1"/>
        <d v="2025-09-05T10:12:47" u="1"/>
        <d v="2025-09-05T09:51:41" u="1"/>
        <d v="2025-09-05T10:09:04" u="1"/>
        <d v="2025-09-05T10:10:40" u="1"/>
        <d v="2025-09-05T10:27:50" u="1"/>
        <d v="2025-09-05T10:34:23" u="1"/>
        <d v="2025-09-05T10:42:30" u="1"/>
        <d v="2025-09-05T10:53:00" u="1"/>
        <d v="2025-09-05T11:02:40" u="1"/>
        <d v="2025-09-05T11:10:21" u="1"/>
        <d v="2025-09-05T11:21:39" u="1"/>
        <d v="2025-09-05T13:50:03" u="1"/>
        <d v="2025-09-05T08:41:58" u="1"/>
        <d v="2025-09-05T14:01:59" u="1"/>
        <d v="2025-09-06T11:50:06" u="1"/>
        <d v="2025-09-06T12:01:27" u="1"/>
        <d v="2025-09-05T14:05:21" u="1"/>
        <d v="2025-09-05T14:20:47" u="1"/>
        <d v="2025-09-05T14:25:36" u="1"/>
        <d v="2025-09-05T14:29:23" u="1"/>
        <d v="2025-09-05T16:09:48" u="1"/>
        <d v="2025-09-06T13:52:06" u="1"/>
        <d v="2025-09-05T16:15:54" u="1"/>
        <d v="2025-09-05T16:29:10" u="1"/>
        <d v="2025-09-05T16:45:41" u="1"/>
        <d v="2025-09-06T11:57:07" u="1"/>
        <d v="2025-09-05T16:54:34" u="1"/>
        <d v="2025-09-05T10:51:18" u="1"/>
        <d v="2025-09-05T11:36:53" u="1"/>
        <d v="2025-09-05T11:23:58" u="1"/>
        <d v="2025-09-05T17:11:45" u="1"/>
        <d v="2025-09-05T17:16:31" u="1"/>
        <d v="2025-09-05T14:52:35" u="1"/>
        <d v="2025-09-05T11:27:43" u="1"/>
        <d v="2025-09-05T15:06:16" u="1"/>
        <d v="2025-09-05T12:35:12" u="1"/>
        <d v="2025-09-05T13:26:51" u="1"/>
        <d v="2025-09-05T13:51:53" u="1"/>
        <d v="2025-09-05T17:35:58" u="1"/>
        <d v="2025-09-05T13:59:08" u="1"/>
        <d v="2025-09-05T17:37:29" u="1"/>
        <d v="2025-09-05T17:46:18" u="1"/>
        <d v="2025-09-05T17:51:55" u="1"/>
        <d v="2025-09-05T16:40:11" u="1"/>
        <d v="2025-09-05T19:35:46" u="1"/>
        <d v="2025-09-05T19:40:04" u="1"/>
        <d v="2025-09-05T19:54:03" u="1"/>
        <d v="2025-09-05T19:55:40" u="1"/>
        <d v="2025-09-05T20:12:00" u="1"/>
        <d v="2025-09-05T20:14:49" u="1"/>
        <d v="2025-09-05T17:24:48" u="1"/>
        <d v="2025-09-05T20:24:02" u="1"/>
        <d v="2025-09-05T20:37:07" u="1"/>
        <d v="2025-09-05T20:39:04" u="1"/>
        <d v="2025-09-05T20:45:11" u="1"/>
        <d v="2025-09-05T20:58:46" u="1"/>
        <d v="2025-09-05T21:07:49" u="1"/>
        <d v="2025-09-05T21:23:35" u="1"/>
        <d v="2025-09-06T02:34:41" u="1"/>
        <d v="2025-09-05T21:45:19" u="1"/>
        <d v="2025-09-05T18:10:24" u="1"/>
        <d v="2025-09-05T21:48:29" u="1"/>
        <d v="2025-09-05T19:57:10" u="1"/>
        <d v="2025-09-05T20:34:15" u="1"/>
        <d v="2025-09-05T18:11:56" u="1"/>
        <d v="2025-09-05T21:02:01" u="1"/>
        <d v="2025-09-05T22:31:32" u="1"/>
        <d v="2025-09-06T09:45:49" u="1"/>
        <d v="2025-09-05T21:31:22" u="1"/>
        <d v="2025-09-06T04:38:36" u="1"/>
        <d v="2025-09-05T21:57:02" u="1"/>
        <d v="2025-09-05T22:03:18" u="1"/>
        <d v="2025-09-04T03:49:56" u="1"/>
        <d v="2025-09-05T06:01:37" u="1"/>
        <d v="2025-09-04T08:05:16" u="1"/>
        <d v="2025-09-04T08:32:14" u="1"/>
        <d v="2025-09-04T08:53:11" u="1"/>
        <d v="2025-09-04T16:27:36" u="1"/>
        <d v="2025-09-04T08:07:44" u="1"/>
        <d v="2025-09-04T08:13:54" u="1"/>
        <d v="2025-09-04T08:34:32" u="1"/>
        <d v="2025-09-04T08:51:45" u="1"/>
        <d v="2025-09-04T08:39:22" u="1"/>
        <d v="2025-09-04T08:37:37" u="1"/>
        <d v="2025-09-04T09:05:52" u="1"/>
        <d v="2025-09-04T09:37:13" u="1"/>
        <d v="2025-09-04T09:15:41" u="1"/>
        <d v="2025-09-04T08:48:52" u="1"/>
        <d v="2025-09-04T09:19:32" u="1"/>
        <d v="2025-09-04T09:40:44" u="1"/>
        <d v="2025-09-04T09:56:30" u="1"/>
        <d v="2025-09-04T10:08:53" u="1"/>
        <d v="2025-09-04T09:42:18" u="1"/>
        <d v="2025-09-04T10:01:20" u="1"/>
        <d v="2025-09-04T10:07:53" u="1"/>
        <d v="2025-09-04T09:09:11" u="1"/>
        <d v="2025-09-04T10:18:42" u="1"/>
        <d v="2025-09-04T10:30:05" u="1"/>
        <d v="2025-09-04T10:47:31" u="1"/>
        <d v="2025-09-04T10:17:33" u="1"/>
        <d v="2025-09-04T10:33:20" u="1"/>
        <d v="2025-09-04T10:31:31" u="1"/>
        <d v="2025-09-04T10:53:54" u="1"/>
        <d v="2025-09-04T11:14:18" u="1"/>
        <d v="2025-09-04T13:19:03" u="1"/>
        <d v="2025-09-04T11:17:56" u="1"/>
        <d v="2025-09-04T10:35:01" u="1"/>
        <d v="2025-09-04T12:17:02" u="1"/>
        <d v="2025-09-04T11:27:19" u="1"/>
        <d v="2025-09-04T11:36:09" u="1"/>
        <d v="2025-09-04T12:44:42" u="1"/>
        <d v="2025-09-04T15:12:11" u="1"/>
        <d v="2025-09-04T13:08:31" u="1"/>
        <d v="2025-09-04T15:42:08" u="1"/>
        <d v="2025-09-04T11:40:44" u="1"/>
        <d v="2025-09-04T13:11:59" u="1"/>
        <d v="2025-09-04T13:41:24" u="1"/>
        <d v="2025-09-04T12:30:01" u="1"/>
        <d v="2025-09-04T17:24:44" u="1"/>
        <d v="2025-09-04T18:41:53" u="1"/>
        <d v="2025-09-04T14:02:05" u="1"/>
        <d v="2025-09-05T04:46:09" u="1"/>
        <d v="2025-09-05T00:04:53" u="1"/>
        <d v="2025-09-04T14:14:11" u="1"/>
        <d v="2025-09-04T21:08:53" u="1"/>
        <d v="2025-09-04T14:40:10" u="1"/>
        <d v="2025-09-04T14:16:04" u="1"/>
        <d v="2025-09-04T13:57:40" u="1"/>
        <d v="2025-09-04T15:08:17" u="1"/>
        <d v="2025-09-04T14:41:21" u="1"/>
        <d v="2025-09-04T16:31:24" u="1"/>
        <d v="2025-09-04T17:03:01" u="1"/>
        <d v="2025-09-04T17:22:00" u="1"/>
        <d v="2025-09-04T17:31:26" u="1"/>
        <d v="2025-09-04T15:25:13" u="1"/>
        <d v="2025-09-04T15:28:20" u="1"/>
        <d v="2025-09-05T01:47:57" u="1"/>
        <d v="2025-09-04T18:01:37" u="1"/>
        <d v="2025-09-04T17:46:32" u="1"/>
        <d v="2025-09-04T17:45:07" u="1"/>
        <d v="2025-09-04T18:12:13" u="1"/>
        <d v="2025-09-05T06:17:15" u="1"/>
        <d v="2025-09-05T06:13:43" u="1"/>
        <d v="2025-09-05T10:55:36" u="1"/>
        <d v="2025-09-04T23:03:34" u="1"/>
        <d v="2025-09-05T01:07:45" u="1"/>
        <d v="2025-09-05T07:33:22" u="1"/>
        <d v="2025-09-04T17:29:33" u="1"/>
        <d v="2025-09-04T17:40:03" u="1"/>
        <d v="2025-09-04T17:43:31" u="1"/>
        <d v="2025-09-04T17:55:07" u="1"/>
        <d v="2025-09-04T18:22:07" u="1"/>
        <d v="2025-09-04T18:04:35" u="1"/>
        <d v="2025-09-04T01:52:10" u="1"/>
        <d v="2025-09-04T14:25:21" u="1"/>
        <d v="2025-09-04T10:07:17" u="1"/>
        <d v="2025-09-04T09:59:30" u="1"/>
        <d v="2025-09-04T09:53:20" u="1"/>
        <d v="2025-09-04T11:15:53" u="1"/>
        <d v="2025-09-04T13:54:10" u="1"/>
        <d v="2025-09-03T20:13:45" u="1"/>
        <d v="2025-09-04T01:28:33" u="1"/>
        <d v="2025-09-03T19:40:16" u="1"/>
        <d v="2025-09-03T20:05:35" u="1"/>
        <d v="2025-09-03T19:59:49" u="1"/>
        <d v="2025-09-03T20:02:49" u="1"/>
        <d v="2025-09-03T17:32:12" u="1"/>
        <d v="2025-09-03T17:28:50" u="1"/>
        <d v="2025-09-03T22:19:43" u="1"/>
        <d v="2025-09-03T17:36:19" u="1"/>
        <d v="2025-09-03T17:44:42" u="1"/>
        <d v="2025-09-03T22:45:35" u="1"/>
        <d v="2025-09-03T17:47:51" u="1"/>
        <d v="2025-09-03T17:43:08" u="1"/>
        <d v="2025-09-03T18:08:10" u="1"/>
        <d v="2025-09-03T18:16:02" u="1"/>
        <d v="2025-09-03T18:13:42" u="1"/>
        <d v="2025-09-03T18:10:39" u="1"/>
        <d v="2025-09-03T20:10:23" u="1"/>
        <d v="2025-09-03T17:27:23" u="1"/>
        <d v="2025-09-03T16:44:59" u="1"/>
        <d v="2025-09-03T16:57:33" u="1"/>
        <d v="2025-09-04T02:06:49" u="1"/>
        <d v="2025-09-03T15:53:36" u="1"/>
        <d v="2025-09-03T16:09:31" u="1"/>
        <d v="2025-09-03T13:31:17" u="1"/>
        <d v="2025-09-03T14:51:50" u="1"/>
        <d v="2025-09-03T16:18:47" u="1"/>
        <d v="2025-09-03T16:08:07" u="1"/>
        <d v="2025-09-03T15:58:00" u="1"/>
        <d v="2025-09-03T16:20:07" u="1"/>
        <d v="2025-09-03T12:49:10" u="1"/>
        <d v="2025-09-03T17:46:11" u="1"/>
        <d v="2025-09-03T15:50:33" u="1"/>
        <d v="2025-09-03T13:22:00" u="1"/>
        <d v="2025-09-03T15:51:52" u="1"/>
        <d v="2025-09-03T13:44:46" u="1"/>
        <d v="2025-09-03T09:17:01" u="1"/>
        <d v="2025-09-03T15:46:10" u="1"/>
        <d v="2025-09-03T15:44:12" u="1"/>
        <d v="2025-09-03T15:55:12" u="1"/>
        <d v="2025-09-03T14:13:03" u="1"/>
        <d v="2025-09-03T14:29:10" u="1"/>
        <d v="2025-09-03T14:24:47" u="1"/>
        <d v="2025-09-03T13:24:58" u="1"/>
        <d v="2025-09-03T22:03:02" u="1"/>
        <d v="2025-09-03T13:16:02" u="1"/>
        <d v="2025-09-03T13:56:23" u="1"/>
        <d v="2025-09-03T01:26:15" u="1"/>
        <d v="2025-09-03T01:40:08" u="1"/>
        <d v="2025-09-03T01:49:46" u="1"/>
        <d v="2025-09-03T02:32:48" u="1"/>
        <d v="2025-09-03T02:05:59" u="1"/>
        <d v="2025-09-03T02:59:24" u="1"/>
        <d v="2025-09-03T03:35:04" u="1"/>
        <d v="2025-09-03T03:33:35" u="1"/>
        <d v="2025-09-03T10:40:57" u="1"/>
        <d v="2025-09-03T05:49:48" u="1"/>
        <d v="2025-09-03T08:15:33" u="1"/>
        <d v="2025-09-03T08:36:05" u="1"/>
        <d v="2025-09-03T08:52:57" u="1"/>
        <d v="2025-09-03T09:03:59" u="1"/>
        <d v="2025-09-03T09:36:06" u="1"/>
        <d v="2025-09-03T08:39:58" u="1"/>
        <d v="2025-09-03T09:51:06" u="1"/>
        <d v="2025-09-03T10:02:05" u="1"/>
        <d v="2025-09-03T09:49:55" u="1"/>
        <d v="2025-09-03T10:15:20" u="1"/>
        <d v="2025-09-03T10:09:46" u="1"/>
        <d v="2025-09-03T10:11:15" u="1"/>
        <d v="2025-09-03T10:26:31" u="1"/>
        <d v="2025-09-03T10:25:09" u="1"/>
        <d v="2025-09-03T12:36:18" u="1"/>
        <d v="2025-09-03T10:23:02" u="1"/>
        <d v="2025-09-03T10:24:01" u="1"/>
        <d v="2025-09-03T12:34:56" u="1"/>
        <d v="2025-09-03T13:37:18" u="1"/>
        <d v="2025-09-03T13:15:02" u="1"/>
        <d v="2025-09-03T13:14:02" u="1"/>
        <d v="2025-09-03T14:41:47" u="1"/>
        <d v="2025-09-03T10:44:04" u="1"/>
        <d v="2025-09-03T12:50:36" u="1"/>
        <d v="2025-09-03T02:30:46" u="1"/>
        <d v="2025-09-03T01:56:25" u="1"/>
        <d v="2025-09-03T03:11:18" u="1"/>
        <d v="2025-09-03T09:26:45" u="1"/>
        <d v="2025-09-03T14:44:27" u="1"/>
        <d v="2025-09-03T13:28:49" u="1"/>
        <d v="2025-09-03T13:39:12" u="1"/>
        <d v="2025-09-02T06:18:46" u="1"/>
        <d v="2025-09-02T06:14:58" u="1"/>
        <d v="2025-09-02T08:30:19" u="1"/>
        <d v="2025-09-02T08:40:27" u="1"/>
        <d v="2025-09-02T14:17:11" u="1"/>
        <d v="2025-09-02T14:16:02" u="1"/>
        <d v="2025-09-02T14:33:15" u="1"/>
        <d v="2025-09-02T14:43:03" u="1"/>
        <d v="2025-09-02T14:41:20" u="1"/>
        <d v="2025-09-02T01:57:42" u="1"/>
        <d v="2025-09-02T08:05:34" u="1"/>
        <d v="2025-09-02T03:05:52" u="1"/>
        <d v="2025-09-02T05:42:21" u="1"/>
        <d v="2025-09-02T10:24:58" u="1"/>
        <d v="2025-09-02T09:48:17" u="1"/>
        <d v="2025-09-02T08:02:44" u="1"/>
        <d v="2025-09-02T08:07:56" u="1"/>
        <d v="2025-09-02T08:28:51" u="1"/>
        <d v="2025-09-02T09:01:32" u="1"/>
        <d v="2025-09-02T08:14:17" u="1"/>
        <d v="2025-09-02T08:35:06" u="1"/>
        <d v="2025-09-02T08:56:30" u="1"/>
        <d v="2025-09-02T09:22:42" u="1"/>
        <d v="2025-09-02T09:32:30" u="1"/>
        <d v="2025-09-02T09:35:44" u="1"/>
        <d v="2025-09-02T09:51:20" u="1"/>
        <d v="2025-09-02T10:27:18" u="1"/>
        <d v="2025-09-02T10:10:48" u="1"/>
        <d v="2025-09-02T10:12:40" u="1"/>
        <d v="2025-09-02T10:52:32" u="1"/>
        <d v="2025-09-02T14:05:30" u="1"/>
        <d v="2025-09-02T08:41:57" u="1"/>
        <d v="2025-09-02T14:09:07" u="1"/>
        <d v="2025-09-02T14:22:06" u="1"/>
        <d v="2025-09-02T14:23:44" u="1"/>
        <d v="2025-09-02T15:26:16" u="1"/>
        <d v="2025-09-02T15:31:19" u="1"/>
        <d v="2025-09-02T15:22:26" u="1"/>
        <d v="2025-09-02T15:50:37" u="1"/>
        <d v="2025-09-02T09:27:14" u="1"/>
        <d v="2025-09-02T14:07:27" u="1"/>
        <d v="2025-09-02T09:25:14" u="1"/>
        <d v="2025-09-02T09:46:06" u="1"/>
        <d v="2025-09-02T14:12:51" u="1"/>
        <d v="2025-09-02T10:50:16" u="1"/>
        <d v="2025-09-02T10:36:08" u="1"/>
        <d v="2025-09-02T11:09:09" u="1"/>
        <d v="2025-09-02T14:14:25" u="1"/>
        <d v="2025-09-02T15:15:04" u="1"/>
        <d v="2025-09-02T02:02:20" u="1"/>
        <d v="2025-09-02T02:12:26" u="1"/>
        <d v="2025-09-02T02:41:19" u="1"/>
        <d v="2025-09-02T04:53:53" u="1"/>
        <d v="2025-09-02T00:27:44" u="1"/>
        <d v="2025-09-02T00:57:45" u="1"/>
        <d v="2025-09-02T00:17:39" u="1"/>
        <d v="2025-09-01T23:22:48" u="1"/>
        <d v="2025-09-02T06:47:30" u="1"/>
        <d v="2025-09-01T21:11:17" u="1"/>
        <d v="2025-09-01T12:29:58" u="1"/>
        <d v="2025-09-01T12:35:50" u="1"/>
        <d v="2025-09-01T09:49:38" u="1"/>
        <d v="2025-09-01T13:08:06" u="1"/>
        <d v="2025-09-01T13:09:45" u="1"/>
        <d v="2025-09-01T08:58:41" u="1"/>
        <d v="2025-09-01T09:10:36" u="1"/>
        <d v="2025-09-01T09:56:23" u="1"/>
        <d v="2025-09-01T09:28:44" u="1"/>
        <d v="2025-09-01T10:23:55" u="1"/>
        <d v="2025-09-01T10:41:09" u="1"/>
        <d v="2025-09-01T11:00:56" u="1"/>
        <d v="2025-09-01T14:21:01" u="1"/>
        <d v="2025-09-01T12:10:18" u="1"/>
        <d v="2025-09-01T11:42:07" u="1"/>
        <d v="2025-09-01T12:11:17" u="1"/>
        <d v="2025-09-01T13:58:27" u="1"/>
        <d v="2025-09-01T12:13:32" u="1"/>
        <d v="2025-09-01T16:59:15" u="1"/>
        <d v="2025-09-01T17:39:54" u="1"/>
        <d v="2025-09-01T14:04:57" u="1"/>
        <d v="2025-09-01T14:17:11" u="1"/>
        <d v="2025-09-01T09:30:32" u="1"/>
        <d v="2025-09-01T14:29:03" u="1"/>
        <d v="2025-09-01T16:38:41" u="1"/>
        <d v="2025-09-01T17:41:36" u="1"/>
        <d v="2025-09-01T12:05:06" u="1"/>
        <d v="2025-09-01T11:53:18" u="1"/>
        <d v="2025-09-01T12:19:27" u="1"/>
        <d v="2025-09-01T12:32:41" u="1"/>
        <d v="2025-09-01T14:18:25" u="1"/>
        <d v="2025-09-01T17:46:58" u="1"/>
        <d v="2025-09-01T18:13:28" u="1"/>
        <d v="2025-09-01T18:34:47" u="1"/>
        <d v="2025-09-01T18:34:00" u="1"/>
        <d v="2025-09-01T15:55:48" u="1"/>
        <d v="2025-09-01T13:33:58" u="1"/>
        <d v="2025-09-01T16:08:48" u="1"/>
        <d v="2025-09-01T20:12:18" u="1"/>
        <d v="2025-09-01T20:08:21" u="1"/>
        <d v="2025-09-01T16:13:26" u="1"/>
        <d v="2025-09-01T17:47:57" u="1"/>
        <d v="2025-09-01T18:38:59" u="1"/>
        <d v="2025-09-01T19:04:25" u="1"/>
        <d v="2025-09-01T17:43:47" u="1"/>
        <d v="2025-09-01T19:15:31" u="1"/>
        <d v="2025-09-01T19:18:24" u="1"/>
        <d v="2025-09-01T16:45:05" u="1"/>
        <d v="2025-09-01T18:43:36" u="1"/>
        <d v="2025-09-01T23:35:47" u="1"/>
        <d v="2025-09-01T18:30:26" u="1"/>
        <d v="2025-09-01T18:37:44" u="1"/>
        <d v="2025-09-01T21:30:32" u="1"/>
        <d v="2025-09-01T19:30:29" u="1"/>
        <d v="2025-09-01T19:44:18" u="1"/>
        <d v="2025-09-01T23:32:05" u="1"/>
        <d v="2025-09-01T19:13:09" u="1"/>
        <d v="2025-09-01T23:39:52" u="1"/>
        <d v="2025-09-01T19:45:53" u="1"/>
        <d v="2025-09-01T20:19:58" u="1"/>
        <d v="2025-09-01T19:53:57" u="1"/>
        <d v="2025-09-01T23:45:21" u="1"/>
        <d v="2025-09-01T20:34:34" u="1"/>
        <d v="2025-09-01T11:36:57" u="1"/>
        <d v="2025-09-01T14:11:04" u="1"/>
        <d v="2025-09-01T15:59:59" u="1"/>
        <d v="2025-09-01T14:23:43" u="1"/>
        <d v="2025-09-01T15:41:20" u="1"/>
        <d v="2025-09-01T16:17:05" u="1"/>
        <d v="2025-09-01T16:36:57" u="1"/>
        <d v="2025-09-01T16:48:19" u="1"/>
        <d v="2025-09-01T10:20:33" u="1"/>
        <d v="2025-09-01T09:08:03" u="1"/>
        <d v="2025-09-01T09:40:34" u="1"/>
        <d v="2025-09-01T11:40:10" u="1"/>
        <d v="2025-09-01T10:54:29" u="1"/>
        <d v="2025-09-01T13:48:02" u="1"/>
        <d v="2025-09-01T14:01:53" u="1"/>
        <d v="2025-09-01T15:38:43" u="1"/>
        <d v="2025-09-01T12:18:23" u="1"/>
        <d v="2025-09-01T12:09:03" u="1"/>
        <d v="2025-09-01T12:05:56" u="1"/>
        <d v="2025-09-01T11:55:16" u="1"/>
        <d v="2025-09-01T14:36:26" u="1"/>
        <d v="2025-09-01T15:43:29" u="1"/>
      </sharedItems>
    </cacheField>
    <cacheField name="Berat Timbang 2" numFmtId="0">
      <sharedItems containsSemiMixedTypes="0" containsString="0" containsNumber="1" containsInteger="1" minValue="0" maxValue="51320"/>
    </cacheField>
    <cacheField name="Netto" numFmtId="0">
      <sharedItems containsSemiMixedTypes="0" containsString="0" containsNumber="1" containsInteger="1" minValue="0" maxValue="34640"/>
    </cacheField>
    <cacheField name="PO" numFmtId="0">
      <sharedItems containsMixedTypes="1" containsNumber="1" containsInteger="1" minValue="1" maxValue="3331550772"/>
    </cacheField>
    <cacheField name="SJ" numFmtId="0">
      <sharedItems containsBlank="1" containsMixedTypes="1" containsNumber="1" containsInteger="1" minValue="0" maxValue="9509986189" count="129">
        <m/>
        <s v="PBI/DO/252781"/>
        <n v="11345"/>
        <n v="50814325"/>
        <n v="3331550557"/>
        <s v="D3L0015704"/>
        <s v="D1L0089231"/>
        <n v="1112141"/>
        <s v="0230925; 1192/DAN/IKPP/IX/202; 1193/DAN/IKPP/IX/202; 1194/DAN/IKPP/IX/202; 1400925; 202509-0020; 202509-0026"/>
        <n v="3331550708"/>
        <n v="3331550709"/>
        <n v="1"/>
        <s v="287/AMA/IX/2025; 288/AMA/IX/2025; 289/AMA/IX/2025"/>
        <n v="3331550712"/>
        <n v="3331550726"/>
        <n v="3331550710"/>
        <n v="3331550703"/>
        <n v="3331550704"/>
        <n v="0"/>
        <n v="3331550733"/>
        <s v="3331550722; 3331550725"/>
        <n v="3331550428"/>
        <n v="7399"/>
        <s v="1082/D/09/25"/>
        <n v="3331550772"/>
        <n v="3331550720" u="1"/>
        <n v="50814225" u="1"/>
        <n v="50814625" u="1"/>
        <n v="3063161012" u="1"/>
        <n v="3331550377" u="1"/>
        <n v="3331550397" u="1"/>
        <n v="3331550379" u="1"/>
        <n v="3331550406" u="1"/>
        <n v="3331550401" u="1"/>
        <n v="3331550386" u="1"/>
        <n v="3331550389" u="1"/>
        <n v="1100009608" u="1"/>
        <n v="3331550378" u="1"/>
        <n v="3331550100" u="1"/>
        <n v="3331550066" u="1"/>
        <n v="3063161002" u="1"/>
        <n v="3331550023" u="1"/>
        <n v="3331549977" u="1"/>
        <n v="3331550116" u="1"/>
        <n v="3331550113" u="1"/>
        <n v="3331550132" u="1"/>
        <n v="3331550158" u="1"/>
        <n v="3331550175" u="1"/>
        <n v="3331550170" u="1"/>
        <n v="3331550117" u="1"/>
        <n v="3331550008" u="1"/>
        <n v="3331550098" u="1"/>
        <n v="294589" u="1"/>
        <n v="3331550130" u="1"/>
        <n v="3331546342" u="1"/>
        <n v="3331549975" u="1"/>
        <n v="3331548749" u="1"/>
        <n v="3331548746" u="1"/>
        <n v="3331549994" u="1"/>
        <n v="3331549991" u="1"/>
        <n v="3331549998" u="1"/>
        <n v="3331550027" u="1"/>
        <n v="86546569" u="1"/>
        <n v="3063161011" u="1"/>
        <n v="3063161014" u="1"/>
        <n v="3331549976" u="1"/>
        <n v="11144" u="1"/>
        <n v="11145" u="1"/>
        <n v="3331549426" u="1"/>
        <n v="3331549424" u="1"/>
        <n v="11234" u="1"/>
        <n v="3331549464" u="1"/>
        <n v="3331549466" u="1"/>
        <n v="3331549396" u="1"/>
        <n v="3331549310" u="1"/>
        <n v="3331549308" u="1"/>
        <n v="3331549402" u="1"/>
        <n v="14566" u="1"/>
        <n v="11355" u="1"/>
        <n v="3331549474" u="1"/>
        <n v="3331549452" u="1"/>
        <n v="3331549460" u="1"/>
        <n v="3331549001" u="1"/>
        <n v="3331547878" u="1"/>
        <n v="3331548968" u="1"/>
        <n v="3331549288" u="1"/>
        <n v="3331549290" u="1"/>
        <n v="3331549327" u="1"/>
        <n v="3331549314" u="1"/>
        <n v="3331549196" u="1"/>
        <n v="3331549319" u="1"/>
        <n v="3331548969" u="1"/>
        <n v="3331549306" u="1"/>
        <n v="3331549287" u="1"/>
        <n v="3331549324" u="1"/>
        <n v="294577" u="1"/>
        <n v="3331549302" u="1"/>
        <n v="3243858" u="1"/>
        <n v="294569" u="1"/>
        <n v="3331549316" u="1"/>
        <n v="3331548967" u="1"/>
        <n v="3331549284" u="1"/>
        <n v="294568" u="1"/>
        <n v="3331548958" u="1"/>
        <n v="3331548394" u="1"/>
        <n v="9509986189" u="1"/>
        <n v="3331548756" u="1"/>
        <n v="25" u="1"/>
        <n v="50791825" u="1"/>
        <n v="50792025" u="1"/>
        <n v="50791925" u="1"/>
        <n v="3331548670" u="1"/>
        <n v="24" u="1"/>
        <n v="3331548675" u="1"/>
        <n v="294553" u="1"/>
        <n v="11334" u="1"/>
        <n v="3331548307" u="1"/>
        <n v="3331548331" u="1"/>
        <n v="3331548306" u="1"/>
        <n v="3331548351" u="1"/>
        <n v="3331548298" u="1"/>
        <n v="9475" u="1"/>
        <n v="3331548348" u="1"/>
        <n v="3331548297" u="1"/>
        <n v="3331547906" u="1"/>
        <n v="3331548390" u="1"/>
        <n v="294342" u="1"/>
        <n v="86540968" u="1"/>
        <n v="1100009936" u="1"/>
      </sharedItems>
    </cacheField>
    <cacheField name="BrutoSJ" numFmtId="0">
      <sharedItems containsSemiMixedTypes="0" containsString="0" containsNumber="1" minValue="0" maxValue="389610"/>
    </cacheField>
    <cacheField name="NettoSJ" numFmtId="0">
      <sharedItems containsSemiMixedTypes="0" containsString="0" containsNumber="1" minValue="0" maxValue="389610"/>
    </cacheField>
    <cacheField name="QtySJ" numFmtId="0">
      <sharedItems containsSemiMixedTypes="0" containsString="0" containsNumber="1" containsInteger="1" minValue="0" maxValue="31210"/>
    </cacheField>
    <cacheField name="Container No" numFmtId="0">
      <sharedItems containsBlank="1"/>
    </cacheField>
    <cacheField name="UserID Create" numFmtId="0">
      <sharedItems containsSemiMixedTypes="0" containsString="0" containsNumber="1" containsInteger="1" minValue="2001534" maxValue="2002030"/>
    </cacheField>
    <cacheField name="Ship Point" numFmtId="0">
      <sharedItems containsBlank="1"/>
    </cacheField>
    <cacheField name="FO" numFmtId="0">
      <sharedItems containsNonDate="0" containsString="0" containsBlank="1"/>
    </cacheField>
    <cacheField name="PM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7.291367013888" createdVersion="8" refreshedVersion="8" minRefreshableVersion="3" recordCount="126" xr:uid="{4051BD73-69D9-48DF-9517-740D3031E953}">
  <cacheSource type="worksheet">
    <worksheetSource name="Table19212223242526272829303133343536373839404142414345324446"/>
  </cacheSource>
  <cacheFields count="13">
    <cacheField name="Tanggal" numFmtId="0">
      <sharedItems containsBlank="1"/>
    </cacheField>
    <cacheField name="Delivery" numFmtId="0">
      <sharedItems containsString="0" containsBlank="1" containsNumber="1" containsInteger="1" minValue="3331569785" maxValue="3331571559" count="131">
        <n v="3331569785"/>
        <n v="3331569786"/>
        <n v="3331569787"/>
        <n v="3331569793"/>
        <n v="3331569808"/>
        <n v="3331569811"/>
        <n v="3331569813"/>
        <n v="3331570272"/>
        <n v="3331570275"/>
        <n v="3331570276"/>
        <n v="3331570277"/>
        <n v="3331570278"/>
        <n v="3331570223"/>
        <n v="3331570227"/>
        <n v="3331570445"/>
        <n v="3331570447"/>
        <n v="3331570449"/>
        <n v="3331570450"/>
        <n v="3331570625"/>
        <n v="3331570925"/>
        <n v="3331570931"/>
        <n v="3331570934"/>
        <n v="3331570909"/>
        <n v="3331571143"/>
        <n v="3331571150"/>
        <n v="3331571151"/>
        <n v="3331571154"/>
        <n v="3331571156"/>
        <n v="3331571160"/>
        <n v="3331571163"/>
        <n v="3331571177"/>
        <n v="3331571185"/>
        <n v="3331571180"/>
        <n v="3331571181"/>
        <n v="3331571182"/>
        <n v="3331571184"/>
        <n v="3331571183"/>
        <n v="3331571187"/>
        <n v="3331571201"/>
        <n v="3331571204"/>
        <n v="3331571206"/>
        <n v="3331571220"/>
        <n v="3331571240"/>
        <n v="3331571247"/>
        <n v="3331571212"/>
        <n v="3331571216"/>
        <n v="3331571255"/>
        <n v="3331571254"/>
        <n v="3331571286"/>
        <n v="3331571285"/>
        <n v="3331571287"/>
        <n v="3331571295"/>
        <n v="3331571305"/>
        <n v="3331571315"/>
        <n v="3331571321"/>
        <m/>
        <n v="3331571106"/>
        <n v="3331571107"/>
        <n v="3331571108"/>
        <n v="3331571125"/>
        <n v="3331571126"/>
        <n v="3331571128"/>
        <n v="3331571131"/>
        <n v="3331571132"/>
        <n v="3331571138"/>
        <n v="3331571193"/>
        <n v="3331571195"/>
        <n v="3331571198"/>
        <n v="3331571203"/>
        <n v="3331571205"/>
        <n v="3331571111"/>
        <n v="3331571114"/>
        <n v="3331571288"/>
        <n v="3331571289"/>
        <n v="3331571290"/>
        <n v="3331571293"/>
        <n v="3331571296"/>
        <n v="3331571297"/>
        <n v="3331571298"/>
        <n v="3331571310"/>
        <n v="3331571127"/>
        <n v="3331571133"/>
        <n v="3331571134"/>
        <n v="3331571136"/>
        <n v="3331571283"/>
        <n v="3331571141"/>
        <n v="3331571142"/>
        <n v="3331571145"/>
        <n v="3331571202"/>
        <n v="3331571208"/>
        <n v="3331571215"/>
        <n v="3331571222"/>
        <n v="3331571227"/>
        <n v="3331571228"/>
        <n v="3331571526"/>
        <n v="3331571529"/>
        <n v="3331571525"/>
        <n v="3331570923"/>
        <n v="3331571536"/>
        <n v="3331571537"/>
        <n v="3331571539"/>
        <n v="3331571540"/>
        <n v="3331571541"/>
        <n v="3331571542"/>
        <n v="3331571505"/>
        <n v="3331571506"/>
        <n v="3331571507"/>
        <n v="3331571508"/>
        <n v="3331571545"/>
        <n v="3331571546"/>
        <n v="3331571547"/>
        <n v="3331571543"/>
        <n v="3331571544"/>
        <n v="3331571555"/>
        <n v="3331571558"/>
        <n v="3331571559"/>
        <n v="3331571548"/>
        <n v="3331571549"/>
        <n v="3331571550"/>
        <n v="3331571551"/>
        <n v="3331571552"/>
        <n v="3331571553"/>
        <n v="3331571554"/>
        <n v="3331571556"/>
        <n v="3331571557"/>
        <n v="3331571102" u="1"/>
        <n v="3331571103" u="1"/>
        <n v="3331571105" u="1"/>
        <n v="3331571110" u="1"/>
        <n v="3331571115" u="1"/>
        <n v="3331571117" u="1"/>
      </sharedItems>
    </cacheField>
    <cacheField name="Vendor" numFmtId="0">
      <sharedItems containsBlank="1" count="18">
        <s v="DAYA EKA"/>
        <s v="="/>
        <s v="MBI"/>
        <s v="KIM"/>
        <s v="TNJ"/>
        <s v="PRESTIGE"/>
        <s v="SILOG"/>
        <s v="SUMATERA"/>
        <s v="KEMILAU"/>
        <s v="TPILL"/>
        <m/>
        <s v="ALIEF"/>
        <s v="TFT"/>
        <s v="SMJ"/>
        <s v="YUSHAR"/>
        <s v="SEMESTA"/>
        <s v="DEWI SRI"/>
        <s v="BELUM BOOKING" u="1"/>
      </sharedItems>
    </cacheField>
    <cacheField name="SN " numFmtId="0">
      <sharedItems containsBlank="1" containsMixedTypes="1" containsNumber="1" containsInteger="1" minValue="0" maxValue="24143042"/>
    </cacheField>
    <cacheField name="Name ship-to party" numFmtId="0">
      <sharedItems containsBlank="1" count="38">
        <s v="PT. KREASI KOTAKMEGAH MEDAN"/>
        <s v="KREASI KOTAKMEGAH, PT (GD) medan"/>
        <s v="="/>
        <s v="MULTIBOX INDAH, PT TANGERANG"/>
        <s v="PT KARYA INDAH MULTIGUNA BEKASI"/>
        <s v="PT. JAWASURYA KENCANAINDAH SEMARANG"/>
        <s v="PT. APP PURINUSA EKAPERSADA DEMAK"/>
        <s v="PT. UNIVERSAL JASA KEMAS PASURUAN"/>
        <s v="PT KONVERTA MITRA ABADI LAMPUNG"/>
        <s v="PT. CAKRAWALA CEMERLANG BOX  MOJOKERTO"/>
        <s v="PT. CAKRAWALA CEMERLANG BOX MOJOKERTO"/>
        <s v="PT. ANUGRAH ANEKABOX GRESIK"/>
        <s v="PT. KEDAWUNG SETIA CORRUGATED SURABAYA"/>
        <s v="PT. QINGDA MASPION PAPER PRODUCTS SIDOARJO"/>
        <s v="PT. UNIVERSAL JASA KEMAS (GD) pasuruan"/>
        <s v="PT. SENTRAL KEMASINDO TEGUH MOJOKERTO"/>
        <s v="PT. APP PURINUSA EKAPERSADA BAWEN"/>
        <s v="PT. GLOBAL PAPYRUS SEMESTA SEMARANG"/>
        <s v="PT. ASIA PAPERINDO PERKASA BATAM"/>
        <s v="PT.MULIA GRAND MANUFACTURE GRESIK"/>
        <m/>
        <s v="PT. KATI KARTIKA MURNI TANGERANG"/>
        <s v="PT OJI SINAR MAS PACKAGING CIKARANG"/>
        <s v="PT. GLOBAL PAPYRUS SEMESTA BANDUNG"/>
        <s v="PT SENTRALINDO TEGUH GEMILANG BEKASI STG 1"/>
        <s v="SENTRALINDO TEGUH GEMILANG, PT (GD) CIKARANG STG 2"/>
        <s v="PT. APP PURINUSA EKAPERSADA BANDUNG"/>
        <s v="KONVERTA MITRA ABADI LAMPUNG"/>
        <s v="KONVERTA LAMPUNG"/>
        <s v="MULTI ARTHA ABADI"/>
        <s v="CARTONIDUS TANGGERANG"/>
        <s v="APP PURINUSA EKAPERSADA"/>
        <s v="KARYA WANGSA KENDAL"/>
        <s v="SENTRALINDO TEGUH GEMILANG"/>
        <s v="PT. KARYA WANGSA INVESTAMA"/>
        <s v="PT. KEDAWUNG SETIA CORRUGATED"/>
        <s v="PT. APP PURINUSA EKAPERSADA SUBANG" u="1"/>
        <s v="PT. UNIVERSAL JASA KEMAS" u="1"/>
      </sharedItems>
    </cacheField>
    <cacheField name="AREA" numFmtId="0">
      <sharedItems containsBlank="1" count="14">
        <s v="LUAR PULAU"/>
        <s v="="/>
        <s v="AMBIL SENDIRI"/>
        <s v="JAWA TENGAH"/>
        <s v="JAWA TIMUR"/>
        <s v="LUAR PULAU NEXT DAY"/>
        <s v="JAWA TENGAH NEXT DAY"/>
        <s v="JAWA TIMUR NEXT DAY"/>
        <m/>
        <s v="JABODETABEK"/>
        <s v="JABODETAK"/>
        <s v="JABODETABEK NEXT DAY"/>
        <s v="JABODETABEK "/>
        <s v="PASURUAN" u="1"/>
      </sharedItems>
    </cacheField>
    <cacheField name="TOTAL WEIGHT" numFmtId="0">
      <sharedItems containsBlank="1" containsMixedTypes="1" containsNumber="1" minValue="1290.1949999999999" maxValue="46815.873999999996"/>
    </cacheField>
    <cacheField name="TRUCK TYPE" numFmtId="0">
      <sharedItems containsBlank="1" count="8">
        <s v="40 HC"/>
        <s v="="/>
        <s v="TRAILER"/>
        <s v="TRONTON"/>
        <s v="WING BOX"/>
        <m/>
        <s v="TRONTON LOSS BAK"/>
        <s v="KIRIM TR01-GB1 14.11" u="1"/>
      </sharedItems>
    </cacheField>
    <cacheField name="KEBUTUHAN" numFmtId="0">
      <sharedItems containsBlank="1" containsMixedTypes="1" containsNumber="1" containsInteger="1" minValue="1" maxValue="1"/>
    </cacheField>
    <cacheField name="KETERSEDIAAN" numFmtId="0">
      <sharedItems containsBlank="1" containsMixedTypes="1" containsNumber="1" containsInteger="1" minValue="1" maxValue="1"/>
    </cacheField>
    <cacheField name="GATE IN " numFmtId="0">
      <sharedItems containsBlank="1" count="4">
        <s v="MASUK"/>
        <s v="BELUM MASUK"/>
        <s v="="/>
        <m/>
      </sharedItems>
    </cacheField>
    <cacheField name="Add" numFmtId="0">
      <sharedItems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0563020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44008632"/>
    <m/>
    <d v="2025-09-10T00:38:13"/>
    <s v="BONGKAR"/>
    <s v="LOCAL"/>
    <x v="0"/>
    <s v="WASTE PAPER"/>
    <s v="OOC #A7"/>
    <s v="IDI RAMDANI SANJAYA"/>
    <s v="CONTAINER;DRY FREIGHT,40'"/>
    <m/>
    <s v="CELLMARK, INC."/>
    <x v="0"/>
    <n v="41380"/>
    <x v="0"/>
    <n v="16640"/>
    <n v="24740"/>
    <n v="45007132"/>
    <x v="0"/>
    <n v="1500"/>
    <n v="1500"/>
    <n v="0"/>
    <s v="CMAU8503109"/>
    <n v="2001534"/>
    <m/>
    <m/>
    <s v="IKK000267403"/>
  </r>
  <r>
    <n v="44008638"/>
    <m/>
    <d v="2025-09-10T05:49:53"/>
    <s v="BONGKAR"/>
    <s v="LOCAL"/>
    <x v="0"/>
    <s v="Waste Paper OCC"/>
    <s v="PENGEMAS"/>
    <s v="AJI"/>
    <s v="TRONTON WING BOX"/>
    <s v="PT. PAUL BUANA INDONESIA"/>
    <s v="PT. PAUL BUANA INDONESIA"/>
    <x v="1"/>
    <n v="21240"/>
    <x v="1"/>
    <n v="10620"/>
    <n v="10620"/>
    <n v="45005823"/>
    <x v="1"/>
    <n v="12500"/>
    <n v="12500"/>
    <n v="0"/>
    <m/>
    <n v="2001534"/>
    <m/>
    <m/>
    <s v="IKK000267385"/>
  </r>
  <r>
    <n v="44008639"/>
    <m/>
    <d v="2025-09-10T06:01:30"/>
    <s v="BONGKAR"/>
    <s v="LOCAL"/>
    <x v="0"/>
    <s v="RECOVERED PAPER LOCAL"/>
    <s v="BOX BIG PRESS"/>
    <s v="MAHUDIN"/>
    <s v="TRUCK;TRONTON"/>
    <s v="PT CITRA MEGA NUSANTARA"/>
    <s v="PT. CITRA MEGA NUSANTARA"/>
    <x v="2"/>
    <n v="32940"/>
    <x v="2"/>
    <n v="10240"/>
    <n v="22700"/>
    <n v="1"/>
    <x v="0"/>
    <n v="0"/>
    <n v="0"/>
    <n v="8000"/>
    <m/>
    <n v="2001534"/>
    <m/>
    <m/>
    <s v="IKK000267400"/>
  </r>
  <r>
    <n v="44008640"/>
    <m/>
    <d v="2025-09-10T06:03:46"/>
    <s v="BONGKAR"/>
    <s v="LOCAL"/>
    <x v="0"/>
    <s v="RECOVERED PAPER LOCAL"/>
    <s v="BOX BIG PRESS"/>
    <s v="LUTFI"/>
    <s v="TRUCK;ENGKEL BAK"/>
    <s v="PT CITRA MEGA NUSANTARA"/>
    <s v="PT. CITRA MEGA NUSANTARA"/>
    <x v="3"/>
    <n v="25460"/>
    <x v="3"/>
    <n v="6480"/>
    <n v="18980"/>
    <n v="1"/>
    <x v="0"/>
    <n v="0"/>
    <n v="0"/>
    <n v="8000"/>
    <m/>
    <n v="2001534"/>
    <m/>
    <m/>
    <s v="IKK000267429"/>
  </r>
  <r>
    <n v="44008641"/>
    <m/>
    <d v="2025-09-10T06:06:44"/>
    <s v="BONGKAR"/>
    <s v="LOCAL"/>
    <x v="0"/>
    <s v="RECOVERED PAPER LOCAL"/>
    <s v="BOX BIG PRESS"/>
    <s v="EMBAD SUBADRI"/>
    <s v="TRUCK;TRONTON"/>
    <s v="PT CITRA MEGA NUSANTARA"/>
    <s v="PT. CITRA MEGA NUSANTARA"/>
    <x v="4"/>
    <n v="31900"/>
    <x v="4"/>
    <n v="10100"/>
    <n v="21800"/>
    <n v="1"/>
    <x v="0"/>
    <n v="0"/>
    <n v="0"/>
    <n v="8000"/>
    <m/>
    <n v="2001534"/>
    <m/>
    <m/>
    <s v="IKK000267402"/>
  </r>
  <r>
    <n v="44008642"/>
    <m/>
    <d v="2025-09-10T06:07:32"/>
    <s v="BONGKAR"/>
    <s v="LOCAL"/>
    <x v="0"/>
    <s v="RECOVERED PAPER LOCAL"/>
    <s v="BOX BIG PRESS"/>
    <s v="MUMUH"/>
    <s v="ENGKEL LOS BAK"/>
    <s v="PT. MEGA BUANA INTI"/>
    <s v="PT. MEGA BUANA INTI"/>
    <x v="5"/>
    <n v="16920"/>
    <x v="5"/>
    <n v="6480"/>
    <n v="10440"/>
    <n v="1"/>
    <x v="0"/>
    <n v="0"/>
    <n v="0"/>
    <n v="1000"/>
    <m/>
    <n v="2001534"/>
    <m/>
    <m/>
    <s v="IKK000267415"/>
  </r>
  <r>
    <n v="44008643"/>
    <m/>
    <d v="2025-09-10T06:11:05"/>
    <s v="BONGKAR"/>
    <s v="LOCAL"/>
    <x v="0"/>
    <s v="RECOVERED PAPER LOCAL"/>
    <s v="BOX BIG PRESS"/>
    <s v="SYAHRIL"/>
    <s v="TRUCK;TRONTON"/>
    <s v="PT CITRA MEGA NUSANTARA"/>
    <s v="PT. CITRA MEGA NUSANTARA"/>
    <x v="6"/>
    <n v="34260"/>
    <x v="6"/>
    <n v="11720"/>
    <n v="22540"/>
    <n v="1"/>
    <x v="0"/>
    <n v="0"/>
    <n v="0"/>
    <n v="8000"/>
    <m/>
    <n v="2001534"/>
    <m/>
    <m/>
    <s v="IKK000267405"/>
  </r>
  <r>
    <n v="44008644"/>
    <m/>
    <d v="2025-09-10T06:12:16"/>
    <s v="BONGKAR"/>
    <s v="LOCAL"/>
    <x v="0"/>
    <s v="RECOVERED PAPER LOCAL"/>
    <s v="BOX BIG PRESS"/>
    <s v="OLEH"/>
    <s v="TRUCK;ENGKEL BAK"/>
    <s v="PT CITRA MEGA NUSANTARA"/>
    <s v="PT. CITRA MEGA NUSANTARA"/>
    <x v="7"/>
    <n v="26820"/>
    <x v="7"/>
    <n v="6840"/>
    <n v="19980"/>
    <n v="1"/>
    <x v="0"/>
    <n v="0"/>
    <n v="0"/>
    <n v="8000"/>
    <m/>
    <n v="2001534"/>
    <m/>
    <m/>
    <s v="IKK000267430"/>
  </r>
  <r>
    <n v="44008645"/>
    <m/>
    <d v="2025-09-10T06:14:53"/>
    <s v="BONGKAR"/>
    <s v="LOCAL"/>
    <x v="0"/>
    <s v="RECOVERED PAPER LOCAL"/>
    <s v="BOX BIG PRESS"/>
    <s v="ACEP SUNANDAR"/>
    <s v="COLT DIESEL LOSS BAK"/>
    <s v="PT CITRA MEGA NUSANTARA"/>
    <s v="PT. CITRA MEGA NUSANTARA"/>
    <x v="8"/>
    <n v="13540"/>
    <x v="8"/>
    <n v="3720"/>
    <n v="9820"/>
    <n v="1"/>
    <x v="0"/>
    <n v="0"/>
    <n v="0"/>
    <n v="8000"/>
    <m/>
    <n v="2001534"/>
    <m/>
    <m/>
    <s v="IKK000267401"/>
  </r>
  <r>
    <n v="44008646"/>
    <m/>
    <d v="2025-09-10T06:18:41"/>
    <s v="BONGKAR"/>
    <s v="LOCAL"/>
    <x v="0"/>
    <s v="RECOVERED PAPER LOCAL"/>
    <s v="BOX BIG PRESS"/>
    <s v="USMAN"/>
    <s v="TRONTON LOS BAK"/>
    <s v="PT. ORIENT TRADA MANDIRI"/>
    <s v="PT. ORIENT TRADA MANDIRI"/>
    <x v="9"/>
    <n v="30340"/>
    <x v="9"/>
    <n v="9760"/>
    <n v="20580"/>
    <n v="1"/>
    <x v="0"/>
    <n v="0"/>
    <n v="0"/>
    <n v="1000"/>
    <m/>
    <n v="2001534"/>
    <m/>
    <m/>
    <s v="IKK000267410"/>
  </r>
  <r>
    <n v="44008647"/>
    <m/>
    <d v="2025-09-10T06:20:31"/>
    <s v="BONGKAR"/>
    <s v="LOCAL"/>
    <x v="0"/>
    <s v="RECOVERED PAPER LOCAL"/>
    <s v="BOX BIG PRESS"/>
    <s v="YADI"/>
    <s v="TRONTON LOS BAK"/>
    <s v="PT CITRA MEGA NUSANTARA"/>
    <s v="PT. CITRA MEGA NUSANTARA"/>
    <x v="10"/>
    <n v="31560"/>
    <x v="10"/>
    <n v="8740"/>
    <n v="22820"/>
    <n v="1"/>
    <x v="0"/>
    <n v="0"/>
    <n v="0"/>
    <n v="8000"/>
    <m/>
    <n v="2001534"/>
    <m/>
    <m/>
    <s v="IKK000267433"/>
  </r>
  <r>
    <n v="44008648"/>
    <m/>
    <d v="2025-09-10T06:23:29"/>
    <s v="BONGKAR"/>
    <s v="LOCAL"/>
    <x v="0"/>
    <s v="RECOVERED PAPER LOCAL"/>
    <s v="BOX BIG PRESS"/>
    <s v="SOPIAN"/>
    <s v="COLT DIESEL LOSS BAK"/>
    <s v="PT CITRA MEGA NUSANTARA"/>
    <s v="PT. CITRA MEGA NUSANTARA"/>
    <x v="11"/>
    <n v="13180"/>
    <x v="11"/>
    <n v="3680"/>
    <n v="9500"/>
    <n v="1"/>
    <x v="0"/>
    <n v="0"/>
    <n v="0"/>
    <n v="8000"/>
    <m/>
    <n v="2001534"/>
    <m/>
    <m/>
    <s v="IKK000267413"/>
  </r>
  <r>
    <n v="44008649"/>
    <m/>
    <d v="2025-09-10T06:24:53"/>
    <s v="BONGKAR"/>
    <s v="LOCAL"/>
    <x v="0"/>
    <s v="RECOVERED PAPER LOCAL"/>
    <s v="BOX BIG PRESS"/>
    <s v="ROBI"/>
    <s v="TRONTON LOS BAK"/>
    <s v="PT. ORIENT TRADA MANDIRI"/>
    <s v="PT. ORIENT TRADA MANDIRI"/>
    <x v="12"/>
    <n v="30560"/>
    <x v="12"/>
    <n v="9340"/>
    <n v="21220"/>
    <n v="1"/>
    <x v="0"/>
    <n v="0"/>
    <n v="0"/>
    <n v="1000"/>
    <m/>
    <n v="2001534"/>
    <m/>
    <m/>
    <s v="IKK000267443"/>
  </r>
  <r>
    <n v="44008650"/>
    <m/>
    <d v="2025-09-10T06:26:03"/>
    <s v="BONGKAR"/>
    <s v="LOCAL"/>
    <x v="0"/>
    <s v="RECOVERED PAPER LOCAL"/>
    <s v="BOX BIG PRESS"/>
    <s v="SAFEI"/>
    <s v="TRUCK;TRONTON"/>
    <s v="PT CITRA MEGA NUSANTARA"/>
    <s v="PT. CITRA MEGA NUSANTARA"/>
    <x v="13"/>
    <n v="30720"/>
    <x v="13"/>
    <n v="8360"/>
    <n v="22360"/>
    <n v="1"/>
    <x v="0"/>
    <n v="0"/>
    <n v="0"/>
    <n v="8000"/>
    <m/>
    <n v="2001534"/>
    <m/>
    <m/>
    <s v="IKK000267432"/>
  </r>
  <r>
    <n v="44008651"/>
    <m/>
    <d v="2025-09-10T06:28:27"/>
    <s v="BONGKAR"/>
    <s v="LOCAL"/>
    <x v="0"/>
    <s v="RECOVERED PAPER LOCAL"/>
    <s v="BOX BIG PRESS"/>
    <s v="SOGIN"/>
    <s v="TRUCK;TRONTON"/>
    <s v="PT CITRA MEGA NUSANTARA"/>
    <s v="PT. CITRA MEGA NUSANTARA"/>
    <x v="14"/>
    <n v="35000"/>
    <x v="14"/>
    <n v="11560"/>
    <n v="23440"/>
    <n v="1"/>
    <x v="0"/>
    <n v="0"/>
    <n v="0"/>
    <n v="8000"/>
    <m/>
    <n v="2001534"/>
    <m/>
    <m/>
    <s v="IKK000267422"/>
  </r>
  <r>
    <n v="44008652"/>
    <m/>
    <d v="2025-09-10T06:30:38"/>
    <s v="BONGKAR"/>
    <s v="LOCAL"/>
    <x v="0"/>
    <s v="RECOVERED PAPER LOCAL"/>
    <s v="BOX BIG PRESS"/>
    <s v="SAMBAS"/>
    <s v="TRUCK;TRONTON"/>
    <s v="PT CITRA MEGA NUSANTARA"/>
    <s v="PT. CITRA MEGA NUSANTARA"/>
    <x v="15"/>
    <n v="35660"/>
    <x v="15"/>
    <n v="11700"/>
    <n v="23960"/>
    <n v="1"/>
    <x v="0"/>
    <n v="0"/>
    <n v="0"/>
    <n v="8000"/>
    <m/>
    <n v="2001534"/>
    <m/>
    <m/>
    <s v="IKK000267423"/>
  </r>
  <r>
    <n v="44008653"/>
    <m/>
    <d v="2025-09-10T06:32:22"/>
    <s v="BONGKAR"/>
    <s v="LOCAL"/>
    <x v="0"/>
    <s v="RECOVERED PAPER LOCAL"/>
    <s v="BOX BIG PRESS"/>
    <s v="AGUNG NUGROHO"/>
    <s v="TRONTON LOS BAK"/>
    <s v="PT. ORIENT TRADA MANDIRI"/>
    <s v="PT. ORIENT TRADA MANDIRI"/>
    <x v="16"/>
    <n v="31500"/>
    <x v="16"/>
    <n v="9180"/>
    <n v="22320"/>
    <n v="1"/>
    <x v="0"/>
    <n v="0"/>
    <n v="0"/>
    <n v="1000"/>
    <m/>
    <n v="2001534"/>
    <m/>
    <m/>
    <s v="IKK000267448"/>
  </r>
  <r>
    <n v="44008654"/>
    <m/>
    <d v="2025-09-10T06:34:38"/>
    <s v="BONGKAR"/>
    <s v="LOCAL"/>
    <x v="0"/>
    <s v="RECOVERED PAPER LOCAL"/>
    <s v="BOX BIG PRESS"/>
    <s v="BAENDOT WAHYUNI"/>
    <s v="TRONTON LOS BAK"/>
    <s v="PT. ORIENT TRADA MANDIRI"/>
    <s v="PT. ORIENT TRADA MANDIRI"/>
    <x v="17"/>
    <n v="29340"/>
    <x v="17"/>
    <n v="9920"/>
    <n v="19420"/>
    <n v="1"/>
    <x v="0"/>
    <n v="0"/>
    <n v="0"/>
    <n v="1000"/>
    <m/>
    <n v="2001534"/>
    <m/>
    <m/>
    <s v="IKK000267444"/>
  </r>
  <r>
    <n v="44008655"/>
    <m/>
    <d v="2025-09-10T06:36:54"/>
    <s v="BONGKAR"/>
    <s v="LOCAL"/>
    <x v="0"/>
    <s v="RECOVERED PAPER LOCAL"/>
    <s v="BOX BIG PRESS"/>
    <s v="EDEN SUKAJAYA"/>
    <s v="ENGKEL LOS BAK"/>
    <s v="PT. ORIENT TRADA MANDIRI"/>
    <s v="PT. ORIENT TRADA MANDIRI"/>
    <x v="18"/>
    <n v="24100"/>
    <x v="18"/>
    <n v="7040"/>
    <n v="17060"/>
    <n v="1"/>
    <x v="0"/>
    <n v="0"/>
    <n v="0"/>
    <n v="1000"/>
    <m/>
    <n v="2001534"/>
    <m/>
    <m/>
    <s v="IKK000267450"/>
  </r>
  <r>
    <n v="44008656"/>
    <m/>
    <d v="2025-09-10T06:39:05"/>
    <s v="BONGKAR"/>
    <s v="LOCAL"/>
    <x v="0"/>
    <s v="RECOVERED PAPER LOCAL"/>
    <s v="BOX BIG PRESS"/>
    <s v="KARNO"/>
    <s v="ENGKEL LOS BAK"/>
    <s v="PT LAUTAN SAMUDERA JAYAMAS"/>
    <s v="PT LAUTAN SAMUDERA JAYAMAS"/>
    <x v="19"/>
    <n v="22160"/>
    <x v="19"/>
    <n v="6460"/>
    <n v="15700"/>
    <n v="1"/>
    <x v="0"/>
    <n v="0"/>
    <n v="0"/>
    <n v="1000"/>
    <m/>
    <n v="2001534"/>
    <m/>
    <m/>
    <s v="IKK000267439"/>
  </r>
  <r>
    <n v="44008657"/>
    <m/>
    <d v="2025-09-10T06:42:18"/>
    <s v="BONGKAR"/>
    <s v="LOCAL"/>
    <x v="0"/>
    <s v="RECOVERED PAPER LOCAL"/>
    <s v="BOX BIG PRESS"/>
    <s v="KUSWARA"/>
    <s v="TRONTON LOS BAK"/>
    <s v="PT. ORIENT TRADA MANDIRI"/>
    <s v="PT. ORIENT TRADA MANDIRI"/>
    <x v="20"/>
    <n v="31140"/>
    <x v="20"/>
    <n v="10180"/>
    <n v="20960"/>
    <n v="1"/>
    <x v="0"/>
    <n v="0"/>
    <n v="0"/>
    <n v="1000"/>
    <m/>
    <n v="2001534"/>
    <m/>
    <m/>
    <s v="IKK000267306"/>
  </r>
  <r>
    <n v="44008658"/>
    <m/>
    <d v="2025-09-10T06:42:49"/>
    <s v="BONGKAR"/>
    <s v="LOCAL"/>
    <x v="0"/>
    <s v="RECOVERED PAPER LOCAL"/>
    <s v="BOX BIG PRESS"/>
    <s v="PARIS TIAWAN"/>
    <s v="COLT DIESEL LOSS BAK"/>
    <s v="PT. YAPUTRA ABADI PERKASA"/>
    <s v="PT. YAPUTRA ABADI PERKASA"/>
    <x v="21"/>
    <n v="12940"/>
    <x v="21"/>
    <n v="4100"/>
    <n v="8840"/>
    <n v="1"/>
    <x v="0"/>
    <n v="0"/>
    <n v="0"/>
    <n v="1000"/>
    <m/>
    <n v="2001534"/>
    <m/>
    <m/>
    <s v="IKK000267387"/>
  </r>
  <r>
    <n v="44008659"/>
    <m/>
    <d v="2025-09-10T06:46:39"/>
    <s v="BONGKAR"/>
    <s v="LOCAL"/>
    <x v="0"/>
    <s v="RECOVERED PAPER LOCAL"/>
    <s v="BOX BIG PRESS"/>
    <s v="SUWARLAN"/>
    <s v="TRUCK;TRONTON"/>
    <s v="PT CITRA MEGA NUSANTARA"/>
    <s v="PT. CITRA MEGA NUSANTARA"/>
    <x v="22"/>
    <n v="25120"/>
    <x v="22"/>
    <n v="7720"/>
    <n v="17400"/>
    <n v="1"/>
    <x v="0"/>
    <n v="0"/>
    <n v="0"/>
    <n v="8000"/>
    <m/>
    <n v="2001534"/>
    <m/>
    <m/>
    <s v="IKK000267435"/>
  </r>
  <r>
    <n v="44008660"/>
    <m/>
    <d v="2025-09-10T06:49:45"/>
    <s v="BONGKAR"/>
    <s v="LOCAL"/>
    <x v="0"/>
    <s v="RECOVERED PAPER LOCAL"/>
    <s v="BOX BIG PRESS"/>
    <s v="SUBEDI"/>
    <s v="TRUCK;TRONTON"/>
    <s v="PT CITRA MEGA NUSANTARA"/>
    <s v="PT. CITRA MEGA NUSANTARA"/>
    <x v="23"/>
    <n v="32240"/>
    <x v="23"/>
    <n v="9740"/>
    <n v="22500"/>
    <n v="1"/>
    <x v="0"/>
    <n v="0"/>
    <n v="0"/>
    <n v="8000"/>
    <m/>
    <n v="2001534"/>
    <m/>
    <m/>
    <s v="IKK000267407"/>
  </r>
  <r>
    <n v="44008661"/>
    <m/>
    <d v="2025-09-10T06:52:19"/>
    <s v="BONGKAR"/>
    <s v="LOCAL"/>
    <x v="0"/>
    <s v="RECOVERED PAPER LOCAL"/>
    <s v="BOX BIG PRESS"/>
    <s v="MURTONO"/>
    <s v="COLT DIESEL LOSS BAK"/>
    <s v="PT. YAPUTRA ABADI PERKASA"/>
    <s v="PT. YAPUTRA ABADI PERKASA"/>
    <x v="24"/>
    <n v="13620"/>
    <x v="24"/>
    <n v="4300"/>
    <n v="9320"/>
    <n v="1"/>
    <x v="0"/>
    <n v="0"/>
    <n v="0"/>
    <n v="1000"/>
    <m/>
    <n v="2001534"/>
    <m/>
    <m/>
    <s v="IKK000267424"/>
  </r>
  <r>
    <n v="44008662"/>
    <m/>
    <d v="2025-09-10T06:55:46"/>
    <s v="BONGKAR"/>
    <s v="LOCAL"/>
    <x v="0"/>
    <s v="RECOVERED PAPER LOCAL"/>
    <s v="BOX BIG PRESS"/>
    <s v="SUYATNO"/>
    <s v="TRONTON LOS BAK"/>
    <s v="PT. YAPUTRA ABADI PERKASA"/>
    <s v="PT. YAPUTRA ABADI PERKASA"/>
    <x v="25"/>
    <n v="30600"/>
    <x v="25"/>
    <n v="9680"/>
    <n v="20920"/>
    <n v="1"/>
    <x v="0"/>
    <n v="0"/>
    <n v="0"/>
    <n v="1000"/>
    <m/>
    <n v="2001534"/>
    <m/>
    <m/>
    <s v="IKK000267393"/>
  </r>
  <r>
    <n v="44008663"/>
    <m/>
    <d v="2025-09-10T06:57:32"/>
    <s v="BONGKAR"/>
    <s v="LOCAL"/>
    <x v="0"/>
    <s v="RECOVERED PAPER LOCAL"/>
    <s v="BOX BIG PRESS"/>
    <s v="ALAMSYAH"/>
    <s v="ENGKEL LOS BAK"/>
    <s v="PT. ORIENT TRADA MANDIRI"/>
    <s v="PT. ORIENT TRADA MANDIRI"/>
    <x v="26"/>
    <n v="17300"/>
    <x v="26"/>
    <n v="7100"/>
    <n v="10200"/>
    <n v="1"/>
    <x v="0"/>
    <n v="0"/>
    <n v="0"/>
    <n v="1000"/>
    <m/>
    <n v="2001534"/>
    <m/>
    <m/>
    <s v="IKK000267446"/>
  </r>
  <r>
    <n v="44008664"/>
    <m/>
    <d v="2025-09-10T06:58:30"/>
    <s v="BONGKAR"/>
    <s v="LOCAL"/>
    <x v="0"/>
    <s v="CHEMICAL DSS"/>
    <s v="CHEMICAL DSS"/>
    <s v="SUTRISNO"/>
    <s v="TANGKI TRONTON/16000 L"/>
    <s v="TRANSPORTASI PINDO DELI"/>
    <s v="TRANSPORTASI PINDO DELI"/>
    <x v="27"/>
    <n v="29520"/>
    <x v="27"/>
    <n v="11240"/>
    <n v="18280"/>
    <n v="1"/>
    <x v="2"/>
    <n v="0"/>
    <n v="0"/>
    <n v="1"/>
    <m/>
    <n v="2001534"/>
    <m/>
    <m/>
    <s v="IKK000267462"/>
  </r>
  <r>
    <n v="44008665"/>
    <m/>
    <d v="2025-09-10T06:59:08"/>
    <s v="BONGKAR"/>
    <s v="LOCAL"/>
    <x v="0"/>
    <s v="RECOVERED PAPER LOCAL"/>
    <s v="BOX BIG PRESS"/>
    <s v="SAIDI"/>
    <s v="TRONTON LOS BAK"/>
    <s v="PT. YAPUTRA ABADI PERKASA"/>
    <s v="PT. YAPUTRA ABADI PERKASA"/>
    <x v="28"/>
    <n v="32460"/>
    <x v="28"/>
    <n v="10060"/>
    <n v="22400"/>
    <n v="1"/>
    <x v="0"/>
    <n v="0"/>
    <n v="0"/>
    <n v="1000"/>
    <m/>
    <n v="2001534"/>
    <m/>
    <m/>
    <s v="IKK000267392"/>
  </r>
  <r>
    <n v="44008666"/>
    <m/>
    <d v="2025-09-10T07:00:33"/>
    <s v="BONGKAR"/>
    <s v="LOCAL"/>
    <x v="0"/>
    <s v="RECOVERED PAPER LOCAL"/>
    <s v="BOX BIG PRESS"/>
    <s v="NANA SUDANA"/>
    <s v="TRONTON LOS BAK"/>
    <s v="PT. ORIENT TRADA MANDIRI"/>
    <s v="PT. ORIENT TRADA MANDIRI"/>
    <x v="29"/>
    <n v="30700"/>
    <x v="29"/>
    <n v="11160"/>
    <n v="19540"/>
    <n v="1"/>
    <x v="0"/>
    <n v="0"/>
    <n v="0"/>
    <n v="1000"/>
    <m/>
    <n v="2001534"/>
    <m/>
    <m/>
    <s v="IKK000267455"/>
  </r>
  <r>
    <n v="44008668"/>
    <m/>
    <d v="2025-09-10T07:12:32"/>
    <s v="BONGKAR"/>
    <s v="LOCAL"/>
    <x v="0"/>
    <s v="CHEMICAL DSS"/>
    <s v="CHEMICAL"/>
    <s v="ZULHENDRI"/>
    <s v="DOUBLE ENGKEL BAK JUMBO"/>
    <s v="PT. SUNGAI BUDI"/>
    <s v="PT SUNGAI BUDI"/>
    <x v="30"/>
    <n v="27220"/>
    <x v="30"/>
    <n v="0"/>
    <n v="0"/>
    <n v="47027015"/>
    <x v="3"/>
    <n v="1"/>
    <n v="1"/>
    <n v="0"/>
    <m/>
    <n v="2002030"/>
    <m/>
    <m/>
    <s v="IKK000267357"/>
  </r>
  <r>
    <n v="44008671"/>
    <m/>
    <d v="2025-09-10T07:21:23"/>
    <s v="BONGKAR"/>
    <s v="LOCAL"/>
    <x v="0"/>
    <s v="RECOVERED PAPER LOCAL"/>
    <s v="BOX BIG PRESS"/>
    <s v="SUDIRMAN"/>
    <s v="TRUCK;TRONTON"/>
    <s v="PT CITRA MEGA NUSANTARA"/>
    <s v="PT. CITRA MEGA NUSANTARA"/>
    <x v="31"/>
    <n v="31440"/>
    <x v="31"/>
    <n v="9880"/>
    <n v="21560"/>
    <n v="1"/>
    <x v="0"/>
    <n v="0"/>
    <n v="0"/>
    <n v="8000"/>
    <m/>
    <n v="2002030"/>
    <m/>
    <m/>
    <s v="IKK000267434"/>
  </r>
  <r>
    <n v="44008672"/>
    <m/>
    <d v="2025-09-10T07:34:40"/>
    <s v="MUAT"/>
    <s v="LOCAL"/>
    <x v="1"/>
    <s v="BROWN PAPER BM 3"/>
    <s v="BROWN PAPER BM 3"/>
    <s v="JAJANG"/>
    <s v="TRAILER"/>
    <s v="PT. BIMARUNA JAYA"/>
    <s v="PT. APP PURINUSA EKAPERSADA"/>
    <x v="32"/>
    <n v="16680"/>
    <x v="32"/>
    <n v="51320"/>
    <n v="34640"/>
    <n v="3331550557"/>
    <x v="4"/>
    <n v="34019.9"/>
    <n v="33817"/>
    <n v="20"/>
    <m/>
    <n v="2002030"/>
    <s v="IS31"/>
    <m/>
    <s v="IKKOL0000337"/>
  </r>
  <r>
    <n v="44008673"/>
    <m/>
    <d v="2025-09-10T07:41:38"/>
    <s v="BONGKAR"/>
    <s v="LOCAL"/>
    <x v="0"/>
    <s v="RECOVERED PAPER LOCAL"/>
    <s v="BOX BIG PRESS"/>
    <s v="ERUS RUSWANDI"/>
    <s v="TRUCK;TRONTON"/>
    <s v="PT CITRA MEGA NUSANTARA"/>
    <s v="PT. CITRA MEGA NUSANTARA"/>
    <x v="33"/>
    <n v="36500"/>
    <x v="33"/>
    <n v="9200"/>
    <n v="27300"/>
    <n v="1"/>
    <x v="0"/>
    <n v="0"/>
    <n v="0"/>
    <n v="8000"/>
    <m/>
    <n v="2002030"/>
    <m/>
    <m/>
    <s v="IKK000267452"/>
  </r>
  <r>
    <n v="44008679"/>
    <m/>
    <d v="2025-09-10T08:37:26"/>
    <s v="BONGKAR"/>
    <s v="LOCAL"/>
    <x v="0"/>
    <s v="RECOVERED PAPER LOCAL"/>
    <s v="BOX BIG PRESS"/>
    <s v="KUHANDRI"/>
    <s v="ENGKEL LOS BAK"/>
    <s v="PT. YAPUTRA ABADI PERKASA"/>
    <s v="PT. YAPUTRA ABADI PERKASA"/>
    <x v="34"/>
    <n v="22780"/>
    <x v="34"/>
    <n v="7080"/>
    <n v="15700"/>
    <n v="1"/>
    <x v="0"/>
    <n v="0"/>
    <n v="0"/>
    <n v="1000"/>
    <m/>
    <n v="2002030"/>
    <m/>
    <m/>
    <s v="IKK000267412"/>
  </r>
  <r>
    <n v="44008680"/>
    <m/>
    <d v="2025-09-10T08:40:08"/>
    <s v="BONGKAR"/>
    <s v="LOCAL"/>
    <x v="0"/>
    <s v="RECOVERED PAPER LOCAL"/>
    <s v="BOX BIG PRESS"/>
    <s v="TONI"/>
    <s v="TRONTON LOS BAK"/>
    <s v="PT. YAPUTRA ABADI PERKASA"/>
    <s v="PT. YAPUTRA ABADI PERKASA"/>
    <x v="35"/>
    <n v="28600"/>
    <x v="30"/>
    <n v="0"/>
    <n v="0"/>
    <n v="1"/>
    <x v="0"/>
    <n v="0"/>
    <n v="0"/>
    <n v="1000"/>
    <m/>
    <n v="2002030"/>
    <m/>
    <m/>
    <s v="IKK000267460"/>
  </r>
  <r>
    <n v="44008681"/>
    <m/>
    <d v="2025-09-10T08:47:02"/>
    <s v="BONGKAR"/>
    <s v="LOCAL"/>
    <x v="0"/>
    <s v="RECOVERED PAPER LOCAL"/>
    <s v="BOX BIG PRESS"/>
    <s v="BAMBANG"/>
    <s v="COLT DIESEL BAK"/>
    <s v="PT CITRA MEGA NUSANTARA"/>
    <s v="PT. CITRA MEGA NUSANTARA"/>
    <x v="36"/>
    <n v="8900"/>
    <x v="35"/>
    <n v="3340"/>
    <n v="5560"/>
    <n v="1"/>
    <x v="0"/>
    <n v="0"/>
    <n v="0"/>
    <n v="8000"/>
    <m/>
    <n v="2002030"/>
    <m/>
    <m/>
    <s v="IKK000267457"/>
  </r>
  <r>
    <n v="44008684"/>
    <m/>
    <d v="2025-09-10T09:11:21"/>
    <s v="BONGKAR"/>
    <s v="LOCAL"/>
    <x v="0"/>
    <s v="CHEMICAL DSS"/>
    <s v="CHEMICAL"/>
    <s v="RUDI"/>
    <s v="TANGKI ENGKEL/8000 L"/>
    <m/>
    <s v="PT CAKRAWALA MEGA INDAH, JAKARTA"/>
    <x v="37"/>
    <n v="22140"/>
    <x v="30"/>
    <n v="0"/>
    <n v="0"/>
    <n v="46016616"/>
    <x v="5"/>
    <n v="1"/>
    <n v="1"/>
    <n v="0"/>
    <m/>
    <n v="2002030"/>
    <m/>
    <m/>
    <s v="IKK000267398"/>
  </r>
  <r>
    <n v="44008689"/>
    <m/>
    <d v="2025-09-10T09:57:57"/>
    <s v="BONGKAR"/>
    <s v="LOCAL"/>
    <x v="0"/>
    <s v="RECOVERED PAPER LOCAL"/>
    <s v="BOX BIG PRESS"/>
    <s v="JAJANG"/>
    <s v="ENGKEL LOS BAK"/>
    <s v="TRANSPORTASI PINDO DELI"/>
    <s v="TRANSPORTASI PINDO DELI"/>
    <x v="38"/>
    <n v="13760"/>
    <x v="36"/>
    <n v="5800"/>
    <n v="7960"/>
    <n v="1"/>
    <x v="0"/>
    <n v="0"/>
    <n v="0"/>
    <n v="7980"/>
    <m/>
    <n v="2002030"/>
    <m/>
    <m/>
    <s v="IKK000267476"/>
  </r>
  <r>
    <n v="44008691"/>
    <m/>
    <d v="2025-09-10T10:12:08"/>
    <s v="BONGKAR"/>
    <s v="LOCAL"/>
    <x v="2"/>
    <s v="SPARE PARTS"/>
    <s v="SPAREPARTS"/>
    <s v="INDRA"/>
    <s v="TRONTON LOS BAK"/>
    <m/>
    <s v="PT CAKRAWALA MEGA INDAH, JAKARTA"/>
    <x v="39"/>
    <n v="36480"/>
    <x v="37"/>
    <n v="10740"/>
    <n v="25740"/>
    <n v="46014660"/>
    <x v="6"/>
    <n v="389610"/>
    <n v="389610"/>
    <n v="0"/>
    <m/>
    <n v="2002030"/>
    <m/>
    <m/>
    <s v="IKK000267467"/>
  </r>
  <r>
    <n v="44008692"/>
    <m/>
    <d v="2025-09-10T10:21:02"/>
    <s v="BONGKAR"/>
    <s v="LOCAL"/>
    <x v="0"/>
    <s v="RECOVERED PAPER LOCAL"/>
    <s v="BOX BIG PRESS"/>
    <s v="AAN"/>
    <s v="TRONTON LOS BAK"/>
    <s v="PT LAUTAN SAMUDERA JAYAMAS"/>
    <s v="PT LAUTAN SAMUDERA JAYAMAS"/>
    <x v="40"/>
    <n v="31180"/>
    <x v="30"/>
    <n v="0"/>
    <n v="0"/>
    <n v="1"/>
    <x v="0"/>
    <n v="0"/>
    <n v="0"/>
    <n v="1000"/>
    <m/>
    <n v="2002030"/>
    <m/>
    <m/>
    <s v="IKK000267449"/>
  </r>
  <r>
    <n v="44008693"/>
    <m/>
    <d v="2025-09-10T10:25:03"/>
    <s v="BONGKAR"/>
    <s v="LOCAL"/>
    <x v="0"/>
    <s v="RECOVERED PAPER LOCAL"/>
    <s v="BOX BIG PRESS"/>
    <s v="DIDING SWIDININGRAT"/>
    <s v="TRONTON LOS BAK"/>
    <s v="PT. ORIENT TRADA MANDIRI"/>
    <s v="PT. ORIENT TRADA MANDIRI"/>
    <x v="41"/>
    <n v="29920"/>
    <x v="30"/>
    <n v="0"/>
    <n v="0"/>
    <n v="1"/>
    <x v="0"/>
    <n v="0"/>
    <n v="0"/>
    <n v="1000"/>
    <m/>
    <n v="2002030"/>
    <m/>
    <m/>
    <s v="IKK000267453"/>
  </r>
  <r>
    <n v="44008695"/>
    <m/>
    <d v="2025-09-10T10:30:11"/>
    <s v="BONGKAR"/>
    <s v="LOCAL"/>
    <x v="0"/>
    <s v="RECOVERED PAPER LOCAL"/>
    <s v="BOX BIG PRESS"/>
    <s v="SUNADI"/>
    <s v="TRONTON LOS BAK"/>
    <s v="PT. ORIENT TRADA MANDIRI"/>
    <s v="PT. ORIENT TRADA MANDIRI"/>
    <x v="42"/>
    <n v="31840"/>
    <x v="30"/>
    <n v="0"/>
    <n v="0"/>
    <n v="1"/>
    <x v="0"/>
    <n v="0"/>
    <n v="0"/>
    <n v="1000"/>
    <m/>
    <n v="2002030"/>
    <m/>
    <m/>
    <s v="IKK000267456"/>
  </r>
  <r>
    <n v="44008696"/>
    <m/>
    <d v="2025-09-10T10:33:06"/>
    <s v="BONGKAR"/>
    <s v="LOCAL"/>
    <x v="0"/>
    <s v="RECOVERED PAPER LOCAL"/>
    <s v="BOX BIG PRESS"/>
    <s v="SADI KOSASIH"/>
    <s v="ENGKEL LOS BAK"/>
    <s v="TRANSPORTASI PINDO DELI"/>
    <s v="TRANSPORTASI PINDO DELI"/>
    <x v="43"/>
    <n v="16980"/>
    <x v="38"/>
    <n v="6520"/>
    <n v="10460"/>
    <n v="1"/>
    <x v="0"/>
    <n v="0"/>
    <n v="0"/>
    <n v="10480"/>
    <m/>
    <n v="2002030"/>
    <m/>
    <m/>
    <s v="IKK000267479"/>
  </r>
  <r>
    <n v="44008697"/>
    <m/>
    <d v="2025-09-10T10:37:44"/>
    <s v="BONGKAR"/>
    <s v="LOCAL"/>
    <x v="0"/>
    <s v="CHEMICAL DSS"/>
    <s v="CHEMICAL DSS"/>
    <s v="SARUDIN"/>
    <s v="TANGKI TRONTON/16000 L"/>
    <s v="TRANSPORTASI PINDO DELI"/>
    <s v="TRANSPORTASI PINDO DELI"/>
    <x v="44"/>
    <n v="29780"/>
    <x v="39"/>
    <n v="13220"/>
    <n v="16560"/>
    <n v="1"/>
    <x v="7"/>
    <n v="0"/>
    <n v="0"/>
    <n v="28000"/>
    <m/>
    <n v="2002030"/>
    <m/>
    <m/>
    <s v="IKK000267465"/>
  </r>
  <r>
    <n v="44008698"/>
    <m/>
    <d v="2025-09-10T10:42:03"/>
    <s v="BONGKAR"/>
    <s v="LOCAL"/>
    <x v="0"/>
    <s v="RECOVERED PAPER LOCAL"/>
    <s v="BOX BIG PRESS"/>
    <s v="SOLIHIN"/>
    <s v="TRONTON LOS BAK"/>
    <s v="PT. YAPUTRA ABADI PERKASA"/>
    <s v="PT. YAPUTRA ABADI PERKASA"/>
    <x v="45"/>
    <n v="29440"/>
    <x v="30"/>
    <n v="0"/>
    <n v="0"/>
    <n v="1"/>
    <x v="0"/>
    <n v="0"/>
    <n v="0"/>
    <n v="1000"/>
    <m/>
    <n v="2002030"/>
    <m/>
    <m/>
    <s v="IKK000267461"/>
  </r>
  <r>
    <n v="44008699"/>
    <m/>
    <d v="2025-09-10T10:43:46"/>
    <s v="BONGKAR"/>
    <s v="LOCAL"/>
    <x v="0"/>
    <s v="RECOVERED PAPER LOCAL"/>
    <s v="BOX BIG PRESS"/>
    <s v="REZA"/>
    <s v="TRONTON LOS BAK"/>
    <s v="PT LAUTAN SAMUDERA JAYAMAS"/>
    <s v="PT LAUTAN SAMUDERA JAYAMAS"/>
    <x v="46"/>
    <n v="31420"/>
    <x v="30"/>
    <n v="0"/>
    <n v="0"/>
    <n v="1"/>
    <x v="0"/>
    <n v="0"/>
    <n v="0"/>
    <n v="1000"/>
    <m/>
    <n v="2002030"/>
    <m/>
    <m/>
    <s v="IKK000267395"/>
  </r>
  <r>
    <n v="44008700"/>
    <m/>
    <d v="2025-09-10T10:46:19"/>
    <s v="BONGKAR"/>
    <s v="LOCAL"/>
    <x v="0"/>
    <s v="RECOVERED PAPER LOCAL"/>
    <s v="BOX BIG PRESS"/>
    <s v="WILLY AGI"/>
    <s v="TRONTON LOS BAK"/>
    <s v="PT. ORIENT TRADA MANDIRI"/>
    <s v="PT. ORIENT TRADA MANDIRI"/>
    <x v="47"/>
    <n v="30480"/>
    <x v="30"/>
    <n v="0"/>
    <n v="0"/>
    <n v="1"/>
    <x v="0"/>
    <n v="0"/>
    <n v="0"/>
    <n v="1000"/>
    <m/>
    <n v="2002030"/>
    <m/>
    <m/>
    <s v="IKK000267454"/>
  </r>
  <r>
    <n v="44008701"/>
    <m/>
    <d v="2025-09-10T10:47:04"/>
    <s v="BONGKAR"/>
    <s v="LOCAL"/>
    <x v="2"/>
    <s v="SPARE PARTS"/>
    <s v="SPAREPARTS"/>
    <s v="E.SUHENDRA"/>
    <s v="MINI ENGKEL BOX"/>
    <m/>
    <s v="PT CITRA CEMERLANG MITRA ABADI"/>
    <x v="48"/>
    <n v="2740"/>
    <x v="40"/>
    <n v="2500"/>
    <n v="240"/>
    <s v="49011057; 49014120; 49014777; 49014798; 49014799; 49014827; 49014903; 49015093; 49015175; 49015556"/>
    <x v="8"/>
    <n v="1177"/>
    <n v="1177"/>
    <n v="0"/>
    <m/>
    <n v="2002030"/>
    <m/>
    <m/>
    <s v="IKK000267362"/>
  </r>
  <r>
    <n v="44008703"/>
    <m/>
    <d v="2025-09-10T10:56:15"/>
    <s v="BONGKAR"/>
    <s v="LOCAL"/>
    <x v="0"/>
    <s v="RECOVERED PAPER LOCAL"/>
    <s v="BOX BIG PRESS"/>
    <s v="SARIP"/>
    <s v="TRONTON LOS BAK"/>
    <s v="TRANSPORTASI PINDO DELI"/>
    <s v="TRANSPORTASI PINDO DELI"/>
    <x v="49"/>
    <n v="16420"/>
    <x v="41"/>
    <n v="7620"/>
    <n v="8800"/>
    <n v="1"/>
    <x v="0"/>
    <n v="0"/>
    <n v="0"/>
    <n v="8820"/>
    <m/>
    <n v="2002030"/>
    <m/>
    <m/>
    <s v="IKK000267482"/>
  </r>
  <r>
    <n v="44008704"/>
    <m/>
    <d v="2025-09-10T10:59:51"/>
    <s v="MUAT"/>
    <s v="LOCAL"/>
    <x v="1"/>
    <s v="BROWN PAPER BM 3"/>
    <s v="BROWN PAPER BM 3"/>
    <s v="YADI SURYADI"/>
    <s v="TRONTON LOS BAK"/>
    <s v="PT. TIARA FAJAR TRANSPORTINDO"/>
    <s v="PT DAYACIPTA KEMASINDO"/>
    <x v="50"/>
    <n v="10640"/>
    <x v="30"/>
    <n v="0"/>
    <n v="0"/>
    <n v="3331550708"/>
    <x v="9"/>
    <n v="21511.59"/>
    <n v="21383.279999999999"/>
    <n v="15"/>
    <m/>
    <n v="2002030"/>
    <s v="IS31"/>
    <m/>
    <s v="IKKOL0000342"/>
  </r>
  <r>
    <n v="44008705"/>
    <m/>
    <d v="2025-09-10T11:07:46"/>
    <s v="BONGKAR"/>
    <s v="LOCAL"/>
    <x v="0"/>
    <s v="RECOVERED PAPER LOCAL"/>
    <s v="BOX BIG PRESS"/>
    <s v="HERI"/>
    <s v="TRONTON LOS BAK"/>
    <s v="PT. ORIENT TRADA MANDIRI"/>
    <s v="PT. ORIENT TRADA MANDIRI"/>
    <x v="51"/>
    <n v="31260"/>
    <x v="30"/>
    <n v="0"/>
    <n v="0"/>
    <n v="1"/>
    <x v="0"/>
    <n v="0"/>
    <n v="0"/>
    <n v="1000"/>
    <m/>
    <n v="2002030"/>
    <m/>
    <m/>
    <s v="IKK000267447"/>
  </r>
  <r>
    <n v="44008707"/>
    <m/>
    <d v="2025-09-10T11:13:37"/>
    <s v="MUAT"/>
    <s v="LOCAL"/>
    <x v="1"/>
    <s v="BROWN PAPER BM 3"/>
    <s v="BROWN PAPER BM 3"/>
    <s v="TONI SUHERMAN"/>
    <s v="TRONTON LOS BAK"/>
    <s v="PT. TIARA FAJAR TRANSPORTINDO"/>
    <s v="PT DAYACIPTA KEMASINDO"/>
    <x v="52"/>
    <n v="9940"/>
    <x v="30"/>
    <n v="0"/>
    <n v="0"/>
    <n v="3331550709"/>
    <x v="10"/>
    <n v="22390.48"/>
    <n v="22256.93"/>
    <n v="16"/>
    <m/>
    <n v="2002030"/>
    <s v="IS31"/>
    <m/>
    <s v="IKKOL0000344"/>
  </r>
  <r>
    <n v="44008708"/>
    <m/>
    <d v="2025-09-10T11:15:26"/>
    <s v="BONGKAR"/>
    <s v="LOCAL"/>
    <x v="0"/>
    <s v="CHEMICAL DSS"/>
    <s v="CHEMICAL DSS"/>
    <s v="ALI USMAN"/>
    <s v="TANGKI TRONTON/16000 L"/>
    <s v="TRANSPORTASI PINDO DELI"/>
    <s v="TRANSPORTASI PINDO DELI"/>
    <x v="53"/>
    <n v="27880"/>
    <x v="42"/>
    <n v="10420"/>
    <n v="17460"/>
    <n v="1"/>
    <x v="7"/>
    <n v="0"/>
    <n v="0"/>
    <n v="28000"/>
    <m/>
    <n v="2002030"/>
    <m/>
    <m/>
    <s v="IKK000267464"/>
  </r>
  <r>
    <n v="44008709"/>
    <m/>
    <d v="2025-09-10T11:24:34"/>
    <s v="BONGKAR"/>
    <s v="LOCAL"/>
    <x v="2"/>
    <s v="SPARE PARTS"/>
    <s v="SPAREPARTS"/>
    <s v="NASWAR ERIYAWAN"/>
    <s v="PICKUP BAK TERBUKA"/>
    <s v="PT. RIAU INDO PASIFIK"/>
    <s v="PT RIAU INDO PASIFIK"/>
    <x v="54"/>
    <n v="1140"/>
    <x v="43"/>
    <n v="1040"/>
    <n v="100"/>
    <s v="47031231; 49014830; 49015086"/>
    <x v="11"/>
    <n v="828"/>
    <n v="828"/>
    <n v="0"/>
    <m/>
    <n v="2002030"/>
    <m/>
    <m/>
    <s v="IKK000267478"/>
  </r>
  <r>
    <n v="44008712"/>
    <m/>
    <d v="2025-09-10T11:39:09"/>
    <s v="BONGKAR"/>
    <s v="LOCAL"/>
    <x v="2"/>
    <s v="SPARE PARTS"/>
    <s v="SPARE PARTS"/>
    <s v="DENNY LORENZO"/>
    <s v="SEDAN / MINIBUS"/>
    <s v="PT ALTORIUM MULTI ANALITIKA"/>
    <s v="PT ALTORIUM MULTI ANALITIKA"/>
    <x v="55"/>
    <n v="960"/>
    <x v="44"/>
    <n v="920"/>
    <n v="40"/>
    <s v="49012806; 49013065; 49013071"/>
    <x v="12"/>
    <n v="3000"/>
    <n v="3000"/>
    <n v="0"/>
    <m/>
    <n v="2002030"/>
    <m/>
    <m/>
    <s v="IKK000267374"/>
  </r>
  <r>
    <n v="44008712"/>
    <m/>
    <d v="2025-09-10T11:39:09"/>
    <s v="BONGKAR"/>
    <s v="LOCAL"/>
    <x v="2"/>
    <s v="SPARE PARTS"/>
    <s v="SPAREPARTS"/>
    <s v="DENNY LORENZO"/>
    <s v="SEDAN / MINIBUS"/>
    <s v="PT ALTORIUM MULTI ANALITIKA"/>
    <s v="PT ALTORIUM MULTI ANALITIKA"/>
    <x v="55"/>
    <n v="960"/>
    <x v="44"/>
    <n v="920"/>
    <n v="40"/>
    <s v="49012806; 49013065; 49013071"/>
    <x v="12"/>
    <n v="3000"/>
    <n v="3000"/>
    <n v="0"/>
    <m/>
    <n v="2002030"/>
    <m/>
    <m/>
    <s v="IKK000267374"/>
  </r>
  <r>
    <n v="44008713"/>
    <m/>
    <d v="2025-09-10T11:46:49"/>
    <s v="MUAT"/>
    <s v="LOCAL"/>
    <x v="1"/>
    <s v="BROWN PAPER BM 3"/>
    <s v="BROWN PAPER BM 3"/>
    <s v="DEYOGI IQBAL"/>
    <s v="TRONTON LOS BAK"/>
    <s v="PT. TIARA FAJAR TRANSPORTINDO"/>
    <s v="PT KATI KARTIKA MURNI"/>
    <x v="56"/>
    <n v="9740"/>
    <x v="30"/>
    <n v="0"/>
    <n v="0"/>
    <n v="3331550712"/>
    <x v="13"/>
    <n v="21754.76"/>
    <n v="21625"/>
    <n v="15"/>
    <m/>
    <n v="2002030"/>
    <s v="IS31"/>
    <m/>
    <s v="IKKOL0000346"/>
  </r>
  <r>
    <n v="44008714"/>
    <m/>
    <d v="2025-09-10T11:50:15"/>
    <s v="MUAT"/>
    <s v="LOCAL"/>
    <x v="1"/>
    <s v="BROWN PAPER BM 3"/>
    <s v="BROWN PAPER BM 3"/>
    <s v="MAMAN RUSMAN"/>
    <s v="TRONTON LOS BAK"/>
    <s v="PT. TIARA FAJAR TRANSPORTINDO"/>
    <s v="PT. APP PURINUSA EKAPERSADA"/>
    <x v="57"/>
    <n v="11280"/>
    <x v="30"/>
    <n v="0"/>
    <n v="0"/>
    <n v="3331550726"/>
    <x v="14"/>
    <n v="22890.52"/>
    <n v="22754"/>
    <n v="13"/>
    <m/>
    <n v="2002030"/>
    <s v="IS31"/>
    <m/>
    <s v="IKKOL0000348"/>
  </r>
  <r>
    <n v="44008715"/>
    <m/>
    <d v="2025-09-10T11:54:26"/>
    <s v="MUAT"/>
    <s v="LOCAL"/>
    <x v="1"/>
    <s v="BROWN PAPER BM 3"/>
    <s v="BROWN PAPER BM 3"/>
    <s v="ARIS SAPRUDIN"/>
    <s v="TRONTON LOS BAK"/>
    <s v="PT. TIARA FAJAR TRANSPORTINDO"/>
    <s v="PT. DAYACIPTA KEMASINDO (GD)"/>
    <x v="58"/>
    <n v="10660"/>
    <x v="30"/>
    <n v="0"/>
    <n v="0"/>
    <n v="3331550710"/>
    <x v="15"/>
    <n v="24886"/>
    <n v="24886"/>
    <n v="24886"/>
    <m/>
    <n v="2002030"/>
    <s v="IS31"/>
    <m/>
    <s v="IKKOL0000345"/>
  </r>
  <r>
    <n v="44008716"/>
    <m/>
    <d v="2025-09-10T11:59:01"/>
    <s v="MUAT"/>
    <s v="LOCAL"/>
    <x v="1"/>
    <s v="BROWN PAPER BM 3"/>
    <s v="BROWN PAPER BM 3"/>
    <s v="ODING JAMALUDIN"/>
    <s v="TRONTON LOS BAK"/>
    <s v="PT. TIARA FAJAR TRANSPORTINDO"/>
    <s v="DAYACIPTA KEMASINDO, PT (GD)"/>
    <x v="59"/>
    <n v="10600"/>
    <x v="30"/>
    <n v="0"/>
    <n v="0"/>
    <n v="3331550703"/>
    <x v="16"/>
    <n v="24725"/>
    <n v="24725"/>
    <n v="24725"/>
    <m/>
    <n v="2002030"/>
    <s v="IS31"/>
    <m/>
    <s v="IKKOL0000338"/>
  </r>
  <r>
    <n v="44008717"/>
    <m/>
    <d v="2025-09-10T12:01:37"/>
    <s v="MUAT"/>
    <s v="LOCAL"/>
    <x v="1"/>
    <s v="BROWN PAPER BM 3"/>
    <s v="BROWN PAPER BM 3"/>
    <s v="NAJAR"/>
    <s v="TRONTON LOS BAK"/>
    <s v="PT. TIARA FAJAR TRANSPORTINDO"/>
    <s v="DAYACIPTA KEMASINDO, PT (GD)"/>
    <x v="60"/>
    <n v="10920"/>
    <x v="30"/>
    <n v="0"/>
    <n v="0"/>
    <n v="3331550704"/>
    <x v="17"/>
    <n v="24500"/>
    <n v="24500"/>
    <n v="24500"/>
    <m/>
    <n v="2002030"/>
    <s v="IS31"/>
    <m/>
    <s v="IKKOL0000339"/>
  </r>
  <r>
    <n v="44008719"/>
    <m/>
    <d v="2025-09-10T13:17:30"/>
    <s v="BONGKAR"/>
    <s v="LOCAL"/>
    <x v="0"/>
    <s v="RECOVERED PAPER IMPORT"/>
    <s v="OCC A5#95/05"/>
    <s v="RABANI"/>
    <s v="CONT;HIGH CUBE DRY,40'"/>
    <s v="PT RANCANGSEMESTA TRANSPORTINDO"/>
    <s v="CYCLE LINK (U.S.A.) INC."/>
    <x v="61"/>
    <n v="36700"/>
    <x v="45"/>
    <n v="13160"/>
    <n v="23540"/>
    <n v="45926078"/>
    <x v="18"/>
    <n v="0"/>
    <n v="0"/>
    <n v="0"/>
    <s v="CSNU8602004"/>
    <n v="2002030"/>
    <m/>
    <m/>
    <s v="IKK000267484"/>
  </r>
  <r>
    <n v="44008720"/>
    <m/>
    <d v="2025-09-10T13:25:56"/>
    <s v="BONGKAR"/>
    <s v="LOCAL"/>
    <x v="0"/>
    <s v="RECOVERED PAPER LOCAL"/>
    <s v="BOX BIG PRESS"/>
    <s v="ASEP CV JAJANG"/>
    <s v="ENGKEL LOS BAK"/>
    <s v="PT. ORIENT TRADA MANDIRI"/>
    <s v="PT. ORIENT TRADA MANDIRI"/>
    <x v="62"/>
    <n v="20280"/>
    <x v="30"/>
    <n v="0"/>
    <n v="0"/>
    <n v="1"/>
    <x v="0"/>
    <n v="0"/>
    <n v="0"/>
    <n v="1000"/>
    <m/>
    <n v="2002030"/>
    <m/>
    <m/>
    <s v="IKK000267471"/>
  </r>
  <r>
    <n v="44008721"/>
    <m/>
    <d v="2025-09-10T13:30:35"/>
    <s v="BONGKAR"/>
    <s v="LOCAL"/>
    <x v="0"/>
    <s v="RECOVERED PAPER LOCAL"/>
    <s v="BOX BIG PRESS"/>
    <s v="HERI SUDRAJAT"/>
    <s v="TRONTON LOS BAK"/>
    <m/>
    <s v="PT. NUSA LIMA PRATAMA"/>
    <x v="63"/>
    <n v="30480"/>
    <x v="30"/>
    <n v="0"/>
    <n v="0"/>
    <n v="2"/>
    <x v="0"/>
    <n v="0"/>
    <n v="0"/>
    <n v="1000"/>
    <m/>
    <n v="2002030"/>
    <m/>
    <m/>
    <s v="IKK000267472"/>
  </r>
  <r>
    <n v="44008722"/>
    <m/>
    <d v="2025-09-10T13:32:21"/>
    <s v="BONGKAR"/>
    <s v="LOCAL"/>
    <x v="0"/>
    <s v="RECOVERED PAPER LOCAL"/>
    <s v="BOX BIG PRESS"/>
    <s v="AHMAD MUHKLISIN"/>
    <s v="ENGKEL LOS BAK"/>
    <s v="PT. YAPUTRA ABADI PERKASA"/>
    <s v="PT. YAPUTRA ABADI PERKASA"/>
    <x v="64"/>
    <n v="24280"/>
    <x v="30"/>
    <n v="0"/>
    <n v="0"/>
    <n v="1"/>
    <x v="0"/>
    <n v="0"/>
    <n v="0"/>
    <n v="1000"/>
    <m/>
    <n v="2002030"/>
    <m/>
    <m/>
    <s v="IKK000267469"/>
  </r>
  <r>
    <n v="44008723"/>
    <m/>
    <d v="2025-09-10T13:33:47"/>
    <s v="BONGKAR"/>
    <s v="LOCAL"/>
    <x v="0"/>
    <s v="RECOVERED PAPER LOCAL"/>
    <s v="BOX BIG PRESS"/>
    <s v="TARPIN"/>
    <s v="ENGKEL LOS BAK"/>
    <s v="PT. YAPUTRA ABADI PERKASA"/>
    <s v="PT. YAPUTRA ABADI PERKASA"/>
    <x v="65"/>
    <n v="24280"/>
    <x v="30"/>
    <n v="0"/>
    <n v="0"/>
    <n v="1"/>
    <x v="0"/>
    <n v="0"/>
    <n v="0"/>
    <n v="1000"/>
    <m/>
    <n v="2002030"/>
    <m/>
    <m/>
    <s v="IKK000267470"/>
  </r>
  <r>
    <n v="44008724"/>
    <m/>
    <d v="2025-09-10T13:36:48"/>
    <s v="BONGKAR"/>
    <s v="LOCAL"/>
    <x v="0"/>
    <s v="RECOVERED PAPER IMPORT"/>
    <s v="OCC A5#95/05"/>
    <s v="SAHRUL"/>
    <s v="CONT;HIGH CUBE DRY,40'"/>
    <s v="PT RANCANGSEMESTA TRANSPORTINDO"/>
    <s v="CYCLE LINK (U.S.A.) INC."/>
    <x v="66"/>
    <n v="36000"/>
    <x v="30"/>
    <n v="0"/>
    <n v="0"/>
    <n v="45926078"/>
    <x v="18"/>
    <n v="0"/>
    <n v="0"/>
    <n v="0"/>
    <s v="DFSU7462220"/>
    <n v="2002030"/>
    <m/>
    <m/>
    <s v="IKK000267486"/>
  </r>
  <r>
    <n v="44008726"/>
    <m/>
    <d v="2025-09-10T13:39:42"/>
    <s v="BONGKAR"/>
    <s v="LOCAL"/>
    <x v="0"/>
    <s v="RECOVERED PAPER LOCAL"/>
    <s v="BOX BIG PRESS"/>
    <s v="UDIH"/>
    <s v="ENGKEL LOS BAK"/>
    <s v="PT. ORIENT TRADA MANDIRI"/>
    <s v="PT. ORIENT TRADA MANDIRI"/>
    <x v="67"/>
    <n v="18040"/>
    <x v="30"/>
    <n v="0"/>
    <n v="0"/>
    <n v="1"/>
    <x v="0"/>
    <n v="0"/>
    <n v="0"/>
    <n v="1000"/>
    <m/>
    <n v="2002030"/>
    <m/>
    <m/>
    <s v="IKK000267481"/>
  </r>
  <r>
    <n v="44008728"/>
    <m/>
    <d v="2025-09-10T13:47:26"/>
    <s v="MUAT"/>
    <s v="LOCAL"/>
    <x v="1"/>
    <s v="BROWN PAPER BM 3"/>
    <s v="BROWN PAPER BM 3"/>
    <s v="IWAN SETIAWAN"/>
    <s v="TRONTON LOS BAK"/>
    <s v="PT. TIARA FAJAR TRANSPORTINDO"/>
    <s v="PT. APP PURINUSA EKAPERSADA"/>
    <x v="68"/>
    <n v="11320"/>
    <x v="30"/>
    <n v="0"/>
    <n v="0"/>
    <n v="3331550733"/>
    <x v="19"/>
    <n v="23335"/>
    <n v="23335"/>
    <n v="23335"/>
    <m/>
    <n v="2002030"/>
    <s v="IS31"/>
    <m/>
    <s v="IKKOL0000353"/>
  </r>
  <r>
    <n v="44008729"/>
    <m/>
    <d v="2025-09-10T13:51:49"/>
    <s v="MUAT"/>
    <s v="LOCAL"/>
    <x v="1"/>
    <s v="BROWN PAPER BM 3"/>
    <s v="BROWN PAPER BM 3"/>
    <s v="HARDIYANTO"/>
    <s v="TRONTON LOS BAK"/>
    <s v="PT SEMEN INDONESIA LOGISTIK"/>
    <s v="PT. APP PURINUSA EKAPERSADA"/>
    <x v="69"/>
    <n v="10980"/>
    <x v="30"/>
    <n v="0"/>
    <n v="0"/>
    <s v="3331550722; 3331550725"/>
    <x v="20"/>
    <n v="12455"/>
    <n v="12455"/>
    <n v="12456"/>
    <m/>
    <n v="2002030"/>
    <s v="IS31"/>
    <m/>
    <s v="IKKOL0000347"/>
  </r>
  <r>
    <n v="44008730"/>
    <m/>
    <d v="2025-09-10T13:56:44"/>
    <s v="MUAT"/>
    <s v="LOCAL"/>
    <x v="1"/>
    <s v="BROWN PAPER BM 3"/>
    <s v="BROWN PAPER BM 3"/>
    <s v="RAFI"/>
    <s v="TRAILER"/>
    <s v="PT. BIMARUNA JAYA"/>
    <s v="PT. APP PURINUSA EKAPERSADA"/>
    <x v="70"/>
    <n v="16420"/>
    <x v="30"/>
    <n v="0"/>
    <n v="0"/>
    <n v="3331550428"/>
    <x v="21"/>
    <n v="31210"/>
    <n v="31210"/>
    <n v="31210"/>
    <m/>
    <n v="2002030"/>
    <s v="IS31"/>
    <m/>
    <s v="IKKOL0000343"/>
  </r>
  <r>
    <n v="44008731"/>
    <m/>
    <d v="2025-09-10T13:59:59"/>
    <s v="BONGKAR"/>
    <s v="LOCAL"/>
    <x v="0"/>
    <s v="RECOVERED PAPER LOCAL"/>
    <s v="BOX BIG PRESS"/>
    <s v="CUCU KHODIR"/>
    <s v="TRONTON LOS BAK"/>
    <s v="PT. YAPUTRA ABADI PERKASA"/>
    <s v="PT. YAPUTRA ABADI PERKASA"/>
    <x v="71"/>
    <n v="33000"/>
    <x v="30"/>
    <n v="0"/>
    <n v="0"/>
    <n v="1"/>
    <x v="0"/>
    <n v="0"/>
    <n v="0"/>
    <n v="1000"/>
    <m/>
    <n v="2002030"/>
    <m/>
    <m/>
    <s v="IKK000267491"/>
  </r>
  <r>
    <n v="44008732"/>
    <m/>
    <d v="2025-09-10T14:01:52"/>
    <s v="BONGKAR"/>
    <s v="LOCAL"/>
    <x v="0"/>
    <s v="CHEMICAL DSS"/>
    <s v="CHEMICAL DSS"/>
    <s v="SUTRISNO"/>
    <s v="TANGKI TRONTON/16000 L"/>
    <s v="TRANSPORTASI PINDO DELI"/>
    <s v="TRANSPORTASI PINDO DELI"/>
    <x v="72"/>
    <n v="30140"/>
    <x v="30"/>
    <n v="0"/>
    <n v="0"/>
    <n v="1"/>
    <x v="7"/>
    <n v="0"/>
    <n v="0"/>
    <n v="28000"/>
    <m/>
    <n v="2002030"/>
    <m/>
    <m/>
    <s v="IKK000267466"/>
  </r>
  <r>
    <n v="44008735"/>
    <m/>
    <d v="2025-09-10T14:15:06"/>
    <s v="BONGKAR"/>
    <s v="LOCAL"/>
    <x v="0"/>
    <s v="RECOVERED PAPER LOCAL"/>
    <s v="BOX BIG PRESS"/>
    <s v="AJI SUHENDI"/>
    <s v="CONTAINER;HIGH CUBE REEFER,40'"/>
    <s v="PT CITRA MEGA NUSANTARA"/>
    <s v="PT. CITRA MEGA NUSANTARA"/>
    <x v="73"/>
    <n v="44900"/>
    <x v="30"/>
    <n v="0"/>
    <n v="0"/>
    <n v="1"/>
    <x v="0"/>
    <n v="0"/>
    <n v="0"/>
    <n v="8000"/>
    <m/>
    <n v="2002030"/>
    <m/>
    <m/>
    <s v="IKK000267496"/>
  </r>
  <r>
    <n v="44008738"/>
    <m/>
    <d v="2025-09-10T14:58:27"/>
    <s v="BONGKAR"/>
    <s v="LOCAL"/>
    <x v="0"/>
    <s v="Waste Paper OCC"/>
    <s v="Waste Paper OCC"/>
    <s v="SUEB"/>
    <s v="CONTAINER;DRY FREIGHT,40'"/>
    <s v="PT RANCANGSEMESTA TRANSPORTINDO"/>
    <s v="DRAGON CROWN (H.K.) TRADING,"/>
    <x v="74"/>
    <n v="36180"/>
    <x v="30"/>
    <n v="0"/>
    <n v="0"/>
    <n v="45926078"/>
    <x v="22"/>
    <n v="1"/>
    <n v="1"/>
    <n v="0"/>
    <s v="CSLU6245960"/>
    <n v="2002030"/>
    <m/>
    <m/>
    <s v="IKK000267489"/>
  </r>
  <r>
    <n v="44008739"/>
    <m/>
    <d v="2025-09-10T15:01:54"/>
    <s v="BONGKAR"/>
    <s v="LOCAL"/>
    <x v="0"/>
    <s v="RECOVERED PAPER LOCAL"/>
    <s v="BOX BIG PRESS"/>
    <s v="TARSADI"/>
    <s v="COLT DIESEL BAK"/>
    <s v="PT. ORIENT TRADA MANDIRI"/>
    <s v="PT. ORIENT TRADA MANDIRI"/>
    <x v="75"/>
    <n v="12520"/>
    <x v="30"/>
    <n v="0"/>
    <n v="0"/>
    <n v="1"/>
    <x v="0"/>
    <n v="0"/>
    <n v="0"/>
    <n v="1000"/>
    <m/>
    <n v="2002030"/>
    <m/>
    <m/>
    <s v="IKK000267480"/>
  </r>
  <r>
    <n v="44008740"/>
    <m/>
    <d v="2025-09-10T15:04:33"/>
    <s v="BONGKAR"/>
    <s v="LOCAL"/>
    <x v="0"/>
    <s v="CHEMICAL DSS"/>
    <s v="CHEMICAL"/>
    <s v="FIKRI ANWARI"/>
    <s v="ENGKEL LOS BAK"/>
    <s v="PT. POLYGON MAS"/>
    <s v="PT. POLYGON MAS"/>
    <x v="76"/>
    <n v="20480"/>
    <x v="30"/>
    <n v="0"/>
    <n v="0"/>
    <n v="45005744"/>
    <x v="23"/>
    <n v="1"/>
    <n v="1"/>
    <n v="0"/>
    <m/>
    <n v="2002030"/>
    <m/>
    <m/>
    <s v="IKK000267475"/>
  </r>
  <r>
    <n v="44008741"/>
    <m/>
    <d v="2025-09-10T15:09:42"/>
    <s v="BONGKAR"/>
    <s v="LOCAL"/>
    <x v="0"/>
    <s v="Waste Paper OCC"/>
    <s v="Waste Paper OCC"/>
    <s v="APRIYANDI"/>
    <s v="CONT;HIGH CUBE DRY,40'"/>
    <s v="PT RANCANGSEMESTA TRANSPORTINDO"/>
    <s v="CYCLE LINK (U.S.A.) INC."/>
    <x v="77"/>
    <n v="36860"/>
    <x v="30"/>
    <n v="0"/>
    <n v="0"/>
    <n v="45926071"/>
    <x v="11"/>
    <n v="1"/>
    <n v="1"/>
    <n v="0"/>
    <s v="CSNU6273640"/>
    <n v="2002030"/>
    <m/>
    <m/>
    <s v="IKK000267498"/>
  </r>
  <r>
    <n v="44008743"/>
    <m/>
    <d v="2025-09-10T15:21:25"/>
    <s v="BONGKAR"/>
    <s v="LOCAL"/>
    <x v="0"/>
    <s v="RECOVERED PAPER LOCAL"/>
    <s v="BOX BIG PRESS"/>
    <s v="SUPRIYANTO"/>
    <s v="ENGKEL LOS BAK"/>
    <s v="PT. YAPUTRA ABADI PERKASA"/>
    <s v="PT. YAPUTRA ABADI PERKASA"/>
    <x v="78"/>
    <n v="20720"/>
    <x v="30"/>
    <n v="0"/>
    <n v="0"/>
    <n v="1"/>
    <x v="0"/>
    <n v="0"/>
    <n v="0"/>
    <n v="1000"/>
    <m/>
    <n v="2002030"/>
    <m/>
    <m/>
    <s v="IKK000267474"/>
  </r>
  <r>
    <n v="44008745"/>
    <m/>
    <d v="2025-09-10T15:25:32"/>
    <s v="MUAT"/>
    <s v="LOCAL"/>
    <x v="1"/>
    <s v="BROWN PAPER BM 3"/>
    <s v="BROWN PAPER BM 3"/>
    <s v="SUHERI"/>
    <s v="TRONTON LOS BAK"/>
    <s v="PT YUSHAR PUTERA JAYA"/>
    <s v="CIPTA MULTI BUANA PERKASA, PT"/>
    <x v="79"/>
    <n v="9100"/>
    <x v="30"/>
    <n v="0"/>
    <n v="0"/>
    <n v="3331550772"/>
    <x v="24"/>
    <n v="25245"/>
    <n v="25245"/>
    <n v="25245"/>
    <m/>
    <n v="2002030"/>
    <s v="IS31"/>
    <m/>
    <s v="IKKOL00003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30.11.2025"/>
    <x v="0"/>
    <x v="0"/>
    <n v="24142736"/>
    <x v="0"/>
    <x v="0"/>
    <n v="24508.366000000002"/>
    <x v="0"/>
    <n v="1"/>
    <n v="1"/>
    <x v="0"/>
    <m/>
    <m/>
  </r>
  <r>
    <s v="30.11.2025"/>
    <x v="1"/>
    <x v="0"/>
    <n v="24142737"/>
    <x v="0"/>
    <x v="0"/>
    <n v="25114.58"/>
    <x v="0"/>
    <n v="1"/>
    <n v="1"/>
    <x v="0"/>
    <m/>
    <m/>
  </r>
  <r>
    <s v="30.11.2025"/>
    <x v="2"/>
    <x v="0"/>
    <n v="24142738"/>
    <x v="0"/>
    <x v="0"/>
    <n v="24819.072"/>
    <x v="0"/>
    <n v="1"/>
    <n v="1"/>
    <x v="0"/>
    <m/>
    <m/>
  </r>
  <r>
    <s v="10.11.2025"/>
    <x v="3"/>
    <x v="0"/>
    <n v="24142739"/>
    <x v="0"/>
    <x v="0"/>
    <n v="24248.560000000001"/>
    <x v="0"/>
    <n v="1"/>
    <n v="1"/>
    <x v="0"/>
    <m/>
    <m/>
  </r>
  <r>
    <s v="30.11.2025"/>
    <x v="4"/>
    <x v="0"/>
    <n v="24142748"/>
    <x v="1"/>
    <x v="0"/>
    <n v="24943.77"/>
    <x v="0"/>
    <n v="1"/>
    <n v="1"/>
    <x v="1"/>
    <m/>
    <m/>
  </r>
  <r>
    <s v="30.11.2025"/>
    <x v="5"/>
    <x v="0"/>
    <n v="24142750"/>
    <x v="1"/>
    <x v="0"/>
    <n v="23902.151999999998"/>
    <x v="0"/>
    <n v="1"/>
    <n v="1"/>
    <x v="0"/>
    <m/>
    <m/>
  </r>
  <r>
    <s v="30.11.2025"/>
    <x v="6"/>
    <x v="0"/>
    <n v="24142751"/>
    <x v="1"/>
    <x v="0"/>
    <n v="24898.075000000001"/>
    <x v="0"/>
    <n v="1"/>
    <n v="1"/>
    <x v="0"/>
    <m/>
    <m/>
  </r>
  <r>
    <s v="11.11.2025"/>
    <x v="7"/>
    <x v="0"/>
    <n v="24142818"/>
    <x v="0"/>
    <x v="0"/>
    <n v="24465.87"/>
    <x v="0"/>
    <n v="1"/>
    <n v="1"/>
    <x v="0"/>
    <m/>
    <m/>
  </r>
  <r>
    <s v="30.11.2025"/>
    <x v="8"/>
    <x v="0"/>
    <n v="24142819"/>
    <x v="0"/>
    <x v="0"/>
    <n v="24415.481"/>
    <x v="0"/>
    <n v="1"/>
    <n v="1"/>
    <x v="0"/>
    <m/>
    <m/>
  </r>
  <r>
    <s v="30.11.2025"/>
    <x v="9"/>
    <x v="0"/>
    <n v="24142820"/>
    <x v="0"/>
    <x v="0"/>
    <n v="25838.042999999998"/>
    <x v="0"/>
    <n v="1"/>
    <n v="1"/>
    <x v="0"/>
    <m/>
    <m/>
  </r>
  <r>
    <s v="11.11.2025"/>
    <x v="10"/>
    <x v="1"/>
    <s v="="/>
    <x v="2"/>
    <x v="1"/>
    <s v="="/>
    <x v="1"/>
    <s v="="/>
    <s v="="/>
    <x v="2"/>
    <m/>
    <m/>
  </r>
  <r>
    <s v="11.11.2025"/>
    <x v="11"/>
    <x v="1"/>
    <s v="="/>
    <x v="2"/>
    <x v="1"/>
    <s v="="/>
    <x v="1"/>
    <s v="="/>
    <s v="="/>
    <x v="2"/>
    <m/>
    <m/>
  </r>
  <r>
    <s v="30.11.2025"/>
    <x v="12"/>
    <x v="2"/>
    <n v="24142815"/>
    <x v="3"/>
    <x v="2"/>
    <n v="41577.701000000001"/>
    <x v="2"/>
    <n v="1"/>
    <n v="1"/>
    <x v="1"/>
    <m/>
    <m/>
  </r>
  <r>
    <s v="30.11.2025"/>
    <x v="13"/>
    <x v="1"/>
    <s v="="/>
    <x v="2"/>
    <x v="1"/>
    <s v="="/>
    <x v="1"/>
    <s v="="/>
    <s v="="/>
    <x v="2"/>
    <m/>
    <m/>
  </r>
  <r>
    <s v="30.11.2025"/>
    <x v="14"/>
    <x v="3"/>
    <n v="24142848"/>
    <x v="4"/>
    <x v="2"/>
    <n v="36542.438999999998"/>
    <x v="2"/>
    <n v="1"/>
    <n v="1"/>
    <x v="0"/>
    <m/>
    <m/>
  </r>
  <r>
    <s v="12.11.2025"/>
    <x v="15"/>
    <x v="1"/>
    <s v="="/>
    <x v="2"/>
    <x v="1"/>
    <s v="="/>
    <x v="1"/>
    <s v="="/>
    <s v="="/>
    <x v="2"/>
    <m/>
    <m/>
  </r>
  <r>
    <s v="12.11.2025"/>
    <x v="16"/>
    <x v="1"/>
    <s v="="/>
    <x v="2"/>
    <x v="1"/>
    <s v="="/>
    <x v="1"/>
    <s v="="/>
    <s v="="/>
    <x v="2"/>
    <m/>
    <m/>
  </r>
  <r>
    <s v="12.11.2025"/>
    <x v="17"/>
    <x v="1"/>
    <s v="="/>
    <x v="2"/>
    <x v="1"/>
    <s v="="/>
    <x v="1"/>
    <s v="="/>
    <s v="="/>
    <x v="2"/>
    <m/>
    <m/>
  </r>
  <r>
    <s v="30.11.2025"/>
    <x v="18"/>
    <x v="4"/>
    <n v="24142877"/>
    <x v="5"/>
    <x v="3"/>
    <n v="41501.271999999997"/>
    <x v="2"/>
    <n v="1"/>
    <n v="1"/>
    <x v="0"/>
    <m/>
    <m/>
  </r>
  <r>
    <s v="14.11.2025"/>
    <x v="19"/>
    <x v="5"/>
    <n v="24142925"/>
    <x v="6"/>
    <x v="3"/>
    <n v="30771.025000000001"/>
    <x v="0"/>
    <n v="1"/>
    <n v="1"/>
    <x v="0"/>
    <m/>
    <m/>
  </r>
  <r>
    <s v="14.11.2025"/>
    <x v="20"/>
    <x v="5"/>
    <n v="24142926"/>
    <x v="6"/>
    <x v="3"/>
    <n v="31387.200000000001"/>
    <x v="0"/>
    <n v="1"/>
    <n v="1"/>
    <x v="0"/>
    <m/>
    <m/>
  </r>
  <r>
    <s v="14.11.2025"/>
    <x v="21"/>
    <x v="5"/>
    <n v="24142927"/>
    <x v="6"/>
    <x v="3"/>
    <n v="28202.204000000002"/>
    <x v="0"/>
    <n v="1"/>
    <n v="1"/>
    <x v="0"/>
    <m/>
    <m/>
  </r>
  <r>
    <s v="30.11.2025"/>
    <x v="22"/>
    <x v="3"/>
    <n v="24142965"/>
    <x v="7"/>
    <x v="4"/>
    <n v="46815.873999999996"/>
    <x v="2"/>
    <n v="1"/>
    <n v="1"/>
    <x v="0"/>
    <m/>
    <m/>
  </r>
  <r>
    <s v="30.11.2025"/>
    <x v="23"/>
    <x v="1"/>
    <s v="="/>
    <x v="2"/>
    <x v="1"/>
    <s v="="/>
    <x v="1"/>
    <s v="="/>
    <s v="="/>
    <x v="2"/>
    <m/>
    <m/>
  </r>
  <r>
    <s v="30.11.2025"/>
    <x v="24"/>
    <x v="4"/>
    <n v="24142966"/>
    <x v="7"/>
    <x v="4"/>
    <n v="41344.9"/>
    <x v="2"/>
    <n v="1"/>
    <n v="1"/>
    <x v="0"/>
    <m/>
    <m/>
  </r>
  <r>
    <s v="30.11.2025"/>
    <x v="25"/>
    <x v="4"/>
    <n v="24142967"/>
    <x v="7"/>
    <x v="4"/>
    <n v="38436.745000000003"/>
    <x v="2"/>
    <n v="1"/>
    <n v="1"/>
    <x v="0"/>
    <m/>
    <m/>
  </r>
  <r>
    <s v="30.11.2025"/>
    <x v="26"/>
    <x v="6"/>
    <n v="24142968"/>
    <x v="7"/>
    <x v="4"/>
    <n v="25312.159"/>
    <x v="3"/>
    <n v="1"/>
    <n v="1"/>
    <x v="0"/>
    <m/>
    <m/>
  </r>
  <r>
    <s v="30.11.2025"/>
    <x v="27"/>
    <x v="7"/>
    <n v="24142969"/>
    <x v="8"/>
    <x v="0"/>
    <n v="21805.05"/>
    <x v="4"/>
    <n v="1"/>
    <n v="1"/>
    <x v="0"/>
    <m/>
    <m/>
  </r>
  <r>
    <s v="30.11.2025"/>
    <x v="28"/>
    <x v="7"/>
    <n v="24142970"/>
    <x v="8"/>
    <x v="0"/>
    <n v="21805.05"/>
    <x v="3"/>
    <n v="1"/>
    <n v="1"/>
    <x v="0"/>
    <m/>
    <m/>
  </r>
  <r>
    <s v="14.11.2025"/>
    <x v="29"/>
    <x v="4"/>
    <n v="24142971"/>
    <x v="9"/>
    <x v="4"/>
    <n v="39121.328000000001"/>
    <x v="2"/>
    <n v="1"/>
    <n v="1"/>
    <x v="0"/>
    <m/>
    <m/>
  </r>
  <r>
    <s v="30.11.2025"/>
    <x v="30"/>
    <x v="7"/>
    <n v="24142972"/>
    <x v="8"/>
    <x v="0"/>
    <n v="25069.836000000003"/>
    <x v="3"/>
    <n v="1"/>
    <n v="1"/>
    <x v="0"/>
    <m/>
    <m/>
  </r>
  <r>
    <s v="30.11.2025"/>
    <x v="31"/>
    <x v="1"/>
    <s v="="/>
    <x v="2"/>
    <x v="1"/>
    <s v="="/>
    <x v="1"/>
    <s v="="/>
    <s v="="/>
    <x v="2"/>
    <m/>
    <m/>
  </r>
  <r>
    <s v="14.11.2025"/>
    <x v="32"/>
    <x v="6"/>
    <n v="24142973"/>
    <x v="8"/>
    <x v="0"/>
    <m/>
    <x v="3"/>
    <n v="1"/>
    <n v="1"/>
    <x v="0"/>
    <m/>
    <m/>
  </r>
  <r>
    <s v="14.11.2025"/>
    <x v="33"/>
    <x v="6"/>
    <n v="24142974"/>
    <x v="8"/>
    <x v="0"/>
    <m/>
    <x v="3"/>
    <n v="1"/>
    <n v="1"/>
    <x v="0"/>
    <m/>
    <m/>
  </r>
  <r>
    <s v="30.11.2025"/>
    <x v="34"/>
    <x v="6"/>
    <n v="24142975"/>
    <x v="8"/>
    <x v="0"/>
    <n v="23942.799999999999"/>
    <x v="3"/>
    <n v="1"/>
    <n v="1"/>
    <x v="0"/>
    <m/>
    <m/>
  </r>
  <r>
    <s v="30.11.2025"/>
    <x v="35"/>
    <x v="6"/>
    <n v="24142976"/>
    <x v="8"/>
    <x v="0"/>
    <n v="24455.86"/>
    <x v="3"/>
    <n v="1"/>
    <n v="1"/>
    <x v="0"/>
    <m/>
    <m/>
  </r>
  <r>
    <s v="14.11.2025"/>
    <x v="36"/>
    <x v="6"/>
    <n v="24142977"/>
    <x v="10"/>
    <x v="4"/>
    <n v="25653"/>
    <x v="3"/>
    <n v="1"/>
    <n v="1"/>
    <x v="0"/>
    <m/>
    <m/>
  </r>
  <r>
    <s v="14.11.2025"/>
    <x v="37"/>
    <x v="6"/>
    <n v="24142980"/>
    <x v="11"/>
    <x v="4"/>
    <n v="22702.904999999999"/>
    <x v="3"/>
    <n v="1"/>
    <n v="1"/>
    <x v="0"/>
    <m/>
    <m/>
  </r>
  <r>
    <s v="14.11.2025"/>
    <x v="38"/>
    <x v="6"/>
    <n v="24142982"/>
    <x v="12"/>
    <x v="4"/>
    <n v="25625.334999999999"/>
    <x v="3"/>
    <n v="1"/>
    <n v="1"/>
    <x v="0"/>
    <m/>
    <m/>
  </r>
  <r>
    <s v="14.11.2025"/>
    <x v="39"/>
    <x v="1"/>
    <s v="="/>
    <x v="2"/>
    <x v="1"/>
    <s v="="/>
    <x v="1"/>
    <s v="="/>
    <s v="="/>
    <x v="2"/>
    <m/>
    <m/>
  </r>
  <r>
    <s v="14.11.2025"/>
    <x v="40"/>
    <x v="1"/>
    <s v="="/>
    <x v="2"/>
    <x v="1"/>
    <s v="="/>
    <x v="1"/>
    <s v="="/>
    <s v="="/>
    <x v="2"/>
    <m/>
    <m/>
  </r>
  <r>
    <s v="14.11.2025"/>
    <x v="41"/>
    <x v="6"/>
    <n v="24142991"/>
    <x v="13"/>
    <x v="4"/>
    <n v="26892.895"/>
    <x v="3"/>
    <n v="1"/>
    <n v="1"/>
    <x v="0"/>
    <m/>
    <m/>
  </r>
  <r>
    <s v="30.11.2025"/>
    <x v="42"/>
    <x v="6"/>
    <n v="24142993"/>
    <x v="14"/>
    <x v="4"/>
    <n v="25415.445"/>
    <x v="3"/>
    <n v="1"/>
    <n v="1"/>
    <x v="0"/>
    <m/>
    <m/>
  </r>
  <r>
    <s v="30.11.2025"/>
    <x v="43"/>
    <x v="1"/>
    <s v="="/>
    <x v="2"/>
    <x v="1"/>
    <s v="="/>
    <x v="1"/>
    <s v="="/>
    <s v="="/>
    <x v="2"/>
    <m/>
    <m/>
  </r>
  <r>
    <s v="30.11.2025"/>
    <x v="44"/>
    <x v="6"/>
    <n v="24142987"/>
    <x v="15"/>
    <x v="4"/>
    <n v="23600.76"/>
    <x v="3"/>
    <n v="1"/>
    <n v="1"/>
    <x v="0"/>
    <m/>
    <m/>
  </r>
  <r>
    <s v="30.11.2025"/>
    <x v="45"/>
    <x v="6"/>
    <n v="24142988"/>
    <x v="15"/>
    <x v="4"/>
    <n v="20650.665000000001"/>
    <x v="3"/>
    <n v="1"/>
    <n v="1"/>
    <x v="0"/>
    <m/>
    <m/>
  </r>
  <r>
    <s v="14.11.2025"/>
    <x v="46"/>
    <x v="6"/>
    <n v="24142994"/>
    <x v="16"/>
    <x v="3"/>
    <n v="25653"/>
    <x v="3"/>
    <n v="1"/>
    <n v="1"/>
    <x v="0"/>
    <m/>
    <m/>
  </r>
  <r>
    <s v="30.11.2025"/>
    <x v="47"/>
    <x v="8"/>
    <n v="24142995"/>
    <x v="5"/>
    <x v="2"/>
    <n v="25866.499"/>
    <x v="3"/>
    <n v="1"/>
    <n v="1"/>
    <x v="0"/>
    <m/>
    <m/>
  </r>
  <r>
    <s v="30.11.2025"/>
    <x v="48"/>
    <x v="6"/>
    <n v="24143001"/>
    <x v="17"/>
    <x v="3"/>
    <n v="24465.064999999999"/>
    <x v="3"/>
    <n v="1"/>
    <n v="1"/>
    <x v="0"/>
    <m/>
    <m/>
  </r>
  <r>
    <s v="30.11.2025"/>
    <x v="49"/>
    <x v="9"/>
    <n v="24143002"/>
    <x v="18"/>
    <x v="5"/>
    <n v="24751.701999999997"/>
    <x v="0"/>
    <n v="1"/>
    <n v="1"/>
    <x v="0"/>
    <m/>
    <m/>
  </r>
  <r>
    <s v="30.11.2025"/>
    <x v="50"/>
    <x v="1"/>
    <s v="="/>
    <x v="2"/>
    <x v="1"/>
    <s v="="/>
    <x v="1"/>
    <s v="="/>
    <s v="="/>
    <x v="2"/>
    <m/>
    <m/>
  </r>
  <r>
    <s v="15.11.2025"/>
    <x v="51"/>
    <x v="5"/>
    <n v="24143006"/>
    <x v="6"/>
    <x v="6"/>
    <n v="30014.01"/>
    <x v="0"/>
    <n v="1"/>
    <n v="1"/>
    <x v="0"/>
    <m/>
    <m/>
  </r>
  <r>
    <s v="14.11.2025"/>
    <x v="52"/>
    <x v="6"/>
    <n v="24143015"/>
    <x v="19"/>
    <x v="7"/>
    <n v="26680.510999999999"/>
    <x v="3"/>
    <n v="1"/>
    <n v="1"/>
    <x v="0"/>
    <m/>
    <m/>
  </r>
  <r>
    <s v="16.11.2025"/>
    <x v="53"/>
    <x v="1"/>
    <s v="="/>
    <x v="2"/>
    <x v="1"/>
    <s v="="/>
    <x v="1"/>
    <s v="="/>
    <s v="="/>
    <x v="2"/>
    <m/>
    <m/>
  </r>
  <r>
    <s v="15.11.2025"/>
    <x v="54"/>
    <x v="5"/>
    <n v="24143018"/>
    <x v="16"/>
    <x v="6"/>
    <n v="31553.19"/>
    <x v="0"/>
    <n v="1"/>
    <n v="1"/>
    <x v="0"/>
    <m/>
    <m/>
  </r>
  <r>
    <m/>
    <x v="55"/>
    <x v="10"/>
    <m/>
    <x v="20"/>
    <x v="8"/>
    <m/>
    <x v="5"/>
    <m/>
    <m/>
    <x v="3"/>
    <m/>
    <m/>
  </r>
  <r>
    <s v="30.11.2025"/>
    <x v="56"/>
    <x v="11"/>
    <n v="24142937"/>
    <x v="21"/>
    <x v="9"/>
    <n v="25331.456999999999"/>
    <x v="3"/>
    <n v="1"/>
    <n v="1"/>
    <x v="0"/>
    <m/>
    <m/>
  </r>
  <r>
    <s v="30.11.2025"/>
    <x v="57"/>
    <x v="12"/>
    <n v="24142938"/>
    <x v="21"/>
    <x v="9"/>
    <n v="26050.336000000003"/>
    <x v="3"/>
    <n v="1"/>
    <n v="1"/>
    <x v="0"/>
    <m/>
    <m/>
  </r>
  <r>
    <s v="30.11.2025"/>
    <x v="58"/>
    <x v="1"/>
    <s v="="/>
    <x v="2"/>
    <x v="1"/>
    <s v="="/>
    <x v="1"/>
    <s v="="/>
    <s v="="/>
    <x v="2"/>
    <m/>
    <m/>
  </r>
  <r>
    <s v="30.11.2025"/>
    <x v="59"/>
    <x v="13"/>
    <n v="24142947"/>
    <x v="22"/>
    <x v="9"/>
    <n v="25784.04"/>
    <x v="3"/>
    <n v="1"/>
    <n v="1"/>
    <x v="0"/>
    <m/>
    <m/>
  </r>
  <r>
    <s v="30.11.2025"/>
    <x v="60"/>
    <x v="6"/>
    <n v="24142948"/>
    <x v="22"/>
    <x v="9"/>
    <n v="25504.195"/>
    <x v="3"/>
    <n v="1"/>
    <n v="1"/>
    <x v="0"/>
    <m/>
    <m/>
  </r>
  <r>
    <s v="30.11.2025"/>
    <x v="61"/>
    <x v="6"/>
    <n v="24142949"/>
    <x v="22"/>
    <x v="9"/>
    <n v="26976.523000000001"/>
    <x v="3"/>
    <n v="1"/>
    <n v="1"/>
    <x v="0"/>
    <m/>
    <m/>
  </r>
  <r>
    <s v="30.11.2025"/>
    <x v="62"/>
    <x v="6"/>
    <n v="24142958"/>
    <x v="22"/>
    <x v="9"/>
    <n v="25811.776000000002"/>
    <x v="3"/>
    <n v="1"/>
    <n v="1"/>
    <x v="0"/>
    <m/>
    <m/>
  </r>
  <r>
    <s v="30.11.2025"/>
    <x v="63"/>
    <x v="1"/>
    <s v="="/>
    <x v="2"/>
    <x v="1"/>
    <s v="="/>
    <x v="1"/>
    <s v="="/>
    <s v="="/>
    <x v="2"/>
    <m/>
    <m/>
  </r>
  <r>
    <s v="30.11.2025"/>
    <x v="64"/>
    <x v="1"/>
    <s v="="/>
    <x v="2"/>
    <x v="1"/>
    <s v="="/>
    <x v="1"/>
    <s v="="/>
    <s v="="/>
    <x v="2"/>
    <m/>
    <m/>
  </r>
  <r>
    <s v="30.11.2025"/>
    <x v="65"/>
    <x v="13"/>
    <n v="24142978"/>
    <x v="23"/>
    <x v="9"/>
    <n v="23413.364000000001"/>
    <x v="3"/>
    <n v="1"/>
    <n v="1"/>
    <x v="0"/>
    <m/>
    <m/>
  </r>
  <r>
    <s v="30.11.2025"/>
    <x v="66"/>
    <x v="14"/>
    <n v="24142979"/>
    <x v="23"/>
    <x v="10"/>
    <n v="23790.240000000002"/>
    <x v="3"/>
    <n v="1"/>
    <n v="1"/>
    <x v="0"/>
    <m/>
    <m/>
  </r>
  <r>
    <s v="30.11.2025"/>
    <x v="67"/>
    <x v="12"/>
    <n v="24142983"/>
    <x v="23"/>
    <x v="9"/>
    <n v="23686.627"/>
    <x v="3"/>
    <n v="1"/>
    <n v="1"/>
    <x v="0"/>
    <m/>
    <m/>
  </r>
  <r>
    <s v="30.11.2025"/>
    <x v="68"/>
    <x v="1"/>
    <s v="="/>
    <x v="2"/>
    <x v="1"/>
    <s v="="/>
    <x v="1"/>
    <s v="="/>
    <s v="="/>
    <x v="2"/>
    <m/>
    <m/>
  </r>
  <r>
    <s v="30.11.2025"/>
    <x v="69"/>
    <x v="12"/>
    <n v="24142984"/>
    <x v="23"/>
    <x v="9"/>
    <n v="21429.690999999999"/>
    <x v="3"/>
    <n v="1"/>
    <n v="1"/>
    <x v="0"/>
    <m/>
    <m/>
  </r>
  <r>
    <s v="30.11.2025"/>
    <x v="70"/>
    <x v="14"/>
    <n v="24142939"/>
    <x v="21"/>
    <x v="11"/>
    <n v="26147.952000000001"/>
    <x v="3"/>
    <n v="1"/>
    <n v="1"/>
    <x v="0"/>
    <m/>
    <m/>
  </r>
  <r>
    <s v="30.11.2025"/>
    <x v="71"/>
    <x v="11"/>
    <n v="24142940"/>
    <x v="21"/>
    <x v="11"/>
    <n v="26716.717000000001"/>
    <x v="3"/>
    <n v="1"/>
    <n v="1"/>
    <x v="0"/>
    <m/>
    <m/>
  </r>
  <r>
    <s v="14.11.2025"/>
    <x v="72"/>
    <x v="11"/>
    <n v="24143003"/>
    <x v="23"/>
    <x v="9"/>
    <n v="27652.601000000002"/>
    <x v="3"/>
    <n v="1"/>
    <n v="1"/>
    <x v="0"/>
    <s v="ADD"/>
    <m/>
  </r>
  <r>
    <s v="30.11.2025"/>
    <x v="73"/>
    <x v="1"/>
    <s v="="/>
    <x v="2"/>
    <x v="1"/>
    <s v="="/>
    <x v="1"/>
    <s v="="/>
    <s v="="/>
    <x v="2"/>
    <m/>
    <m/>
  </r>
  <r>
    <s v="30.11.2025"/>
    <x v="74"/>
    <x v="12"/>
    <n v="24143004"/>
    <x v="24"/>
    <x v="9"/>
    <n v="25812.63"/>
    <x v="3"/>
    <n v="1"/>
    <n v="1"/>
    <x v="0"/>
    <s v="ADD"/>
    <m/>
  </r>
  <r>
    <s v="30.11.2025"/>
    <x v="75"/>
    <x v="14"/>
    <n v="24143005"/>
    <x v="24"/>
    <x v="9"/>
    <n v="23163.300999999999"/>
    <x v="3"/>
    <n v="1"/>
    <n v="1"/>
    <x v="0"/>
    <s v="ADD"/>
    <m/>
  </r>
  <r>
    <s v="30.11.2025"/>
    <x v="76"/>
    <x v="11"/>
    <n v="24143007"/>
    <x v="25"/>
    <x v="9"/>
    <n v="25641.951000000001"/>
    <x v="3"/>
    <n v="1"/>
    <n v="1"/>
    <x v="0"/>
    <s v="ADD"/>
    <m/>
  </r>
  <r>
    <s v="30.11.2025"/>
    <x v="77"/>
    <x v="14"/>
    <n v="24143012"/>
    <x v="25"/>
    <x v="9"/>
    <n v="25375.203000000001"/>
    <x v="3"/>
    <n v="1"/>
    <n v="1"/>
    <x v="0"/>
    <s v="ADD"/>
    <m/>
  </r>
  <r>
    <s v="30.11.2025"/>
    <x v="78"/>
    <x v="1"/>
    <s v="="/>
    <x v="2"/>
    <x v="1"/>
    <s v="="/>
    <x v="1"/>
    <s v="="/>
    <s v="="/>
    <x v="2"/>
    <m/>
    <m/>
  </r>
  <r>
    <s v="30.11.2025"/>
    <x v="79"/>
    <x v="11"/>
    <n v="24143016"/>
    <x v="24"/>
    <x v="9"/>
    <n v="23382.54"/>
    <x v="3"/>
    <n v="1"/>
    <n v="1"/>
    <x v="0"/>
    <s v="ADD"/>
    <m/>
  </r>
  <r>
    <s v="14.11.2025"/>
    <x v="80"/>
    <x v="13"/>
    <n v="24142950"/>
    <x v="26"/>
    <x v="11"/>
    <n v="25115.795999999998"/>
    <x v="3"/>
    <n v="1"/>
    <n v="1"/>
    <x v="1"/>
    <m/>
    <m/>
  </r>
  <r>
    <s v="14.11.2025"/>
    <x v="81"/>
    <x v="12"/>
    <n v="24142996"/>
    <x v="26"/>
    <x v="11"/>
    <n v="25115.795999999998"/>
    <x v="3"/>
    <n v="1"/>
    <n v="1"/>
    <x v="0"/>
    <m/>
    <m/>
  </r>
  <r>
    <s v="14.11.2025"/>
    <x v="82"/>
    <x v="12"/>
    <n v="24142997"/>
    <x v="26"/>
    <x v="11"/>
    <n v="26320.984"/>
    <x v="3"/>
    <n v="1"/>
    <n v="1"/>
    <x v="0"/>
    <m/>
    <m/>
  </r>
  <r>
    <s v="14.11.2025"/>
    <x v="83"/>
    <x v="12"/>
    <n v="24143000"/>
    <x v="26"/>
    <x v="11"/>
    <n v="24918.623"/>
    <x v="3"/>
    <n v="1"/>
    <n v="1"/>
    <x v="0"/>
    <m/>
    <m/>
  </r>
  <r>
    <s v="14.11.2025"/>
    <x v="84"/>
    <x v="1"/>
    <s v="="/>
    <x v="2"/>
    <x v="1"/>
    <s v="="/>
    <x v="1"/>
    <s v="="/>
    <s v="="/>
    <x v="2"/>
    <m/>
    <m/>
  </r>
  <r>
    <s v="14.11.2025"/>
    <x v="85"/>
    <x v="12"/>
    <n v="24142963"/>
    <x v="26"/>
    <x v="11"/>
    <n v="24772.75"/>
    <x v="3"/>
    <n v="1"/>
    <n v="1"/>
    <x v="0"/>
    <m/>
    <m/>
  </r>
  <r>
    <s v="14.11.2025"/>
    <x v="86"/>
    <x v="1"/>
    <s v="="/>
    <x v="2"/>
    <x v="1"/>
    <s v="="/>
    <x v="1"/>
    <s v="="/>
    <s v="="/>
    <x v="2"/>
    <m/>
    <m/>
  </r>
  <r>
    <s v="14.11.2025"/>
    <x v="87"/>
    <x v="11"/>
    <n v="24142964"/>
    <x v="26"/>
    <x v="11"/>
    <n v="24898.075000000001"/>
    <x v="3"/>
    <n v="1"/>
    <n v="1"/>
    <x v="0"/>
    <m/>
    <m/>
  </r>
  <r>
    <s v="14.11.2025"/>
    <x v="88"/>
    <x v="11"/>
    <n v="24142981"/>
    <x v="26"/>
    <x v="11"/>
    <n v="24768.171999999999"/>
    <x v="3"/>
    <n v="1"/>
    <n v="1"/>
    <x v="0"/>
    <m/>
    <m/>
  </r>
  <r>
    <s v="14.11.2025"/>
    <x v="89"/>
    <x v="11"/>
    <n v="24142985"/>
    <x v="26"/>
    <x v="11"/>
    <n v="25807.396000000001"/>
    <x v="3"/>
    <n v="1"/>
    <n v="1"/>
    <x v="0"/>
    <m/>
    <m/>
  </r>
  <r>
    <s v="14.11.2025"/>
    <x v="90"/>
    <x v="11"/>
    <n v="24142986"/>
    <x v="26"/>
    <x v="11"/>
    <n v="25374.385999999999"/>
    <x v="3"/>
    <n v="1"/>
    <n v="1"/>
    <x v="0"/>
    <m/>
    <m/>
  </r>
  <r>
    <s v="14.11.2025"/>
    <x v="91"/>
    <x v="14"/>
    <n v="24142989"/>
    <x v="26"/>
    <x v="11"/>
    <n v="25374.385999999999"/>
    <x v="3"/>
    <n v="1"/>
    <n v="1"/>
    <x v="1"/>
    <m/>
    <m/>
  </r>
  <r>
    <s v="14.11.2025"/>
    <x v="92"/>
    <x v="14"/>
    <n v="24142999"/>
    <x v="26"/>
    <x v="11"/>
    <n v="25201.182000000001"/>
    <x v="3"/>
    <n v="1"/>
    <n v="1"/>
    <x v="0"/>
    <m/>
    <m/>
  </r>
  <r>
    <s v="14.11.2025"/>
    <x v="93"/>
    <x v="14"/>
    <n v="24142992"/>
    <x v="26"/>
    <x v="11"/>
    <n v="24335.162"/>
    <x v="3"/>
    <n v="1"/>
    <n v="1"/>
    <x v="1"/>
    <m/>
    <m/>
  </r>
  <r>
    <s v="15.11.2025"/>
    <x v="94"/>
    <x v="15"/>
    <n v="24143028"/>
    <x v="27"/>
    <x v="0"/>
    <n v="25738.51"/>
    <x v="3"/>
    <n v="1"/>
    <n v="1"/>
    <x v="0"/>
    <m/>
    <m/>
  </r>
  <r>
    <m/>
    <x v="95"/>
    <x v="7"/>
    <n v="24143030"/>
    <x v="28"/>
    <x v="0"/>
    <n v="1453.67"/>
    <x v="3"/>
    <n v="1"/>
    <n v="1"/>
    <x v="0"/>
    <m/>
    <m/>
  </r>
  <r>
    <m/>
    <x v="96"/>
    <x v="7"/>
    <n v="0"/>
    <x v="28"/>
    <x v="0"/>
    <n v="11679.911"/>
    <x v="3"/>
    <s v="="/>
    <s v="="/>
    <x v="2"/>
    <m/>
    <m/>
  </r>
  <r>
    <m/>
    <x v="97"/>
    <x v="12"/>
    <n v="24143023"/>
    <x v="29"/>
    <x v="9"/>
    <n v="5087.8119999999999"/>
    <x v="5"/>
    <n v="1"/>
    <n v="1"/>
    <x v="0"/>
    <m/>
    <m/>
  </r>
  <r>
    <m/>
    <x v="98"/>
    <x v="1"/>
    <n v="24143023"/>
    <x v="29"/>
    <x v="9"/>
    <n v="16723.832999999999"/>
    <x v="5"/>
    <s v="="/>
    <s v="="/>
    <x v="2"/>
    <m/>
    <m/>
  </r>
  <r>
    <m/>
    <x v="99"/>
    <x v="1"/>
    <n v="24143023"/>
    <x v="29"/>
    <x v="9"/>
    <n v="3054.2159999999999"/>
    <x v="5"/>
    <s v="="/>
    <s v="="/>
    <x v="2"/>
    <m/>
    <m/>
  </r>
  <r>
    <s v="15.11.2025"/>
    <x v="100"/>
    <x v="11"/>
    <n v="24143027"/>
    <x v="30"/>
    <x v="9"/>
    <n v="25524.735000000001"/>
    <x v="3"/>
    <n v="1"/>
    <n v="1"/>
    <x v="0"/>
    <m/>
    <m/>
  </r>
  <r>
    <m/>
    <x v="101"/>
    <x v="13"/>
    <n v="24143024"/>
    <x v="29"/>
    <x v="12"/>
    <n v="13929.075999999999"/>
    <x v="5"/>
    <n v="1"/>
    <n v="1"/>
    <x v="0"/>
    <m/>
    <m/>
  </r>
  <r>
    <m/>
    <x v="102"/>
    <x v="1"/>
    <n v="24143024"/>
    <x v="29"/>
    <x v="12"/>
    <n v="8178.1869999999999"/>
    <x v="5"/>
    <s v="="/>
    <s v="="/>
    <x v="2"/>
    <m/>
    <m/>
  </r>
  <r>
    <m/>
    <x v="103"/>
    <x v="1"/>
    <n v="24143024"/>
    <x v="29"/>
    <x v="12"/>
    <n v="5700.2389999999996"/>
    <x v="5"/>
    <s v="="/>
    <s v="="/>
    <x v="2"/>
    <m/>
    <m/>
  </r>
  <r>
    <m/>
    <x v="104"/>
    <x v="0"/>
    <n v="24143019"/>
    <x v="1"/>
    <x v="0"/>
    <n v="25330.829000000002"/>
    <x v="5"/>
    <n v="1"/>
    <n v="1"/>
    <x v="0"/>
    <m/>
    <m/>
  </r>
  <r>
    <m/>
    <x v="105"/>
    <x v="0"/>
    <n v="24143020"/>
    <x v="1"/>
    <x v="0"/>
    <n v="25330.829000000002"/>
    <x v="5"/>
    <n v="1"/>
    <n v="1"/>
    <x v="0"/>
    <m/>
    <m/>
  </r>
  <r>
    <s v="15.11.2025"/>
    <x v="106"/>
    <x v="0"/>
    <n v="24143021"/>
    <x v="1"/>
    <x v="0"/>
    <n v="25330.828000000001"/>
    <x v="0"/>
    <n v="1"/>
    <n v="1"/>
    <x v="1"/>
    <m/>
    <m/>
  </r>
  <r>
    <m/>
    <x v="107"/>
    <x v="0"/>
    <n v="24143022"/>
    <x v="1"/>
    <x v="0"/>
    <n v="25330.829000000002"/>
    <x v="5"/>
    <n v="1"/>
    <n v="1"/>
    <x v="0"/>
    <m/>
    <m/>
  </r>
  <r>
    <m/>
    <x v="108"/>
    <x v="16"/>
    <n v="0"/>
    <x v="31"/>
    <x v="3"/>
    <n v="35486.65"/>
    <x v="5"/>
    <n v="1"/>
    <n v="1"/>
    <x v="0"/>
    <m/>
    <m/>
  </r>
  <r>
    <s v="15.11.2025"/>
    <x v="109"/>
    <x v="4"/>
    <n v="24143035"/>
    <x v="31"/>
    <x v="3"/>
    <n v="36042.464999999997"/>
    <x v="2"/>
    <n v="1"/>
    <n v="1"/>
    <x v="0"/>
    <m/>
    <m/>
  </r>
  <r>
    <s v="15.11.2025"/>
    <x v="110"/>
    <x v="4"/>
    <n v="24143037"/>
    <x v="31"/>
    <x v="3"/>
    <n v="34930.834999999999"/>
    <x v="2"/>
    <n v="1"/>
    <n v="1"/>
    <x v="0"/>
    <m/>
    <m/>
  </r>
  <r>
    <m/>
    <x v="111"/>
    <x v="6"/>
    <n v="0"/>
    <x v="32"/>
    <x v="3"/>
    <n v="25824.02"/>
    <x v="3"/>
    <n v="1"/>
    <n v="1"/>
    <x v="0"/>
    <m/>
    <m/>
  </r>
  <r>
    <m/>
    <x v="112"/>
    <x v="1"/>
    <n v="0"/>
    <x v="32"/>
    <x v="3"/>
    <n v="24370.35"/>
    <x v="3"/>
    <s v="="/>
    <s v="="/>
    <x v="2"/>
    <m/>
    <m/>
  </r>
  <r>
    <m/>
    <x v="113"/>
    <x v="14"/>
    <n v="24143026"/>
    <x v="33"/>
    <x v="12"/>
    <n v="11679.911"/>
    <x v="5"/>
    <n v="1"/>
    <n v="1"/>
    <x v="0"/>
    <m/>
    <m/>
  </r>
  <r>
    <m/>
    <x v="114"/>
    <x v="1"/>
    <n v="24143026"/>
    <x v="33"/>
    <x v="12"/>
    <n v="12687.192999999999"/>
    <x v="5"/>
    <s v="="/>
    <s v="="/>
    <x v="2"/>
    <m/>
    <m/>
  </r>
  <r>
    <m/>
    <x v="115"/>
    <x v="1"/>
    <n v="24143026"/>
    <x v="33"/>
    <x v="12"/>
    <n v="1290.1949999999999"/>
    <x v="5"/>
    <s v="="/>
    <s v="="/>
    <x v="2"/>
    <m/>
    <m/>
  </r>
  <r>
    <s v="15.11.2025"/>
    <x v="112"/>
    <x v="6"/>
    <n v="24143029"/>
    <x v="34"/>
    <x v="3"/>
    <n v="24370.35"/>
    <x v="6"/>
    <n v="1"/>
    <n v="1"/>
    <x v="0"/>
    <m/>
    <m/>
  </r>
  <r>
    <s v="15.11.2025"/>
    <x v="116"/>
    <x v="6"/>
    <n v="24143031"/>
    <x v="35"/>
    <x v="4"/>
    <n v="25738.51"/>
    <x v="6"/>
    <n v="1"/>
    <n v="1"/>
    <x v="0"/>
    <m/>
    <m/>
  </r>
  <r>
    <s v="15.11.2025"/>
    <x v="117"/>
    <x v="6"/>
    <n v="24143032"/>
    <x v="35"/>
    <x v="4"/>
    <n v="25738.51"/>
    <x v="6"/>
    <n v="1"/>
    <n v="1"/>
    <x v="0"/>
    <m/>
    <m/>
  </r>
  <r>
    <s v="15.11.2025"/>
    <x v="118"/>
    <x v="6"/>
    <n v="24143033"/>
    <x v="35"/>
    <x v="4"/>
    <n v="25738.51"/>
    <x v="6"/>
    <n v="1"/>
    <n v="1"/>
    <x v="0"/>
    <m/>
    <m/>
  </r>
  <r>
    <s v="15.11.2025"/>
    <x v="119"/>
    <x v="6"/>
    <n v="24143034"/>
    <x v="35"/>
    <x v="4"/>
    <n v="25738.51"/>
    <x v="6"/>
    <n v="1"/>
    <n v="1"/>
    <x v="0"/>
    <m/>
    <m/>
  </r>
  <r>
    <s v="15.11.2025"/>
    <x v="120"/>
    <x v="6"/>
    <n v="24143038"/>
    <x v="35"/>
    <x v="4"/>
    <n v="25738.51"/>
    <x v="6"/>
    <n v="1"/>
    <n v="1"/>
    <x v="1"/>
    <m/>
    <m/>
  </r>
  <r>
    <s v="15.11.2025"/>
    <x v="121"/>
    <x v="6"/>
    <n v="24143039"/>
    <x v="35"/>
    <x v="4"/>
    <n v="25738.51"/>
    <x v="6"/>
    <n v="1"/>
    <n v="1"/>
    <x v="1"/>
    <m/>
    <m/>
  </r>
  <r>
    <s v="15.11.2025"/>
    <x v="122"/>
    <x v="6"/>
    <n v="24143040"/>
    <x v="35"/>
    <x v="4"/>
    <n v="25738.51"/>
    <x v="6"/>
    <n v="1"/>
    <n v="1"/>
    <x v="1"/>
    <m/>
    <m/>
  </r>
  <r>
    <s v="15.11.2025"/>
    <x v="123"/>
    <x v="6"/>
    <n v="24143041"/>
    <x v="35"/>
    <x v="4"/>
    <n v="22061.58"/>
    <x v="6"/>
    <n v="1"/>
    <n v="1"/>
    <x v="1"/>
    <m/>
    <m/>
  </r>
  <r>
    <s v="15.11.2025"/>
    <x v="124"/>
    <x v="6"/>
    <n v="24143042"/>
    <x v="35"/>
    <x v="4"/>
    <n v="20223.12"/>
    <x v="6"/>
    <n v="1"/>
    <n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A1DE4-CDEF-4A53-A2A1-F6AE7C68C4D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" firstHeaderRow="1" firstDataRow="1" firstDataCol="3" rowPageCount="1" colPageCount="1"/>
  <pivotFields count="27">
    <pivotField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7">
        <item x="1"/>
        <item h="1" x="0"/>
        <item h="1" m="1" x="4"/>
        <item h="1" x="2"/>
        <item h="1" m="1" x="6"/>
        <item h="1" m="1" x="5"/>
        <item h="1" m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41">
        <item m="1" x="809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825"/>
        <item m="1" x="826"/>
        <item m="1" x="765"/>
        <item m="1" x="766"/>
        <item m="1" x="806"/>
        <item m="1" x="827"/>
        <item m="1" x="828"/>
        <item m="1" x="810"/>
        <item m="1" x="767"/>
        <item m="1" x="829"/>
        <item m="1" x="830"/>
        <item m="1" x="831"/>
        <item m="1" x="769"/>
        <item m="1" x="768"/>
        <item m="1" x="832"/>
        <item m="1" x="833"/>
        <item m="1" x="834"/>
        <item m="1" x="835"/>
        <item m="1" x="771"/>
        <item m="1" x="770"/>
        <item m="1" x="837"/>
        <item m="1" x="836"/>
        <item m="1" x="772"/>
        <item m="1" x="773"/>
        <item m="1" x="774"/>
        <item m="1" x="775"/>
        <item m="1" x="776"/>
        <item m="1" x="807"/>
        <item m="1" x="777"/>
        <item m="1" x="778"/>
        <item m="1" x="779"/>
        <item m="1" x="808"/>
        <item m="1" x="780"/>
        <item m="1" x="781"/>
        <item m="1" x="811"/>
        <item m="1" x="812"/>
        <item m="1" x="782"/>
        <item m="1" x="783"/>
        <item m="1" x="784"/>
        <item m="1" x="785"/>
        <item m="1" x="786"/>
        <item m="1" x="838"/>
        <item m="1" x="787"/>
        <item m="1" x="813"/>
        <item m="1" x="814"/>
        <item m="1" x="788"/>
        <item m="1" x="789"/>
        <item m="1" x="790"/>
        <item m="1" x="839"/>
        <item m="1" x="815"/>
        <item m="1" x="840"/>
        <item m="1" x="791"/>
        <item m="1" x="816"/>
        <item m="1" x="817"/>
        <item m="1" x="792"/>
        <item m="1" x="793"/>
        <item m="1" x="794"/>
        <item m="1" x="818"/>
        <item m="1" x="819"/>
        <item m="1" x="820"/>
        <item m="1" x="821"/>
        <item m="1" x="822"/>
        <item m="1" x="823"/>
        <item m="1" x="82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741"/>
        <item m="1" x="739"/>
        <item m="1" x="740"/>
        <item m="1" x="732"/>
        <item m="1" x="733"/>
        <item m="1" x="734"/>
        <item m="1" x="735"/>
        <item m="1" x="736"/>
        <item m="1" x="737"/>
        <item m="1" x="73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677"/>
        <item m="1" x="675"/>
        <item m="1" x="676"/>
        <item m="1" x="643"/>
        <item m="1" x="644"/>
        <item m="1" x="645"/>
        <item m="1" x="646"/>
        <item m="1" x="647"/>
        <item m="1" x="648"/>
        <item m="1" x="653"/>
        <item m="1" x="654"/>
        <item m="1" x="655"/>
        <item m="1" x="656"/>
        <item m="1" x="657"/>
        <item m="1" x="724"/>
        <item m="1" x="725"/>
        <item m="1" x="726"/>
        <item m="1" x="727"/>
        <item m="1" x="728"/>
        <item m="1" x="658"/>
        <item m="1" x="659"/>
        <item m="1" x="660"/>
        <item m="1" x="661"/>
        <item m="1" x="662"/>
        <item m="1" x="663"/>
        <item m="1" x="664"/>
        <item m="1" x="665"/>
        <item m="1" x="649"/>
        <item m="1" x="650"/>
        <item m="1" x="651"/>
        <item m="1" x="729"/>
        <item m="1" x="730"/>
        <item m="1" x="731"/>
        <item m="1" x="678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52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591"/>
        <item m="1" x="592"/>
        <item m="1" x="593"/>
        <item m="1" x="594"/>
        <item m="1" x="595"/>
        <item m="1" x="589"/>
        <item m="1" x="590"/>
        <item m="1" x="583"/>
        <item m="1" x="584"/>
        <item m="1" x="631"/>
        <item m="1" x="632"/>
        <item m="1" x="633"/>
        <item m="1" x="634"/>
        <item m="1" x="585"/>
        <item m="1" x="586"/>
        <item m="1" x="587"/>
        <item m="1" x="588"/>
        <item m="1" x="577"/>
        <item m="1" x="578"/>
        <item m="1" x="579"/>
        <item m="1" x="580"/>
        <item m="1" x="581"/>
        <item m="1" x="582"/>
        <item m="1" x="572"/>
        <item m="1" x="573"/>
        <item m="1" x="574"/>
        <item m="1" x="575"/>
        <item m="1" x="628"/>
        <item m="1" x="629"/>
        <item m="1" x="638"/>
        <item m="1" x="639"/>
        <item m="1" x="640"/>
        <item m="1" x="641"/>
        <item m="1" x="642"/>
        <item m="1" x="576"/>
        <item m="1" x="571"/>
        <item m="1" x="569"/>
        <item m="1" x="570"/>
        <item m="1" x="568"/>
        <item m="1" x="567"/>
        <item m="1" x="566"/>
        <item m="1" x="554"/>
        <item m="1" x="555"/>
        <item m="1" x="556"/>
        <item m="1" x="557"/>
        <item m="1" x="630"/>
        <item m="1" x="635"/>
        <item m="1" x="636"/>
        <item m="1" x="637"/>
        <item m="1" x="558"/>
        <item m="1" x="559"/>
        <item m="1" x="561"/>
        <item m="1" x="560"/>
        <item m="1" x="562"/>
        <item m="1" x="563"/>
        <item m="1" x="564"/>
        <item m="1" x="565"/>
        <item m="1" x="551"/>
        <item m="1" x="552"/>
        <item m="1" x="553"/>
        <item m="1" x="550"/>
        <item m="1" x="547"/>
        <item m="1" x="548"/>
        <item m="1" x="549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534"/>
        <item m="1" x="483"/>
        <item m="1" x="537"/>
        <item m="1" x="538"/>
        <item m="1" x="484"/>
        <item m="1" x="485"/>
        <item m="1" x="486"/>
        <item m="1" x="487"/>
        <item m="1" x="488"/>
        <item m="1" x="535"/>
        <item m="1" x="536"/>
        <item m="1" x="539"/>
        <item m="1" x="540"/>
        <item m="1" x="489"/>
        <item m="1" x="491"/>
        <item m="1" x="492"/>
        <item m="1" x="493"/>
        <item m="1" x="541"/>
        <item m="1" x="542"/>
        <item m="1" x="494"/>
        <item m="1" x="496"/>
        <item m="1" x="497"/>
        <item m="1" x="498"/>
        <item m="1" x="499"/>
        <item m="1" x="500"/>
        <item m="1" x="543"/>
        <item m="1" x="490"/>
        <item m="1" x="501"/>
        <item m="1" x="502"/>
        <item m="1" x="495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44"/>
        <item m="1" x="514"/>
        <item m="1" x="545"/>
        <item m="1" x="546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33"/>
        <item m="1" x="526"/>
        <item m="1" x="527"/>
        <item m="1" x="528"/>
        <item m="1" x="529"/>
        <item m="1" x="530"/>
        <item m="1" x="531"/>
        <item m="1" x="532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36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06"/>
        <item m="1" x="307"/>
        <item m="1" x="303"/>
        <item m="1" x="304"/>
        <item m="1" x="305"/>
        <item m="1" x="299"/>
        <item m="1" x="300"/>
        <item m="1" x="301"/>
        <item m="1" x="302"/>
        <item m="1" x="297"/>
        <item m="1" x="298"/>
        <item m="1" x="294"/>
        <item m="1" x="295"/>
        <item m="1" x="296"/>
        <item m="1" x="293"/>
        <item m="1" x="290"/>
        <item m="1" x="291"/>
        <item m="1" x="292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71"/>
        <item m="1" x="274"/>
        <item m="1" x="282"/>
        <item m="1" x="283"/>
        <item m="1" x="284"/>
        <item m="1" x="289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72"/>
        <item m="1" x="273"/>
        <item m="1" x="275"/>
        <item m="1" x="276"/>
        <item m="1" x="277"/>
        <item m="1" x="278"/>
        <item m="1" x="279"/>
        <item m="1" x="280"/>
        <item m="1" x="285"/>
        <item m="1" x="286"/>
        <item m="1" x="263"/>
        <item m="1" x="264"/>
        <item m="1" x="265"/>
        <item m="1" x="266"/>
        <item m="1" x="267"/>
        <item m="1" x="268"/>
        <item m="1" x="269"/>
        <item m="1" x="270"/>
        <item m="1" x="202"/>
        <item m="1" x="203"/>
        <item m="1" x="204"/>
        <item m="1" x="287"/>
        <item m="1" x="205"/>
        <item m="1" x="288"/>
        <item m="1" x="207"/>
        <item m="1" x="208"/>
        <item m="1" x="209"/>
        <item m="1" x="210"/>
        <item m="1" x="211"/>
        <item m="1" x="212"/>
        <item m="1" x="213"/>
        <item m="1" x="281"/>
        <item m="1" x="214"/>
        <item m="1" x="215"/>
        <item m="1" x="206"/>
        <item m="1" x="216"/>
        <item m="1" x="201"/>
        <item m="1" x="200"/>
        <item m="1" x="195"/>
        <item m="1" x="196"/>
        <item m="1" x="197"/>
        <item m="1" x="198"/>
        <item m="1" x="199"/>
        <item m="1" x="190"/>
        <item m="1" x="191"/>
        <item m="1" x="192"/>
        <item m="1" x="193"/>
        <item m="1" x="194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14"/>
        <item m="1" x="115"/>
        <item m="1" x="182"/>
        <item m="1" x="183"/>
        <item m="1" x="184"/>
        <item m="1" x="176"/>
        <item m="1" x="177"/>
        <item m="1" x="178"/>
        <item m="1" x="179"/>
        <item m="1" x="180"/>
        <item m="1" x="181"/>
        <item m="1" x="124"/>
        <item m="1" x="125"/>
        <item m="1" x="126"/>
        <item m="1" x="116"/>
        <item m="1" x="113"/>
        <item m="1" x="185"/>
        <item m="1" x="186"/>
        <item m="1" x="187"/>
        <item m="1" x="117"/>
        <item m="1" x="118"/>
        <item m="1" x="119"/>
        <item m="1" x="120"/>
        <item m="1" x="188"/>
        <item m="1" x="189"/>
        <item m="1" x="121"/>
        <item m="1" x="122"/>
        <item m="1" x="123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38"/>
        <item m="1" x="98"/>
        <item m="1" x="99"/>
        <item m="1" x="80"/>
        <item x="39"/>
        <item x="40"/>
        <item x="41"/>
        <item x="42"/>
        <item x="43"/>
        <item x="44"/>
        <item m="1" x="100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</items>
    </pivotField>
    <pivotField compact="0" outline="0" showAll="0" defaultSubtotal="0"/>
    <pivotField axis="axisRow" compact="0" outline="0" showAll="0" defaultSubtotal="0">
      <items count="667">
        <item m="1" x="587"/>
        <item m="1" x="654"/>
        <item m="1" x="588"/>
        <item m="1" x="590"/>
        <item m="1" x="604"/>
        <item m="1" x="655"/>
        <item m="1" x="584"/>
        <item m="1" x="589"/>
        <item m="1" x="653"/>
        <item m="1" x="591"/>
        <item m="1" x="592"/>
        <item m="1" x="657"/>
        <item m="1" x="593"/>
        <item m="1" x="645"/>
        <item m="1" x="656"/>
        <item m="1" x="596"/>
        <item m="1" x="609"/>
        <item m="1" x="664"/>
        <item m="1" x="608"/>
        <item m="1" x="663"/>
        <item m="1" x="662"/>
        <item m="1" x="595"/>
        <item m="1" x="597"/>
        <item m="1" x="599"/>
        <item m="1" x="661"/>
        <item m="1" x="610"/>
        <item m="1" x="582"/>
        <item m="1" x="611"/>
        <item m="1" x="583"/>
        <item m="1" x="585"/>
        <item m="1" x="586"/>
        <item m="1" x="618"/>
        <item m="1" x="658"/>
        <item m="1" x="598"/>
        <item m="1" x="659"/>
        <item m="1" x="602"/>
        <item m="1" x="646"/>
        <item m="1" x="603"/>
        <item m="1" x="612"/>
        <item m="1" x="594"/>
        <item m="1" x="648"/>
        <item m="1" x="605"/>
        <item m="1" x="665"/>
        <item m="1" x="660"/>
        <item m="1" x="649"/>
        <item m="1" x="666"/>
        <item m="1" x="617"/>
        <item m="1" x="647"/>
        <item m="1" x="606"/>
        <item m="1" x="619"/>
        <item m="1" x="622"/>
        <item m="1" x="650"/>
        <item m="1" x="651"/>
        <item m="1" x="629"/>
        <item m="1" x="652"/>
        <item m="1" x="600"/>
        <item m="1" x="601"/>
        <item m="1" x="607"/>
        <item m="1" x="613"/>
        <item m="1" x="614"/>
        <item m="1" x="615"/>
        <item m="1" x="616"/>
        <item m="1" x="620"/>
        <item m="1" x="621"/>
        <item m="1" x="623"/>
        <item m="1" x="624"/>
        <item m="1" x="625"/>
        <item m="1" x="626"/>
        <item m="1" x="627"/>
        <item m="1" x="628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581"/>
        <item m="1" x="579"/>
        <item m="1" x="580"/>
        <item m="1" x="572"/>
        <item m="1" x="573"/>
        <item m="1" x="574"/>
        <item m="1" x="575"/>
        <item m="1" x="576"/>
        <item m="1" x="577"/>
        <item m="1" x="578"/>
        <item m="1" x="532"/>
        <item m="1" x="534"/>
        <item m="1" x="535"/>
        <item m="1" x="533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4"/>
        <item m="1" x="562"/>
        <item m="1" x="564"/>
        <item m="1" x="565"/>
        <item m="1" x="567"/>
        <item m="1" x="568"/>
        <item m="1" x="569"/>
        <item m="1" x="523"/>
        <item m="1" x="524"/>
        <item m="1" x="525"/>
        <item m="1" x="526"/>
        <item m="1" x="553"/>
        <item m="1" x="555"/>
        <item m="1" x="556"/>
        <item m="1" x="557"/>
        <item m="1" x="563"/>
        <item m="1" x="566"/>
        <item m="1" x="570"/>
        <item m="1" x="527"/>
        <item m="1" x="528"/>
        <item m="1" x="531"/>
        <item m="1" x="529"/>
        <item m="1" x="558"/>
        <item m="1" x="559"/>
        <item m="1" x="560"/>
        <item m="1" x="530"/>
        <item m="1" x="571"/>
        <item m="1" x="561"/>
        <item m="1" x="482"/>
        <item m="1" x="483"/>
        <item m="1" x="484"/>
        <item m="1" x="485"/>
        <item m="1" x="486"/>
        <item m="1" x="487"/>
        <item m="1" x="488"/>
        <item m="1" x="489"/>
        <item m="1" x="491"/>
        <item m="1" x="516"/>
        <item m="1" x="517"/>
        <item m="1" x="518"/>
        <item m="1" x="492"/>
        <item m="1" x="490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7"/>
        <item m="1" x="508"/>
        <item m="1" x="471"/>
        <item m="1" x="514"/>
        <item m="1" x="519"/>
        <item m="1" x="506"/>
        <item m="1" x="509"/>
        <item m="1" x="510"/>
        <item m="1" x="511"/>
        <item m="1" x="512"/>
        <item m="1" x="477"/>
        <item m="1" x="478"/>
        <item m="1" x="480"/>
        <item m="1" x="481"/>
        <item m="1" x="475"/>
        <item m="1" x="476"/>
        <item m="1" x="470"/>
        <item m="1" x="465"/>
        <item m="1" x="468"/>
        <item m="1" x="459"/>
        <item m="1" x="515"/>
        <item m="1" x="521"/>
        <item m="1" x="522"/>
        <item m="1" x="513"/>
        <item m="1" x="520"/>
        <item m="1" x="460"/>
        <item m="1" x="469"/>
        <item m="1" x="472"/>
        <item m="1" x="473"/>
        <item m="1" x="474"/>
        <item m="1" x="467"/>
        <item m="1" x="457"/>
        <item m="1" x="463"/>
        <item m="1" x="458"/>
        <item m="1" x="462"/>
        <item m="1" x="479"/>
        <item m="1" x="464"/>
        <item m="1" x="466"/>
        <item m="1" x="461"/>
        <item m="1" x="455"/>
        <item m="1" x="456"/>
        <item m="1" x="454"/>
        <item m="1" x="453"/>
        <item m="1" x="452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38"/>
        <item m="1" x="439"/>
        <item m="1" x="437"/>
        <item m="1" x="434"/>
        <item m="1" x="435"/>
        <item m="1" x="436"/>
        <item m="1" x="346"/>
        <item m="1" x="348"/>
        <item m="1" x="349"/>
        <item m="1" x="352"/>
        <item m="1" x="353"/>
        <item m="1" x="427"/>
        <item m="1" x="350"/>
        <item m="1" x="354"/>
        <item m="1" x="355"/>
        <item m="1" x="356"/>
        <item m="1" x="357"/>
        <item m="1" x="361"/>
        <item m="1" x="358"/>
        <item m="1" x="360"/>
        <item m="1" x="369"/>
        <item m="1" x="359"/>
        <item m="1" x="362"/>
        <item m="1" x="363"/>
        <item m="1" x="364"/>
        <item m="1" x="366"/>
        <item m="1" x="367"/>
        <item m="1" x="430"/>
        <item m="1" x="431"/>
        <item m="1" x="365"/>
        <item m="1" x="368"/>
        <item m="1" x="370"/>
        <item m="1" x="371"/>
        <item m="1" x="373"/>
        <item m="1" x="374"/>
        <item m="1" x="375"/>
        <item m="1" x="380"/>
        <item m="1" x="429"/>
        <item m="1" x="372"/>
        <item m="1" x="376"/>
        <item m="1" x="377"/>
        <item m="1" x="379"/>
        <item m="1" x="382"/>
        <item m="1" x="432"/>
        <item m="1" x="383"/>
        <item m="1" x="388"/>
        <item m="1" x="381"/>
        <item m="1" x="384"/>
        <item m="1" x="386"/>
        <item m="1" x="391"/>
        <item m="1" x="378"/>
        <item m="1" x="389"/>
        <item m="1" x="390"/>
        <item m="1" x="433"/>
        <item m="1" x="394"/>
        <item m="1" x="397"/>
        <item m="1" x="399"/>
        <item m="1" x="400"/>
        <item m="1" x="401"/>
        <item m="1" x="403"/>
        <item m="1" x="428"/>
        <item m="1" x="385"/>
        <item m="1" x="402"/>
        <item m="1" x="387"/>
        <item m="1" x="408"/>
        <item m="1" x="409"/>
        <item m="1" x="351"/>
        <item m="1" x="404"/>
        <item m="1" x="392"/>
        <item m="1" x="405"/>
        <item m="1" x="406"/>
        <item m="1" x="407"/>
        <item m="1" x="412"/>
        <item m="1" x="413"/>
        <item m="1" x="421"/>
        <item m="1" x="422"/>
        <item m="1" x="423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7"/>
        <item m="1" x="393"/>
        <item m="1" x="395"/>
        <item m="1" x="396"/>
        <item m="1" x="398"/>
        <item m="1" x="410"/>
        <item m="1" x="411"/>
        <item m="1" x="414"/>
        <item m="1" x="415"/>
        <item m="1" x="416"/>
        <item m="1" x="417"/>
        <item m="1" x="418"/>
        <item m="1" x="419"/>
        <item m="1" x="420"/>
        <item m="1" x="424"/>
        <item m="1" x="425"/>
        <item m="1" x="426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30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00"/>
        <item m="1" x="201"/>
        <item m="1" x="197"/>
        <item m="1" x="198"/>
        <item m="1" x="199"/>
        <item m="1" x="193"/>
        <item m="1" x="194"/>
        <item m="1" x="195"/>
        <item m="1" x="196"/>
        <item m="1" x="191"/>
        <item m="1" x="192"/>
        <item m="1" x="188"/>
        <item m="1" x="189"/>
        <item m="1" x="190"/>
        <item m="1" x="187"/>
        <item m="1" x="184"/>
        <item m="1" x="185"/>
        <item m="1" x="186"/>
        <item m="1" x="117"/>
        <item m="1" x="118"/>
        <item x="30"/>
        <item m="1" x="122"/>
        <item m="1" x="123"/>
        <item m="1" x="124"/>
        <item m="1" x="125"/>
        <item m="1" x="126"/>
        <item m="1" x="128"/>
        <item m="1" x="129"/>
        <item m="1" x="138"/>
        <item m="1" x="174"/>
        <item m="1" x="130"/>
        <item m="1" x="119"/>
        <item m="1" x="127"/>
        <item m="1" x="131"/>
        <item m="1" x="132"/>
        <item m="1" x="133"/>
        <item m="1" x="134"/>
        <item m="1" x="135"/>
        <item m="1" x="136"/>
        <item m="1" x="137"/>
        <item m="1" x="139"/>
        <item m="1" x="140"/>
        <item m="1" x="141"/>
        <item m="1" x="142"/>
        <item m="1" x="143"/>
        <item m="1" x="146"/>
        <item m="1" x="147"/>
        <item m="1" x="149"/>
        <item m="1" x="150"/>
        <item m="1" x="151"/>
        <item m="1" x="171"/>
        <item m="1" x="178"/>
        <item m="1" x="180"/>
        <item m="1" x="172"/>
        <item m="1" x="120"/>
        <item m="1" x="121"/>
        <item m="1" x="175"/>
        <item m="1" x="153"/>
        <item m="1" x="155"/>
        <item m="1" x="156"/>
        <item m="1" x="161"/>
        <item m="1" x="173"/>
        <item m="1" x="179"/>
        <item m="1" x="182"/>
        <item m="1" x="152"/>
        <item m="1" x="162"/>
        <item m="1" x="157"/>
        <item m="1" x="158"/>
        <item m="1" x="163"/>
        <item m="1" x="165"/>
        <item m="1" x="176"/>
        <item m="1" x="181"/>
        <item m="1" x="183"/>
        <item m="1" x="148"/>
        <item m="1" x="102"/>
        <item m="1" x="154"/>
        <item m="1" x="105"/>
        <item m="1" x="108"/>
        <item m="1" x="177"/>
        <item m="1" x="160"/>
        <item m="1" x="104"/>
        <item m="1" x="144"/>
        <item m="1" x="145"/>
        <item m="1" x="159"/>
        <item m="1" x="164"/>
        <item m="1" x="166"/>
        <item m="1" x="167"/>
        <item m="1" x="168"/>
        <item m="1" x="169"/>
        <item m="1" x="170"/>
        <item m="1" x="103"/>
        <item m="1" x="106"/>
        <item m="1" x="107"/>
        <item m="1" x="109"/>
        <item m="1" x="110"/>
        <item m="1" x="111"/>
        <item m="1" x="112"/>
        <item m="1" x="113"/>
        <item m="1" x="114"/>
        <item m="1" x="115"/>
        <item m="1" x="116"/>
        <item m="1" x="101"/>
        <item m="1" x="100"/>
        <item m="1" x="97"/>
        <item m="1" x="98"/>
        <item m="1" x="99"/>
        <item m="1" x="93"/>
        <item m="1" x="94"/>
        <item m="1" x="95"/>
        <item m="1" x="96"/>
        <item m="1" x="56"/>
        <item m="1" x="57"/>
        <item m="1" x="58"/>
        <item m="1" x="59"/>
        <item m="1" x="60"/>
        <item m="1" x="84"/>
        <item m="1" x="51"/>
        <item m="1" x="52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83"/>
        <item m="1" x="89"/>
        <item m="1" x="90"/>
        <item m="1" x="92"/>
        <item m="1" x="70"/>
        <item m="1" x="53"/>
        <item m="1" x="71"/>
        <item m="1" x="72"/>
        <item m="1" x="73"/>
        <item m="1" x="85"/>
        <item m="1" x="86"/>
        <item m="1" x="87"/>
        <item m="1" x="50"/>
        <item m="1" x="91"/>
        <item m="1" x="74"/>
        <item m="1" x="75"/>
        <item m="1" x="76"/>
        <item m="1" x="77"/>
        <item m="1" x="78"/>
        <item m="1" x="79"/>
        <item m="1" x="80"/>
        <item m="1" x="88"/>
        <item m="1" x="54"/>
        <item m="1" x="55"/>
        <item m="1" x="81"/>
        <item m="1" x="82"/>
        <item x="2"/>
        <item x="3"/>
        <item x="4"/>
        <item x="5"/>
        <item x="7"/>
        <item x="8"/>
        <item x="10"/>
        <item x="11"/>
        <item x="27"/>
        <item x="1"/>
        <item x="6"/>
        <item x="9"/>
        <item x="12"/>
        <item x="0"/>
        <item x="13"/>
        <item x="14"/>
        <item m="1" x="46"/>
        <item m="1" x="47"/>
        <item m="1" x="48"/>
        <item m="1" x="49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3"/>
        <item x="36"/>
        <item x="37"/>
        <item x="38"/>
        <item x="39"/>
        <item x="40"/>
        <item x="41"/>
        <item x="42"/>
        <item x="43"/>
        <item x="44"/>
        <item x="32"/>
        <item x="34"/>
        <item x="35"/>
        <item x="4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9">
        <item x="18"/>
        <item x="11"/>
        <item m="1" x="121"/>
        <item m="1" x="126"/>
        <item x="7"/>
        <item m="1" x="127"/>
        <item m="1" x="128"/>
        <item m="1" x="120"/>
        <item m="1" x="118"/>
        <item m="1" x="119"/>
        <item x="0"/>
        <item m="1" x="122"/>
        <item m="1" x="123"/>
        <item m="1" x="124"/>
        <item m="1" x="125"/>
        <item m="1" x="116"/>
        <item m="1" x="117"/>
        <item m="1" x="114"/>
        <item m="1" x="70"/>
        <item m="1" x="115"/>
        <item m="1" x="112"/>
        <item m="1" x="111"/>
        <item m="1" x="97"/>
        <item m="1" x="113"/>
        <item m="1" x="57"/>
        <item m="1" x="107"/>
        <item m="1" x="106"/>
        <item m="1" x="108"/>
        <item m="1" x="105"/>
        <item m="1" x="56"/>
        <item m="1" x="104"/>
        <item m="1" x="102"/>
        <item m="1" x="109"/>
        <item m="1" x="110"/>
        <item m="1" x="103"/>
        <item m="1" x="100"/>
        <item m="1" x="82"/>
        <item m="1" x="83"/>
        <item m="1" x="84"/>
        <item m="1" x="98"/>
        <item m="1" x="85"/>
        <item m="1" x="86"/>
        <item m="1" x="101"/>
        <item m="1" x="99"/>
        <item m="1" x="88"/>
        <item m="1" x="89"/>
        <item m="1" x="90"/>
        <item m="1" x="91"/>
        <item m="1" x="92"/>
        <item m="1" x="93"/>
        <item m="1" x="87"/>
        <item m="1" x="94"/>
        <item m="1" x="95"/>
        <item m="1" x="96"/>
        <item m="1" x="71"/>
        <item m="1" x="72"/>
        <item m="1" x="73"/>
        <item m="1" x="74"/>
        <item m="1" x="75"/>
        <item m="1" x="76"/>
        <item m="1" x="67"/>
        <item m="1" x="77"/>
        <item m="1" x="78"/>
        <item m="1" x="79"/>
        <item x="2"/>
        <item m="1" x="80"/>
        <item m="1" x="81"/>
        <item m="1" x="68"/>
        <item m="1" x="69"/>
        <item m="1" x="66"/>
        <item m="1" x="54"/>
        <item m="1" x="65"/>
        <item m="1" x="55"/>
        <item m="1" x="62"/>
        <item m="1" x="63"/>
        <item m="1" x="64"/>
        <item m="1" x="58"/>
        <item m="1" x="59"/>
        <item m="1" x="60"/>
        <item m="1" x="61"/>
        <item m="1" x="50"/>
        <item m="1" x="51"/>
        <item m="1" x="52"/>
        <item m="1" x="53"/>
        <item m="1" x="49"/>
        <item m="1" x="45"/>
        <item m="1" x="46"/>
        <item m="1" x="47"/>
        <item m="1" x="48"/>
        <item m="1" x="41"/>
        <item m="1" x="42"/>
        <item m="1" x="43"/>
        <item m="1" x="44"/>
        <item m="1" x="38"/>
        <item m="1" x="39"/>
        <item m="1" x="40"/>
        <item m="1" x="37"/>
        <item m="1" x="34"/>
        <item m="1" x="35"/>
        <item m="1" x="36"/>
        <item m="1" x="28"/>
        <item m="1" x="29"/>
        <item m="1" x="30"/>
        <item m="1" x="31"/>
        <item m="1" x="32"/>
        <item m="1" x="33"/>
        <item x="1"/>
        <item x="3"/>
        <item x="4"/>
        <item x="5"/>
        <item m="1" x="26"/>
        <item m="1" x="27"/>
        <item m="1" x="25"/>
        <item x="6"/>
        <item x="8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18"/>
    <field x="12"/>
    <field x="14"/>
  </rowFields>
  <rowItems count="13">
    <i>
      <x v="108"/>
      <x v="772"/>
      <x v="663"/>
    </i>
    <i>
      <x v="115"/>
      <x v="811"/>
      <x v="485"/>
    </i>
    <i>
      <x v="116"/>
      <x v="813"/>
      <x v="485"/>
    </i>
    <i>
      <x v="118"/>
      <x v="817"/>
      <x v="485"/>
    </i>
    <i>
      <x v="119"/>
      <x v="818"/>
      <x v="485"/>
    </i>
    <i>
      <x v="120"/>
      <x v="819"/>
      <x v="485"/>
    </i>
    <i>
      <x v="121"/>
      <x v="820"/>
      <x v="485"/>
    </i>
    <i>
      <x v="122"/>
      <x v="821"/>
      <x v="485"/>
    </i>
    <i>
      <x v="123"/>
      <x v="829"/>
      <x v="485"/>
    </i>
    <i>
      <x v="124"/>
      <x v="830"/>
      <x v="485"/>
    </i>
    <i>
      <x v="125"/>
      <x v="831"/>
      <x v="485"/>
    </i>
    <i>
      <x v="128"/>
      <x v="840"/>
      <x v="485"/>
    </i>
    <i t="grand">
      <x/>
    </i>
  </rowItems>
  <colItems count="1">
    <i/>
  </colItems>
  <pageFields count="1">
    <pageField fld="5" item="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6849C-9D4F-4772-A629-1105B09B1C6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C10" firstHeaderRow="1" firstDataRow="1" firstDataCol="2" rowPageCount="4" colPageCount="1"/>
  <pivotFields count="13">
    <pivotField compact="0" outline="0" showAll="0"/>
    <pivotField axis="axisRow" compact="0" outline="0" showAll="0">
      <items count="132">
        <item h="1" x="0"/>
        <item h="1" x="1"/>
        <item h="1" x="2"/>
        <item h="1" x="3"/>
        <item h="1" x="4"/>
        <item h="1" x="5"/>
        <item h="1" x="6"/>
        <item h="1" x="12"/>
        <item h="1" x="13"/>
        <item h="1" x="7"/>
        <item h="1" x="8"/>
        <item h="1" x="9"/>
        <item h="1" x="10"/>
        <item h="1" x="11"/>
        <item h="1" x="14"/>
        <item h="1" x="15"/>
        <item h="1" x="16"/>
        <item h="1" x="17"/>
        <item h="1" x="18"/>
        <item h="1" x="19"/>
        <item h="1" x="20"/>
        <item h="1" x="21"/>
        <item h="1" x="55"/>
        <item h="1" x="56"/>
        <item h="1" x="57"/>
        <item h="1" x="58"/>
        <item h="1" x="70"/>
        <item h="1" x="71"/>
        <item h="1" m="1" x="125"/>
        <item h="1" m="1" x="126"/>
        <item h="1" m="1" x="127"/>
        <item h="1" m="1" x="128"/>
        <item h="1" m="1" x="129"/>
        <item h="1" x="22"/>
        <item h="1" x="59"/>
        <item h="1" x="60"/>
        <item h="1" x="61"/>
        <item h="1" x="62"/>
        <item h="1" x="63"/>
        <item h="1" x="64"/>
        <item h="1" m="1" x="130"/>
        <item h="1" x="80"/>
        <item h="1" x="81"/>
        <item h="1" x="82"/>
        <item h="1" x="83"/>
        <item h="1" x="23"/>
        <item h="1" x="85"/>
        <item h="1" x="86"/>
        <item h="1" x="87"/>
        <item h="1" x="24"/>
        <item h="1" x="25"/>
        <item h="1" x="26"/>
        <item h="1" x="27"/>
        <item h="1" x="28"/>
        <item h="1" x="29"/>
        <item h="1" x="30"/>
        <item h="1" x="31"/>
        <item h="1" x="34"/>
        <item h="1" x="35"/>
        <item h="1" x="36"/>
        <item h="1" x="65"/>
        <item h="1" x="66"/>
        <item h="1" x="37"/>
        <item h="1" x="38"/>
        <item h="1" x="39"/>
        <item h="1" x="40"/>
        <item h="1" x="67"/>
        <item h="1" x="68"/>
        <item h="1" x="69"/>
        <item h="1" x="88"/>
        <item h="1" x="32"/>
        <item h="1" x="33"/>
        <item h="1" x="41"/>
        <item h="1" x="89"/>
        <item h="1" x="90"/>
        <item h="1" x="91"/>
        <item h="1" x="92"/>
        <item h="1" x="93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x="54"/>
        <item h="1" x="72"/>
        <item h="1" x="73"/>
        <item h="1" x="74"/>
        <item h="1" x="75"/>
        <item h="1" x="76"/>
        <item h="1" x="77"/>
        <item h="1" x="78"/>
        <item h="1" x="79"/>
        <item h="1" x="84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t="default"/>
      </items>
    </pivotField>
    <pivotField axis="axisRow" compact="0" outline="0" showAll="0">
      <items count="19">
        <item h="1" x="1"/>
        <item h="1" x="0"/>
        <item h="1" x="8"/>
        <item h="1" x="3"/>
        <item h="1" x="2"/>
        <item x="5"/>
        <item h="1" x="10"/>
        <item h="1" x="11"/>
        <item h="1" x="12"/>
        <item h="1" m="1" x="17"/>
        <item h="1" x="13"/>
        <item h="1" x="6"/>
        <item h="1" x="4"/>
        <item h="1" x="7"/>
        <item h="1" x="14"/>
        <item h="1" x="9"/>
        <item h="1" x="15"/>
        <item h="1" x="16"/>
        <item t="default"/>
      </items>
    </pivotField>
    <pivotField compact="0" outline="0" showAll="0"/>
    <pivotField axis="axisPage" compact="0" outline="0" showAll="0">
      <items count="39">
        <item x="2"/>
        <item x="1"/>
        <item x="3"/>
        <item x="4"/>
        <item x="6"/>
        <item x="5"/>
        <item x="0"/>
        <item x="20"/>
        <item x="21"/>
        <item m="1" x="36"/>
        <item m="1" x="37"/>
        <item x="22"/>
        <item x="26"/>
        <item x="7"/>
        <item x="8"/>
        <item x="9"/>
        <item x="10"/>
        <item x="23"/>
        <item x="11"/>
        <item x="12"/>
        <item x="13"/>
        <item x="14"/>
        <item x="15"/>
        <item x="16"/>
        <item x="17"/>
        <item x="18"/>
        <item x="19"/>
        <item x="24"/>
        <item x="25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Page" compact="0" outline="0" showAll="0">
      <items count="15">
        <item x="1"/>
        <item x="2"/>
        <item x="6"/>
        <item x="0"/>
        <item x="8"/>
        <item x="9"/>
        <item x="11"/>
        <item m="1" x="13"/>
        <item x="4"/>
        <item x="10"/>
        <item x="3"/>
        <item x="5"/>
        <item x="7"/>
        <item x="12"/>
        <item t="default"/>
      </items>
    </pivotField>
    <pivotField compact="0" outline="0" showAll="0"/>
    <pivotField axis="axisPage" compact="0" outline="0" showAll="0">
      <items count="9">
        <item x="1"/>
        <item x="0"/>
        <item x="2"/>
        <item x="3"/>
        <item x="5"/>
        <item m="1" x="7"/>
        <item x="4"/>
        <item x="6"/>
        <item t="default"/>
      </items>
    </pivotField>
    <pivotField dataField="1" compact="0" outline="0" showAll="0"/>
    <pivotField compact="0" outline="0" showAll="0"/>
    <pivotField axis="axisPage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</pivotFields>
  <rowFields count="2">
    <field x="2"/>
    <field x="1"/>
  </rowFields>
  <rowItems count="3">
    <i>
      <x v="5"/>
      <x v="90"/>
    </i>
    <i t="default">
      <x v="5"/>
    </i>
    <i t="grand">
      <x/>
    </i>
  </rowItems>
  <colItems count="1">
    <i/>
  </colItems>
  <pageFields count="4">
    <pageField fld="4" hier="-1"/>
    <pageField fld="5" hier="-1"/>
    <pageField fld="7" hier="-1"/>
    <pageField fld="10" hier="-1"/>
  </pageFields>
  <dataFields count="1">
    <dataField name="Count of KEBUTUHAN" fld="8" subtotal="count" baseField="0" baseItem="0"/>
  </dataFields>
  <formats count="10">
    <format dxfId="57">
      <pivotArea dataOnly="0" labelOnly="1" outline="0" fieldPosition="0">
        <references count="2">
          <reference field="1" count="1">
            <x v="51"/>
          </reference>
          <reference field="2" count="0" selected="0"/>
        </references>
      </pivotArea>
    </format>
    <format dxfId="56">
      <pivotArea dataOnly="0" labelOnly="1" outline="0" fieldPosition="0">
        <references count="2">
          <reference field="1" count="1">
            <x v="70"/>
          </reference>
          <reference field="2" count="0" selected="0"/>
        </references>
      </pivotArea>
    </format>
    <format dxfId="55">
      <pivotArea dataOnly="0" labelOnly="1" outline="0" fieldPosition="0">
        <references count="2">
          <reference field="1" count="1">
            <x v="71"/>
          </reference>
          <reference field="2" count="0" selected="0"/>
        </references>
      </pivotArea>
    </format>
    <format dxfId="54">
      <pivotArea dataOnly="0" labelOnly="1" outline="0" fieldPosition="0">
        <references count="2">
          <reference field="1" count="1">
            <x v="57"/>
          </reference>
          <reference field="2" count="0" selected="0"/>
        </references>
      </pivotArea>
    </format>
    <format dxfId="53">
      <pivotArea dataOnly="0" labelOnly="1" outline="0" fieldPosition="0">
        <references count="2">
          <reference field="1" count="2">
            <x v="58"/>
            <x v="59"/>
          </reference>
          <reference field="2" count="0" selected="0"/>
        </references>
      </pivotArea>
    </format>
    <format dxfId="52">
      <pivotArea dataOnly="0" labelOnly="1" outline="0" fieldPosition="0">
        <references count="2">
          <reference field="1" count="2">
            <x v="62"/>
            <x v="63"/>
          </reference>
          <reference field="2" count="0" selected="0"/>
        </references>
      </pivotArea>
    </format>
    <format dxfId="51">
      <pivotArea dataOnly="0" labelOnly="1" outline="0" fieldPosition="0">
        <references count="2">
          <reference field="1" count="1">
            <x v="80"/>
          </reference>
          <reference field="2" count="0" selected="0"/>
        </references>
      </pivotArea>
    </format>
    <format dxfId="50">
      <pivotArea dataOnly="0" labelOnly="1" outline="0" fieldPosition="0">
        <references count="2">
          <reference field="1" count="1">
            <x v="81"/>
          </reference>
          <reference field="2" count="0" selected="0"/>
        </references>
      </pivotArea>
    </format>
    <format dxfId="49">
      <pivotArea dataOnly="0" labelOnly="1" outline="0" fieldPosition="0">
        <references count="2">
          <reference field="1" count="1">
            <x v="72"/>
          </reference>
          <reference field="2" count="0" selected="0"/>
        </references>
      </pivotArea>
    </format>
    <format dxfId="48">
      <pivotArea dataOnly="0" labelOnly="1" outline="0" fieldPosition="0">
        <references count="2">
          <reference field="1" count="1">
            <x v="78"/>
          </reference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livery1" xr10:uid="{0685964C-1FD4-4103-B087-7E603173593F}" sourceName="Delivery">
  <pivotTables>
    <pivotTable tabId="143" name="PivotTable1"/>
  </pivotTables>
  <data>
    <tabular pivotCacheId="1056302072">
      <items count="131">
        <i x="19"/>
        <i x="20"/>
        <i x="21"/>
        <i x="51"/>
        <i x="54" s="1"/>
        <i x="0" nd="1"/>
        <i x="1" nd="1"/>
        <i x="2" nd="1"/>
        <i x="3" nd="1"/>
        <i x="4" nd="1"/>
        <i x="5" nd="1"/>
        <i x="6" nd="1"/>
        <i x="12" nd="1"/>
        <i x="13" nd="1"/>
        <i x="7" nd="1"/>
        <i x="8" nd="1"/>
        <i x="9" nd="1"/>
        <i x="10" nd="1"/>
        <i x="11" nd="1"/>
        <i x="14" nd="1"/>
        <i x="15" nd="1"/>
        <i x="16" nd="1"/>
        <i x="17" nd="1"/>
        <i x="18" nd="1"/>
        <i x="22" nd="1"/>
        <i x="97" nd="1"/>
        <i x="125" nd="1"/>
        <i x="126" nd="1"/>
        <i x="127" nd="1"/>
        <i x="56" nd="1"/>
        <i x="57" nd="1"/>
        <i x="58" nd="1"/>
        <i x="128" nd="1"/>
        <i x="70" nd="1"/>
        <i x="71" nd="1"/>
        <i x="129" nd="1"/>
        <i x="130" nd="1"/>
        <i x="59" nd="1"/>
        <i x="60" nd="1"/>
        <i x="80" nd="1"/>
        <i x="61" nd="1"/>
        <i x="62" nd="1"/>
        <i x="63" nd="1"/>
        <i x="81" nd="1"/>
        <i x="82" nd="1"/>
        <i x="83" nd="1"/>
        <i x="64" nd="1"/>
        <i x="85" nd="1"/>
        <i x="86" nd="1"/>
        <i x="23" nd="1"/>
        <i x="87" nd="1"/>
        <i x="24" nd="1"/>
        <i x="25" nd="1"/>
        <i x="26" nd="1"/>
        <i x="27" nd="1"/>
        <i x="28" nd="1"/>
        <i x="29" nd="1"/>
        <i x="30" nd="1"/>
        <i x="32" nd="1"/>
        <i x="33" nd="1"/>
        <i x="34" nd="1"/>
        <i x="36" nd="1"/>
        <i x="35" nd="1"/>
        <i x="31" nd="1"/>
        <i x="37" nd="1"/>
        <i x="65" nd="1"/>
        <i x="66" nd="1"/>
        <i x="67" nd="1"/>
        <i x="38" nd="1"/>
        <i x="88" nd="1"/>
        <i x="68" nd="1"/>
        <i x="39" nd="1"/>
        <i x="69" nd="1"/>
        <i x="40" nd="1"/>
        <i x="89" nd="1"/>
        <i x="44" nd="1"/>
        <i x="90" nd="1"/>
        <i x="45" nd="1"/>
        <i x="41" nd="1"/>
        <i x="91" nd="1"/>
        <i x="92" nd="1"/>
        <i x="93" nd="1"/>
        <i x="42" nd="1"/>
        <i x="43" nd="1"/>
        <i x="47" nd="1"/>
        <i x="46" nd="1"/>
        <i x="84" nd="1"/>
        <i x="49" nd="1"/>
        <i x="48" nd="1"/>
        <i x="50" nd="1"/>
        <i x="72" nd="1"/>
        <i x="73" nd="1"/>
        <i x="74" nd="1"/>
        <i x="75" nd="1"/>
        <i x="76" nd="1"/>
        <i x="77" nd="1"/>
        <i x="78" nd="1"/>
        <i x="52" nd="1"/>
        <i x="79" nd="1"/>
        <i x="53" nd="1"/>
        <i x="104" nd="1"/>
        <i x="105" nd="1"/>
        <i x="106" nd="1"/>
        <i x="107" nd="1"/>
        <i x="96" nd="1"/>
        <i x="94" nd="1"/>
        <i x="95" nd="1"/>
        <i x="98" nd="1"/>
        <i x="99" nd="1"/>
        <i x="100" nd="1"/>
        <i x="101" nd="1"/>
        <i x="102" nd="1"/>
        <i x="103" nd="1"/>
        <i x="111" nd="1"/>
        <i x="112" nd="1"/>
        <i x="108" nd="1"/>
        <i x="109" nd="1"/>
        <i x="110" nd="1"/>
        <i x="116" nd="1"/>
        <i x="117" nd="1"/>
        <i x="118" nd="1"/>
        <i x="119" nd="1"/>
        <i x="120" nd="1"/>
        <i x="121" nd="1"/>
        <i x="122" nd="1"/>
        <i x="113" nd="1"/>
        <i x="123" nd="1"/>
        <i x="124" nd="1"/>
        <i x="114" nd="1"/>
        <i x="115" nd="1"/>
        <i x="5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Vendor" xr10:uid="{F9AB3E3C-7268-42E7-BAB8-6E398B2D0896}" sourceName="Vendor">
  <pivotTables>
    <pivotTable tabId="143" name="PivotTable1"/>
  </pivotTables>
  <data>
    <tabular pivotCacheId="1056302072">
      <items count="18">
        <i x="5" s="1"/>
        <i x="1" nd="1"/>
        <i x="11" nd="1"/>
        <i x="17" nd="1"/>
        <i x="0" nd="1"/>
        <i x="16" nd="1"/>
        <i x="8" nd="1"/>
        <i x="3" nd="1"/>
        <i x="2" nd="1"/>
        <i x="15" nd="1"/>
        <i x="6" nd="1"/>
        <i x="13" nd="1"/>
        <i x="7" nd="1"/>
        <i x="12" nd="1"/>
        <i x="4" nd="1"/>
        <i x="9" nd="1"/>
        <i x="14" nd="1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REA" xr10:uid="{5051E7AD-7033-42D9-BD04-7828E240F0B9}" sourceName="AREA">
  <pivotTables>
    <pivotTable tabId="143" name="PivotTable1"/>
  </pivotTables>
  <data>
    <tabular pivotCacheId="1056302072">
      <items count="14">
        <i x="6" s="1"/>
        <i x="1" s="1" nd="1"/>
        <i x="2" s="1" nd="1"/>
        <i x="9" s="1" nd="1"/>
        <i x="12" s="1" nd="1"/>
        <i x="11" s="1" nd="1"/>
        <i x="10" s="1" nd="1"/>
        <i x="3" s="1" nd="1"/>
        <i x="4" s="1" nd="1"/>
        <i x="7" s="1" nd="1"/>
        <i x="0" s="1" nd="1"/>
        <i x="5" s="1" nd="1"/>
        <i x="13" s="1" nd="1"/>
        <i x="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UCK_TYPE" xr10:uid="{35FFE25F-63BB-47B6-8C63-0C6E580A16D5}" sourceName="TRUCK TYPE">
  <pivotTables>
    <pivotTable tabId="143" name="PivotTable1"/>
  </pivotTables>
  <data>
    <tabular pivotCacheId="1056302072">
      <items count="8">
        <i x="0" s="1"/>
        <i x="1" s="1" nd="1"/>
        <i x="7" s="1" nd="1"/>
        <i x="2" s="1" nd="1"/>
        <i x="3" s="1" nd="1"/>
        <i x="6" s="1" nd="1"/>
        <i x="4" s="1" nd="1"/>
        <i x="5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ATE_IN" xr10:uid="{4BDAE33C-C9D6-4204-969C-9CF1CD8E361A}" sourceName="GATE IN ">
  <pivotTables>
    <pivotTable tabId="143" name="PivotTable1"/>
  </pivotTables>
  <data>
    <tabular pivotCacheId="1056302072">
      <items count="4">
        <i x="0" s="1"/>
        <i x="2" s="1" nd="1"/>
        <i x="1" s="1" nd="1"/>
        <i x="3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me_ship_to_party" xr10:uid="{FECE938F-777D-40D2-BB0B-DB7FA735C229}" sourceName="Name ship-to party">
  <pivotTables>
    <pivotTable tabId="143" name="PivotTable1"/>
  </pivotTables>
  <data>
    <tabular pivotCacheId="1056302072">
      <items count="38">
        <i x="16" s="1"/>
        <i x="2" s="1" nd="1"/>
        <i x="31" s="1" nd="1"/>
        <i x="30" s="1" nd="1"/>
        <i x="32" s="1" nd="1"/>
        <i x="28" s="1" nd="1"/>
        <i x="27" s="1" nd="1"/>
        <i x="1" s="1" nd="1"/>
        <i x="29" s="1" nd="1"/>
        <i x="3" s="1" nd="1"/>
        <i x="4" s="1" nd="1"/>
        <i x="8" s="1" nd="1"/>
        <i x="22" s="1" nd="1"/>
        <i x="24" s="1" nd="1"/>
        <i x="11" s="1" nd="1"/>
        <i x="26" s="1" nd="1"/>
        <i x="6" s="1" nd="1"/>
        <i x="36" s="1" nd="1"/>
        <i x="18" s="1" nd="1"/>
        <i x="9" s="1" nd="1"/>
        <i x="10" s="1" nd="1"/>
        <i x="23" s="1" nd="1"/>
        <i x="17" s="1" nd="1"/>
        <i x="5" s="1" nd="1"/>
        <i x="34" s="1" nd="1"/>
        <i x="21" s="1" nd="1"/>
        <i x="35" s="1" nd="1"/>
        <i x="12" s="1" nd="1"/>
        <i x="0" s="1" nd="1"/>
        <i x="13" s="1" nd="1"/>
        <i x="15" s="1" nd="1"/>
        <i x="37" s="1" nd="1"/>
        <i x="14" s="1" nd="1"/>
        <i x="7" s="1" nd="1"/>
        <i x="19" s="1" nd="1"/>
        <i x="33" s="1" nd="1"/>
        <i x="25" s="1" nd="1"/>
        <i x="2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livery 1" xr10:uid="{FAFB1B78-2085-463E-9224-EF6820ED74D3}" cache="Slicer_Delivery1" caption="Delivery" rowHeight="228600"/>
  <slicer name="Vendor" xr10:uid="{FC83BB43-AC11-4AC8-A35E-02242A03036E}" cache="Slicer_Vendor" caption="Vendor" startItem="7" rowHeight="228600"/>
  <slicer name="AREA" xr10:uid="{FF8D9E8B-5C30-4743-ABB2-741CE9212C70}" cache="Slicer_AREA" caption="AREA" rowHeight="228600"/>
  <slicer name="TRUCK TYPE" xr10:uid="{E24497BB-E3B5-4EFB-A368-210169DCEC72}" cache="Slicer_TRUCK_TYPE" caption="TRUCK TYPE" rowHeight="228600"/>
  <slicer name="GATE IN " xr10:uid="{7DAC7A33-D393-48D3-93A6-75E58B0BADB7}" cache="Slicer_GATE_IN" caption="GATE IN " rowHeight="228600"/>
  <slicer name="Name ship-to party" xr10:uid="{50DA1375-4D54-46D6-97E2-80D15567F8CE}" cache="Slicer_Name_ship_to_party" caption="Name ship-to party" startItem="4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52824-B3A9-4A00-A55A-88D35CB0C960}" name="Table1" displayName="Table1" ref="A19:K95" totalsRowShown="0" headerRowDxfId="820" dataDxfId="819" tableBorderDxfId="818">
  <autoFilter ref="A19:K95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ECAA584-E8A1-455B-A509-E51941B7E38E}" name="Tanggal" dataDxfId="817"/>
    <tableColumn id="2" xr3:uid="{F8B12D44-F557-4116-8399-8899D06B0472}" name="Delivery" dataDxfId="816"/>
    <tableColumn id="3" xr3:uid="{B66DB7E8-416A-4832-90FE-56D20882FF6D}" name="Vendor" dataDxfId="815"/>
    <tableColumn id="4" xr3:uid="{EAD813B5-EFA8-4538-A4F5-55A04638EDD8}" name="SN " dataDxfId="814"/>
    <tableColumn id="5" xr3:uid="{AF8E0DF0-142E-4B7A-8A12-06434FBDD54B}" name="Name ship-to party" dataDxfId="813"/>
    <tableColumn id="6" xr3:uid="{FF353C0C-00C4-467B-9E16-602AAA81A614}" name="AREA" dataDxfId="812"/>
    <tableColumn id="7" xr3:uid="{B26C178E-F34E-47FD-9F22-8AC4558585AF}" name="TOTAL WEIGHT" dataDxfId="811"/>
    <tableColumn id="8" xr3:uid="{2D45F844-FE50-447E-ACAF-67856FE3A202}" name="TRUCK TYPE" dataDxfId="810"/>
    <tableColumn id="9" xr3:uid="{267A4E17-BBBD-4773-996B-776A2F14976C}" name="QTY KEBUTUHAN" dataDxfId="809"/>
    <tableColumn id="10" xr3:uid="{15C162BA-106A-4034-90DE-CA0E896AF7D9}" name="KETERSEDIAAN" dataDxfId="808"/>
    <tableColumn id="11" xr3:uid="{4B28FA6A-0C34-4566-8552-99CE6746CF42}" name="GATE IN " dataDxfId="8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927E7F-3177-48BF-A557-52C10D64F77A}" name="Table13" displayName="Table13" ref="A19:K58" totalsRowShown="0" headerRowDxfId="806" dataDxfId="805" tableBorderDxfId="804">
  <autoFilter ref="A19:K58" xr:uid="{1D852824-B3A9-4A00-A55A-88D35CB0C960}"/>
  <tableColumns count="11">
    <tableColumn id="1" xr3:uid="{E7E8517F-151A-4C65-BF7B-8EBFD51A153A}" name="Tanggal" dataDxfId="803"/>
    <tableColumn id="2" xr3:uid="{4C22F1AE-3EBD-49DF-BF18-1479704A4D7E}" name="Delivery" dataDxfId="802"/>
    <tableColumn id="3" xr3:uid="{EBB06832-D08D-482F-9EA0-505597C746F1}" name="Vendor" dataDxfId="801"/>
    <tableColumn id="4" xr3:uid="{E72D39FF-5AB3-4144-BD90-C6D1837202C5}" name="SN " dataDxfId="800"/>
    <tableColumn id="5" xr3:uid="{3453F665-0569-471C-9D34-4F01E1548F92}" name="Name ship-to party" dataDxfId="799"/>
    <tableColumn id="6" xr3:uid="{E5675B4A-3BEB-47E1-94DF-39F1837BA23F}" name="AREA" dataDxfId="798"/>
    <tableColumn id="7" xr3:uid="{B93D853D-39E2-43E2-9A13-34E82D1BD7A4}" name="TOTAL WEIGHT" dataDxfId="797"/>
    <tableColumn id="8" xr3:uid="{91B43759-CB7E-4738-BF12-348874835484}" name="TRUCK TYPE" dataDxfId="796"/>
    <tableColumn id="9" xr3:uid="{C666F6C9-6BF1-4F83-8529-4FDE2920320C}" name="QTY KEBUTUHAN" dataDxfId="795"/>
    <tableColumn id="10" xr3:uid="{E6546D06-F91C-4A4B-9AE3-82BA37E8748F}" name="KETERSEDIAAN" dataDxfId="794"/>
    <tableColumn id="11" xr3:uid="{603561B7-C5F0-4381-AB0E-07D6E0019565}" name="GATE IN " dataDxfId="7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E0E0AE2-8464-426A-8345-8D91B57DD63D}" name="Table1921222324252627" displayName="Table1921222324252627" ref="R1:AD120" totalsRowShown="0" headerRowDxfId="791" dataDxfId="789" headerRowBorderDxfId="790" tableBorderDxfId="788" totalsRowBorderDxfId="787">
  <autoFilter ref="R1:AD120" xr:uid="{A26ECDD3-C094-43F2-AEE4-8928D28215AA}"/>
  <tableColumns count="13">
    <tableColumn id="1" xr3:uid="{31AC5E36-4973-4524-9052-5A44513F9A24}" name="Tanggal" dataDxfId="786"/>
    <tableColumn id="2" xr3:uid="{309F3539-3C73-4CCF-97D7-E86C097711CA}" name="Delivery" dataDxfId="785"/>
    <tableColumn id="3" xr3:uid="{6FD82F64-CE2E-4A98-98EA-F2BCB708C7EA}" name="Vendor" dataDxfId="784"/>
    <tableColumn id="4" xr3:uid="{96BB9055-2E2D-4293-BB3F-AF38BF00667D}" name="SN " dataDxfId="783"/>
    <tableColumn id="5" xr3:uid="{0C490649-593E-47CA-9F88-2B87DCC29A72}" name="Name ship-to party" dataDxfId="782"/>
    <tableColumn id="6" xr3:uid="{19C8FCAB-E7B1-497A-A8A8-CA04836A0C69}" name="AREA" dataDxfId="781"/>
    <tableColumn id="7" xr3:uid="{2A43E83F-70A3-439B-B92C-E230134C3556}" name="TOTAL WEIGHT" dataDxfId="780"/>
    <tableColumn id="8" xr3:uid="{B93C2E91-A410-4C83-8C83-882301742D06}" name="TRUCK TYPE" dataDxfId="779"/>
    <tableColumn id="9" xr3:uid="{FD3BE90F-AA1E-4944-A554-BE57B375887B}" name="KEBUTUHAN" dataDxfId="778"/>
    <tableColumn id="10" xr3:uid="{C5431EAE-17FD-4008-9A13-82E7656ED3D9}" name="KETERSEDIAAN" dataDxfId="777"/>
    <tableColumn id="11" xr3:uid="{056C71EE-471B-4B20-951E-5CF92E925005}" name="GATE IN " dataDxfId="776"/>
    <tableColumn id="12" xr3:uid="{57FD11EE-66F0-4A71-B817-92FD3BF2DF14}" name="Add" dataDxfId="775"/>
    <tableColumn id="13" xr3:uid="{5AEA2808-1461-4B3A-B6A9-2B1086DFE157}" name="REMARK" dataDxfId="77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315BA21-ADE8-43AC-8D88-D7A91A62890B}" name="Table19212223242526" displayName="Table19212223242526" ref="R1:AC90" totalsRowShown="0" headerRowDxfId="773" dataDxfId="771" headerRowBorderDxfId="772" tableBorderDxfId="770" totalsRowBorderDxfId="769">
  <autoFilter ref="R1:AC90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79CA4F1-4C94-4FEF-8A79-90B52C9AFE36}" name="Tanggal" dataDxfId="768"/>
    <tableColumn id="2" xr3:uid="{387FAD41-7627-4B13-B848-9853400260A0}" name="Delivery" dataDxfId="767"/>
    <tableColumn id="3" xr3:uid="{C4541B12-E487-44F8-9CFA-88158FCC7F1C}" name="Vendor" dataDxfId="766"/>
    <tableColumn id="4" xr3:uid="{E0C43AD1-5E5D-426F-8BA2-EF84FED13AE6}" name="SN " dataDxfId="765"/>
    <tableColumn id="5" xr3:uid="{89473EEC-A9D5-438B-BEF7-E608C899EC3E}" name="Name ship-to party" dataDxfId="764"/>
    <tableColumn id="6" xr3:uid="{07FFAF99-741C-4C22-98BA-D59F4BAF180D}" name="AREA" dataDxfId="763"/>
    <tableColumn id="7" xr3:uid="{A725A81D-CDD7-44C0-9790-86366E01FE17}" name="TOTAL WEIGHT" dataDxfId="762"/>
    <tableColumn id="8" xr3:uid="{5E8A248D-2CEA-487E-9C99-75D8F7F20355}" name="TRUCK TYPE" dataDxfId="761"/>
    <tableColumn id="9" xr3:uid="{58C05857-C225-48A4-9FAD-704D7F12C03D}" name="KEBUTUHAN" dataDxfId="760"/>
    <tableColumn id="10" xr3:uid="{E80F8E59-04B4-49DE-8EB6-CDF0B1A82789}" name="KETERSEDIAAN" dataDxfId="759"/>
    <tableColumn id="11" xr3:uid="{91A7530A-7381-4468-B311-C258C942CA27}" name="GATE IN " dataDxfId="758"/>
    <tableColumn id="12" xr3:uid="{08C15724-0CA3-4F00-AE27-CA2973FDB58F}" name="Add" dataDxfId="75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50C83-BCF9-4A48-BD32-CCF4ED3D8D5C}" name="Table134" displayName="Table134" ref="A19:K80" totalsRowShown="0" headerRowDxfId="756" dataDxfId="755" tableBorderDxfId="754">
  <autoFilter ref="A19:K80" xr:uid="{1D852824-B3A9-4A00-A55A-88D35CB0C960}"/>
  <tableColumns count="11">
    <tableColumn id="1" xr3:uid="{1A064C33-6856-4801-876A-C0039412E79F}" name="Tanggal" dataDxfId="753"/>
    <tableColumn id="2" xr3:uid="{AA960FBE-3FF9-4791-8E9A-4AA43AF71985}" name="Delivery" dataDxfId="752"/>
    <tableColumn id="3" xr3:uid="{15181A05-F002-4C2F-8A5C-83BB660D1A54}" name="Vendor" dataDxfId="751"/>
    <tableColumn id="4" xr3:uid="{D7943228-5EEA-4651-A185-84498B71A0BD}" name="SN " dataDxfId="750"/>
    <tableColumn id="5" xr3:uid="{5F2387DB-E5D5-427D-9371-A731D6BF6966}" name="Name ship-to party" dataDxfId="749"/>
    <tableColumn id="6" xr3:uid="{EB048FC8-7975-4148-9554-C14E29A4766D}" name="AREA" dataDxfId="748"/>
    <tableColumn id="7" xr3:uid="{8B5972D6-910C-4801-A927-C84B2FB7523D}" name="TOTAL WEIGHT" dataDxfId="747"/>
    <tableColumn id="8" xr3:uid="{E07CB165-2C3C-46E0-897E-8B9E4CD0557F}" name="TRUCK TYPE" dataDxfId="746">
      <calculatedColumnFormula>IF(Table134[[#This Row],[TOTAL WEIGHT]]&gt;28000,"TRAILER","TRONTON")</calculatedColumnFormula>
    </tableColumn>
    <tableColumn id="9" xr3:uid="{18E48F44-E614-45FA-B6A7-D0D483EFA7F9}" name="QTY KEBUTUHAN" dataDxfId="745"/>
    <tableColumn id="10" xr3:uid="{031722FE-89FB-4381-8EF8-D870B03C87B2}" name="KETERSEDIAAN" dataDxfId="744"/>
    <tableColumn id="11" xr3:uid="{ED8B5DBA-DD22-4B2F-B457-44FB2D1D7195}" name="GATE IN " dataDxfId="7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70E808-C12D-485E-AA2C-3D8C028A03E7}" name="Table1346" displayName="Table1346" ref="A19:K82" totalsRowShown="0" headerRowDxfId="742" dataDxfId="741" tableBorderDxfId="740">
  <autoFilter ref="A19:K82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4C4545D-1248-45D9-94F8-21A42915F3F4}" name="Tanggal" dataDxfId="739"/>
    <tableColumn id="2" xr3:uid="{2D06731A-688C-4152-8DEF-03ABBEB579F1}" name="Delivery" dataDxfId="738"/>
    <tableColumn id="3" xr3:uid="{E12761E7-8369-4C68-B12F-ECF4C830F233}" name="Vendor" dataDxfId="737"/>
    <tableColumn id="4" xr3:uid="{809294C3-2A40-4749-A5A2-2867167D6935}" name="SN " dataDxfId="736"/>
    <tableColumn id="5" xr3:uid="{3724336D-7BD7-4AD5-AE8B-EC0561BE7B17}" name="Name ship-to party" dataDxfId="735"/>
    <tableColumn id="6" xr3:uid="{B0527D61-0D2A-4AE6-8E61-B0578E642DAD}" name="AREA" dataDxfId="734"/>
    <tableColumn id="7" xr3:uid="{CB810CDF-E93E-470E-8A3E-9A7645052FCD}" name="TOTAL WEIGHT" dataDxfId="733"/>
    <tableColumn id="8" xr3:uid="{8873C865-B4A0-41F9-9905-E45E1CA3D9DA}" name="TRUCK TYPE" dataDxfId="732">
      <calculatedColumnFormula>IF(Table1346[[#This Row],[TOTAL WEIGHT]]&gt;28000,"TRAILER","TRONTON")</calculatedColumnFormula>
    </tableColumn>
    <tableColumn id="9" xr3:uid="{C3C0CB97-6054-4085-893E-22F980F84CE7}" name="QTY KEBUTUHAN" dataDxfId="731"/>
    <tableColumn id="10" xr3:uid="{B3431EE7-613C-4747-AE31-76BFB06DB92B}" name="KETERSEDIAAN" dataDxfId="730"/>
    <tableColumn id="11" xr3:uid="{D55F412D-1698-4310-B549-2E15C0A880C2}" name="GATE IN " dataDxfId="7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EA92AC-FA17-4248-A6DA-3F6AE84BAB45}" name="Table134657" displayName="Table134657" ref="A19:L110" totalsRowShown="0" headerRowDxfId="728" dataDxfId="727" tableBorderDxfId="726">
  <autoFilter ref="A19:L110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20:L110">
    <sortCondition ref="A19:A110"/>
  </sortState>
  <tableColumns count="12">
    <tableColumn id="1" xr3:uid="{F2372C85-7AA2-46C7-BAC5-86AA7AAB6C59}" name="Tanggal" dataDxfId="725"/>
    <tableColumn id="2" xr3:uid="{8B3859D2-65EA-424F-B337-1B016151F123}" name="Delivery" dataDxfId="724"/>
    <tableColumn id="3" xr3:uid="{22A3F403-265A-412F-9C08-4DD7040E199F}" name="Vendor" dataDxfId="723">
      <calculatedColumnFormula>VLOOKUP(#REF!,#REF!,2,FALSE)</calculatedColumnFormula>
    </tableColumn>
    <tableColumn id="4" xr3:uid="{053E4ECC-D586-4B25-B031-9A39B443FD73}" name="SN " dataDxfId="722"/>
    <tableColumn id="5" xr3:uid="{22065EFF-E80B-4AA6-B8CF-8125C0E36247}" name="Name ship-to party" dataDxfId="721"/>
    <tableColumn id="6" xr3:uid="{A97669CE-7E3D-4A39-8CA3-1DC3E6E95C06}" name="AREA" dataDxfId="720"/>
    <tableColumn id="7" xr3:uid="{32574C21-3CDD-49C8-921E-D5968865E5B0}" name="TOTAL WEIGHT" dataDxfId="719"/>
    <tableColumn id="8" xr3:uid="{7D445AF1-DDC1-4F75-BA59-3318285FC40B}" name="TRUCK TYPE" dataDxfId="718">
      <calculatedColumnFormula>IF(Table134657[[#This Row],[TOTAL WEIGHT]]&gt;28000,"TRAILER","TRONTON")</calculatedColumnFormula>
    </tableColumn>
    <tableColumn id="9" xr3:uid="{BEB7F6DD-71B4-432E-B307-3128A6D403C6}" name="QTY KEBUTUHAN" dataDxfId="717"/>
    <tableColumn id="10" xr3:uid="{055FB1F8-9562-4C8F-BF52-F69D3BC4A20B}" name="KETERSEDIAAN" dataDxfId="716"/>
    <tableColumn id="11" xr3:uid="{C035CF06-B947-4E9F-B3AD-65FB5607B472}" name="GATE IN " dataDxfId="715"/>
    <tableColumn id="12" xr3:uid="{3D7D7B57-59D2-4C98-ACDF-1C7008BD7FA2}" name="CEK MLS" dataDxfId="714">
      <calculatedColumnFormula>VLOOKUP(Table134657[[#This Row],[Delivery]],#REF!,6,FALSE)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E50E5E-DE68-410E-8288-0E54A771698D}" name="Table1346578" displayName="Table1346578" ref="A19:L66" totalsRowShown="0" headerRowDxfId="713" dataDxfId="712" tableBorderDxfId="711">
  <autoFilter ref="A19:L66" xr:uid="{1D852824-B3A9-4A00-A55A-88D35CB0C960}"/>
  <sortState xmlns:xlrd2="http://schemas.microsoft.com/office/spreadsheetml/2017/richdata2" ref="A20:L66">
    <sortCondition ref="A19:A66"/>
  </sortState>
  <tableColumns count="12">
    <tableColumn id="1" xr3:uid="{7C8C5A84-2783-49B8-88B1-FA4BE2C5B33E}" name="Tanggal" dataDxfId="710"/>
    <tableColumn id="2" xr3:uid="{53FAB16A-18D4-46FB-B0CB-796FB4E0CF47}" name="Delivery" dataDxfId="709"/>
    <tableColumn id="3" xr3:uid="{3BAEDC18-06F7-477C-A95B-BC9E7D460570}" name="Vendor" dataDxfId="708">
      <calculatedColumnFormula>VLOOKUP(#REF!,#REF!,2,FALSE)</calculatedColumnFormula>
    </tableColumn>
    <tableColumn id="4" xr3:uid="{99E65351-A4D7-4EC7-BA4F-8D9262FAD537}" name="SN " dataDxfId="707"/>
    <tableColumn id="5" xr3:uid="{834F448B-C4FF-4CBD-974C-8579AF7F059B}" name="Name ship-to party" dataDxfId="706"/>
    <tableColumn id="6" xr3:uid="{6BA6DC6A-85BE-4F98-A966-6D9486E3277F}" name="AREA" dataDxfId="705"/>
    <tableColumn id="7" xr3:uid="{B99DA774-BE2B-4ED5-AEF5-1587CED0880E}" name="TOTAL WEIGHT" dataDxfId="704"/>
    <tableColumn id="8" xr3:uid="{08BA3C1D-13C7-45DC-BF5F-ECF214095EBC}" name="TRUCK TYPE" dataDxfId="703">
      <calculatedColumnFormula>IF(Table1346578[[#This Row],[TOTAL WEIGHT]]&gt;28000,"TRAILER","TRONTON")</calculatedColumnFormula>
    </tableColumn>
    <tableColumn id="9" xr3:uid="{87D2AD6F-AADD-4762-92B8-EE5C578FF976}" name="QTY KEBUTUHAN" dataDxfId="702"/>
    <tableColumn id="10" xr3:uid="{D91A8240-2BC8-4E01-A036-332153FF8525}" name="KETERSEDIAAN" dataDxfId="701"/>
    <tableColumn id="11" xr3:uid="{16805668-8BE9-4A07-85A0-B116DE650E52}" name="GATE IN " dataDxfId="700"/>
    <tableColumn id="12" xr3:uid="{A608633A-D1F5-4017-A0CF-7E5FE69194EC}" name="CEK MLS" dataDxfId="699">
      <calculatedColumnFormula>VLOOKUP(Table1346578[[#This Row],[Delivery]],#REF!,6,FALSE)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D9DC91-97EF-4A87-9F3C-F22A65E9F9EC}" name="Table13465789" displayName="Table13465789" ref="A19:L74" totalsRowShown="0" headerRowDxfId="698" dataDxfId="697" tableBorderDxfId="696">
  <autoFilter ref="A19:L74" xr:uid="{1D852824-B3A9-4A00-A55A-88D35CB0C960}"/>
  <sortState xmlns:xlrd2="http://schemas.microsoft.com/office/spreadsheetml/2017/richdata2" ref="A20:L71">
    <sortCondition ref="A19:A71"/>
  </sortState>
  <tableColumns count="12">
    <tableColumn id="1" xr3:uid="{AAB9125B-89AC-4E2D-86B4-11C4DA0901D8}" name="Tanggal" dataDxfId="695"/>
    <tableColumn id="2" xr3:uid="{429073E9-A260-402E-98FA-7C633A8DC1F5}" name="Delivery" dataDxfId="694"/>
    <tableColumn id="3" xr3:uid="{1C805E00-2DC3-48B6-92FF-8B9CE3A756B2}" name="Vendor" dataDxfId="693">
      <calculatedColumnFormula>VLOOKUP(#REF!,#REF!,2,FALSE)</calculatedColumnFormula>
    </tableColumn>
    <tableColumn id="4" xr3:uid="{CCB7B6F1-DFB5-474D-BCAB-430855489177}" name="SN " dataDxfId="692"/>
    <tableColumn id="5" xr3:uid="{244A7299-9DC0-4226-AD30-4F565C859692}" name="Name ship-to party" dataDxfId="691"/>
    <tableColumn id="6" xr3:uid="{72D2DB37-A489-4FF9-A41C-16AA15BA1147}" name="AREA" dataDxfId="690"/>
    <tableColumn id="7" xr3:uid="{B1735B0F-7B56-429E-B6A3-BFE3826FA972}" name="TOTAL WEIGHT" dataDxfId="689"/>
    <tableColumn id="8" xr3:uid="{B0065761-1851-436A-A7BA-87AB66A167ED}" name="TRUCK TYPE" dataDxfId="688">
      <calculatedColumnFormula>IF(Table13465789[[#This Row],[TOTAL WEIGHT]]&gt;28000,"TRAILER","TRONTON")</calculatedColumnFormula>
    </tableColumn>
    <tableColumn id="9" xr3:uid="{C3517D25-5CE4-40A8-894E-2D2B775CB4FA}" name="QTY KEBUTUHAN" dataDxfId="687"/>
    <tableColumn id="10" xr3:uid="{40411690-E845-4845-B1C0-952583A6A969}" name="KETERSEDIAAN" dataDxfId="686"/>
    <tableColumn id="11" xr3:uid="{673A09AA-3072-4CB5-86E4-A70B73C12351}" name="GATE IN " dataDxfId="685"/>
    <tableColumn id="12" xr3:uid="{8E99BC86-5AA2-4060-9BF3-C5CD20677C82}" name="CEK MLS" dataDxfId="684">
      <calculatedColumnFormula>VLOOKUP(Table13465789[[#This Row],[Delivery]],#REF!,6,FALSE)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8AC8F6-3B95-455C-9D80-DBA0761B4EF8}" name="Table1346578910" displayName="Table1346578910" ref="A18:L67" totalsRowShown="0" headerRowDxfId="683" dataDxfId="682" tableBorderDxfId="681">
  <autoFilter ref="A18:L67" xr:uid="{1D852824-B3A9-4A00-A55A-88D35CB0C960}">
    <filterColumn colId="1">
      <colorFilter dxfId="680"/>
    </filterColumn>
  </autoFilter>
  <sortState xmlns:xlrd2="http://schemas.microsoft.com/office/spreadsheetml/2017/richdata2" ref="A19:L50">
    <sortCondition ref="A18:A50"/>
  </sortState>
  <tableColumns count="12">
    <tableColumn id="1" xr3:uid="{A717330F-0191-4E89-B0B2-3A8EA7A6C4AA}" name="Tanggal" dataDxfId="679"/>
    <tableColumn id="2" xr3:uid="{4C20924A-0540-4947-A81E-69C0C2D0DBC2}" name="Delivery" dataDxfId="678"/>
    <tableColumn id="3" xr3:uid="{02A33E3C-834F-48DC-88C7-00019D4E0C71}" name="Vendor" dataDxfId="677"/>
    <tableColumn id="4" xr3:uid="{A30AF8B1-42CF-4BE8-8B77-39BC9C760718}" name="SN " dataDxfId="676"/>
    <tableColumn id="5" xr3:uid="{243903EB-08B8-4E96-923E-84FA0C114406}" name="Name ship-to party" dataDxfId="675"/>
    <tableColumn id="6" xr3:uid="{36A2BA07-EFC2-4811-815F-08175C9A1FAF}" name="AREA" dataDxfId="674"/>
    <tableColumn id="7" xr3:uid="{A6D345FE-20EA-4DAA-8F14-C60D6A8A7999}" name="TOTAL WEIGHT" dataDxfId="673"/>
    <tableColumn id="8" xr3:uid="{15DF6AF7-FC29-470A-9C62-A2CDAA5F39BB}" name="TRUCK TYPE" dataDxfId="672"/>
    <tableColumn id="9" xr3:uid="{C53C893C-FC50-4304-9154-985D5E2834C6}" name="QTY KEBUTUHAN" dataDxfId="671"/>
    <tableColumn id="10" xr3:uid="{8404BE84-8664-4E94-A4DB-9F5565F6D11C}" name="KETERSEDIAAN" dataDxfId="670"/>
    <tableColumn id="11" xr3:uid="{31EA3B00-1E1B-485F-AAD4-8AC9A322E04B}" name="GATE IN " dataDxfId="669"/>
    <tableColumn id="12" xr3:uid="{D321C552-D4F7-45BB-A863-07F55863583B}" name="CEK MLS" dataDxfId="66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078CEB-8ED8-49F5-AA69-842B62CE9536}" name="Table13465" displayName="Table13465" ref="A19:K93" totalsRowShown="0" headerRowDxfId="667" dataDxfId="666" tableBorderDxfId="665">
  <autoFilter ref="A19:K93" xr:uid="{1D852824-B3A9-4A00-A55A-88D35CB0C960}">
    <filterColumn colId="1">
      <colorFilter dxfId="664"/>
    </filterColumn>
  </autoFilter>
  <tableColumns count="11">
    <tableColumn id="1" xr3:uid="{3F4455F8-B521-47DE-8B89-E19552EBF627}" name="Tanggal" dataDxfId="663"/>
    <tableColumn id="2" xr3:uid="{8F5821EF-AFA7-4A13-9640-83172D292537}" name="Delivery" dataDxfId="662"/>
    <tableColumn id="3" xr3:uid="{C97E3ADE-05CB-47E1-901F-BCFC0183B606}" name="Vendor" dataDxfId="661"/>
    <tableColumn id="4" xr3:uid="{B3BA5B3F-A375-437C-B4C2-82B7E4B4D13B}" name="SN " dataDxfId="660"/>
    <tableColumn id="5" xr3:uid="{45227342-056B-44DF-86F6-D050D09F0C79}" name="Name ship-to party" dataDxfId="659"/>
    <tableColumn id="6" xr3:uid="{047B264C-BF79-4F37-91E3-7416CD27A8D3}" name="AREA" dataDxfId="658"/>
    <tableColumn id="7" xr3:uid="{85EA27F3-CDEF-4998-975C-36CF37C33BF3}" name="TOTAL WEIGHT" dataDxfId="657"/>
    <tableColumn id="8" xr3:uid="{4D2598FF-E26C-4D22-91D3-4B70AFF994CE}" name="TRUCK TYPE" dataDxfId="656">
      <calculatedColumnFormula>IF(Table13465[[#This Row],[TOTAL WEIGHT]]&gt;28000,"TRAILER","TRONTON")</calculatedColumnFormula>
    </tableColumn>
    <tableColumn id="9" xr3:uid="{3BD9E83D-A78B-4C5B-B01E-E62E05296363}" name="QTY KEBUTUHAN" dataDxfId="655"/>
    <tableColumn id="10" xr3:uid="{9BB5AA1D-0D4B-4D7B-9590-E50F104D7681}" name="KETERSEDIAAN" dataDxfId="654"/>
    <tableColumn id="11" xr3:uid="{27311A5B-4AA2-4B4C-B144-39E18A85356F}" name="GATE IN " dataDxfId="65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4B16CC2-0055-45F9-8D65-C61988FA9E75}" name="Table134657891011" displayName="Table134657891011" ref="A18:L105" totalsRowShown="0" headerRowDxfId="652" dataDxfId="651" tableBorderDxfId="650">
  <autoFilter ref="A18:L105" xr:uid="{1D852824-B3A9-4A00-A55A-88D35CB0C960}"/>
  <sortState xmlns:xlrd2="http://schemas.microsoft.com/office/spreadsheetml/2017/richdata2" ref="A18:L19">
    <sortCondition ref="A18"/>
  </sortState>
  <tableColumns count="12">
    <tableColumn id="1" xr3:uid="{F8BBBC1A-8DF3-44E6-89BC-689FAEF1A2CD}" name="Tanggal" dataDxfId="649"/>
    <tableColumn id="2" xr3:uid="{2F45357B-587C-4BC1-AA26-FB034D08570F}" name="Delivery" dataDxfId="648"/>
    <tableColumn id="3" xr3:uid="{67C58773-7D86-4E57-B2BE-9090B9918F13}" name="Vendor" dataDxfId="647"/>
    <tableColumn id="4" xr3:uid="{85E90A43-44A0-4337-8B93-C78A2C92E377}" name="SN " dataDxfId="646"/>
    <tableColumn id="5" xr3:uid="{B9B8E145-60FD-4310-A856-1480051F721F}" name="Name ship-to party" dataDxfId="645"/>
    <tableColumn id="6" xr3:uid="{53170A84-C772-4380-8216-AAAA81A6E868}" name="AREA" dataDxfId="644"/>
    <tableColumn id="7" xr3:uid="{6DF8162F-3943-464E-8275-F00E0B69BCB8}" name="TOTAL WEIGHT" dataDxfId="643"/>
    <tableColumn id="8" xr3:uid="{47487CE4-FB9E-41D7-92E5-EB2D2872E5E9}" name="TRUCK TYPE" dataDxfId="642"/>
    <tableColumn id="9" xr3:uid="{06138106-2F09-46F0-96DE-E47FBA68E141}" name="QTY KEBUTUHAN" dataDxfId="641"/>
    <tableColumn id="10" xr3:uid="{F44934AE-0C0E-4EA8-8499-9559B62904AA}" name="KETERSEDIAAN" dataDxfId="640"/>
    <tableColumn id="11" xr3:uid="{FBD96C1F-D87A-4AA1-B498-F495262C5BA9}" name="GATE IN " dataDxfId="639"/>
    <tableColumn id="12" xr3:uid="{D947ED00-21E7-4168-A999-A1452FF0F8EA}" name="CEK MLS" dataDxfId="6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BF169E-9122-4F30-B236-996B67AA8A9B}" name="Table13465789101114" displayName="Table13465789101114" ref="A18:M92" totalsRowShown="0" headerRowDxfId="637" dataDxfId="636" tableBorderDxfId="635">
  <autoFilter ref="A18:M92" xr:uid="{1D852824-B3A9-4A00-A55A-88D35CB0C960}"/>
  <sortState xmlns:xlrd2="http://schemas.microsoft.com/office/spreadsheetml/2017/richdata2" ref="A19:L19">
    <sortCondition ref="A18"/>
  </sortState>
  <tableColumns count="13">
    <tableColumn id="1" xr3:uid="{A5E20D60-40D5-41A2-BD85-BC795803E91D}" name="Tanggal" dataDxfId="634"/>
    <tableColumn id="2" xr3:uid="{08826C4E-4B0F-4254-A379-D3B17B4B7BF3}" name="Delivery" dataDxfId="633"/>
    <tableColumn id="3" xr3:uid="{A9A5CF33-5998-4EAF-B71F-17A374966354}" name="Vendor" dataDxfId="632"/>
    <tableColumn id="4" xr3:uid="{8E78E962-1789-4561-8D52-083322CEADA1}" name="SN " dataDxfId="631"/>
    <tableColumn id="5" xr3:uid="{9CAD70A2-CECE-4517-A8F7-2E63183E28DE}" name="Name ship-to party" dataDxfId="630"/>
    <tableColumn id="6" xr3:uid="{EFAB11CC-220C-4543-8855-BFF9CCA4A725}" name="AREA" dataDxfId="629"/>
    <tableColumn id="7" xr3:uid="{A0635919-444B-4132-B9F6-6C90F55BC8D8}" name="TOTAL WEIGHT" dataDxfId="628"/>
    <tableColumn id="8" xr3:uid="{75A05FBC-451F-44A0-BBF5-6B208C483618}" name="TRUCK TYPE" dataDxfId="627"/>
    <tableColumn id="9" xr3:uid="{3DD0C28F-1D07-4D9B-9D06-82EF6C9695E2}" name="QTY KEBUTUHAN" dataDxfId="626"/>
    <tableColumn id="10" xr3:uid="{FC4AD19D-3178-4975-9EF4-915586FA7DB3}" name="KETERSEDIAAN" dataDxfId="625"/>
    <tableColumn id="11" xr3:uid="{2E4234C2-02AC-487A-81D5-209C8AC54C07}" name="GATE IN " dataDxfId="624"/>
    <tableColumn id="12" xr3:uid="{272AAC5A-CE04-47B4-841D-8102B3E627D7}" name="CEK MLS" dataDxfId="623"/>
    <tableColumn id="13" xr3:uid="{C4A64264-0F21-45FA-9C7B-0D7BF1FEADB2}" name="CEK" dataDxfId="622">
      <calculatedColumnFormula>VLOOKUP(Table13465789101114[[#This Row],[Delivery]],#REF!,7,FALSE)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75F7A65-2200-40BF-B0B1-A418517B463D}" name="Table192122" displayName="Table192122" ref="R1:AF106" totalsRowShown="0" headerRowDxfId="621" dataDxfId="619" headerRowBorderDxfId="620" tableBorderDxfId="618" totalsRowBorderDxfId="617">
  <autoFilter ref="R1:AF106" xr:uid="{A26ECDD3-C094-43F2-AEE4-8928D28215AA}"/>
  <tableColumns count="15">
    <tableColumn id="1" xr3:uid="{D2BFA4E3-B36A-4D12-99C0-A44EC2AEED79}" name="Tanggal" dataDxfId="616"/>
    <tableColumn id="2" xr3:uid="{C9031F2B-061F-406D-BD4E-DB1DD862443B}" name="Delivery" dataDxfId="615"/>
    <tableColumn id="3" xr3:uid="{C1E511D8-8AA1-4F0D-827D-9E49C7372BB2}" name="Vendor" dataDxfId="614"/>
    <tableColumn id="4" xr3:uid="{FCEA26BD-2126-4B24-A58E-9EA85EB987D7}" name="SN " dataDxfId="613"/>
    <tableColumn id="5" xr3:uid="{982BCCCF-65C0-4B46-9187-F2CBB291F397}" name="Name ship-to party" dataDxfId="612"/>
    <tableColumn id="6" xr3:uid="{8FD91F64-5106-468A-B655-C597484CF9FD}" name="AREA" dataDxfId="611"/>
    <tableColumn id="7" xr3:uid="{40366B60-EFE5-4414-9453-7A126FD72569}" name="TOTAL WEIGHT" dataDxfId="610"/>
    <tableColumn id="8" xr3:uid="{7F395F4E-3DE4-4D8A-B112-72B7225B5441}" name="TRUCK TYPE" dataDxfId="609"/>
    <tableColumn id="9" xr3:uid="{4E1C6510-E54F-4C7E-89ED-E54A6659C446}" name="KEBUTUHAN" dataDxfId="608"/>
    <tableColumn id="10" xr3:uid="{B45D7B98-2D88-424C-83E2-D8DF6725DFCA}" name="KETERSEDIAAN" dataDxfId="607"/>
    <tableColumn id="11" xr3:uid="{C687026A-C3B1-4DAA-BAD5-1DD2B440AC86}" name="GATE IN " dataDxfId="606"/>
    <tableColumn id="12" xr3:uid="{4DED7FC3-6F1C-494C-886D-987166467EAF}" name="Add" dataDxfId="605"/>
    <tableColumn id="13" xr3:uid="{0AE43C03-2335-4B51-A0D9-FCCA5D8E5621}" name="REMAKS" dataDxfId="604"/>
    <tableColumn id="14" xr3:uid="{A5B4BBB6-FD57-4B1E-9263-4E4F1810E67B}" name="DN LAMA" dataDxfId="603"/>
    <tableColumn id="15" xr3:uid="{4E0475F2-C07E-4BD9-918B-8C6258EE5259}" name="Column1" dataDxfId="60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CDC028F-FD76-48BC-B02A-86559DAC0112}" name="Table19212223" displayName="Table19212223" ref="R1:AC129" totalsRowShown="0" headerRowDxfId="601" dataDxfId="599" headerRowBorderDxfId="600" tableBorderDxfId="598" totalsRowBorderDxfId="597">
  <autoFilter ref="R1:AC129" xr:uid="{A26ECDD3-C094-43F2-AEE4-8928D28215AA}"/>
  <tableColumns count="12">
    <tableColumn id="1" xr3:uid="{E3609F65-7552-4B2B-9D5A-B4CF70833AA1}" name="Tanggal" dataDxfId="596"/>
    <tableColumn id="2" xr3:uid="{5670CBB6-907D-4549-AAAB-EF1E0DFBDCC8}" name="Delivery" dataDxfId="595"/>
    <tableColumn id="3" xr3:uid="{294DA40F-02DB-4CF9-800E-F8FE79A77EB9}" name="Vendor" dataDxfId="594"/>
    <tableColumn id="4" xr3:uid="{A9E986EC-41DF-4AD4-AC3D-56A70C10CA31}" name="SN " dataDxfId="593"/>
    <tableColumn id="5" xr3:uid="{995000A8-279A-4B2F-92F2-C38D99258A7C}" name="Name ship-to party" dataDxfId="592"/>
    <tableColumn id="6" xr3:uid="{1B4D8DBA-0238-4033-AC14-9DCBE3E01C28}" name="AREA" dataDxfId="591"/>
    <tableColumn id="7" xr3:uid="{DCB93E04-7F33-44DA-A797-0FE52CAFD67D}" name="TOTAL WEIGHT" dataDxfId="590"/>
    <tableColumn id="8" xr3:uid="{8D8FBAA7-D4E8-4353-B4F5-F680F354EBA2}" name="TRUCK TYPE" dataDxfId="589"/>
    <tableColumn id="9" xr3:uid="{A1FE3E2A-F34C-4E3D-A940-9D243652D764}" name="KEBUTUHAN" dataDxfId="588"/>
    <tableColumn id="10" xr3:uid="{DACCE668-ABC9-4990-9089-6F6A95C44576}" name="KETERSEDIAAN" dataDxfId="587"/>
    <tableColumn id="11" xr3:uid="{E800EA0A-64CA-4911-9F3F-EA2DA0EEDEEC}" name="GATE IN " dataDxfId="586"/>
    <tableColumn id="12" xr3:uid="{81CC8146-AB12-447C-AF93-6CEF79B8A6EE}" name="Add" dataDxfId="58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F654AF-7345-4FE4-A9DB-C83C9BA1E4B4}" name="Table192122232425" displayName="Table192122232425" ref="R1:AC78" totalsRowShown="0" headerRowDxfId="584" dataDxfId="582" headerRowBorderDxfId="583" tableBorderDxfId="581" totalsRowBorderDxfId="580">
  <autoFilter ref="R1:AC78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57C03B0-9E80-4E35-975C-E317EFE80BCE}" name="Tanggal" dataDxfId="579"/>
    <tableColumn id="2" xr3:uid="{927396F6-D31E-42A9-8579-B3754E615DFB}" name="Delivery" dataDxfId="578"/>
    <tableColumn id="3" xr3:uid="{49F9E74E-B603-44F6-8BBD-116BEC7959DE}" name="Vendor" dataDxfId="577"/>
    <tableColumn id="4" xr3:uid="{175B9C9A-3051-4068-8693-1FE291F22081}" name="SN " dataDxfId="576"/>
    <tableColumn id="5" xr3:uid="{E9CCA8CC-4B12-4E28-A76F-D42B0570BCC3}" name="Name ship-to party" dataDxfId="575"/>
    <tableColumn id="6" xr3:uid="{E34DFA91-EC89-472E-86EB-B8587D4FD01A}" name="AREA" dataDxfId="574"/>
    <tableColumn id="7" xr3:uid="{6DAB61F3-C5D1-4A2F-BB75-34245D5EF072}" name="TOTAL WEIGHT" dataDxfId="573"/>
    <tableColumn id="8" xr3:uid="{8054501A-C7C4-492F-9F77-9E61721250CA}" name="TRUCK TYPE" dataDxfId="572"/>
    <tableColumn id="9" xr3:uid="{BBBD5B0A-1E71-4B86-A701-96830DBFB266}" name="KEBUTUHAN" dataDxfId="571"/>
    <tableColumn id="10" xr3:uid="{5BC68C90-6311-4256-8F8F-6C3B18898142}" name="KETERSEDIAAN" dataDxfId="570"/>
    <tableColumn id="11" xr3:uid="{7103AC3B-8B38-4925-924F-BA775024796C}" name="GATE IN " dataDxfId="569"/>
    <tableColumn id="12" xr3:uid="{FE86E565-5D06-4832-B223-DAFF826618EA}" name="Add" dataDxfId="56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CDCAFBC-2AF8-4850-B64C-4503E92511D7}" name="Table1921222324" displayName="Table1921222324" ref="R1:AC147" totalsRowShown="0" headerRowDxfId="567" dataDxfId="565" headerRowBorderDxfId="566" tableBorderDxfId="564" totalsRowBorderDxfId="563">
  <autoFilter ref="R1:AC14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D9A560C5-D1F8-4310-8600-A5C0A0A7E344}" name="Tanggal" dataDxfId="562"/>
    <tableColumn id="2" xr3:uid="{3733B091-2BB8-4295-BEA7-E4211ADA4F0F}" name="Delivery" dataDxfId="561"/>
    <tableColumn id="3" xr3:uid="{5C6E9A17-F97D-46D3-85DB-AC7E2156787A}" name="Vendor" dataDxfId="560"/>
    <tableColumn id="4" xr3:uid="{277CB125-0C09-4E1B-820C-2D97D425F201}" name="SN " dataDxfId="559"/>
    <tableColumn id="5" xr3:uid="{26132404-832D-4BAE-97F3-7BB9CB9D97CE}" name="Name ship-to party" dataDxfId="558"/>
    <tableColumn id="6" xr3:uid="{FB0654D2-3ED3-459C-8236-76B173FC9D9D}" name="AREA" dataDxfId="557"/>
    <tableColumn id="7" xr3:uid="{729CB286-7AF2-4571-81C0-E24335206756}" name="TOTAL WEIGHT" dataDxfId="556"/>
    <tableColumn id="8" xr3:uid="{93B7D9D4-2C6F-40DB-B546-C49D0CF1671E}" name="TRUCK TYPE" dataDxfId="555"/>
    <tableColumn id="9" xr3:uid="{31B1C648-BCC5-40C2-AB98-3752DEA128B4}" name="KEBUTUHAN" dataDxfId="554"/>
    <tableColumn id="10" xr3:uid="{BB8ADED2-50D4-4245-B4D9-483D9A0B6123}" name="KETERSEDIAAN" dataDxfId="553"/>
    <tableColumn id="11" xr3:uid="{0466114A-8C15-4CAF-9113-1C7CC843FA28}" name="GATE IN " dataDxfId="552"/>
    <tableColumn id="12" xr3:uid="{CB87CBB5-2299-46B4-8B9D-6CC3449FC0FE}" name="Add" dataDxfId="55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23AC75B-B19F-4999-8474-62E65BB8C21A}" name="Table1921" displayName="Table1921" ref="R1:AC90" totalsRowShown="0" headerRowDxfId="550" dataDxfId="548" headerRowBorderDxfId="549" tableBorderDxfId="547" totalsRowBorderDxfId="546">
  <autoFilter ref="R1:AC90" xr:uid="{A26ECDD3-C094-43F2-AEE4-8928D28215AA}"/>
  <tableColumns count="12">
    <tableColumn id="1" xr3:uid="{1348E615-22D2-4985-B7B7-3D4B52B5F960}" name="Tanggal" dataDxfId="545"/>
    <tableColumn id="2" xr3:uid="{7F73571E-BA4D-495E-9019-870AB5E73FE5}" name="Delivery" dataDxfId="544"/>
    <tableColumn id="3" xr3:uid="{84791512-10C7-4489-81E4-80063EC417CE}" name="Vendor" dataDxfId="543"/>
    <tableColumn id="4" xr3:uid="{7FCAE737-0A35-4234-BA97-FA3A77172283}" name="SN " dataDxfId="542"/>
    <tableColumn id="5" xr3:uid="{BAD84E17-5EDF-47AC-9E3F-E3537F234913}" name="Name ship-to party" dataDxfId="541"/>
    <tableColumn id="6" xr3:uid="{9CC66ED5-2287-4CD2-971F-35C203382498}" name="AREA" dataDxfId="540"/>
    <tableColumn id="7" xr3:uid="{3084ECE3-AEF7-4344-9035-3E15D7636FAA}" name="TOTAL WEIGHT" dataDxfId="539"/>
    <tableColumn id="8" xr3:uid="{AEB738A6-B9DF-43B7-A4E4-3BA5D1D5FED0}" name="TRUCK TYPE" dataDxfId="538"/>
    <tableColumn id="9" xr3:uid="{DBD21900-5A7C-4816-82E0-4DF4E4A6B44D}" name="KEBUTUHAN" dataDxfId="537"/>
    <tableColumn id="10" xr3:uid="{9D717782-F6F6-4CEB-B21A-D956C80E8E01}" name="KETERSEDIAAN" dataDxfId="536"/>
    <tableColumn id="11" xr3:uid="{D7A562CB-8AC2-4E2A-9413-69B9759D8B56}" name="GATE IN " dataDxfId="535"/>
    <tableColumn id="12" xr3:uid="{BCBC0E1F-D939-4183-A4F1-61BACDE5B552}" name="Add" dataDxfId="53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58B595-DCD9-4BEE-BDB5-6754D5D219B2}" name="Table134657891011141213" displayName="Table134657891011141213" ref="R2:AD90" totalsRowShown="0" headerRowDxfId="533" dataDxfId="532" tableBorderDxfId="531">
  <autoFilter ref="R2:AD90" xr:uid="{A158B595-DCD9-4BEE-BDB5-6754D5D219B2}"/>
  <tableColumns count="13">
    <tableColumn id="1" xr3:uid="{3BF7B45C-6DE5-4407-B9ED-6DBF0225ECE6}" name="Tanggal" dataDxfId="530"/>
    <tableColumn id="2" xr3:uid="{BA8F7F69-849D-4D4D-8915-6794C14084F9}" name="Delivery" dataDxfId="529"/>
    <tableColumn id="3" xr3:uid="{B7BFC6CD-B60F-46AB-BC55-C865A3600037}" name="Vendor" dataDxfId="528"/>
    <tableColumn id="4" xr3:uid="{7C59D240-C574-4A0B-894A-1ADE1C4906DA}" name="SN " dataDxfId="527"/>
    <tableColumn id="5" xr3:uid="{AC85C8B3-E3A0-4247-8FE0-B7F74B720046}" name="Name ship-to party" dataDxfId="526"/>
    <tableColumn id="6" xr3:uid="{CCF1EF83-01F7-49CA-9CBC-66A0196A1932}" name="AREA" dataDxfId="525"/>
    <tableColumn id="7" xr3:uid="{63D8DE88-A629-4AA5-AE61-5D83E94205E1}" name="TOTAL WEIGHT" dataDxfId="524"/>
    <tableColumn id="8" xr3:uid="{7573DD39-DCC0-4C53-97F9-4D0CEE5736CA}" name="TRUCK TYPE" dataDxfId="523"/>
    <tableColumn id="9" xr3:uid="{F4F1D791-187D-4A0E-B972-2938715EACD3}" name="KEBUTUHAN" dataDxfId="522"/>
    <tableColumn id="10" xr3:uid="{92175350-5927-49B5-ABF9-4B62E128B517}" name="KETERSEDIAAN" dataDxfId="521"/>
    <tableColumn id="11" xr3:uid="{F46DAA31-8B77-4B35-AB67-35F7DD30549B}" name="GATE IN " dataDxfId="520">
      <calculatedColumnFormula>SUBSTITUTE(Table134657891011141213[[#This Row],[AREA]], "JABODETABE", "BELUM MASU")</calculatedColumnFormula>
    </tableColumn>
    <tableColumn id="12" xr3:uid="{28DB080A-C9BA-47C4-B8AD-1B772F2AC0F9}" name="Add" dataDxfId="519"/>
    <tableColumn id="13" xr3:uid="{B5048EC1-96F2-4565-AB98-163F62A08104}" name="CEK" dataDxfId="518">
      <calculatedColumnFormula>VLOOKUP(Table134657891011141213[[#This Row],[Delivery]],#REF!,7,FALSE)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7B5783-D443-456F-A570-B5FDD55C9945}" name="Table14" displayName="Table14" ref="R2:AC65" totalsRowShown="0" headerRowDxfId="517" dataDxfId="515" headerRowBorderDxfId="516" tableBorderDxfId="514" totalsRowBorderDxfId="513">
  <tableColumns count="12">
    <tableColumn id="1" xr3:uid="{2DECDD7D-106B-4446-AD05-033FEDD7B742}" name="Tanggal" dataDxfId="512"/>
    <tableColumn id="2" xr3:uid="{FA7B43C4-C688-494E-8245-439E627F33BE}" name="Delivery" dataDxfId="511"/>
    <tableColumn id="3" xr3:uid="{4B59158C-5E35-4790-A327-D8D82F3843A4}" name="Vendor"/>
    <tableColumn id="4" xr3:uid="{5E419D5C-45FC-4CEF-97E8-9D5D9732A9A9}" name="SN " dataDxfId="510"/>
    <tableColumn id="5" xr3:uid="{956B4B7E-01A2-4419-9639-1577798FF0C0}" name="Name ship-to party" dataDxfId="509"/>
    <tableColumn id="6" xr3:uid="{05C398FB-85E4-4813-B9C6-DD5A250DFE6D}" name="AREA" dataDxfId="508"/>
    <tableColumn id="7" xr3:uid="{745EDE71-33E7-48CA-A7B8-6010FF4AFD2A}" name="TOTAL WEIGHT" dataDxfId="507"/>
    <tableColumn id="8" xr3:uid="{E788D000-A500-4B3B-879B-2884EEB93001}" name="TRUCK TYPE" dataDxfId="506"/>
    <tableColumn id="9" xr3:uid="{ED3E905C-FA17-4122-B5AD-3CF63EBBB423}" name="KEBUTUHAN" dataDxfId="505"/>
    <tableColumn id="10" xr3:uid="{54E158BA-0395-410F-9118-CAC58F6D84D7}" name="KETERSEDIAAN" dataDxfId="504"/>
    <tableColumn id="11" xr3:uid="{5EC7DB7F-EA39-4D15-8C98-CD6A4513232D}" name="GATE IN "/>
    <tableColumn id="12" xr3:uid="{EFBE865F-1128-47E4-A182-C29A0DE85C63}" name="Add" dataDxfId="50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88AF72-E24C-48CC-B562-50A707EC4DF0}" name="Table1416" displayName="Table1416" ref="R1:AC45" totalsRowShown="0" headerRowDxfId="502" dataDxfId="500" headerRowBorderDxfId="501" tableBorderDxfId="499" totalsRowBorderDxfId="498">
  <autoFilter ref="R1:AC45" xr:uid="{2788AF72-E24C-48CC-B562-50A707EC4DF0}"/>
  <tableColumns count="12">
    <tableColumn id="1" xr3:uid="{C2A74925-61E2-4E49-B678-F1190AA7FA6F}" name="Tanggal" dataDxfId="497"/>
    <tableColumn id="2" xr3:uid="{05AE52DC-C300-4E50-86F2-E85D8CF3F767}" name="Delivery" dataDxfId="496"/>
    <tableColumn id="3" xr3:uid="{6830C3C4-6538-40B5-99EE-BF375F08787C}" name="Vendor" dataDxfId="495"/>
    <tableColumn id="4" xr3:uid="{8768681F-6909-4D49-B438-82B7B0FDC815}" name="SN " dataDxfId="494"/>
    <tableColumn id="5" xr3:uid="{A231F863-8F47-4241-A1E4-C8E1EA93643A}" name="Name ship-to party" dataDxfId="493"/>
    <tableColumn id="6" xr3:uid="{10BEF589-0A32-45FE-B9AE-4BA4682A21D1}" name="AREA" dataDxfId="492"/>
    <tableColumn id="7" xr3:uid="{C6410136-FB98-4506-8834-0BC49DB2426E}" name="TOTAL WEIGHT" dataDxfId="491"/>
    <tableColumn id="8" xr3:uid="{84FA3908-AA1A-4A54-84A4-7015672AB726}" name="TRUCK TYPE" dataDxfId="490"/>
    <tableColumn id="9" xr3:uid="{0A9A4D42-EF5A-4469-AEB0-0A591512D5E5}" name="KEBUTUHAN" dataDxfId="489"/>
    <tableColumn id="10" xr3:uid="{E1E5BBC5-32B2-454B-B374-EABC232D2EDF}" name="KETERSEDIAAN" dataDxfId="488"/>
    <tableColumn id="11" xr3:uid="{D6E2C7ED-9D66-48A2-AE7B-C22E66034566}" name="GATE IN " dataDxfId="487"/>
    <tableColumn id="12" xr3:uid="{5FD1AB97-DD5C-4C37-A2B4-2C1382E8C7F5}" name="Add" dataDxfId="48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3299214-38E9-44D4-8B73-72BB91D838D3}" name="Table141617" displayName="Table141617" ref="R1:AC71" totalsRowShown="0" headerRowDxfId="485" dataDxfId="483" headerRowBorderDxfId="484" tableBorderDxfId="482" totalsRowBorderDxfId="481">
  <autoFilter ref="R1:AC71" xr:uid="{13299214-38E9-44D4-8B73-72BB91D838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E91D3D63-BC28-4E6A-B307-A3E342518D01}" name="Tanggal" dataDxfId="480"/>
    <tableColumn id="2" xr3:uid="{B3DB96DE-66D5-4626-B4AB-8119E12CEA65}" name="Delivery" dataDxfId="479"/>
    <tableColumn id="3" xr3:uid="{64F5DD94-4195-4872-9FAB-57CD90296233}" name="Vendor" dataDxfId="478"/>
    <tableColumn id="4" xr3:uid="{B670D2A5-4EE6-41FC-9F7F-863C92DE7D37}" name="SN " dataDxfId="477"/>
    <tableColumn id="5" xr3:uid="{CD8EAC52-B91D-444F-B7F9-8BA9089E7713}" name="Name ship-to party" dataDxfId="476"/>
    <tableColumn id="6" xr3:uid="{AB00A04E-C71D-48E8-B5CF-96195B5A64F6}" name="AREA" dataDxfId="475"/>
    <tableColumn id="7" xr3:uid="{384989B9-AB11-4DA2-89AD-54F2A4E3EBAD}" name="TOTAL WEIGHT" dataDxfId="474"/>
    <tableColumn id="8" xr3:uid="{8CEDE7B0-6D9D-4445-BFF3-93EE9906FBA9}" name="TRUCK TYPE" dataDxfId="473"/>
    <tableColumn id="9" xr3:uid="{8FD7076F-87E4-4C61-8556-7DE96BFF6BED}" name="KEBUTUHAN" dataDxfId="472"/>
    <tableColumn id="10" xr3:uid="{E9C83B3F-3E6D-488B-AB87-C62DA65EB642}" name="KETERSEDIAAN" dataDxfId="471"/>
    <tableColumn id="11" xr3:uid="{BCBC2A4C-A081-4852-8574-81B048E480CA}" name="GATE IN " dataDxfId="470"/>
    <tableColumn id="12" xr3:uid="{284BB059-7BAC-4CA2-9816-361E9371C9D8}" name="Add" dataDxfId="46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261EEE-5FB3-4772-8F3D-BA27A7E4D553}" name="Table14161718" displayName="Table14161718" ref="R1:AC88" totalsRowShown="0" headerRowDxfId="468" dataDxfId="466" headerRowBorderDxfId="467" tableBorderDxfId="465" totalsRowBorderDxfId="464">
  <autoFilter ref="R1:AC88" xr:uid="{13299214-38E9-44D4-8B73-72BB91D838D3}"/>
  <tableColumns count="12">
    <tableColumn id="1" xr3:uid="{EFA0AC77-AA5E-4EE5-9835-5B720E237672}" name="Tanggal" dataDxfId="463"/>
    <tableColumn id="2" xr3:uid="{26E21324-6E17-4DBE-AE7D-5161CCA6931E}" name="Delivery" dataDxfId="462"/>
    <tableColumn id="3" xr3:uid="{BC4D2111-748B-4B9E-9571-A9B42C5608AE}" name="Vendor" dataDxfId="461"/>
    <tableColumn id="4" xr3:uid="{8CCAA223-D786-47BC-8CA2-07C09D9030DA}" name="SN " dataDxfId="460"/>
    <tableColumn id="5" xr3:uid="{4CEA3855-0E2E-4D59-B638-4A36877DB7FA}" name="Name ship-to party" dataDxfId="459"/>
    <tableColumn id="6" xr3:uid="{16E374EE-C2DD-45BF-B94D-573FC9EE20CA}" name="AREA" dataDxfId="458"/>
    <tableColumn id="7" xr3:uid="{5B495660-51A7-40FE-8C93-249AF364AE26}" name="TOTAL WEIGHT" dataDxfId="457"/>
    <tableColumn id="8" xr3:uid="{8252535A-272C-4A87-B805-7E9CB1A0437A}" name="TRUCK TYPE" dataDxfId="456"/>
    <tableColumn id="9" xr3:uid="{4388CA29-37F0-459A-863E-58854B2DA490}" name="KEBUTUHAN" dataDxfId="455"/>
    <tableColumn id="10" xr3:uid="{98BB9A90-3CB4-4E6B-9DE4-017274ABA81B}" name="KETERSEDIAAN" dataDxfId="454"/>
    <tableColumn id="11" xr3:uid="{F9A74EB8-EFA0-4210-B1E1-ACE3297F7785}" name="GATE IN " dataDxfId="453"/>
    <tableColumn id="12" xr3:uid="{5315D257-6C44-4BC7-AC5D-5653B2861F64}" name="Add" dataDxfId="45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691F63F-158F-40C0-8D93-862CACC993E1}" name="Table1416171819" displayName="Table1416171819" ref="R1:AC111" totalsRowShown="0" headerRowDxfId="451" dataDxfId="449" headerRowBorderDxfId="450" tableBorderDxfId="448" totalsRowBorderDxfId="447">
  <autoFilter ref="R1:AC111" xr:uid="{13299214-38E9-44D4-8B73-72BB91D838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0BD1BCA3-7126-4C58-9E82-F01481BA06B3}" name="Tanggal" dataDxfId="446"/>
    <tableColumn id="2" xr3:uid="{B9D4C4F7-4FA3-488B-B10D-93B33124F342}" name="Delivery" dataDxfId="445"/>
    <tableColumn id="3" xr3:uid="{7F815A0C-AEA0-4875-8574-33690A5D381D}" name="Vendor" dataDxfId="444"/>
    <tableColumn id="4" xr3:uid="{B3CDC666-D162-4E58-B4E6-77ED0B885647}" name="SN " dataDxfId="443"/>
    <tableColumn id="5" xr3:uid="{F7682717-917B-4CBC-9D71-5721DD0EADE8}" name="Name ship-to party" dataDxfId="442"/>
    <tableColumn id="6" xr3:uid="{3838CE5F-C9EF-4202-AA37-B732AC8EBBA5}" name="AREA" dataDxfId="441"/>
    <tableColumn id="7" xr3:uid="{A343FCCD-D5E2-483E-BE3D-05AE95ACD5D6}" name="TOTAL WEIGHT" dataDxfId="440"/>
    <tableColumn id="8" xr3:uid="{1034F35D-F21F-4566-8764-9DD4FFF71551}" name="TRUCK TYPE" dataDxfId="439"/>
    <tableColumn id="9" xr3:uid="{5C78F9B9-D6BE-42E7-ADE8-B220F1C9D97C}" name="KEBUTUHAN" dataDxfId="438"/>
    <tableColumn id="10" xr3:uid="{E7AEF037-6745-4184-84FF-FCFFD47EE782}" name="KETERSEDIAAN" dataDxfId="437"/>
    <tableColumn id="11" xr3:uid="{8B3412DB-4373-45BC-8C7C-D1C29B2FF92C}" name="GATE IN " dataDxfId="436"/>
    <tableColumn id="12" xr3:uid="{921F67BA-5CE3-44E3-9040-1E456DE327B6}" name="Add" dataDxfId="43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28C90FB-F3E7-4D68-8351-169158396D0F}" name="Table19212223242526272829303133343536373839404142414345324446" displayName="Table19212223242526272829303133343536373839404142414345324446" ref="R1:AD127" totalsRowShown="0" headerRowDxfId="434" dataDxfId="432" headerRowBorderDxfId="433" tableBorderDxfId="431" totalsRowBorderDxfId="430">
  <autoFilter ref="R1:AD127" xr:uid="{A26ECDD3-C094-43F2-AEE4-8928D28215AA}"/>
  <tableColumns count="13">
    <tableColumn id="1" xr3:uid="{C0FD42DC-7E5F-45A7-A4D7-0025DF6C8418}" name="Tanggal" dataDxfId="429"/>
    <tableColumn id="2" xr3:uid="{06F487F8-F28C-4CA8-ABF4-DE0BA607FFA2}" name="Delivery" dataDxfId="428"/>
    <tableColumn id="3" xr3:uid="{144975EB-481E-4248-9959-72A9851AEBBF}" name="Vendor" dataDxfId="427"/>
    <tableColumn id="4" xr3:uid="{10561486-B984-46B8-9ECB-D1CCF4B9EC50}" name="SN " dataDxfId="426"/>
    <tableColumn id="5" xr3:uid="{9B4AC736-63F4-441C-ABA4-7E2BE84BA746}" name="Name ship-to party" dataDxfId="425"/>
    <tableColumn id="6" xr3:uid="{8DF4A72C-5BEF-48CF-A8F3-7B0F4D26E5ED}" name="AREA" dataDxfId="424"/>
    <tableColumn id="7" xr3:uid="{5EF58D0A-6AB3-430E-A3E3-5C46C12CEF75}" name="TOTAL WEIGHT" dataDxfId="423"/>
    <tableColumn id="8" xr3:uid="{92BE6393-5C48-498C-B25B-005E945F9727}" name="TRUCK TYPE" dataDxfId="422"/>
    <tableColumn id="9" xr3:uid="{2854ABE6-68D5-47E6-B2B1-10CB40701064}" name="KEBUTUHAN" dataDxfId="421"/>
    <tableColumn id="10" xr3:uid="{79ED94A8-43CA-4ED3-B3D2-D0389D450439}" name="KETERSEDIAAN" dataDxfId="420"/>
    <tableColumn id="11" xr3:uid="{6C768E86-F282-4F92-A46D-EA524325134F}" name="GATE IN " dataDxfId="419"/>
    <tableColumn id="12" xr3:uid="{1CF28BFC-4E54-44FB-98A0-C2429E872DE2}" name="Add" dataDxfId="418"/>
    <tableColumn id="13" xr3:uid="{FE5E94B7-0535-46A3-8A86-9158F2CA714B}" name="Column1" dataDxfId="417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2FB861A-9B8C-4085-BB73-B26FF0C5B032}" name="Table192122232425262728293031333435363738394041424143453244" displayName="Table192122232425262728293031333435363738394041424143453244" ref="R1:AD152" totalsRowShown="0" headerRowDxfId="416" dataDxfId="414" headerRowBorderDxfId="415" tableBorderDxfId="413" totalsRowBorderDxfId="412">
  <autoFilter ref="R1:AD152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76439FF-9C82-4C1A-A557-124DD374054F}" name="Tanggal" dataDxfId="411"/>
    <tableColumn id="2" xr3:uid="{5AD03C9F-F952-454E-B0DC-431AB637E650}" name="Delivery" dataDxfId="410"/>
    <tableColumn id="3" xr3:uid="{67996A0D-B9B7-43B9-91BC-F4D24C9F6D00}" name="Vendor" dataDxfId="409"/>
    <tableColumn id="4" xr3:uid="{DAC7C29D-682E-484C-BC95-1F11AF48628E}" name="SN " dataDxfId="408"/>
    <tableColumn id="5" xr3:uid="{EFE42ED3-7377-4C51-B56D-392AFE04ACEC}" name="Name ship-to party" dataDxfId="407"/>
    <tableColumn id="6" xr3:uid="{1D791DFF-8FB5-4105-A005-997A2B8B3D3F}" name="AREA" dataDxfId="406"/>
    <tableColumn id="7" xr3:uid="{CC123758-4FE2-475D-BA45-005A657C4BEC}" name="TOTAL WEIGHT" dataDxfId="405"/>
    <tableColumn id="8" xr3:uid="{14E83703-3683-4C08-9278-1079EBDFC060}" name="TRUCK TYPE" dataDxfId="404"/>
    <tableColumn id="9" xr3:uid="{8743317F-439C-4853-8EED-12EFF7397EBB}" name="KEBUTUHAN" dataDxfId="403"/>
    <tableColumn id="10" xr3:uid="{07138E9A-332E-4323-8068-B49AE0519F5A}" name="KETERSEDIAAN" dataDxfId="402"/>
    <tableColumn id="11" xr3:uid="{B78EFC13-20AB-4D67-8E05-A2497F857D54}" name="GATE IN " dataDxfId="401"/>
    <tableColumn id="12" xr3:uid="{F311CE75-959A-4215-8357-4F4E7017A426}" name="Add" dataDxfId="400"/>
    <tableColumn id="13" xr3:uid="{7ECD2D92-E5D2-43F7-891E-A12793088E8F}" name="Column1" dataDxfId="399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0904A45-7808-47FC-837C-05D770FC25B5}" name="Table1921222324252627282930313334353637383940414241434532" displayName="Table1921222324252627282930313334353637383940414241434532" ref="R1:AD191" totalsRowShown="0" headerRowDxfId="398" dataDxfId="396" headerRowBorderDxfId="397" tableBorderDxfId="395" totalsRowBorderDxfId="394">
  <autoFilter ref="R1:AD191" xr:uid="{A26ECDD3-C094-43F2-AEE4-8928D28215AA}"/>
  <tableColumns count="13">
    <tableColumn id="1" xr3:uid="{AE2602C5-F33B-4FFB-B63B-938E7115DA9B}" name="Tanggal" dataDxfId="393"/>
    <tableColumn id="2" xr3:uid="{E7FA9D02-0EA0-450A-B176-79D4A7E09711}" name="Delivery" dataDxfId="392"/>
    <tableColumn id="3" xr3:uid="{6DB2F539-3009-4014-A0FF-B7C1909C8F3B}" name="Vendor" dataDxfId="391"/>
    <tableColumn id="4" xr3:uid="{61F37814-F884-42BA-BEE6-A8C01B8CDBFB}" name="SN " dataDxfId="390"/>
    <tableColumn id="5" xr3:uid="{52027C3F-0359-4882-9F8A-2C1C8EA7063A}" name="Name ship-to party" dataDxfId="389"/>
    <tableColumn id="6" xr3:uid="{0EBC3850-F08C-42FD-9D95-756378FDFD36}" name="AREA" dataDxfId="388"/>
    <tableColumn id="7" xr3:uid="{9537DFDD-32C4-4722-99DE-A559AC948F64}" name="TOTAL WEIGHT" dataDxfId="387"/>
    <tableColumn id="8" xr3:uid="{6BFD34AD-5C07-419E-83F5-2F744A6A2138}" name="TRUCK TYPE" dataDxfId="386"/>
    <tableColumn id="9" xr3:uid="{C14865D7-0E1E-4034-B089-8F247F9392B5}" name="KEBUTUHAN" dataDxfId="385"/>
    <tableColumn id="10" xr3:uid="{1E2B4609-CB6C-4B61-A8D7-72E969C36271}" name="KETERSEDIAAN" dataDxfId="384"/>
    <tableColumn id="11" xr3:uid="{572A4FA6-AC94-4CF3-A18E-E68C01F9CEBE}" name="GATE IN " dataDxfId="383"/>
    <tableColumn id="12" xr3:uid="{18857FAA-001D-4E28-B7B2-4B2A10E00A0A}" name="Add" dataDxfId="382"/>
    <tableColumn id="13" xr3:uid="{713305BD-0F31-437C-A161-7794C477BA85}" name="Column1" dataDxfId="38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2946DA0-729B-41F5-8220-FF2756E9B6CB}" name="Table19212223242526272829303133343536373839404142414345" displayName="Table19212223242526272829303133343536373839404142414345" ref="R1:AD122" totalsRowShown="0" headerRowDxfId="380" dataDxfId="378" headerRowBorderDxfId="379" tableBorderDxfId="377" totalsRowBorderDxfId="376">
  <autoFilter ref="R1:AD122" xr:uid="{A26ECDD3-C094-43F2-AEE4-8928D28215AA}">
    <filterColumn colId="1">
      <colorFilter dxfId="375"/>
    </filterColumn>
  </autoFilter>
  <tableColumns count="13">
    <tableColumn id="1" xr3:uid="{6CBBF6F8-65CD-4F46-B933-0D98FA1482FA}" name="Tanggal" dataDxfId="374"/>
    <tableColumn id="2" xr3:uid="{5146A9CD-EF93-453A-9E84-CF35EF0B14C0}" name="Delivery" dataDxfId="373"/>
    <tableColumn id="3" xr3:uid="{E9332B74-E803-4FDA-8006-91B531827CBD}" name="Vendor" dataDxfId="372"/>
    <tableColumn id="4" xr3:uid="{EFE15A6B-51DD-477A-81A6-2E62BD7CDABC}" name="SN " dataDxfId="371"/>
    <tableColumn id="5" xr3:uid="{9A737A7A-8812-4666-B55D-CDE686CDE8C3}" name="Name ship-to party" dataDxfId="370"/>
    <tableColumn id="6" xr3:uid="{9F9E9DA2-BC63-4236-AD58-42A5377856E3}" name="AREA" dataDxfId="369"/>
    <tableColumn id="7" xr3:uid="{C6C63DBB-89D9-45D1-8734-52F1874DD6DE}" name="TOTAL WEIGHT" dataDxfId="368"/>
    <tableColumn id="8" xr3:uid="{2375EB34-D684-40E7-9DD8-9BB470B4CA4B}" name="TRUCK TYPE" dataDxfId="367"/>
    <tableColumn id="9" xr3:uid="{B6C573F9-E1C1-4400-8AB2-AB7C07EF2DE8}" name="KEBUTUHAN" dataDxfId="366"/>
    <tableColumn id="10" xr3:uid="{B3E9EFD8-4D81-4C63-9A9E-8E0B5EFECA8C}" name="KETERSEDIAAN" dataDxfId="365"/>
    <tableColumn id="11" xr3:uid="{BCD129DE-97A7-4383-A47D-24F242F18F84}" name="GATE IN " dataDxfId="364"/>
    <tableColumn id="12" xr3:uid="{B66D0A28-10D3-4371-933F-3111AF0D3648}" name="Add" dataDxfId="363"/>
    <tableColumn id="13" xr3:uid="{441E464D-160D-49FB-BF7D-579E5FE902F3}" name="REMARK" dataDxfId="36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65302C7-DC13-4580-86AD-AED1EF672BED}" name="Table192122232425262728293031333435363738394041424143" displayName="Table192122232425262728293031333435363738394041424143" ref="R1:AD134" totalsRowShown="0" headerRowDxfId="361" dataDxfId="359" headerRowBorderDxfId="360" tableBorderDxfId="358" totalsRowBorderDxfId="357">
  <autoFilter ref="R1:AD134" xr:uid="{A26ECDD3-C094-43F2-AEE4-8928D28215AA}">
    <filterColumn colId="1">
      <colorFilter dxfId="356"/>
    </filterColumn>
  </autoFilter>
  <tableColumns count="13">
    <tableColumn id="1" xr3:uid="{426CE4C9-4EC7-4524-A31A-7FFB47BA5DE8}" name="Tanggal" dataDxfId="355"/>
    <tableColumn id="2" xr3:uid="{B0604B42-CA54-4CDA-94E6-66A0E107C30C}" name="Delivery" dataDxfId="354"/>
    <tableColumn id="3" xr3:uid="{75956713-6E7F-466C-A0DD-14C807B87E2E}" name="Vendor" dataDxfId="353"/>
    <tableColumn id="4" xr3:uid="{6270A235-BAE5-42A3-8141-D7263B2AA09C}" name="SN " dataDxfId="352"/>
    <tableColumn id="5" xr3:uid="{6485045A-D65E-471D-885E-E41A71859207}" name="Name ship-to party" dataDxfId="351"/>
    <tableColumn id="6" xr3:uid="{32E5FC45-8111-4FA3-AA77-F94C3BC98763}" name="AREA" dataDxfId="350"/>
    <tableColumn id="7" xr3:uid="{9C55AF01-97A0-4310-95FF-47976C5EB1DD}" name="TOTAL WEIGHT" dataDxfId="349"/>
    <tableColumn id="8" xr3:uid="{57E697DD-391F-48EB-9E27-C9A1A8416AE3}" name="TRUCK TYPE" dataDxfId="348"/>
    <tableColumn id="9" xr3:uid="{07B08C87-65E7-4805-9B37-526C9D9C0A82}" name="KEBUTUHAN" dataDxfId="347"/>
    <tableColumn id="10" xr3:uid="{628F7219-D13E-4185-870F-AD14A8846700}" name="KETERSEDIAAN" dataDxfId="346"/>
    <tableColumn id="11" xr3:uid="{F8B69C10-9990-4DDE-9A5C-B53ED8C46015}" name="GATE IN " dataDxfId="345"/>
    <tableColumn id="12" xr3:uid="{42E1F6BE-52FA-4BB1-A538-86BFFBC77425}" name="Add" dataDxfId="344"/>
    <tableColumn id="13" xr3:uid="{C512C0A0-E1F3-4B1E-951B-EC1BC86A30BB}" name="REMARK" dataDxfId="3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9A9C8E6-5BDB-428F-BD64-467F977CD083}" name="Table1921222324252627282930313334353637383940414241" displayName="Table1921222324252627282930313334353637383940414241" ref="R1:AD200" totalsRowShown="0" headerRowDxfId="342" dataDxfId="340" headerRowBorderDxfId="341" tableBorderDxfId="339" totalsRowBorderDxfId="338">
  <autoFilter ref="R1:AD200" xr:uid="{A26ECDD3-C094-43F2-AEE4-8928D28215AA}"/>
  <tableColumns count="13">
    <tableColumn id="1" xr3:uid="{AA9BAC69-3128-4391-83F9-5C1250561669}" name="Tanggal" dataDxfId="337"/>
    <tableColumn id="2" xr3:uid="{6D89644F-4E02-4349-AF1B-0BCC2ED5EFF8}" name="Delivery" dataDxfId="336"/>
    <tableColumn id="3" xr3:uid="{8E6E29A2-3561-4B87-97D2-ACDDE55A1592}" name="Vendor" dataDxfId="335"/>
    <tableColumn id="4" xr3:uid="{5576E980-5402-4E05-A024-1A08A6FA8DA1}" name="SN " dataDxfId="334"/>
    <tableColumn id="5" xr3:uid="{FA5855CD-3DB7-401D-8880-EACD5DD5A350}" name="Name ship-to party" dataDxfId="333"/>
    <tableColumn id="6" xr3:uid="{6AEFDD99-33B8-4357-BF88-60001FE3EF41}" name="AREA" dataDxfId="332"/>
    <tableColumn id="7" xr3:uid="{DC5E81F0-4175-4C0F-94C2-473958CA60CD}" name="TOTAL WEIGHT" dataDxfId="331"/>
    <tableColumn id="8" xr3:uid="{D36A5741-1B9D-41AA-96C4-928AC7C7E910}" name="TRUCK TYPE" dataDxfId="330"/>
    <tableColumn id="9" xr3:uid="{34C4D3E2-6A81-41CB-9F45-05591352615F}" name="KEBUTUHAN" dataDxfId="329"/>
    <tableColumn id="10" xr3:uid="{D654FA12-B1B7-46B6-93AC-EB159DCDA688}" name="KETERSEDIAAN" dataDxfId="328"/>
    <tableColumn id="11" xr3:uid="{5B519DF9-E301-4111-B800-41DD22E3DD21}" name="GATE IN " dataDxfId="327"/>
    <tableColumn id="12" xr3:uid="{529C1F47-740A-4C2E-85A3-E9171D8A3F7B}" name="Add" dataDxfId="326"/>
    <tableColumn id="13" xr3:uid="{9EACC2DB-2593-4BF9-92AB-68A010CC98AF}" name="REMARK" dataDxfId="325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C93116A-2440-4208-AA97-F3B820E2906F}" name="Table19212223242526272829303133343536373839404142" displayName="Table19212223242526272829303133343536373839404142" ref="R1:AD241" totalsRowShown="0" headerRowDxfId="324" dataDxfId="322" headerRowBorderDxfId="323" tableBorderDxfId="321" totalsRowBorderDxfId="320">
  <autoFilter ref="R1:AD241" xr:uid="{A26ECDD3-C094-43F2-AEE4-8928D28215AA}"/>
  <tableColumns count="13">
    <tableColumn id="1" xr3:uid="{A80B490A-B1DD-4EDE-AC3E-02B6CCBFDEB6}" name="Tanggal" dataDxfId="319"/>
    <tableColumn id="2" xr3:uid="{F8594EA4-0C01-4922-8C30-AA0B3233C958}" name="Delivery" dataDxfId="318"/>
    <tableColumn id="3" xr3:uid="{7D3BFF1E-B385-4279-8989-C2C4A4F945AA}" name="Vendor" dataDxfId="317"/>
    <tableColumn id="4" xr3:uid="{36545FBC-8789-4D17-A16F-7D925F8EBF09}" name="SN " dataDxfId="316"/>
    <tableColumn id="5" xr3:uid="{17693578-340B-49DA-BD2F-54486533D8DA}" name="Name ship-to party" dataDxfId="315"/>
    <tableColumn id="6" xr3:uid="{8450C7C7-8FE1-4F4D-BCE7-10105601F718}" name="AREA" dataDxfId="314"/>
    <tableColumn id="7" xr3:uid="{245B7068-C109-483A-AFAA-1C22C9F54335}" name="TOTAL WEIGHT" dataDxfId="313"/>
    <tableColumn id="8" xr3:uid="{1B681C26-878F-4C82-8AD3-7C0A038F8387}" name="TRUCK TYPE" dataDxfId="312"/>
    <tableColumn id="9" xr3:uid="{92357EA3-D494-4973-A0BD-6EBF6C51A9E9}" name="KEBUTUHAN" dataDxfId="311"/>
    <tableColumn id="10" xr3:uid="{9727A4BA-BF64-4D77-8D0F-02ABD84CB826}" name="KETERSEDIAAN" dataDxfId="310"/>
    <tableColumn id="11" xr3:uid="{D1B2B155-A1DC-4771-87CD-FD4BCB6DB70F}" name="GATE IN " dataDxfId="309"/>
    <tableColumn id="12" xr3:uid="{F4B807D3-937D-4922-B4AC-64058A9CF208}" name="Add" dataDxfId="308"/>
    <tableColumn id="13" xr3:uid="{37E514C4-DA71-44D4-8966-4DE6790D603E}" name="REMARK" dataDxfId="30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6F7EE85-02A7-443A-9B88-6E5FF5D97B12}" name="Table1921222324252627282930313334353637383940" displayName="Table1921222324252627282930313334353637383940" ref="R1:AD227" totalsRowShown="0" headerRowDxfId="306" dataDxfId="304" headerRowBorderDxfId="305" tableBorderDxfId="303" totalsRowBorderDxfId="302">
  <autoFilter ref="R1:AD22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1C43C1FD-C048-43EE-9D3A-C07B71D5E4BF}" name="Tanggal" dataDxfId="301"/>
    <tableColumn id="2" xr3:uid="{7334926E-17CA-4D7C-9A19-57B4D09BF18B}" name="Delivery" dataDxfId="300"/>
    <tableColumn id="3" xr3:uid="{E691C2BA-BD6C-4F08-B9DB-81C8F643DE76}" name="Vendor" dataDxfId="299"/>
    <tableColumn id="4" xr3:uid="{F035A50F-A83E-4673-A844-2D3515F347DE}" name="SN " dataDxfId="298"/>
    <tableColumn id="5" xr3:uid="{AB30C084-78E5-452E-B36D-2B2DD6A342F5}" name="Name ship-to party" dataDxfId="297"/>
    <tableColumn id="6" xr3:uid="{5E25DA01-C416-4611-91C0-D67E2BD129F1}" name="AREA" dataDxfId="296"/>
    <tableColumn id="7" xr3:uid="{CFF0435C-37A9-4325-BDF9-61EE1E699E1B}" name="TOTAL WEIGHT" dataDxfId="295"/>
    <tableColumn id="8" xr3:uid="{BCE8DE35-A808-4E2F-8AEE-33150C16DC1A}" name="TRUCK TYPE" dataDxfId="294"/>
    <tableColumn id="9" xr3:uid="{D258D101-573D-4B92-8DC0-77B9D79BB6BC}" name="KEBUTUHAN" dataDxfId="293"/>
    <tableColumn id="10" xr3:uid="{FF3ACA12-8163-4E37-ACAE-5F8EAAB245A6}" name="KETERSEDIAAN" dataDxfId="292"/>
    <tableColumn id="11" xr3:uid="{A56FDB12-7CB3-40B1-B80D-D1B8C620AC99}" name="GATE IN " dataDxfId="291"/>
    <tableColumn id="12" xr3:uid="{E9BF2D40-C24C-4FEE-BD16-33399BCAE344}" name="Add" dataDxfId="290"/>
    <tableColumn id="13" xr3:uid="{3DA5C917-5541-4656-AAA2-1D9950933CE3}" name="REMARK" dataDxfId="28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0A45F99-0070-4FC8-9A92-89EB55268F18}" name="Table19212223242526272829303133343536373839" displayName="Table19212223242526272829303133343536373839" ref="R1:AD287" totalsRowShown="0" headerRowDxfId="288" dataDxfId="286" headerRowBorderDxfId="287" tableBorderDxfId="285" totalsRowBorderDxfId="284">
  <autoFilter ref="R1:AD287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FC21CBE-431E-4F64-B36B-743E98583577}" name="Tanggal" dataDxfId="283"/>
    <tableColumn id="2" xr3:uid="{F8270EAF-665D-466E-B1B3-501BE7DA563C}" name="Delivery" dataDxfId="282"/>
    <tableColumn id="3" xr3:uid="{57054B6E-38E9-43B9-B112-E24299B0B7A1}" name="Vendor" dataDxfId="281"/>
    <tableColumn id="4" xr3:uid="{7D5906C5-673B-434C-9062-526F470CEEEB}" name="SN " dataDxfId="280"/>
    <tableColumn id="5" xr3:uid="{8F3EC5E1-A18D-4A81-A2A0-80B0F04F0DE9}" name="Name ship-to party" dataDxfId="279"/>
    <tableColumn id="6" xr3:uid="{18FAD83A-D073-438E-A3A4-BB75A8F9D521}" name="AREA" dataDxfId="278"/>
    <tableColumn id="7" xr3:uid="{13168F29-09E0-4AE0-A715-8EEB7667A11B}" name="TOTAL WEIGHT" dataDxfId="277"/>
    <tableColumn id="8" xr3:uid="{23C4467F-19AF-4F81-8D3C-81D70775D980}" name="TRUCK TYPE" dataDxfId="276"/>
    <tableColumn id="9" xr3:uid="{D30C0C64-37C5-44FD-8108-9F81B17A4389}" name="KEBUTUHAN" dataDxfId="275"/>
    <tableColumn id="10" xr3:uid="{9804C941-8E2F-4455-A847-9125C155C656}" name="KETERSEDIAAN" dataDxfId="274"/>
    <tableColumn id="11" xr3:uid="{4939ABF0-ABBF-4569-B076-03E60196515A}" name="GATE IN " dataDxfId="273"/>
    <tableColumn id="12" xr3:uid="{9FDA0BB8-485F-45DF-A07E-D4B2293F7E25}" name="Add" dataDxfId="272"/>
    <tableColumn id="13" xr3:uid="{859CFAC4-762A-4C59-867B-DD103E3B248B}" name="REMARK" dataDxfId="271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8FC20BF-5728-40CD-ADA6-148C6564044C}" name="Table192122232425262728293031333435363738" displayName="Table192122232425262728293031333435363738" ref="R1:AD303" totalsRowShown="0" headerRowDxfId="270" dataDxfId="268" headerRowBorderDxfId="269" tableBorderDxfId="267" totalsRowBorderDxfId="266">
  <autoFilter ref="R1:AD303" xr:uid="{A26ECDD3-C094-43F2-AEE4-8928D28215AA}"/>
  <tableColumns count="13">
    <tableColumn id="1" xr3:uid="{698508FA-2586-4F1E-B424-DAF15EDE518D}" name="Tanggal" dataDxfId="265"/>
    <tableColumn id="2" xr3:uid="{3B69D5D7-7BC0-4742-9577-52BC7BEC9863}" name="Delivery" dataDxfId="264"/>
    <tableColumn id="3" xr3:uid="{E9441F45-E074-4FDC-B035-44803D564917}" name="Vendor" dataDxfId="263"/>
    <tableColumn id="4" xr3:uid="{B17D1E88-32E8-4CE8-9CE4-CB3492F02C6F}" name="SN " dataDxfId="262"/>
    <tableColumn id="5" xr3:uid="{75AFEE3A-58E5-478B-99BB-E61279BA36C5}" name="Name ship-to party" dataDxfId="261"/>
    <tableColumn id="6" xr3:uid="{D1CF0269-9A64-431B-89F8-30A3EE5B7D50}" name="AREA" dataDxfId="260"/>
    <tableColumn id="7" xr3:uid="{F87CBDC9-5D84-43E9-ACF6-4CA04C9F93B1}" name="TOTAL WEIGHT" dataDxfId="259"/>
    <tableColumn id="8" xr3:uid="{C349AA93-500C-42C1-9792-63CBB77E4DB5}" name="TRUCK TYPE" dataDxfId="258"/>
    <tableColumn id="9" xr3:uid="{1FFDD3D8-6A19-4364-9DE3-A6BAF6551C42}" name="KEBUTUHAN" dataDxfId="257"/>
    <tableColumn id="10" xr3:uid="{0F392476-66AA-41EF-9C51-708211DC727A}" name="KETERSEDIAAN" dataDxfId="256"/>
    <tableColumn id="11" xr3:uid="{AD5198B9-83C7-43D5-8EB3-CA9BD5A5391B}" name="GATE IN " dataDxfId="255"/>
    <tableColumn id="12" xr3:uid="{F271059B-4713-4BB7-AA03-574A2E2BCD22}" name="Add" dataDxfId="254"/>
    <tableColumn id="13" xr3:uid="{C1A5E5D2-596F-49D3-9EDD-D587D7805C87}" name="REMARK" dataDxfId="25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5470F2E-D001-4D98-BD70-E7C5CD6D967D}" name="Table1921222324252627282930313334353637" displayName="Table1921222324252627282930313334353637" ref="R1:AD303" totalsRowShown="0" headerRowDxfId="252" dataDxfId="250" headerRowBorderDxfId="251" tableBorderDxfId="249" totalsRowBorderDxfId="248">
  <autoFilter ref="R1:AD303" xr:uid="{A26ECDD3-C094-43F2-AEE4-8928D28215AA}">
    <filterColumn colId="5">
      <filters>
        <filter val="AMBIL SENDIRI"/>
      </filters>
    </filterColumn>
  </autoFilter>
  <tableColumns count="13">
    <tableColumn id="1" xr3:uid="{FECAA995-42C6-4AC0-9A31-8A621F759F09}" name="Tanggal" dataDxfId="247"/>
    <tableColumn id="2" xr3:uid="{7E64A995-CD7D-4931-A87D-6B54AECAE761}" name="Delivery" dataDxfId="246"/>
    <tableColumn id="3" xr3:uid="{B130E2E9-AD00-43BB-AAAA-6EB49FBC923B}" name="Vendor" dataDxfId="245"/>
    <tableColumn id="4" xr3:uid="{5AA5148C-14F3-4176-9EA3-D95D964E81B3}" name="SN " dataDxfId="244"/>
    <tableColumn id="5" xr3:uid="{F8C39DA9-0298-444D-86E8-9678C2A85361}" name="Name ship-to party" dataDxfId="243"/>
    <tableColumn id="6" xr3:uid="{8BBFDA9E-A104-48DD-A486-DBA92DDFE5C0}" name="AREA" dataDxfId="242"/>
    <tableColumn id="7" xr3:uid="{45183D41-B609-4E36-8FC0-4473D90DA18F}" name="TOTAL WEIGHT" dataDxfId="241"/>
    <tableColumn id="8" xr3:uid="{E322CE13-4BCC-4F2B-9F4D-A021540D83E3}" name="TRUCK TYPE" dataDxfId="240"/>
    <tableColumn id="9" xr3:uid="{83970EF7-028D-45A9-AB88-41DB8E4A769D}" name="KEBUTUHAN" dataDxfId="239"/>
    <tableColumn id="10" xr3:uid="{0C5A5774-F0D7-4563-AF27-66A49FDDE8D4}" name="KETERSEDIAAN" dataDxfId="238"/>
    <tableColumn id="11" xr3:uid="{5859E3F2-F9E8-4A9F-B5A3-3D7202195DFC}" name="GATE IN " dataDxfId="237"/>
    <tableColumn id="12" xr3:uid="{D3B0C76D-6A8E-43A4-99DA-358269E807E9}" name="Add" dataDxfId="236"/>
    <tableColumn id="13" xr3:uid="{8AAB5172-C0DB-4E34-8A66-55E437C4602C}" name="REMARK" dataDxfId="23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5191668-3AAA-4C7D-BFE4-6A388E908538}" name="Table19212223242526272829303133343536" displayName="Table19212223242526272829303133343536" ref="R1:AD319" totalsRowShown="0" headerRowDxfId="234" dataDxfId="232" headerRowBorderDxfId="233" tableBorderDxfId="231" totalsRowBorderDxfId="230">
  <autoFilter ref="R1:AD319" xr:uid="{A26ECDD3-C094-43F2-AEE4-8928D28215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A6D6E14-1EC8-4CDC-8E21-0D7BC9A6C11A}" name="Tanggal" dataDxfId="229"/>
    <tableColumn id="2" xr3:uid="{B324A183-AE16-4758-97B7-026F1E01CB80}" name="Delivery" dataDxfId="228"/>
    <tableColumn id="3" xr3:uid="{A5FFA063-0E71-431F-8F49-E877EF0552F6}" name="Vendor" dataDxfId="227"/>
    <tableColumn id="4" xr3:uid="{CC42A773-E475-4296-A080-CDDB386767F6}" name="SN " dataDxfId="226"/>
    <tableColumn id="5" xr3:uid="{A46FE88F-87A3-4A9B-9EBA-4BD1A87120A2}" name="Name ship-to party" dataDxfId="225"/>
    <tableColumn id="6" xr3:uid="{E136A001-38A2-4945-A20B-3DBE30E98BD6}" name="AREA" dataDxfId="224"/>
    <tableColumn id="7" xr3:uid="{1E2A7DF8-8D58-4C75-BB7D-C88AAB33F141}" name="TOTAL WEIGHT" dataDxfId="223"/>
    <tableColumn id="8" xr3:uid="{088C5BA6-AF33-473C-B199-D1507715A842}" name="TRUCK TYPE" dataDxfId="222"/>
    <tableColumn id="9" xr3:uid="{150DD4FA-BF96-483B-9444-E7036B0F87A7}" name="KEBUTUHAN" dataDxfId="221"/>
    <tableColumn id="10" xr3:uid="{94F05979-958B-49F2-98C1-C57AF453BED6}" name="KETERSEDIAAN" dataDxfId="220"/>
    <tableColumn id="11" xr3:uid="{55EACF50-47B0-4334-98C6-A98D9546DDCD}" name="GATE IN " dataDxfId="219"/>
    <tableColumn id="12" xr3:uid="{8695377C-C915-4C3B-8CDC-30BDBB6B8FD7}" name="Add" dataDxfId="218"/>
    <tableColumn id="13" xr3:uid="{43AA358F-40F9-485F-BE4F-B9361AF02223}" name="REMARK" dataDxfId="21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B55BF72-D9E2-4E13-BBBA-E23BC7699E0C}" name="Table192122232425262728293031333435" displayName="Table192122232425262728293031333435" ref="R1:AD277" totalsRowShown="0" headerRowDxfId="216" dataDxfId="214" headerRowBorderDxfId="215" tableBorderDxfId="213" totalsRowBorderDxfId="212">
  <autoFilter ref="R1:AD277" xr:uid="{A26ECDD3-C094-43F2-AEE4-8928D28215AA}"/>
  <tableColumns count="13">
    <tableColumn id="1" xr3:uid="{D09C9578-D547-466C-9216-0469FB17607D}" name="Tanggal" dataDxfId="211"/>
    <tableColumn id="2" xr3:uid="{83402CAC-51AA-416C-A1C9-C30AB289A317}" name="Delivery" dataDxfId="210"/>
    <tableColumn id="3" xr3:uid="{2D0AD20C-23AA-4245-8937-723F42AADF18}" name="Vendor" dataDxfId="209"/>
    <tableColumn id="4" xr3:uid="{3E611F31-7C1E-41AB-B37D-5135517641A3}" name="SN " dataDxfId="208"/>
    <tableColumn id="5" xr3:uid="{0C6EBEFF-1853-48CE-8BAA-E5CA99807662}" name="Name ship-to party" dataDxfId="207"/>
    <tableColumn id="6" xr3:uid="{BD6E8FF5-0148-43F3-8A92-329024CECCEB}" name="AREA" dataDxfId="206"/>
    <tableColumn id="7" xr3:uid="{70D6499F-3364-401C-9B3E-8D7F0201C708}" name="TOTAL WEIGHT" dataDxfId="205"/>
    <tableColumn id="8" xr3:uid="{6CB08B2B-542C-4765-B6BD-F45A5F1F1A47}" name="TRUCK TYPE" dataDxfId="204"/>
    <tableColumn id="9" xr3:uid="{12DE004C-964B-437D-BAAD-FAE4FFF510F7}" name="KEBUTUHAN" dataDxfId="203"/>
    <tableColumn id="10" xr3:uid="{10DC1B43-0A82-4EA6-AFA2-E13EFD177946}" name="KETERSEDIAAN" dataDxfId="202"/>
    <tableColumn id="11" xr3:uid="{71043351-E83B-4A46-A564-4C816FD52DD7}" name="GATE IN " dataDxfId="201"/>
    <tableColumn id="12" xr3:uid="{5D58F6C5-4499-4C51-A484-2C74BBAD3E20}" name="Add" dataDxfId="200"/>
    <tableColumn id="13" xr3:uid="{9E617E8B-4630-4BC5-94BD-DF56E7328FB1}" name="REMARK" dataDxfId="19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4060902-CE5D-4069-B518-9F2B74D94344}" name="Table1921222324252627282930313334" displayName="Table1921222324252627282930313334" ref="R1:AD289" totalsRowShown="0" headerRowDxfId="198" dataDxfId="196" headerRowBorderDxfId="197" tableBorderDxfId="195" totalsRowBorderDxfId="194">
  <autoFilter ref="R1:AD289" xr:uid="{A26ECDD3-C094-43F2-AEE4-8928D28215AA}">
    <filterColumn colId="1">
      <colorFilter dxfId="193"/>
    </filterColumn>
  </autoFilter>
  <tableColumns count="13">
    <tableColumn id="1" xr3:uid="{85269B7F-88D7-42A4-B666-1832BF74C9A6}" name="Tanggal" dataDxfId="192"/>
    <tableColumn id="2" xr3:uid="{DE891AE2-8133-4A2F-935B-4F61B7BAE3E2}" name="Delivery" dataDxfId="191"/>
    <tableColumn id="3" xr3:uid="{69EBA5CE-7189-4F3A-BFE8-154DD1AA8878}" name="Vendor" dataDxfId="190"/>
    <tableColumn id="4" xr3:uid="{9869D14A-71DA-4133-8338-74C222E2C0B5}" name="SN " dataDxfId="189"/>
    <tableColumn id="5" xr3:uid="{932E3252-5029-496E-B14B-C884BCF8D842}" name="Name ship-to party" dataDxfId="188"/>
    <tableColumn id="6" xr3:uid="{C06EC2DA-6D54-4D14-A7E8-D7099A7E8C6D}" name="AREA" dataDxfId="187"/>
    <tableColumn id="7" xr3:uid="{4D46CB3D-3D0C-4728-A849-746191AD831C}" name="TOTAL WEIGHT" dataDxfId="186"/>
    <tableColumn id="8" xr3:uid="{44CD11F7-711D-4891-A4CC-9161E837E711}" name="TRUCK TYPE" dataDxfId="185"/>
    <tableColumn id="9" xr3:uid="{36AAFFA4-C26A-4456-B298-A5E8F8EDC727}" name="KEBUTUHAN" dataDxfId="184"/>
    <tableColumn id="10" xr3:uid="{F9D9B824-4F6F-4833-B76A-292C13810E39}" name="KETERSEDIAAN" dataDxfId="183"/>
    <tableColumn id="11" xr3:uid="{0CDAADAC-CFC9-482F-A332-479D95ECF176}" name="GATE IN " dataDxfId="182"/>
    <tableColumn id="12" xr3:uid="{40E274C6-8835-4809-8311-EF2D859EE3D0}" name="Add" dataDxfId="181"/>
    <tableColumn id="13" xr3:uid="{F335650B-2E53-464B-B6AC-5060B8E3A46B}" name="REMARK" dataDxfId="18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372B921-472D-49A2-8996-A595C9936E7B}" name="Table1921222324252627282930" displayName="Table1921222324252627282930" ref="R1:AD204" totalsRowShown="0" headerRowDxfId="179" dataDxfId="177" headerRowBorderDxfId="178" tableBorderDxfId="176" totalsRowBorderDxfId="175">
  <autoFilter ref="R1:AD204" xr:uid="{A26ECDD3-C094-43F2-AEE4-8928D28215AA}"/>
  <tableColumns count="13">
    <tableColumn id="1" xr3:uid="{82EA5DFA-F3AA-46C4-BBCD-E33A44E78C2F}" name="Tanggal" dataDxfId="174"/>
    <tableColumn id="2" xr3:uid="{E597E518-7127-4DD7-972A-1F45EAD02310}" name="Delivery" dataDxfId="173"/>
    <tableColumn id="3" xr3:uid="{3C45D95E-7A6C-404F-AE28-C16871B32BF2}" name="Vendor" dataDxfId="172"/>
    <tableColumn id="4" xr3:uid="{4EC72A18-7650-4E57-A838-3C0AEF6479F0}" name="SN " dataDxfId="171"/>
    <tableColumn id="5" xr3:uid="{5F894AC4-E293-4A2C-A846-D376CF4EDF26}" name="Name ship-to party" dataDxfId="170"/>
    <tableColumn id="6" xr3:uid="{9EBCB9DB-9672-4339-A2D4-33F7840FB40D}" name="AREA" dataDxfId="169"/>
    <tableColumn id="7" xr3:uid="{2A595C2D-5E89-4E81-BB6B-F850A86407EE}" name="TOTAL WEIGHT" dataDxfId="168"/>
    <tableColumn id="8" xr3:uid="{0DF439B7-9E30-48C6-99C9-4E50380F7807}" name="TRUCK TYPE" dataDxfId="167"/>
    <tableColumn id="9" xr3:uid="{D44A22DF-4D6F-4B71-88E8-7A080AC604E4}" name="KEBUTUHAN" dataDxfId="166"/>
    <tableColumn id="10" xr3:uid="{FBABE87D-AA8F-4A08-841E-F46F7C3383C4}" name="KETERSEDIAAN" dataDxfId="165"/>
    <tableColumn id="11" xr3:uid="{EE773E8A-E722-458C-A069-1914F2226CC1}" name="GATE IN " dataDxfId="164"/>
    <tableColumn id="12" xr3:uid="{6966EA1D-E0D1-4198-BB65-8189CE2DA4DD}" name="Add" dataDxfId="163"/>
    <tableColumn id="13" xr3:uid="{DC717700-41D4-43EE-BBA3-E8401447AA17}" name="REMARK" dataDxfId="162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8BB8BE-793D-49F8-B02D-48C82E88ECF1}" name="Table19212223242526272829" displayName="Table19212223242526272829" ref="R1:AD175" totalsRowShown="0" headerRowDxfId="161" dataDxfId="159" headerRowBorderDxfId="160" tableBorderDxfId="158" totalsRowBorderDxfId="157">
  <autoFilter ref="R1:AD175" xr:uid="{A26ECDD3-C094-43F2-AEE4-8928D28215AA}">
    <filterColumn colId="5">
      <filters blank="1">
        <filter val="="/>
        <filter val="JABODETABEK"/>
        <filter val="JABODETABEK NEXT DAY"/>
        <filter val="JAWA TENGAH"/>
        <filter val="JAWA TIMUR"/>
        <filter val="KAB. TANGERANG"/>
        <filter val="LUAR PULAU"/>
      </filters>
    </filterColumn>
  </autoFilter>
  <tableColumns count="13">
    <tableColumn id="1" xr3:uid="{5711AE5E-6743-4E96-8599-D76FA30BA587}" name="Tanggal" dataDxfId="156"/>
    <tableColumn id="2" xr3:uid="{AB94407C-2528-4E09-A8B7-7C6000F398AD}" name="Delivery" dataDxfId="155"/>
    <tableColumn id="3" xr3:uid="{96F2285D-F4EC-4EA6-8CF8-B296B3E266EF}" name="Vendor" dataDxfId="154"/>
    <tableColumn id="4" xr3:uid="{183A8B85-7616-450E-9B97-8CC5BDD40DC6}" name="SN " dataDxfId="153"/>
    <tableColumn id="5" xr3:uid="{E334CFBD-93B3-4F18-9ED9-68FCB118DFB4}" name="Name ship-to party" dataDxfId="152"/>
    <tableColumn id="6" xr3:uid="{95CC3BCF-1D63-4DE5-95BE-38B8F81E57A6}" name="AREA" dataDxfId="151"/>
    <tableColumn id="7" xr3:uid="{B77CBF03-DC96-46F0-959C-D8027F61AA3E}" name="TOTAL WEIGHT" dataDxfId="150"/>
    <tableColumn id="8" xr3:uid="{DA603882-004F-4881-AD49-D16564A70B9E}" name="TRUCK TYPE" dataDxfId="149"/>
    <tableColumn id="9" xr3:uid="{60038C30-1766-4349-86A4-E319A0DDF1D9}" name="KEBUTUHAN" dataDxfId="148"/>
    <tableColumn id="10" xr3:uid="{4CC06383-6F2E-4AB0-A106-DB207B4BC459}" name="KETERSEDIAAN" dataDxfId="147"/>
    <tableColumn id="11" xr3:uid="{82D6923A-AC69-4BC7-A78A-E38E204B443E}" name="GATE IN " dataDxfId="146"/>
    <tableColumn id="12" xr3:uid="{20025E96-A62C-4F62-9727-D021B5F144A7}" name="Add" dataDxfId="145"/>
    <tableColumn id="13" xr3:uid="{E1D0D5F2-4C98-43C6-A7BE-C189C6F5D8DF}" name="REMARK" dataDxfId="144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BCBAF4A-232F-4EDA-8356-08C9F3F7C255}" name="Table192122232425262728" displayName="Table192122232425262728" ref="R1:AD158" totalsRowShown="0" headerRowDxfId="143" dataDxfId="141" headerRowBorderDxfId="142" tableBorderDxfId="140" totalsRowBorderDxfId="139">
  <autoFilter ref="R1:AD158" xr:uid="{A26ECDD3-C094-43F2-AEE4-8928D28215AA}"/>
  <tableColumns count="13">
    <tableColumn id="1" xr3:uid="{028D3006-0C79-4C01-8076-7CE7E8442C29}" name="Tanggal" dataDxfId="138"/>
    <tableColumn id="2" xr3:uid="{35587084-5F3E-421D-83C6-77614CDDA024}" name="Delivery" dataDxfId="137"/>
    <tableColumn id="3" xr3:uid="{89EFF8E6-4D85-461C-AAFB-DF79AA8430D2}" name="Vendor" dataDxfId="136"/>
    <tableColumn id="4" xr3:uid="{81FAA16E-A03C-4D63-84CB-86AE52460BC4}" name="SN " dataDxfId="135"/>
    <tableColumn id="5" xr3:uid="{FA948F71-F1AA-40C6-B198-A0BC44E0DDC0}" name="Name ship-to party" dataDxfId="134"/>
    <tableColumn id="6" xr3:uid="{331FDE43-242D-4508-A567-1344C5DA22EE}" name="AREA" dataDxfId="133"/>
    <tableColumn id="7" xr3:uid="{7853CA07-AAE9-47F4-9E20-770A921A3D76}" name="TOTAL WEIGHT" dataDxfId="132"/>
    <tableColumn id="8" xr3:uid="{3D832689-780C-40CF-8ABE-02682B172755}" name="TRUCK TYPE" dataDxfId="131"/>
    <tableColumn id="9" xr3:uid="{7F5A74E5-7358-4054-A826-A8219AD3C51E}" name="KEBUTUHAN" dataDxfId="130"/>
    <tableColumn id="10" xr3:uid="{976E4410-4007-468A-A547-0E21900B3889}" name="KETERSEDIAAN" dataDxfId="129"/>
    <tableColumn id="11" xr3:uid="{E93B62DF-F98A-44FE-82CC-AAB55EC2036E}" name="GATE IN " dataDxfId="128"/>
    <tableColumn id="12" xr3:uid="{7E0432A6-63FE-436B-82A9-FE870FB3DE81}" name="Add" dataDxfId="127"/>
    <tableColumn id="13" xr3:uid="{A2483807-CF40-4E97-8989-8FDF022F9ADC}" name="REMARK" dataDxfId="12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1B0A432-CE4B-479A-9478-21F4BBB7D4F8}" name="Table19212223242526272829303133" displayName="Table19212223242526272829303133" ref="R1:AD290" totalsRowShown="0" headerRowDxfId="125" dataDxfId="123" headerRowBorderDxfId="124" tableBorderDxfId="122" totalsRowBorderDxfId="121">
  <autoFilter ref="R1:AD290" xr:uid="{A26ECDD3-C094-43F2-AEE4-8928D28215AA}"/>
  <tableColumns count="13">
    <tableColumn id="1" xr3:uid="{C0A3F573-8EF1-4ABD-BC89-A3D7E8BDDD37}" name="Tanggal" dataDxfId="120"/>
    <tableColumn id="2" xr3:uid="{11583470-71D8-43C5-9B91-5557E27B300A}" name="Delivery" dataDxfId="119"/>
    <tableColumn id="3" xr3:uid="{D21587DB-2E64-486D-AB9A-37A71B13FE42}" name="Vendor" dataDxfId="118"/>
    <tableColumn id="4" xr3:uid="{014CB92B-4AEE-41CC-9F4E-6561756E669F}" name="SN " dataDxfId="117"/>
    <tableColumn id="5" xr3:uid="{8E18506A-B33F-42CC-9FD8-C4CBFD5BFBC0}" name="Name ship-to party" dataDxfId="116"/>
    <tableColumn id="6" xr3:uid="{B9BF0123-2F18-4325-ACC8-FE1D4ED74BAE}" name="AREA" dataDxfId="115"/>
    <tableColumn id="7" xr3:uid="{B0576154-23BA-442D-8217-D4C4556AD9D6}" name="TOTAL WEIGHT" dataDxfId="114"/>
    <tableColumn id="8" xr3:uid="{3CDF1AA4-38A4-426B-B2C6-D6A8667EF160}" name="TRUCK TYPE" dataDxfId="113"/>
    <tableColumn id="9" xr3:uid="{7C8457FB-FE3C-431B-BB75-CE961881E12D}" name="KEBUTUHAN" dataDxfId="112"/>
    <tableColumn id="10" xr3:uid="{EEB320D7-63B5-45A5-B365-4FC76B19CB95}" name="KETERSEDIAAN" dataDxfId="111"/>
    <tableColumn id="11" xr3:uid="{13BF0AE7-A352-4F60-A399-2CC17BFA9811}" name="GATE IN " dataDxfId="110"/>
    <tableColumn id="12" xr3:uid="{BEAFD33A-35C7-4D63-892E-73A323F0DA26}" name="Add" dataDxfId="109"/>
    <tableColumn id="13" xr3:uid="{8B828D55-312F-4CD6-926A-05DEC6B24C47}" name="REMARK" dataDxfId="10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26ECDD3-C094-43F2-AEE4-8928D28215AA}" name="Table19" displayName="Table19" ref="R1:AC61" totalsRowShown="0" headerRowDxfId="107" dataDxfId="105" headerRowBorderDxfId="106" tableBorderDxfId="104" totalsRowBorderDxfId="103">
  <autoFilter ref="R1:AC61" xr:uid="{A26ECDD3-C094-43F2-AEE4-8928D28215AA}"/>
  <tableColumns count="12">
    <tableColumn id="1" xr3:uid="{D95D5DB9-6188-4D48-A4F4-CD6FF2EC3CE1}" name="Tanggal" dataDxfId="102"/>
    <tableColumn id="2" xr3:uid="{9B7DA997-3D90-49F8-9173-9EF434A69881}" name="Delivery" dataDxfId="101"/>
    <tableColumn id="3" xr3:uid="{DF3B2148-16C8-4FA0-B688-009B13DAD8F4}" name="Vendor" dataDxfId="100"/>
    <tableColumn id="4" xr3:uid="{D738BF5D-2AD5-494D-9CF0-C8463963C299}" name="SN " dataDxfId="99"/>
    <tableColumn id="5" xr3:uid="{B061FC53-BCB1-489C-A693-2650D8806943}" name="Name ship-to party" dataDxfId="98"/>
    <tableColumn id="6" xr3:uid="{DD038C17-B964-4AAB-A208-0D8B24C7B7A8}" name="AREA" dataDxfId="97"/>
    <tableColumn id="7" xr3:uid="{4BD0E7E3-D8B1-43DD-9C6D-AABA4F0CBE2D}" name="TOTAL WEIGHT" dataDxfId="96"/>
    <tableColumn id="8" xr3:uid="{24449DD7-535B-4BDB-A470-BDA8EBE826A3}" name="TRUCK TYPE" dataDxfId="95"/>
    <tableColumn id="9" xr3:uid="{AAE61EE6-6874-49C0-BB3A-F534EB2C1189}" name="KEBUTUHAN" dataDxfId="94"/>
    <tableColumn id="10" xr3:uid="{C304F9E2-2FB6-4374-9649-B9BA687470C4}" name="KETERSEDIAAN" dataDxfId="93"/>
    <tableColumn id="11" xr3:uid="{A6BDDAF5-64FB-46AF-A3C8-60C4CC9AD510}" name="GATE IN " dataDxfId="92"/>
    <tableColumn id="12" xr3:uid="{B32BF328-FC6A-43E6-B5F1-944ED784CD5C}" name="Add" dataDxfId="91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D31720-93EE-4B9E-B45C-8AA79E08F22F}" name="Table192122232425262728293031" displayName="Table192122232425262728293031" ref="R1:AD278" totalsRowShown="0" headerRowDxfId="90" dataDxfId="88" headerRowBorderDxfId="89" tableBorderDxfId="87" totalsRowBorderDxfId="86">
  <autoFilter ref="R1:AD278" xr:uid="{A26ECDD3-C094-43F2-AEE4-8928D28215AA}"/>
  <tableColumns count="13">
    <tableColumn id="1" xr3:uid="{3333C73C-8573-4515-BD72-360869DC61CF}" name="Tanggal" dataDxfId="85"/>
    <tableColumn id="2" xr3:uid="{576AB571-08E5-4C51-BFB1-E89E4BFA6D9A}" name="Delivery" dataDxfId="84"/>
    <tableColumn id="3" xr3:uid="{258BD9D7-DDCD-4250-AB32-CC44C186DE34}" name="Vendor" dataDxfId="83"/>
    <tableColumn id="4" xr3:uid="{DFF4376F-BBD7-4139-98B5-B6CCE4A4DD08}" name="SN " dataDxfId="82"/>
    <tableColumn id="5" xr3:uid="{CE5C2BFF-50F9-4696-8B85-3E8514893B03}" name="Name ship-to party" dataDxfId="81"/>
    <tableColumn id="6" xr3:uid="{3AE8632A-B085-4DE0-96DC-2067E480BD3B}" name="AREA" dataDxfId="80"/>
    <tableColumn id="7" xr3:uid="{61A1FA78-3109-4A82-B251-2073A27A586B}" name="TOTAL WEIGHT" dataDxfId="79"/>
    <tableColumn id="8" xr3:uid="{087E9B13-BB2E-46F3-A238-B8B67659313F}" name="TRUCK TYPE" dataDxfId="78"/>
    <tableColumn id="9" xr3:uid="{64B5EE21-9DA8-4883-8E38-6547638C7A3A}" name="KEBUTUHAN" dataDxfId="77"/>
    <tableColumn id="10" xr3:uid="{84807237-2B42-4E32-8F80-402EECF32C05}" name="KETERSEDIAAN" dataDxfId="76"/>
    <tableColumn id="11" xr3:uid="{AD8D15B5-AE67-43B9-90A2-DCD15A47A8C0}" name="GATE IN " dataDxfId="75"/>
    <tableColumn id="12" xr3:uid="{46E5D907-A1BA-4399-A198-D354F2222DA7}" name="Add" dataDxfId="74"/>
    <tableColumn id="13" xr3:uid="{A926DBE1-78DF-43B4-8C93-0CA9112E6126}" name="REMARK" dataDxfId="7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B923E1-BFBC-40F6-848D-FBA74BA5EE60}" name="Table1346578910111412" displayName="Table1346578910111412" ref="A18:L94" totalsRowShown="0" headerRowDxfId="72" dataDxfId="71" tableBorderDxfId="70">
  <autoFilter ref="A18:L94" xr:uid="{1D852824-B3A9-4A00-A55A-88D35CB0C9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19:L93">
    <sortCondition ref="A18"/>
  </sortState>
  <tableColumns count="12">
    <tableColumn id="1" xr3:uid="{E12D75BC-36D7-4B49-B4E4-58A552B05CFC}" name="Tanggal" dataDxfId="69"/>
    <tableColumn id="2" xr3:uid="{AADD1791-EFD7-4A3E-992D-5AD9C943C48B}" name="Delivery" dataDxfId="68"/>
    <tableColumn id="3" xr3:uid="{53E2D8BF-3680-4F3B-B733-855B861502E0}" name="Vendor" dataDxfId="67"/>
    <tableColumn id="4" xr3:uid="{311296E3-D557-444D-94F6-2F56CD12D244}" name="SN " dataDxfId="66"/>
    <tableColumn id="5" xr3:uid="{6CFA4760-9CE4-4CFD-B173-A64926AF053A}" name="Name ship-to party" dataDxfId="65"/>
    <tableColumn id="6" xr3:uid="{0A3676FB-5E8F-40D6-B474-0157F5B55D87}" name="AREA" dataDxfId="64"/>
    <tableColumn id="7" xr3:uid="{EF7860C1-4E09-4DDA-A3D2-A32F04066AF6}" name="TOTAL WEIGHT" dataDxfId="63"/>
    <tableColumn id="8" xr3:uid="{7A4821D2-7915-4F0F-8201-DDB23C0BC62E}" name="TRUCK TYPE" dataDxfId="62"/>
    <tableColumn id="9" xr3:uid="{A53A2D08-B684-467C-906A-CC75BFB39BE8}" name="QTY KEBUTUHAN" dataDxfId="61"/>
    <tableColumn id="10" xr3:uid="{14C31BEF-157F-4466-AD11-1FADBDEDEB07}" name="KETERSEDIAAN" dataDxfId="60"/>
    <tableColumn id="11" xr3:uid="{FBEEC951-079B-4BF4-9D70-21E58E2EBD30}" name="GATE IN " dataDxfId="59">
      <calculatedColumnFormula>SUBSTITUTE(Table1346578910111412[[#This Row],[AREA]], "JABODETABE", "BELUM MASU")</calculatedColumnFormula>
    </tableColumn>
    <tableColumn id="12" xr3:uid="{97207A43-508C-47D6-900D-E81D213A41AE}" name="CEK MLS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drawing" Target="../drawings/drawing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1C50-3603-4464-88E9-66D18A07DAB1}">
  <sheetPr filterMode="1"/>
  <dimension ref="A1:L233"/>
  <sheetViews>
    <sheetView topLeftCell="A140" workbookViewId="0">
      <selection activeCell="E62" sqref="E62"/>
    </sheetView>
  </sheetViews>
  <sheetFormatPr defaultRowHeight="14.4"/>
  <cols>
    <col min="1" max="1" width="13.6640625" style="13" customWidth="1"/>
    <col min="2" max="2" width="14.33203125" customWidth="1"/>
    <col min="3" max="3" width="20.44140625" customWidth="1"/>
    <col min="4" max="4" width="27.6640625" bestFit="1" customWidth="1"/>
    <col min="5" max="5" width="48.33203125" bestFit="1" customWidth="1"/>
    <col min="6" max="6" width="17" customWidth="1"/>
    <col min="7" max="7" width="20.109375" style="55" customWidth="1"/>
    <col min="8" max="8" width="16" customWidth="1"/>
    <col min="9" max="9" width="15.88671875" customWidth="1"/>
    <col min="10" max="10" width="15" bestFit="1" customWidth="1"/>
    <col min="11" max="11" width="15.5546875" customWidth="1"/>
    <col min="12" max="12" width="19.6640625" bestFit="1" customWidth="1"/>
  </cols>
  <sheetData>
    <row r="1" spans="1:12">
      <c r="B1" t="s">
        <v>0</v>
      </c>
      <c r="C1" s="13">
        <f ca="1">TODAY()</f>
        <v>45977</v>
      </c>
      <c r="G1"/>
    </row>
    <row r="5" spans="1:12">
      <c r="A5" s="147" t="s">
        <v>1</v>
      </c>
      <c r="B5" s="148" t="s">
        <v>2</v>
      </c>
      <c r="C5" s="148" t="s">
        <v>3</v>
      </c>
      <c r="D5" s="148" t="s">
        <v>4</v>
      </c>
      <c r="E5" s="148" t="s">
        <v>5</v>
      </c>
      <c r="F5" s="148" t="s">
        <v>6</v>
      </c>
      <c r="G5" s="149" t="s">
        <v>7</v>
      </c>
      <c r="H5" s="148" t="s">
        <v>8</v>
      </c>
      <c r="I5" s="148" t="s">
        <v>9</v>
      </c>
    </row>
    <row r="6" spans="1:12" s="27" customFormat="1">
      <c r="A6" s="145" t="s">
        <v>10</v>
      </c>
      <c r="B6" s="848">
        <v>3331542053</v>
      </c>
      <c r="C6" s="51" t="s">
        <v>11</v>
      </c>
      <c r="D6" s="848">
        <v>24140085</v>
      </c>
      <c r="E6" s="848" t="s">
        <v>12</v>
      </c>
      <c r="F6" s="848" t="s">
        <v>13</v>
      </c>
      <c r="G6" s="849">
        <v>23317</v>
      </c>
      <c r="H6" s="51" t="s">
        <v>14</v>
      </c>
      <c r="I6" s="146"/>
      <c r="K6">
        <v>3331545243</v>
      </c>
      <c r="L6" s="27" t="str">
        <f t="shared" ref="L6:L26" si="0">VLOOKUP(K6,B:C,2,FALSE)</f>
        <v>HOLD</v>
      </c>
    </row>
    <row r="7" spans="1:12" s="27" customFormat="1">
      <c r="A7" s="14" t="s">
        <v>10</v>
      </c>
      <c r="B7" s="850">
        <v>3331542063</v>
      </c>
      <c r="C7" s="15" t="s">
        <v>11</v>
      </c>
      <c r="D7" s="850">
        <v>24140086</v>
      </c>
      <c r="E7" s="850" t="s">
        <v>12</v>
      </c>
      <c r="F7" s="850" t="s">
        <v>13</v>
      </c>
      <c r="G7" s="851">
        <v>23431</v>
      </c>
      <c r="H7" s="15" t="s">
        <v>15</v>
      </c>
      <c r="I7" s="16"/>
      <c r="K7">
        <v>3331546299</v>
      </c>
      <c r="L7" s="27" t="str">
        <f t="shared" si="0"/>
        <v>BIMARUNA  trailer</v>
      </c>
    </row>
    <row r="8" spans="1:12" s="27" customFormat="1">
      <c r="A8" s="14" t="s">
        <v>10</v>
      </c>
      <c r="B8" s="850">
        <v>3331542354</v>
      </c>
      <c r="C8" s="15" t="s">
        <v>11</v>
      </c>
      <c r="D8" s="850">
        <v>24140088</v>
      </c>
      <c r="E8" s="850" t="s">
        <v>16</v>
      </c>
      <c r="F8" s="850" t="s">
        <v>17</v>
      </c>
      <c r="G8" s="851">
        <v>24200</v>
      </c>
      <c r="H8" s="15" t="s">
        <v>18</v>
      </c>
      <c r="I8" s="16"/>
      <c r="K8">
        <v>3331546331</v>
      </c>
      <c r="L8" s="27" t="str">
        <f t="shared" si="0"/>
        <v xml:space="preserve">ALIEF bongkar senin </v>
      </c>
    </row>
    <row r="9" spans="1:12" s="27" customFormat="1">
      <c r="A9" s="14" t="s">
        <v>10</v>
      </c>
      <c r="B9" s="850">
        <v>3331542112</v>
      </c>
      <c r="C9" s="15" t="s">
        <v>11</v>
      </c>
      <c r="D9" s="850">
        <v>24140089</v>
      </c>
      <c r="E9" s="850" t="s">
        <v>12</v>
      </c>
      <c r="F9" s="850" t="s">
        <v>13</v>
      </c>
      <c r="G9" s="851">
        <v>24731</v>
      </c>
      <c r="H9" s="15" t="s">
        <v>19</v>
      </c>
      <c r="I9" s="16"/>
      <c r="K9">
        <v>3331546342</v>
      </c>
      <c r="L9" s="27" t="e">
        <f t="shared" si="0"/>
        <v>#N/A</v>
      </c>
    </row>
    <row r="10" spans="1:12" s="27" customFormat="1">
      <c r="A10" s="14" t="s">
        <v>10</v>
      </c>
      <c r="B10" s="850">
        <v>3331543113</v>
      </c>
      <c r="C10" s="15" t="s">
        <v>11</v>
      </c>
      <c r="D10" s="850">
        <v>24140092</v>
      </c>
      <c r="E10" s="850" t="s">
        <v>16</v>
      </c>
      <c r="F10" s="850" t="s">
        <v>17</v>
      </c>
      <c r="G10" s="851">
        <v>16615</v>
      </c>
      <c r="H10" s="15" t="s">
        <v>20</v>
      </c>
      <c r="I10" s="16"/>
      <c r="K10">
        <v>3331547864</v>
      </c>
      <c r="L10" s="27" t="str">
        <f t="shared" si="0"/>
        <v>SIBA</v>
      </c>
    </row>
    <row r="11" spans="1:12" s="27" customFormat="1">
      <c r="A11" s="14" t="s">
        <v>10</v>
      </c>
      <c r="B11" s="850">
        <v>3331542464</v>
      </c>
      <c r="C11" s="15" t="s">
        <v>11</v>
      </c>
      <c r="D11" s="850">
        <v>24140090</v>
      </c>
      <c r="E11" s="850" t="s">
        <v>12</v>
      </c>
      <c r="F11" s="850" t="s">
        <v>13</v>
      </c>
      <c r="G11" s="851">
        <v>24731</v>
      </c>
      <c r="H11" s="15" t="s">
        <v>21</v>
      </c>
      <c r="I11" s="16"/>
      <c r="K11">
        <v>3331547878</v>
      </c>
      <c r="L11" s="27">
        <f t="shared" si="0"/>
        <v>0</v>
      </c>
    </row>
    <row r="12" spans="1:12" s="27" customFormat="1">
      <c r="A12" s="14" t="s">
        <v>22</v>
      </c>
      <c r="B12" s="850">
        <v>3331541998</v>
      </c>
      <c r="C12" s="850" t="s">
        <v>23</v>
      </c>
      <c r="D12" s="850">
        <v>24140093</v>
      </c>
      <c r="E12" s="850" t="s">
        <v>24</v>
      </c>
      <c r="F12" s="850" t="s">
        <v>25</v>
      </c>
      <c r="G12" s="851">
        <v>24000</v>
      </c>
      <c r="H12" s="15" t="s">
        <v>26</v>
      </c>
      <c r="I12" s="16"/>
      <c r="K12">
        <v>3331547881</v>
      </c>
      <c r="L12" s="27" t="str">
        <f t="shared" si="0"/>
        <v>SIBA</v>
      </c>
    </row>
    <row r="13" spans="1:12" s="27" customFormat="1">
      <c r="A13" s="14" t="s">
        <v>22</v>
      </c>
      <c r="B13" s="850">
        <v>3331542352</v>
      </c>
      <c r="C13" s="850" t="s">
        <v>27</v>
      </c>
      <c r="D13" s="850">
        <v>24140094</v>
      </c>
      <c r="E13" s="850" t="s">
        <v>28</v>
      </c>
      <c r="F13" s="850" t="s">
        <v>29</v>
      </c>
      <c r="G13" s="851">
        <v>25600</v>
      </c>
      <c r="H13" s="15" t="s">
        <v>30</v>
      </c>
      <c r="I13" s="16"/>
      <c r="K13">
        <v>3331547892</v>
      </c>
      <c r="L13" s="27" t="str">
        <f t="shared" si="0"/>
        <v>ALIEF</v>
      </c>
    </row>
    <row r="14" spans="1:12" s="27" customFormat="1">
      <c r="A14" s="14" t="s">
        <v>22</v>
      </c>
      <c r="B14" s="850">
        <v>3331544015</v>
      </c>
      <c r="C14" s="850" t="s">
        <v>27</v>
      </c>
      <c r="D14" s="850">
        <v>24140095</v>
      </c>
      <c r="E14" s="850" t="s">
        <v>28</v>
      </c>
      <c r="F14" s="850" t="s">
        <v>29</v>
      </c>
      <c r="G14" s="851">
        <v>24900</v>
      </c>
      <c r="H14" s="15" t="s">
        <v>31</v>
      </c>
      <c r="I14" s="16"/>
      <c r="K14">
        <v>3331547893</v>
      </c>
      <c r="L14" s="27" t="str">
        <f t="shared" si="0"/>
        <v>PT MALABA</v>
      </c>
    </row>
    <row r="15" spans="1:12" s="27" customFormat="1">
      <c r="A15" s="14" t="s">
        <v>22</v>
      </c>
      <c r="B15" s="850">
        <v>3331543511</v>
      </c>
      <c r="C15" s="850" t="s">
        <v>11</v>
      </c>
      <c r="D15" s="850">
        <v>24140096</v>
      </c>
      <c r="E15" s="850" t="s">
        <v>16</v>
      </c>
      <c r="F15" s="850" t="s">
        <v>17</v>
      </c>
      <c r="G15" s="851">
        <v>25100</v>
      </c>
      <c r="H15" s="15" t="s">
        <v>32</v>
      </c>
      <c r="I15" s="16"/>
      <c r="K15">
        <v>3331547898</v>
      </c>
      <c r="L15" s="27">
        <f t="shared" si="0"/>
        <v>0</v>
      </c>
    </row>
    <row r="16" spans="1:12" s="27" customFormat="1">
      <c r="A16" s="14" t="s">
        <v>22</v>
      </c>
      <c r="B16" s="850">
        <v>3331544021</v>
      </c>
      <c r="C16" s="850" t="s">
        <v>11</v>
      </c>
      <c r="D16" s="850">
        <v>24140097</v>
      </c>
      <c r="E16" s="850" t="s">
        <v>16</v>
      </c>
      <c r="F16" s="850" t="s">
        <v>17</v>
      </c>
      <c r="G16" s="851">
        <v>25000</v>
      </c>
      <c r="H16" s="15" t="s">
        <v>33</v>
      </c>
      <c r="I16" s="16"/>
      <c r="K16">
        <v>3331547900</v>
      </c>
      <c r="L16" s="27" t="str">
        <f t="shared" si="0"/>
        <v>ALIEF</v>
      </c>
    </row>
    <row r="17" spans="1:12" s="27" customFormat="1">
      <c r="A17" s="14" t="s">
        <v>22</v>
      </c>
      <c r="B17" s="850">
        <v>3331543465</v>
      </c>
      <c r="C17" s="850" t="s">
        <v>34</v>
      </c>
      <c r="D17" s="850">
        <v>24140098</v>
      </c>
      <c r="E17" s="15" t="s">
        <v>12</v>
      </c>
      <c r="F17" s="15" t="s">
        <v>13</v>
      </c>
      <c r="G17" s="56">
        <v>25372</v>
      </c>
      <c r="H17" s="15" t="s">
        <v>35</v>
      </c>
      <c r="I17" s="16"/>
      <c r="K17">
        <v>3331547902</v>
      </c>
      <c r="L17" s="27">
        <f t="shared" si="0"/>
        <v>0</v>
      </c>
    </row>
    <row r="18" spans="1:12" s="27" customFormat="1">
      <c r="A18" s="14" t="s">
        <v>22</v>
      </c>
      <c r="B18" s="850">
        <v>3331544033</v>
      </c>
      <c r="C18" s="850" t="s">
        <v>11</v>
      </c>
      <c r="D18" s="15">
        <v>24140099</v>
      </c>
      <c r="E18" s="15" t="s">
        <v>12</v>
      </c>
      <c r="F18" s="15" t="s">
        <v>13</v>
      </c>
      <c r="G18" s="56">
        <v>25500</v>
      </c>
      <c r="H18" s="15" t="s">
        <v>14</v>
      </c>
      <c r="I18" s="16"/>
      <c r="K18">
        <v>3331547903</v>
      </c>
      <c r="L18" s="27" t="str">
        <f t="shared" si="0"/>
        <v>ALIEF bongkar senin</v>
      </c>
    </row>
    <row r="19" spans="1:12" s="27" customFormat="1">
      <c r="A19" s="17" t="s">
        <v>22</v>
      </c>
      <c r="B19" s="852">
        <v>3331544022</v>
      </c>
      <c r="C19" s="852" t="s">
        <v>11</v>
      </c>
      <c r="D19" s="852">
        <v>24140100</v>
      </c>
      <c r="E19" s="18" t="s">
        <v>36</v>
      </c>
      <c r="F19" s="18" t="s">
        <v>37</v>
      </c>
      <c r="G19" s="57">
        <v>25150</v>
      </c>
      <c r="H19" s="18" t="s">
        <v>38</v>
      </c>
      <c r="I19" s="16"/>
      <c r="K19">
        <v>3331547997</v>
      </c>
      <c r="L19" s="27" t="str">
        <f t="shared" si="0"/>
        <v>BIMARUNA  trailer</v>
      </c>
    </row>
    <row r="20" spans="1:12" s="27" customFormat="1">
      <c r="A20" s="14" t="s">
        <v>39</v>
      </c>
      <c r="B20" s="850">
        <v>3331544029</v>
      </c>
      <c r="C20" s="850" t="s">
        <v>11</v>
      </c>
      <c r="D20" s="15">
        <v>24140102</v>
      </c>
      <c r="E20" s="15" t="s">
        <v>40</v>
      </c>
      <c r="F20" s="15" t="s">
        <v>37</v>
      </c>
      <c r="G20" s="56">
        <v>25000</v>
      </c>
      <c r="H20" s="15" t="s">
        <v>41</v>
      </c>
      <c r="I20" s="16"/>
      <c r="K20">
        <v>3331547998</v>
      </c>
      <c r="L20" s="27" t="str">
        <f t="shared" si="0"/>
        <v>BIMARUNA  trailer</v>
      </c>
    </row>
    <row r="21" spans="1:12" s="27" customFormat="1">
      <c r="A21" s="14" t="s">
        <v>39</v>
      </c>
      <c r="B21" s="850">
        <v>3331544029</v>
      </c>
      <c r="C21" s="850" t="s">
        <v>11</v>
      </c>
      <c r="D21" s="15">
        <v>24140101</v>
      </c>
      <c r="E21" s="15" t="s">
        <v>42</v>
      </c>
      <c r="F21" s="15" t="s">
        <v>37</v>
      </c>
      <c r="G21" s="56">
        <v>25162</v>
      </c>
      <c r="H21" s="15" t="s">
        <v>38</v>
      </c>
      <c r="I21" s="16"/>
      <c r="K21">
        <v>3331548394</v>
      </c>
      <c r="L21" s="27" t="e">
        <f t="shared" si="0"/>
        <v>#N/A</v>
      </c>
    </row>
    <row r="22" spans="1:12" s="27" customFormat="1">
      <c r="A22" s="14" t="s">
        <v>43</v>
      </c>
      <c r="B22" s="10">
        <v>3331544443</v>
      </c>
      <c r="C22" s="10" t="s">
        <v>34</v>
      </c>
      <c r="D22" s="10">
        <v>24140104</v>
      </c>
      <c r="E22" s="10" t="s">
        <v>24</v>
      </c>
      <c r="F22" s="15" t="s">
        <v>44</v>
      </c>
      <c r="G22" s="56">
        <v>22500</v>
      </c>
      <c r="H22" s="15"/>
      <c r="I22" s="16"/>
      <c r="K22">
        <v>3331548636</v>
      </c>
      <c r="L22" s="27" t="e">
        <f t="shared" si="0"/>
        <v>#N/A</v>
      </c>
    </row>
    <row r="23" spans="1:12" s="27" customFormat="1">
      <c r="A23" s="14" t="s">
        <v>43</v>
      </c>
      <c r="B23" s="10">
        <v>3331544442</v>
      </c>
      <c r="C23" s="10" t="s">
        <v>27</v>
      </c>
      <c r="D23" s="10">
        <v>24140103</v>
      </c>
      <c r="E23" s="10" t="s">
        <v>28</v>
      </c>
      <c r="F23" s="15" t="s">
        <v>29</v>
      </c>
      <c r="G23" s="56">
        <v>26050</v>
      </c>
      <c r="H23" s="15" t="s">
        <v>45</v>
      </c>
      <c r="I23" s="16"/>
      <c r="K23">
        <v>3331548644</v>
      </c>
      <c r="L23" s="27" t="e">
        <f t="shared" si="0"/>
        <v>#N/A</v>
      </c>
    </row>
    <row r="24" spans="1:12" s="27" customFormat="1">
      <c r="A24" s="14" t="s">
        <v>43</v>
      </c>
      <c r="B24" s="10">
        <v>3331544432</v>
      </c>
      <c r="C24" s="10" t="s">
        <v>34</v>
      </c>
      <c r="D24" s="10">
        <v>24140111</v>
      </c>
      <c r="E24" s="10" t="s">
        <v>36</v>
      </c>
      <c r="F24" s="15" t="s">
        <v>37</v>
      </c>
      <c r="G24" s="56">
        <v>25850</v>
      </c>
      <c r="H24" s="15"/>
      <c r="I24" s="16"/>
      <c r="K24">
        <v>3331548645</v>
      </c>
      <c r="L24" s="27" t="e">
        <f t="shared" si="0"/>
        <v>#N/A</v>
      </c>
    </row>
    <row r="25" spans="1:12" s="27" customFormat="1" ht="21">
      <c r="A25" s="14" t="s">
        <v>43</v>
      </c>
      <c r="B25" s="15">
        <v>3331544436</v>
      </c>
      <c r="C25" s="3" t="s">
        <v>27</v>
      </c>
      <c r="D25" s="15">
        <v>24140112</v>
      </c>
      <c r="E25" s="15" t="s">
        <v>36</v>
      </c>
      <c r="F25" s="15" t="s">
        <v>37</v>
      </c>
      <c r="G25" s="56">
        <v>24850</v>
      </c>
      <c r="H25" s="15"/>
      <c r="I25" s="16"/>
      <c r="K25">
        <v>3331548760</v>
      </c>
      <c r="L25" s="27" t="e">
        <f t="shared" si="0"/>
        <v>#N/A</v>
      </c>
    </row>
    <row r="26" spans="1:12" s="27" customFormat="1">
      <c r="A26" s="14" t="s">
        <v>43</v>
      </c>
      <c r="B26" s="10">
        <v>3331544144</v>
      </c>
      <c r="C26" s="10" t="s">
        <v>11</v>
      </c>
      <c r="D26" s="10">
        <v>24140107</v>
      </c>
      <c r="E26" s="10" t="s">
        <v>46</v>
      </c>
      <c r="F26" s="15" t="s">
        <v>37</v>
      </c>
      <c r="G26" s="56">
        <v>25950</v>
      </c>
      <c r="H26" s="15" t="s">
        <v>47</v>
      </c>
      <c r="I26" s="16"/>
      <c r="K26">
        <v>3331548761</v>
      </c>
      <c r="L26" s="27" t="e">
        <f t="shared" si="0"/>
        <v>#N/A</v>
      </c>
    </row>
    <row r="27" spans="1:12" s="27" customFormat="1">
      <c r="A27" s="14" t="s">
        <v>43</v>
      </c>
      <c r="B27" s="10">
        <v>3331544416</v>
      </c>
      <c r="C27" s="10" t="s">
        <v>27</v>
      </c>
      <c r="D27" s="15">
        <v>24140113</v>
      </c>
      <c r="E27" s="15" t="s">
        <v>42</v>
      </c>
      <c r="F27" s="15" t="s">
        <v>37</v>
      </c>
      <c r="G27" s="56">
        <v>20150</v>
      </c>
      <c r="H27" s="15"/>
      <c r="I27" s="16"/>
    </row>
    <row r="28" spans="1:12" s="27" customFormat="1">
      <c r="A28" s="14" t="s">
        <v>43</v>
      </c>
      <c r="B28" s="10">
        <v>3331544154</v>
      </c>
      <c r="C28" s="10" t="s">
        <v>11</v>
      </c>
      <c r="D28" s="10">
        <v>24140108</v>
      </c>
      <c r="E28" s="10" t="s">
        <v>40</v>
      </c>
      <c r="F28" s="15" t="s">
        <v>37</v>
      </c>
      <c r="G28" s="56">
        <v>25400</v>
      </c>
      <c r="H28" s="15"/>
      <c r="I28" s="16"/>
    </row>
    <row r="29" spans="1:12" s="27" customFormat="1">
      <c r="A29" s="14" t="s">
        <v>43</v>
      </c>
      <c r="B29" s="10">
        <v>3331543467</v>
      </c>
      <c r="C29" s="10" t="s">
        <v>11</v>
      </c>
      <c r="D29" s="10">
        <v>24140109</v>
      </c>
      <c r="E29" s="10" t="s">
        <v>12</v>
      </c>
      <c r="F29" s="15" t="s">
        <v>37</v>
      </c>
      <c r="G29" s="56">
        <v>23758</v>
      </c>
      <c r="H29" s="15"/>
      <c r="I29" s="16"/>
    </row>
    <row r="30" spans="1:12" s="27" customFormat="1">
      <c r="A30" s="14" t="s">
        <v>43</v>
      </c>
      <c r="B30" s="91">
        <v>3331544483</v>
      </c>
      <c r="C30" s="91" t="s">
        <v>27</v>
      </c>
      <c r="D30" s="10">
        <v>24140106</v>
      </c>
      <c r="E30" s="91" t="s">
        <v>48</v>
      </c>
      <c r="F30" s="18" t="s">
        <v>29</v>
      </c>
      <c r="G30" s="57">
        <v>21100</v>
      </c>
      <c r="H30" s="18"/>
      <c r="I30" s="16"/>
    </row>
    <row r="31" spans="1:12" s="27" customFormat="1">
      <c r="A31" s="14" t="s">
        <v>43</v>
      </c>
      <c r="B31" s="91">
        <v>3331544464</v>
      </c>
      <c r="C31" s="91" t="s">
        <v>49</v>
      </c>
      <c r="D31" s="10">
        <v>24140105</v>
      </c>
      <c r="E31" s="91" t="s">
        <v>16</v>
      </c>
      <c r="F31" s="18" t="s">
        <v>50</v>
      </c>
      <c r="G31" s="57">
        <v>21600</v>
      </c>
      <c r="H31" s="18"/>
      <c r="I31" s="16"/>
    </row>
    <row r="32" spans="1:12" s="27" customFormat="1">
      <c r="A32" s="14" t="s">
        <v>43</v>
      </c>
      <c r="B32" s="92">
        <v>3331544444</v>
      </c>
      <c r="C32" s="10" t="s">
        <v>34</v>
      </c>
      <c r="D32" s="10">
        <v>24140110</v>
      </c>
      <c r="E32" s="10" t="s">
        <v>16</v>
      </c>
      <c r="F32" s="15" t="s">
        <v>50</v>
      </c>
      <c r="G32" s="56">
        <v>19372</v>
      </c>
      <c r="H32" s="19" t="s">
        <v>35</v>
      </c>
      <c r="I32" s="16"/>
    </row>
    <row r="33" spans="1:9" s="27" customFormat="1" ht="21">
      <c r="A33" s="6">
        <v>45889</v>
      </c>
      <c r="B33" s="2">
        <v>3331544464</v>
      </c>
      <c r="C33" s="12" t="s">
        <v>51</v>
      </c>
      <c r="D33" s="4">
        <v>24140105</v>
      </c>
      <c r="E33" s="20" t="s">
        <v>16</v>
      </c>
      <c r="F33" s="20" t="s">
        <v>52</v>
      </c>
      <c r="G33" s="21">
        <v>21708</v>
      </c>
      <c r="H33" s="11" t="s">
        <v>53</v>
      </c>
      <c r="I33" s="16">
        <v>85607439827</v>
      </c>
    </row>
    <row r="34" spans="1:9" s="27" customFormat="1" ht="21">
      <c r="A34" s="6">
        <v>45889</v>
      </c>
      <c r="B34" s="2">
        <v>3331544029</v>
      </c>
      <c r="C34" s="12" t="s">
        <v>54</v>
      </c>
      <c r="D34" s="4">
        <v>24140102</v>
      </c>
      <c r="E34" s="20" t="s">
        <v>40</v>
      </c>
      <c r="F34" s="20" t="s">
        <v>37</v>
      </c>
      <c r="G34" s="21">
        <v>25125</v>
      </c>
      <c r="H34" s="11" t="s">
        <v>55</v>
      </c>
      <c r="I34" s="22" t="str">
        <f>IFERROR(VLOOKUP(B33, '[1]Status MLS'!K:K,8, FALSE), "")</f>
        <v/>
      </c>
    </row>
    <row r="35" spans="1:9" s="27" customFormat="1" ht="21">
      <c r="A35" s="6">
        <v>45889</v>
      </c>
      <c r="B35" s="2">
        <v>3331544154</v>
      </c>
      <c r="C35" s="12" t="s">
        <v>56</v>
      </c>
      <c r="D35" s="4">
        <v>24140108</v>
      </c>
      <c r="E35" s="20" t="s">
        <v>40</v>
      </c>
      <c r="F35" s="20" t="s">
        <v>37</v>
      </c>
      <c r="G35" s="21">
        <v>25527</v>
      </c>
      <c r="H35" s="11" t="s">
        <v>57</v>
      </c>
      <c r="I35" s="16"/>
    </row>
    <row r="36" spans="1:9" s="27" customFormat="1" ht="21">
      <c r="A36" s="6">
        <v>45889</v>
      </c>
      <c r="B36" s="2">
        <v>3331543467</v>
      </c>
      <c r="C36" s="12" t="s">
        <v>58</v>
      </c>
      <c r="D36" s="4">
        <v>24140109</v>
      </c>
      <c r="E36" s="20" t="s">
        <v>12</v>
      </c>
      <c r="F36" s="20" t="s">
        <v>59</v>
      </c>
      <c r="G36" s="23">
        <v>23900.547999999999</v>
      </c>
      <c r="H36" s="11" t="s">
        <v>60</v>
      </c>
      <c r="I36" s="16"/>
    </row>
    <row r="37" spans="1:9" s="27" customFormat="1" ht="21">
      <c r="A37" s="6">
        <v>45889</v>
      </c>
      <c r="B37" s="2">
        <v>3331544432</v>
      </c>
      <c r="C37" s="12" t="s">
        <v>61</v>
      </c>
      <c r="D37" s="4">
        <v>24140111</v>
      </c>
      <c r="E37" s="20" t="s">
        <v>36</v>
      </c>
      <c r="F37" s="20" t="s">
        <v>37</v>
      </c>
      <c r="G37" s="23">
        <v>25979.25</v>
      </c>
      <c r="H37" s="11" t="s">
        <v>62</v>
      </c>
      <c r="I37" s="16">
        <v>838962631</v>
      </c>
    </row>
    <row r="38" spans="1:9" s="27" customFormat="1" ht="21">
      <c r="A38" s="6">
        <v>45889</v>
      </c>
      <c r="B38" s="2">
        <v>3331544436</v>
      </c>
      <c r="C38" s="12" t="s">
        <v>61</v>
      </c>
      <c r="D38" s="4">
        <v>24140112</v>
      </c>
      <c r="E38" s="20" t="s">
        <v>36</v>
      </c>
      <c r="F38" s="20" t="s">
        <v>37</v>
      </c>
      <c r="G38" s="23">
        <v>24974.25</v>
      </c>
      <c r="H38" s="11" t="s">
        <v>63</v>
      </c>
      <c r="I38" s="16">
        <v>81345383250</v>
      </c>
    </row>
    <row r="39" spans="1:9" s="27" customFormat="1" ht="21">
      <c r="A39" s="6">
        <v>45889</v>
      </c>
      <c r="B39" s="2">
        <v>3331544443</v>
      </c>
      <c r="C39" s="12" t="s">
        <v>64</v>
      </c>
      <c r="D39" s="4">
        <v>24140104</v>
      </c>
      <c r="E39" s="20" t="s">
        <v>24</v>
      </c>
      <c r="F39" s="20" t="s">
        <v>44</v>
      </c>
      <c r="G39" s="23">
        <v>22612.5</v>
      </c>
      <c r="H39" s="11" t="s">
        <v>65</v>
      </c>
      <c r="I39" s="16"/>
    </row>
    <row r="40" spans="1:9" s="27" customFormat="1" ht="21">
      <c r="A40" s="6">
        <v>45889</v>
      </c>
      <c r="B40" s="2">
        <v>3331544776</v>
      </c>
      <c r="C40" s="12" t="s">
        <v>66</v>
      </c>
      <c r="D40" s="4">
        <v>24140115</v>
      </c>
      <c r="E40" s="20" t="s">
        <v>12</v>
      </c>
      <c r="F40" s="20" t="s">
        <v>59</v>
      </c>
      <c r="G40" s="23">
        <v>22527.358</v>
      </c>
      <c r="H40" s="11" t="s">
        <v>67</v>
      </c>
      <c r="I40" s="16">
        <v>89527267983</v>
      </c>
    </row>
    <row r="41" spans="1:9" s="27" customFormat="1" ht="21">
      <c r="A41" s="6">
        <v>45889</v>
      </c>
      <c r="B41" s="2">
        <v>3331544783</v>
      </c>
      <c r="C41" s="12" t="s">
        <v>54</v>
      </c>
      <c r="D41" s="4">
        <v>24140117</v>
      </c>
      <c r="E41" s="4" t="s">
        <v>28</v>
      </c>
      <c r="F41" s="4" t="s">
        <v>68</v>
      </c>
      <c r="G41" s="24">
        <v>26582.25</v>
      </c>
      <c r="H41" s="11" t="s">
        <v>69</v>
      </c>
      <c r="I41" s="16"/>
    </row>
    <row r="42" spans="1:9" s="27" customFormat="1" ht="21">
      <c r="A42" s="6">
        <v>45889</v>
      </c>
      <c r="B42" s="2">
        <v>3331544483</v>
      </c>
      <c r="C42" s="12" t="s">
        <v>61</v>
      </c>
      <c r="D42" s="25">
        <v>24140106</v>
      </c>
      <c r="E42" s="25" t="s">
        <v>48</v>
      </c>
      <c r="F42" s="4" t="s">
        <v>29</v>
      </c>
      <c r="G42" s="24">
        <v>20958.27</v>
      </c>
      <c r="H42" s="11"/>
      <c r="I42" s="16"/>
    </row>
    <row r="43" spans="1:9" s="27" customFormat="1" ht="21">
      <c r="A43" s="6">
        <v>45889</v>
      </c>
      <c r="B43" s="2">
        <v>3331544937</v>
      </c>
      <c r="C43" s="3" t="s">
        <v>54</v>
      </c>
      <c r="D43" s="4">
        <v>24140118</v>
      </c>
      <c r="E43" s="4" t="s">
        <v>70</v>
      </c>
      <c r="F43" s="5" t="s">
        <v>71</v>
      </c>
      <c r="G43" s="24">
        <v>23969.25</v>
      </c>
      <c r="H43" s="11" t="s">
        <v>72</v>
      </c>
      <c r="I43" s="16"/>
    </row>
    <row r="44" spans="1:9" s="27" customFormat="1" ht="21">
      <c r="A44" s="6">
        <v>45890</v>
      </c>
      <c r="B44" s="2">
        <v>3331545151</v>
      </c>
      <c r="C44" s="3" t="s">
        <v>61</v>
      </c>
      <c r="D44" s="4">
        <v>24140119</v>
      </c>
      <c r="E44" s="4" t="s">
        <v>46</v>
      </c>
      <c r="F44" s="5" t="s">
        <v>37</v>
      </c>
      <c r="G44" s="8">
        <v>25750</v>
      </c>
      <c r="H44" s="7" t="s">
        <v>73</v>
      </c>
      <c r="I44" s="16">
        <v>8776217011</v>
      </c>
    </row>
    <row r="45" spans="1:9" s="27" customFormat="1" ht="21">
      <c r="A45" s="6">
        <v>45890</v>
      </c>
      <c r="B45" s="2">
        <v>3331545152</v>
      </c>
      <c r="C45" s="3" t="s">
        <v>61</v>
      </c>
      <c r="D45" s="4">
        <v>24140120</v>
      </c>
      <c r="E45" s="4" t="s">
        <v>46</v>
      </c>
      <c r="F45" s="5" t="s">
        <v>37</v>
      </c>
      <c r="G45" s="8">
        <v>25875</v>
      </c>
      <c r="H45" s="7" t="s">
        <v>74</v>
      </c>
      <c r="I45" s="1" t="s">
        <v>75</v>
      </c>
    </row>
    <row r="46" spans="1:9" ht="21">
      <c r="A46" s="6">
        <v>45890</v>
      </c>
      <c r="B46" s="2">
        <v>3331544804</v>
      </c>
      <c r="C46" s="3" t="s">
        <v>61</v>
      </c>
      <c r="D46" s="4">
        <v>24140123</v>
      </c>
      <c r="E46" s="4" t="s">
        <v>28</v>
      </c>
      <c r="F46" s="5" t="s">
        <v>29</v>
      </c>
      <c r="G46" s="9">
        <v>25728</v>
      </c>
      <c r="H46" s="7" t="s">
        <v>76</v>
      </c>
      <c r="I46" s="26" t="s">
        <v>75</v>
      </c>
    </row>
    <row r="47" spans="1:9" ht="21">
      <c r="A47" s="6">
        <v>45890</v>
      </c>
      <c r="B47" s="2">
        <v>3331545170</v>
      </c>
      <c r="C47" s="3" t="s">
        <v>54</v>
      </c>
      <c r="D47" s="4">
        <v>24140121</v>
      </c>
      <c r="E47" s="4" t="s">
        <v>12</v>
      </c>
      <c r="F47" s="5" t="s">
        <v>37</v>
      </c>
      <c r="G47" s="9">
        <v>24923.65</v>
      </c>
      <c r="H47" s="7" t="s">
        <v>77</v>
      </c>
      <c r="I47" s="26" t="s">
        <v>75</v>
      </c>
    </row>
    <row r="48" spans="1:9" ht="21">
      <c r="A48" s="6">
        <v>45890</v>
      </c>
      <c r="B48" s="2">
        <v>3331545191</v>
      </c>
      <c r="C48" s="3" t="s">
        <v>58</v>
      </c>
      <c r="D48" s="4">
        <v>24140122</v>
      </c>
      <c r="E48" s="4" t="s">
        <v>12</v>
      </c>
      <c r="F48" s="5" t="s">
        <v>37</v>
      </c>
      <c r="G48" s="9">
        <v>22710.45</v>
      </c>
      <c r="H48" s="7" t="s">
        <v>78</v>
      </c>
      <c r="I48" s="26" t="s">
        <v>75</v>
      </c>
    </row>
    <row r="49" spans="1:9" ht="21">
      <c r="A49" s="6">
        <v>45890</v>
      </c>
      <c r="B49" s="2">
        <v>3331545194</v>
      </c>
      <c r="C49" s="3" t="s">
        <v>79</v>
      </c>
      <c r="D49" s="4">
        <v>24140125</v>
      </c>
      <c r="E49" s="4" t="s">
        <v>36</v>
      </c>
      <c r="F49" s="5" t="s">
        <v>37</v>
      </c>
      <c r="G49" s="9">
        <v>25722.974999999999</v>
      </c>
      <c r="H49" s="7" t="s">
        <v>80</v>
      </c>
      <c r="I49" s="26" t="s">
        <v>75</v>
      </c>
    </row>
    <row r="50" spans="1:9" ht="20.25" customHeight="1">
      <c r="A50" s="6">
        <v>45890</v>
      </c>
      <c r="B50" s="2">
        <v>3331545205</v>
      </c>
      <c r="C50" s="1476" t="s">
        <v>61</v>
      </c>
      <c r="D50" s="1474">
        <v>24140126</v>
      </c>
      <c r="E50" s="1474" t="s">
        <v>36</v>
      </c>
      <c r="F50" s="1474" t="s">
        <v>37</v>
      </c>
      <c r="G50" s="9">
        <v>14321.25</v>
      </c>
      <c r="H50" s="7" t="s">
        <v>81</v>
      </c>
      <c r="I50" s="26" t="s">
        <v>75</v>
      </c>
    </row>
    <row r="51" spans="1:9" ht="20.25" customHeight="1">
      <c r="A51" s="6">
        <v>45890</v>
      </c>
      <c r="B51" s="2">
        <v>3331545206</v>
      </c>
      <c r="C51" s="1477"/>
      <c r="D51" s="1475"/>
      <c r="E51" s="1475"/>
      <c r="F51" s="1475"/>
      <c r="G51" s="9">
        <v>11256</v>
      </c>
      <c r="H51" s="7"/>
      <c r="I51" s="26" t="s">
        <v>75</v>
      </c>
    </row>
    <row r="52" spans="1:9" ht="21">
      <c r="A52" s="6">
        <v>45890</v>
      </c>
      <c r="B52" s="2">
        <v>3331544967</v>
      </c>
      <c r="C52" s="3" t="s">
        <v>82</v>
      </c>
      <c r="D52" s="4">
        <v>24140124</v>
      </c>
      <c r="E52" s="4" t="s">
        <v>70</v>
      </c>
      <c r="F52" s="5" t="s">
        <v>44</v>
      </c>
      <c r="G52" s="9">
        <v>23883.55</v>
      </c>
      <c r="H52" s="7" t="s">
        <v>83</v>
      </c>
      <c r="I52" s="26" t="s">
        <v>75</v>
      </c>
    </row>
    <row r="53" spans="1:9" ht="21">
      <c r="A53" s="6">
        <v>45890</v>
      </c>
      <c r="B53" s="2">
        <v>3331545290</v>
      </c>
      <c r="C53" s="3" t="s">
        <v>82</v>
      </c>
      <c r="D53" s="4">
        <v>24140127</v>
      </c>
      <c r="E53" s="4" t="s">
        <v>84</v>
      </c>
      <c r="F53" s="5" t="s">
        <v>37</v>
      </c>
      <c r="G53" s="9">
        <v>25587.3</v>
      </c>
      <c r="H53" s="7" t="s">
        <v>85</v>
      </c>
      <c r="I53" s="26" t="s">
        <v>75</v>
      </c>
    </row>
    <row r="54" spans="1:9" ht="21">
      <c r="A54" s="28">
        <v>45890</v>
      </c>
      <c r="B54" s="29">
        <v>3331545326</v>
      </c>
      <c r="C54" s="30" t="s">
        <v>61</v>
      </c>
      <c r="D54" s="25">
        <v>24140128</v>
      </c>
      <c r="E54" s="25" t="s">
        <v>28</v>
      </c>
      <c r="F54" s="31" t="s">
        <v>29</v>
      </c>
      <c r="G54" s="32">
        <v>25728</v>
      </c>
      <c r="H54" s="33" t="s">
        <v>86</v>
      </c>
      <c r="I54" s="34">
        <v>81311397304</v>
      </c>
    </row>
    <row r="55" spans="1:9" s="27" customFormat="1" ht="15" customHeight="1">
      <c r="A55" s="6">
        <v>45891</v>
      </c>
      <c r="B55" s="37">
        <v>3331545514</v>
      </c>
      <c r="C55" s="15" t="s">
        <v>27</v>
      </c>
      <c r="D55" s="15">
        <v>24140129</v>
      </c>
      <c r="E55" s="15" t="s">
        <v>87</v>
      </c>
      <c r="F55" s="15" t="s">
        <v>88</v>
      </c>
      <c r="G55" s="58">
        <v>24.08</v>
      </c>
      <c r="H55" s="36" t="s">
        <v>89</v>
      </c>
      <c r="I55" s="36"/>
    </row>
    <row r="56" spans="1:9" s="27" customFormat="1">
      <c r="A56" s="6">
        <v>45891</v>
      </c>
      <c r="B56" s="37">
        <v>3331545515</v>
      </c>
      <c r="C56" s="15" t="s">
        <v>27</v>
      </c>
      <c r="D56" s="15">
        <v>24140130</v>
      </c>
      <c r="E56" s="15" t="s">
        <v>87</v>
      </c>
      <c r="F56" s="15" t="s">
        <v>88</v>
      </c>
      <c r="G56" s="58">
        <v>24</v>
      </c>
      <c r="H56" s="36" t="s">
        <v>90</v>
      </c>
      <c r="I56" s="36"/>
    </row>
    <row r="57" spans="1:9" s="35" customFormat="1">
      <c r="A57" s="6">
        <v>45891</v>
      </c>
      <c r="B57" s="37">
        <v>3331545517</v>
      </c>
      <c r="C57" s="15" t="s">
        <v>91</v>
      </c>
      <c r="D57" s="15">
        <v>24140131</v>
      </c>
      <c r="E57" s="15" t="s">
        <v>87</v>
      </c>
      <c r="F57" s="15" t="s">
        <v>92</v>
      </c>
      <c r="G57" s="58" t="e">
        <f>VLOOKUP(B57,#REF!,2,0)</f>
        <v>#REF!</v>
      </c>
      <c r="H57" s="36"/>
      <c r="I57" s="36"/>
    </row>
    <row r="58" spans="1:9" s="35" customFormat="1">
      <c r="A58" s="6">
        <v>45891</v>
      </c>
      <c r="B58" s="37">
        <v>3331545521</v>
      </c>
      <c r="C58" s="15" t="s">
        <v>91</v>
      </c>
      <c r="D58" s="15">
        <v>24140132</v>
      </c>
      <c r="E58" s="15" t="s">
        <v>87</v>
      </c>
      <c r="F58" s="15" t="s">
        <v>93</v>
      </c>
      <c r="G58" s="58" t="e">
        <f>VLOOKUP(B58,#REF!,2,0)</f>
        <v>#REF!</v>
      </c>
      <c r="H58" s="36"/>
      <c r="I58" s="36"/>
    </row>
    <row r="59" spans="1:9" s="35" customFormat="1">
      <c r="A59" s="6">
        <v>45891</v>
      </c>
      <c r="B59" s="15">
        <v>3331544770</v>
      </c>
      <c r="C59" s="15" t="s">
        <v>27</v>
      </c>
      <c r="D59" s="15">
        <v>24140133</v>
      </c>
      <c r="E59" s="15" t="s">
        <v>12</v>
      </c>
      <c r="F59" s="15" t="s">
        <v>93</v>
      </c>
      <c r="G59" s="58" t="e">
        <f>VLOOKUP(B59,#REF!,2,0)</f>
        <v>#REF!</v>
      </c>
      <c r="H59" s="36"/>
      <c r="I59" s="36"/>
    </row>
    <row r="60" spans="1:9" s="35" customFormat="1">
      <c r="A60" s="6">
        <v>45891</v>
      </c>
      <c r="B60" s="15">
        <v>3331545166</v>
      </c>
      <c r="C60" s="15" t="s">
        <v>27</v>
      </c>
      <c r="D60" s="15">
        <v>24140134</v>
      </c>
      <c r="E60" s="15" t="s">
        <v>12</v>
      </c>
      <c r="F60" s="15" t="s">
        <v>93</v>
      </c>
      <c r="G60" s="58" t="e">
        <f>VLOOKUP(B60,#REF!,2,0)</f>
        <v>#REF!</v>
      </c>
      <c r="H60" s="36"/>
      <c r="I60" s="36"/>
    </row>
    <row r="61" spans="1:9" s="35" customFormat="1" ht="15" customHeight="1">
      <c r="A61" s="6">
        <v>45891</v>
      </c>
      <c r="B61" s="37">
        <v>3331545243</v>
      </c>
      <c r="C61" s="15" t="s">
        <v>94</v>
      </c>
      <c r="D61" s="15">
        <v>24140135</v>
      </c>
      <c r="E61" s="15" t="s">
        <v>95</v>
      </c>
      <c r="F61" s="15" t="s">
        <v>94</v>
      </c>
      <c r="G61" s="58" t="e">
        <f>VLOOKUP(B61,#REF!,2,0)</f>
        <v>#REF!</v>
      </c>
      <c r="H61" s="36"/>
      <c r="I61" s="36"/>
    </row>
    <row r="62" spans="1:9" s="35" customFormat="1" ht="15" customHeight="1">
      <c r="A62" s="6">
        <v>45891</v>
      </c>
      <c r="B62" s="37">
        <v>3331545535</v>
      </c>
      <c r="C62" s="15" t="s">
        <v>94</v>
      </c>
      <c r="D62" s="15">
        <v>24140136</v>
      </c>
      <c r="E62" s="15" t="s">
        <v>95</v>
      </c>
      <c r="F62" s="15" t="s">
        <v>94</v>
      </c>
      <c r="G62" s="58" t="e">
        <f>VLOOKUP(B62,#REF!,2,0)</f>
        <v>#REF!</v>
      </c>
      <c r="H62" s="36"/>
      <c r="I62" s="36"/>
    </row>
    <row r="63" spans="1:9" s="27" customFormat="1">
      <c r="A63" s="6">
        <v>45891</v>
      </c>
      <c r="B63" s="15">
        <v>3331545539</v>
      </c>
      <c r="C63" s="15" t="s">
        <v>96</v>
      </c>
      <c r="D63" s="15">
        <v>24140137</v>
      </c>
      <c r="E63" s="15" t="s">
        <v>36</v>
      </c>
      <c r="F63" s="15" t="s">
        <v>93</v>
      </c>
      <c r="G63" s="58" t="e">
        <f>VLOOKUP(B63,#REF!,2,0)</f>
        <v>#REF!</v>
      </c>
      <c r="H63" s="36"/>
      <c r="I63" s="36"/>
    </row>
    <row r="64" spans="1:9" s="27" customFormat="1">
      <c r="A64" s="6">
        <v>45891</v>
      </c>
      <c r="B64" s="15">
        <v>3331545567</v>
      </c>
      <c r="C64" s="15" t="s">
        <v>97</v>
      </c>
      <c r="D64" s="15">
        <v>24140138</v>
      </c>
      <c r="E64" s="15" t="s">
        <v>36</v>
      </c>
      <c r="F64" s="15" t="s">
        <v>93</v>
      </c>
      <c r="G64" s="58" t="e">
        <f>VLOOKUP(B64,#REF!,2,0)</f>
        <v>#REF!</v>
      </c>
      <c r="H64" s="36"/>
      <c r="I64" s="36"/>
    </row>
    <row r="65" spans="1:9" s="27" customFormat="1">
      <c r="A65" s="6">
        <v>45891</v>
      </c>
      <c r="B65" s="15">
        <v>3331545138</v>
      </c>
      <c r="C65" s="1478" t="s">
        <v>97</v>
      </c>
      <c r="D65" s="1478">
        <v>24140141</v>
      </c>
      <c r="E65" s="45" t="s">
        <v>42</v>
      </c>
      <c r="F65" s="15" t="s">
        <v>93</v>
      </c>
      <c r="G65" s="58" t="e">
        <f>VLOOKUP(B65,#REF!,2,0)</f>
        <v>#REF!</v>
      </c>
      <c r="H65" s="36"/>
      <c r="I65" s="36"/>
    </row>
    <row r="66" spans="1:9" s="27" customFormat="1">
      <c r="A66" s="6">
        <v>45891</v>
      </c>
      <c r="B66" s="15">
        <v>3331545624</v>
      </c>
      <c r="C66" s="1479"/>
      <c r="D66" s="1479"/>
      <c r="E66" s="45" t="s">
        <v>42</v>
      </c>
      <c r="F66" s="15" t="s">
        <v>93</v>
      </c>
      <c r="G66" s="58" t="e">
        <f>VLOOKUP(B66,#REF!,2,0)</f>
        <v>#REF!</v>
      </c>
      <c r="H66" s="36"/>
      <c r="I66" s="36"/>
    </row>
    <row r="67" spans="1:9">
      <c r="A67" s="6">
        <v>45891</v>
      </c>
      <c r="B67" s="15">
        <v>3331545708</v>
      </c>
      <c r="C67" s="15" t="s">
        <v>98</v>
      </c>
      <c r="D67" s="15" t="s">
        <v>99</v>
      </c>
      <c r="E67" s="15" t="s">
        <v>100</v>
      </c>
      <c r="F67" s="15" t="s">
        <v>93</v>
      </c>
      <c r="G67" s="58" t="e">
        <f>VLOOKUP(B67,#REF!,2,0)</f>
        <v>#REF!</v>
      </c>
      <c r="H67" s="36" t="s">
        <v>101</v>
      </c>
      <c r="I67" s="36"/>
    </row>
    <row r="68" spans="1:9">
      <c r="A68" s="6">
        <v>45891</v>
      </c>
      <c r="B68" s="18">
        <v>3331545723</v>
      </c>
      <c r="C68" s="18" t="s">
        <v>102</v>
      </c>
      <c r="D68" s="18" t="s">
        <v>103</v>
      </c>
      <c r="E68" s="15" t="s">
        <v>100</v>
      </c>
      <c r="F68" s="15" t="s">
        <v>104</v>
      </c>
      <c r="G68" s="58" t="e">
        <f>VLOOKUP(B68,#REF!,2,0)</f>
        <v>#REF!</v>
      </c>
      <c r="H68" s="46" t="s">
        <v>105</v>
      </c>
      <c r="I68" s="46">
        <v>85603924893</v>
      </c>
    </row>
    <row r="69" spans="1:9" s="44" customFormat="1">
      <c r="A69" s="60">
        <v>45891</v>
      </c>
      <c r="B69" s="61">
        <v>3331545744</v>
      </c>
      <c r="C69" s="18" t="s">
        <v>106</v>
      </c>
      <c r="D69" s="18" t="s">
        <v>107</v>
      </c>
      <c r="E69" s="18" t="s">
        <v>108</v>
      </c>
      <c r="F69" s="15" t="s">
        <v>104</v>
      </c>
      <c r="G69" s="58" t="e">
        <f>VLOOKUP(B69,#REF!,2,0)</f>
        <v>#REF!</v>
      </c>
      <c r="H69" s="52"/>
      <c r="I69" s="52"/>
    </row>
    <row r="70" spans="1:9" s="44" customFormat="1">
      <c r="A70" s="38">
        <v>45891</v>
      </c>
      <c r="B70" s="39">
        <v>3331545754</v>
      </c>
      <c r="C70" s="41" t="s">
        <v>94</v>
      </c>
      <c r="D70" s="42" t="s">
        <v>94</v>
      </c>
      <c r="E70" s="41" t="s">
        <v>108</v>
      </c>
      <c r="F70" s="43" t="s">
        <v>94</v>
      </c>
      <c r="G70" s="59">
        <v>31525</v>
      </c>
      <c r="H70" s="40"/>
      <c r="I70" s="40"/>
    </row>
    <row r="71" spans="1:9">
      <c r="A71" s="47">
        <v>45891</v>
      </c>
      <c r="B71" s="18">
        <v>3331545764</v>
      </c>
      <c r="C71" s="18" t="s">
        <v>109</v>
      </c>
      <c r="D71" s="48" t="s">
        <v>110</v>
      </c>
      <c r="E71" s="53" t="s">
        <v>108</v>
      </c>
      <c r="F71" s="49" t="s">
        <v>93</v>
      </c>
      <c r="G71" s="58" t="e">
        <f>VLOOKUP(B71,#REF!,2,0)</f>
        <v>#REF!</v>
      </c>
      <c r="H71" s="50"/>
      <c r="I71" s="50"/>
    </row>
    <row r="72" spans="1:9" ht="15" customHeight="1">
      <c r="A72" s="6">
        <v>45891</v>
      </c>
      <c r="B72" s="15">
        <v>3331545767</v>
      </c>
      <c r="C72" s="15" t="s">
        <v>98</v>
      </c>
      <c r="D72" s="19">
        <v>24140148</v>
      </c>
      <c r="E72" s="15" t="s">
        <v>111</v>
      </c>
      <c r="F72" s="49" t="s">
        <v>93</v>
      </c>
      <c r="G72" s="58" t="e">
        <f>VLOOKUP(B72,#REF!,2,0)</f>
        <v>#REF!</v>
      </c>
      <c r="H72" s="52"/>
      <c r="I72" s="52"/>
    </row>
    <row r="73" spans="1:9" ht="15" customHeight="1">
      <c r="A73" s="6">
        <v>45891</v>
      </c>
      <c r="B73" s="53">
        <v>3331545777</v>
      </c>
      <c r="C73" s="15" t="s">
        <v>102</v>
      </c>
      <c r="D73" s="15">
        <v>24140149</v>
      </c>
      <c r="E73" s="51" t="s">
        <v>111</v>
      </c>
      <c r="F73" s="49" t="s">
        <v>104</v>
      </c>
      <c r="G73" s="58" t="e">
        <f>VLOOKUP(B73,#REF!,2,0)</f>
        <v>#REF!</v>
      </c>
      <c r="H73" s="52"/>
      <c r="I73" s="52"/>
    </row>
    <row r="74" spans="1:9" ht="15" customHeight="1">
      <c r="A74" s="6">
        <v>45892</v>
      </c>
      <c r="B74" s="53">
        <v>3331545991</v>
      </c>
      <c r="C74" s="15" t="s">
        <v>112</v>
      </c>
      <c r="D74" s="15">
        <v>24140150</v>
      </c>
      <c r="E74" s="15" t="s">
        <v>113</v>
      </c>
      <c r="F74" s="49"/>
      <c r="G74" s="58" t="e">
        <f>VLOOKUP(B74,#REF!,2,0)</f>
        <v>#REF!</v>
      </c>
      <c r="H74" s="52"/>
      <c r="I74" s="52"/>
    </row>
    <row r="75" spans="1:9" ht="15" customHeight="1">
      <c r="A75" s="6">
        <v>45892</v>
      </c>
      <c r="B75" s="53">
        <v>3331545992</v>
      </c>
      <c r="C75" s="15" t="s">
        <v>112</v>
      </c>
      <c r="D75" s="15">
        <v>24140151</v>
      </c>
      <c r="E75" s="53" t="s">
        <v>113</v>
      </c>
      <c r="F75" s="49"/>
      <c r="G75" s="58" t="e">
        <f>VLOOKUP(B75,#REF!,2,0)</f>
        <v>#REF!</v>
      </c>
      <c r="H75" s="52"/>
      <c r="I75" s="52"/>
    </row>
    <row r="76" spans="1:9" ht="15" customHeight="1">
      <c r="A76" s="6">
        <v>45892</v>
      </c>
      <c r="B76" s="53">
        <v>3331545994</v>
      </c>
      <c r="C76" s="15" t="s">
        <v>112</v>
      </c>
      <c r="D76" s="15">
        <v>24140152</v>
      </c>
      <c r="E76" s="53" t="s">
        <v>113</v>
      </c>
      <c r="F76" s="49"/>
      <c r="G76" s="58" t="e">
        <f>VLOOKUP(B76,#REF!,2,0)</f>
        <v>#REF!</v>
      </c>
      <c r="H76" s="52"/>
      <c r="I76" s="52"/>
    </row>
    <row r="77" spans="1:9" ht="15" customHeight="1">
      <c r="A77" s="6">
        <v>45892</v>
      </c>
      <c r="B77" s="53">
        <v>3331546005</v>
      </c>
      <c r="C77" s="15" t="s">
        <v>112</v>
      </c>
      <c r="D77" s="15">
        <v>24140153</v>
      </c>
      <c r="E77" s="53" t="s">
        <v>113</v>
      </c>
      <c r="F77" s="49"/>
      <c r="G77" s="58" t="e">
        <f>VLOOKUP(B77,#REF!,2,0)</f>
        <v>#REF!</v>
      </c>
      <c r="H77" s="52"/>
      <c r="I77" s="52"/>
    </row>
    <row r="78" spans="1:9" ht="15" customHeight="1">
      <c r="A78" s="6">
        <v>45892</v>
      </c>
      <c r="B78" s="53">
        <v>3331545982</v>
      </c>
      <c r="C78" s="15" t="s">
        <v>112</v>
      </c>
      <c r="D78" s="15">
        <v>24140154</v>
      </c>
      <c r="E78" s="53" t="s">
        <v>114</v>
      </c>
      <c r="F78" s="49"/>
      <c r="G78" s="58" t="e">
        <f>VLOOKUP(B78,#REF!,2,0)</f>
        <v>#REF!</v>
      </c>
      <c r="H78" s="52"/>
      <c r="I78" s="52"/>
    </row>
    <row r="79" spans="1:9" ht="15" customHeight="1">
      <c r="A79" s="6">
        <v>45892</v>
      </c>
      <c r="B79" s="53">
        <v>3331546014</v>
      </c>
      <c r="C79" s="165" t="s">
        <v>112</v>
      </c>
      <c r="D79" s="165">
        <v>24140155</v>
      </c>
      <c r="E79" s="165" t="s">
        <v>114</v>
      </c>
      <c r="F79" s="165"/>
      <c r="G79" s="58" t="e">
        <f>VLOOKUP(B79,#REF!,2,0)</f>
        <v>#REF!</v>
      </c>
      <c r="H79" s="165"/>
      <c r="I79" s="165"/>
    </row>
    <row r="80" spans="1:9" ht="15" customHeight="1">
      <c r="A80" s="6">
        <v>45892</v>
      </c>
      <c r="B80" s="53">
        <v>3331546016</v>
      </c>
      <c r="C80" s="166"/>
      <c r="D80" s="166"/>
      <c r="E80" s="166"/>
      <c r="F80" s="166"/>
      <c r="G80" s="58" t="e">
        <f>VLOOKUP(B80,#REF!,2,0)</f>
        <v>#REF!</v>
      </c>
      <c r="H80" s="166"/>
      <c r="I80" s="166"/>
    </row>
    <row r="81" spans="1:9" ht="15" customHeight="1">
      <c r="A81" s="6">
        <v>45892</v>
      </c>
      <c r="B81" s="53">
        <v>3331545549</v>
      </c>
      <c r="C81" s="15" t="s">
        <v>115</v>
      </c>
      <c r="D81" s="15">
        <v>24140156</v>
      </c>
      <c r="E81" s="53" t="s">
        <v>114</v>
      </c>
      <c r="F81" s="49"/>
      <c r="G81" s="58">
        <v>25</v>
      </c>
      <c r="H81" s="52"/>
      <c r="I81" s="52"/>
    </row>
    <row r="82" spans="1:9" ht="15" customHeight="1">
      <c r="A82" s="28">
        <v>45892</v>
      </c>
      <c r="B82" s="45">
        <v>3331545978</v>
      </c>
      <c r="C82" s="18" t="s">
        <v>115</v>
      </c>
      <c r="D82" s="15">
        <v>24140157</v>
      </c>
      <c r="E82" s="45" t="s">
        <v>114</v>
      </c>
      <c r="F82" s="54"/>
      <c r="G82" s="58" t="e">
        <f>VLOOKUP(B82,#REF!,2,0)</f>
        <v>#REF!</v>
      </c>
      <c r="H82" s="50"/>
      <c r="I82" s="50"/>
    </row>
    <row r="83" spans="1:9" s="63" customFormat="1" ht="15" customHeight="1">
      <c r="A83" s="6">
        <v>45894</v>
      </c>
      <c r="B83" s="69">
        <v>3331546274</v>
      </c>
      <c r="C83" s="18" t="s">
        <v>115</v>
      </c>
      <c r="D83" s="15">
        <v>24140158</v>
      </c>
      <c r="E83" s="15" t="s">
        <v>116</v>
      </c>
      <c r="F83" s="15"/>
      <c r="G83" s="62">
        <v>25859</v>
      </c>
      <c r="H83" s="52" t="s">
        <v>63</v>
      </c>
      <c r="I83" s="52" t="e">
        <f>VLOOKUP(B83,#REF!,2,FALSE)</f>
        <v>#REF!</v>
      </c>
    </row>
    <row r="84" spans="1:9" s="63" customFormat="1" ht="15" customHeight="1">
      <c r="A84" s="6">
        <v>45894</v>
      </c>
      <c r="B84" s="69">
        <v>3331546276</v>
      </c>
      <c r="C84" s="15" t="s">
        <v>117</v>
      </c>
      <c r="D84" s="15">
        <v>24140159</v>
      </c>
      <c r="E84" s="15" t="s">
        <v>116</v>
      </c>
      <c r="F84" s="15"/>
      <c r="G84" s="62">
        <v>20100</v>
      </c>
      <c r="H84" s="52" t="s">
        <v>80</v>
      </c>
      <c r="I84" s="52" t="e">
        <f>VLOOKUP(B84,#REF!,2,FALSE)</f>
        <v>#REF!</v>
      </c>
    </row>
    <row r="85" spans="1:9" s="63" customFormat="1" ht="15" customHeight="1">
      <c r="A85" s="6">
        <v>45894</v>
      </c>
      <c r="B85" s="65">
        <v>3331546393</v>
      </c>
      <c r="C85" s="15" t="s">
        <v>118</v>
      </c>
      <c r="D85" s="15">
        <v>24140183</v>
      </c>
      <c r="E85" s="51" t="s">
        <v>119</v>
      </c>
      <c r="F85" s="15"/>
      <c r="G85" s="62">
        <v>22000</v>
      </c>
      <c r="H85" s="52" t="s">
        <v>120</v>
      </c>
      <c r="I85" s="52" t="e">
        <f>VLOOKUP(B85,#REF!,2,FALSE)</f>
        <v>#REF!</v>
      </c>
    </row>
    <row r="86" spans="1:9" s="44" customFormat="1" ht="15" customHeight="1">
      <c r="A86" s="79">
        <v>45894</v>
      </c>
      <c r="B86" s="80">
        <v>3331546308</v>
      </c>
      <c r="C86" s="82" t="s">
        <v>58</v>
      </c>
      <c r="D86" s="82">
        <v>24140161</v>
      </c>
      <c r="E86" s="82" t="s">
        <v>121</v>
      </c>
      <c r="F86" s="82"/>
      <c r="G86" s="214">
        <v>25550</v>
      </c>
      <c r="H86" s="83" t="s">
        <v>67</v>
      </c>
      <c r="I86" s="83" t="e">
        <f>VLOOKUP(B86,#REF!,2,FALSE)</f>
        <v>#REF!</v>
      </c>
    </row>
    <row r="87" spans="1:9" s="44" customFormat="1" ht="15" customHeight="1">
      <c r="A87" s="79">
        <v>45894</v>
      </c>
      <c r="B87" s="80">
        <v>3331546311</v>
      </c>
      <c r="C87" s="82" t="s">
        <v>122</v>
      </c>
      <c r="D87" s="82">
        <v>24140162</v>
      </c>
      <c r="E87" s="82" t="s">
        <v>121</v>
      </c>
      <c r="F87" s="82"/>
      <c r="G87" s="214">
        <v>25800</v>
      </c>
      <c r="H87" s="83"/>
      <c r="I87" s="83" t="e">
        <f>VLOOKUP(B87,#REF!,2,FALSE)</f>
        <v>#REF!</v>
      </c>
    </row>
    <row r="88" spans="1:9" s="63" customFormat="1" ht="15" customHeight="1">
      <c r="A88" s="6">
        <v>45894</v>
      </c>
      <c r="B88" s="72">
        <v>3331546411</v>
      </c>
      <c r="C88" s="15" t="s">
        <v>118</v>
      </c>
      <c r="D88" s="15">
        <v>24140186</v>
      </c>
      <c r="E88" s="15" t="s">
        <v>119</v>
      </c>
      <c r="F88" s="15"/>
      <c r="G88" s="62">
        <v>25725</v>
      </c>
      <c r="H88" s="52" t="s">
        <v>123</v>
      </c>
      <c r="I88" s="52" t="e">
        <f>VLOOKUP(B88,#REF!,2,FALSE)</f>
        <v>#REF!</v>
      </c>
    </row>
    <row r="89" spans="1:9" s="63" customFormat="1" ht="15" customHeight="1">
      <c r="A89" s="28">
        <v>45894</v>
      </c>
      <c r="B89" s="73">
        <v>3331546387</v>
      </c>
      <c r="C89" s="18" t="s">
        <v>82</v>
      </c>
      <c r="D89" s="18">
        <v>24140182</v>
      </c>
      <c r="E89" s="51" t="s">
        <v>119</v>
      </c>
      <c r="F89" s="18"/>
      <c r="G89" s="64">
        <v>23100</v>
      </c>
      <c r="H89" s="50"/>
      <c r="I89" s="52" t="e">
        <f>VLOOKUP(B89,#REF!,2,FALSE)</f>
        <v>#REF!</v>
      </c>
    </row>
    <row r="90" spans="1:9" s="63" customFormat="1" ht="15" customHeight="1">
      <c r="A90" s="6">
        <v>45894</v>
      </c>
      <c r="B90" s="73">
        <v>3331546395</v>
      </c>
      <c r="C90" s="15" t="s">
        <v>124</v>
      </c>
      <c r="D90" s="51">
        <v>24140184</v>
      </c>
      <c r="E90" s="51" t="s">
        <v>119</v>
      </c>
      <c r="F90" s="15"/>
      <c r="G90" s="62">
        <v>21950</v>
      </c>
      <c r="H90" s="52"/>
      <c r="I90" s="52" t="e">
        <f>VLOOKUP(B90,#REF!,2,FALSE)</f>
        <v>#REF!</v>
      </c>
    </row>
    <row r="91" spans="1:9" s="44" customFormat="1" ht="15" customHeight="1">
      <c r="A91" s="215">
        <v>45894</v>
      </c>
      <c r="B91" s="216">
        <v>3331546346</v>
      </c>
      <c r="C91" s="217" t="s">
        <v>115</v>
      </c>
      <c r="D91" s="217">
        <v>24140176</v>
      </c>
      <c r="E91" s="217" t="s">
        <v>121</v>
      </c>
      <c r="F91" s="217"/>
      <c r="G91" s="218">
        <v>21950</v>
      </c>
      <c r="H91" s="130"/>
      <c r="I91" s="83" t="e">
        <f>VLOOKUP(B91,#REF!,2,FALSE)</f>
        <v>#REF!</v>
      </c>
    </row>
    <row r="92" spans="1:9" s="63" customFormat="1" ht="15" customHeight="1">
      <c r="A92" s="6">
        <v>45894</v>
      </c>
      <c r="B92" s="69">
        <v>3331546505</v>
      </c>
      <c r="C92" s="15" t="s">
        <v>82</v>
      </c>
      <c r="D92" s="15">
        <v>24140190</v>
      </c>
      <c r="E92" s="15" t="s">
        <v>125</v>
      </c>
      <c r="F92" s="15"/>
      <c r="G92" s="62">
        <v>25250</v>
      </c>
      <c r="H92" s="52"/>
      <c r="I92" s="52" t="e">
        <f>VLOOKUP(B92,#REF!,2,FALSE)</f>
        <v>#REF!</v>
      </c>
    </row>
    <row r="93" spans="1:9" s="63" customFormat="1" ht="15" customHeight="1">
      <c r="A93" s="6">
        <v>45894</v>
      </c>
      <c r="B93" s="69">
        <v>3331546530</v>
      </c>
      <c r="C93" s="15" t="s">
        <v>82</v>
      </c>
      <c r="D93" s="15">
        <v>24140191</v>
      </c>
      <c r="E93" s="15" t="s">
        <v>125</v>
      </c>
      <c r="F93" s="15"/>
      <c r="G93" s="62">
        <v>25250</v>
      </c>
      <c r="H93" s="52"/>
      <c r="I93" s="52" t="e">
        <f>VLOOKUP(B93,#REF!,2,FALSE)</f>
        <v>#REF!</v>
      </c>
    </row>
    <row r="94" spans="1:9" s="63" customFormat="1" ht="15" customHeight="1">
      <c r="A94" s="6">
        <v>45894</v>
      </c>
      <c r="B94" s="69">
        <v>3331546535</v>
      </c>
      <c r="C94" s="15" t="s">
        <v>82</v>
      </c>
      <c r="D94" s="15">
        <v>24140192</v>
      </c>
      <c r="E94" s="15" t="s">
        <v>125</v>
      </c>
      <c r="F94" s="15"/>
      <c r="G94" s="62">
        <v>24624</v>
      </c>
      <c r="H94" s="52"/>
      <c r="I94" s="52" t="e">
        <f>VLOOKUP(B94,#REF!,2,FALSE)</f>
        <v>#REF!</v>
      </c>
    </row>
    <row r="95" spans="1:9" s="44" customFormat="1" ht="15" customHeight="1">
      <c r="A95" s="79">
        <v>45894</v>
      </c>
      <c r="B95" s="80">
        <v>3331546356</v>
      </c>
      <c r="C95" s="1487" t="s">
        <v>115</v>
      </c>
      <c r="D95" s="1487">
        <v>24140173</v>
      </c>
      <c r="E95" s="1478" t="s">
        <v>121</v>
      </c>
      <c r="F95" s="219"/>
      <c r="G95" s="1480">
        <v>23085</v>
      </c>
      <c r="H95" s="83"/>
      <c r="I95" s="83" t="e">
        <f>VLOOKUP(B95,#REF!,2,FALSE)</f>
        <v>#REF!</v>
      </c>
    </row>
    <row r="96" spans="1:9" s="63" customFormat="1" ht="15" customHeight="1">
      <c r="A96" s="6">
        <v>45894</v>
      </c>
      <c r="B96" s="69">
        <v>3331546338</v>
      </c>
      <c r="C96" s="1487"/>
      <c r="D96" s="1487"/>
      <c r="E96" s="1479"/>
      <c r="F96" s="66"/>
      <c r="G96" s="1481"/>
      <c r="H96" s="52"/>
      <c r="I96" s="52" t="e">
        <f>VLOOKUP(B96,#REF!,2,FALSE)</f>
        <v>#REF!</v>
      </c>
    </row>
    <row r="97" spans="1:9" s="63" customFormat="1" ht="15" customHeight="1">
      <c r="A97" s="6">
        <v>45894</v>
      </c>
      <c r="B97" s="69">
        <v>3331546379</v>
      </c>
      <c r="C97" s="15" t="s">
        <v>126</v>
      </c>
      <c r="D97" s="15">
        <v>24140177</v>
      </c>
      <c r="E97" s="15" t="s">
        <v>119</v>
      </c>
      <c r="F97" s="66"/>
      <c r="G97" s="62">
        <v>23270</v>
      </c>
      <c r="H97" s="52"/>
      <c r="I97" s="52" t="e">
        <f>VLOOKUP(B97,#REF!,2,FALSE)</f>
        <v>#REF!</v>
      </c>
    </row>
    <row r="98" spans="1:9" s="63" customFormat="1" ht="15" customHeight="1">
      <c r="A98" s="6">
        <v>45894</v>
      </c>
      <c r="B98" s="73">
        <v>3331546388</v>
      </c>
      <c r="C98" s="15" t="s">
        <v>122</v>
      </c>
      <c r="D98" s="51">
        <v>24140178</v>
      </c>
      <c r="E98" s="51" t="s">
        <v>119</v>
      </c>
      <c r="F98" s="51"/>
      <c r="G98" s="62">
        <v>23270</v>
      </c>
      <c r="H98" s="67"/>
      <c r="I98" s="52" t="e">
        <f>VLOOKUP(B98,#REF!,2,FALSE)</f>
        <v>#REF!</v>
      </c>
    </row>
    <row r="99" spans="1:9" s="63" customFormat="1" ht="15" customHeight="1">
      <c r="A99" s="6">
        <v>45894</v>
      </c>
      <c r="B99" s="73">
        <v>3331546380</v>
      </c>
      <c r="C99" s="15" t="s">
        <v>126</v>
      </c>
      <c r="D99" s="51">
        <v>24140179</v>
      </c>
      <c r="E99" s="51" t="s">
        <v>119</v>
      </c>
      <c r="F99" s="51"/>
      <c r="G99" s="68">
        <v>23270</v>
      </c>
      <c r="H99" s="67"/>
      <c r="I99" s="52" t="e">
        <f>VLOOKUP(B99,#REF!,2,FALSE)</f>
        <v>#REF!</v>
      </c>
    </row>
    <row r="100" spans="1:9" s="63" customFormat="1" ht="15" customHeight="1">
      <c r="A100" s="6">
        <v>45894</v>
      </c>
      <c r="B100" s="73">
        <v>3331546402</v>
      </c>
      <c r="C100" s="15" t="s">
        <v>127</v>
      </c>
      <c r="D100" s="51">
        <v>24140180</v>
      </c>
      <c r="E100" s="51" t="s">
        <v>119</v>
      </c>
      <c r="F100" s="51"/>
      <c r="G100" s="68">
        <v>24575</v>
      </c>
      <c r="H100" s="67"/>
      <c r="I100" s="52" t="e">
        <f>VLOOKUP(B100,#REF!,2,FALSE)</f>
        <v>#REF!</v>
      </c>
    </row>
    <row r="101" spans="1:9" s="63" customFormat="1" ht="15" customHeight="1">
      <c r="A101" s="6">
        <v>45894</v>
      </c>
      <c r="B101" s="73">
        <v>3331546383</v>
      </c>
      <c r="C101" s="51" t="s">
        <v>117</v>
      </c>
      <c r="D101" s="51">
        <v>24140181</v>
      </c>
      <c r="E101" s="51" t="s">
        <v>119</v>
      </c>
      <c r="F101" s="51"/>
      <c r="G101" s="68">
        <v>23670</v>
      </c>
      <c r="H101" s="67"/>
      <c r="I101" s="52" t="e">
        <f>VLOOKUP(B101,#REF!,2,FALSE)</f>
        <v>#REF!</v>
      </c>
    </row>
    <row r="102" spans="1:9" s="63" customFormat="1" ht="15" customHeight="1">
      <c r="A102" s="6">
        <v>45894</v>
      </c>
      <c r="B102" s="73">
        <v>3331546407</v>
      </c>
      <c r="C102" s="51" t="s">
        <v>58</v>
      </c>
      <c r="D102" s="51">
        <v>24140185</v>
      </c>
      <c r="E102" s="51" t="s">
        <v>119</v>
      </c>
      <c r="F102" s="51"/>
      <c r="G102" s="68">
        <v>24575</v>
      </c>
      <c r="H102" s="67"/>
      <c r="I102" s="52" t="e">
        <f>VLOOKUP(B102,#REF!,2,FALSE)</f>
        <v>#REF!</v>
      </c>
    </row>
    <row r="103" spans="1:9" s="78" customFormat="1" ht="15" customHeight="1">
      <c r="A103" s="70">
        <v>45894</v>
      </c>
      <c r="B103" s="75">
        <v>3331546445</v>
      </c>
      <c r="C103" s="74" t="s">
        <v>128</v>
      </c>
      <c r="D103" s="74">
        <v>24140189</v>
      </c>
      <c r="E103" s="74" t="s">
        <v>129</v>
      </c>
      <c r="F103" s="74"/>
      <c r="G103" s="76">
        <v>40320</v>
      </c>
      <c r="H103" s="77"/>
      <c r="I103" s="52"/>
    </row>
    <row r="104" spans="1:9" s="102" customFormat="1" ht="15" customHeight="1">
      <c r="A104" s="95">
        <v>45894</v>
      </c>
      <c r="B104" s="96">
        <v>3331545744</v>
      </c>
      <c r="C104" s="97" t="s">
        <v>27</v>
      </c>
      <c r="D104" s="98">
        <v>24140188</v>
      </c>
      <c r="E104" s="98" t="s">
        <v>130</v>
      </c>
      <c r="F104" s="98"/>
      <c r="G104" s="99">
        <v>39600</v>
      </c>
      <c r="H104" s="100"/>
      <c r="I104" s="101"/>
    </row>
    <row r="105" spans="1:9" s="44" customFormat="1" ht="15" customHeight="1">
      <c r="A105" s="79">
        <v>45895</v>
      </c>
      <c r="B105" s="114">
        <v>3331546306</v>
      </c>
      <c r="C105" s="81" t="s">
        <v>34</v>
      </c>
      <c r="D105" s="82">
        <v>24140160</v>
      </c>
      <c r="E105" s="82" t="s">
        <v>121</v>
      </c>
      <c r="F105" s="82"/>
      <c r="G105" s="214">
        <v>21700</v>
      </c>
      <c r="H105" s="83"/>
      <c r="I105" s="83"/>
    </row>
    <row r="106" spans="1:9" s="102" customFormat="1" ht="15" customHeight="1">
      <c r="A106" s="103">
        <v>45895</v>
      </c>
      <c r="B106" s="104">
        <v>3331546379</v>
      </c>
      <c r="C106" s="106" t="s">
        <v>124</v>
      </c>
      <c r="D106" s="106">
        <v>24140177</v>
      </c>
      <c r="E106" s="106" t="s">
        <v>119</v>
      </c>
      <c r="F106" s="106"/>
      <c r="G106" s="109">
        <v>23270</v>
      </c>
      <c r="H106" s="110"/>
      <c r="I106" s="101"/>
    </row>
    <row r="107" spans="1:9" s="102" customFormat="1" ht="15" customHeight="1">
      <c r="A107" s="103">
        <v>45895</v>
      </c>
      <c r="B107" s="104">
        <v>3331546380</v>
      </c>
      <c r="C107" s="106" t="s">
        <v>124</v>
      </c>
      <c r="D107" s="106">
        <v>24140179</v>
      </c>
      <c r="E107" s="106" t="s">
        <v>119</v>
      </c>
      <c r="F107" s="106"/>
      <c r="G107" s="109">
        <v>23270</v>
      </c>
      <c r="H107" s="110"/>
      <c r="I107" s="101"/>
    </row>
    <row r="108" spans="1:9" s="89" customFormat="1" ht="15" customHeight="1">
      <c r="A108" s="84">
        <v>45895</v>
      </c>
      <c r="B108" s="86">
        <v>3331546729</v>
      </c>
      <c r="C108" s="85" t="s">
        <v>124</v>
      </c>
      <c r="D108" s="85">
        <v>24140194</v>
      </c>
      <c r="E108" s="85" t="s">
        <v>12</v>
      </c>
      <c r="F108" s="85"/>
      <c r="G108" s="87">
        <v>23250</v>
      </c>
      <c r="H108" s="88"/>
      <c r="I108" s="52"/>
    </row>
    <row r="109" spans="1:9" s="89" customFormat="1" ht="15" customHeight="1">
      <c r="A109" s="84">
        <v>45895</v>
      </c>
      <c r="B109" s="86">
        <v>3331546730</v>
      </c>
      <c r="C109" s="85" t="s">
        <v>124</v>
      </c>
      <c r="D109" s="85">
        <v>24140195</v>
      </c>
      <c r="E109" s="85" t="s">
        <v>12</v>
      </c>
      <c r="F109" s="85"/>
      <c r="G109" s="87">
        <v>23250</v>
      </c>
      <c r="H109" s="88"/>
      <c r="I109" s="52"/>
    </row>
    <row r="110" spans="1:9" s="89" customFormat="1" ht="15" customHeight="1">
      <c r="A110" s="84">
        <v>45895</v>
      </c>
      <c r="B110" s="86">
        <v>3331546731</v>
      </c>
      <c r="C110" s="85" t="s">
        <v>124</v>
      </c>
      <c r="D110" s="85">
        <v>24140196</v>
      </c>
      <c r="E110" s="85" t="s">
        <v>12</v>
      </c>
      <c r="F110" s="85"/>
      <c r="G110" s="87">
        <v>23250</v>
      </c>
      <c r="H110" s="88"/>
      <c r="I110" s="52"/>
    </row>
    <row r="111" spans="1:9" s="89" customFormat="1" ht="15" customHeight="1">
      <c r="A111" s="84">
        <v>45895</v>
      </c>
      <c r="B111" s="86">
        <v>3331546732</v>
      </c>
      <c r="C111" s="85" t="s">
        <v>124</v>
      </c>
      <c r="D111" s="85">
        <v>24140197</v>
      </c>
      <c r="E111" s="85" t="s">
        <v>12</v>
      </c>
      <c r="F111" s="85"/>
      <c r="G111" s="87">
        <v>23000</v>
      </c>
      <c r="H111" s="88"/>
      <c r="I111" s="52"/>
    </row>
    <row r="112" spans="1:9" s="108" customFormat="1" ht="15" customHeight="1">
      <c r="A112" s="103">
        <v>45895</v>
      </c>
      <c r="B112" s="104">
        <v>3331546740</v>
      </c>
      <c r="C112" s="105" t="s">
        <v>27</v>
      </c>
      <c r="D112" s="106">
        <v>24140193</v>
      </c>
      <c r="E112" s="106" t="s">
        <v>46</v>
      </c>
      <c r="F112" s="106"/>
      <c r="G112" s="107">
        <v>24948</v>
      </c>
      <c r="H112" s="101"/>
      <c r="I112" s="101"/>
    </row>
    <row r="113" spans="1:9" s="108" customFormat="1" ht="15" customHeight="1">
      <c r="A113" s="103">
        <v>45895</v>
      </c>
      <c r="B113" s="111">
        <v>3331546743</v>
      </c>
      <c r="C113" s="105" t="s">
        <v>27</v>
      </c>
      <c r="D113" s="106">
        <v>24140200</v>
      </c>
      <c r="E113" s="106" t="s">
        <v>131</v>
      </c>
      <c r="F113" s="106"/>
      <c r="G113" s="107">
        <v>25500</v>
      </c>
      <c r="H113" s="101"/>
      <c r="I113" s="101"/>
    </row>
    <row r="114" spans="1:9" s="108" customFormat="1" ht="15" customHeight="1">
      <c r="A114" s="103">
        <v>45895</v>
      </c>
      <c r="B114" s="111">
        <v>3331546744</v>
      </c>
      <c r="C114" s="105" t="s">
        <v>27</v>
      </c>
      <c r="D114" s="106">
        <v>24140201</v>
      </c>
      <c r="E114" s="106" t="s">
        <v>131</v>
      </c>
      <c r="F114" s="106"/>
      <c r="G114" s="107">
        <v>23650</v>
      </c>
      <c r="H114" s="101"/>
      <c r="I114" s="101"/>
    </row>
    <row r="115" spans="1:9" s="108" customFormat="1" ht="15" customHeight="1">
      <c r="A115" s="103">
        <v>45895</v>
      </c>
      <c r="B115" s="111">
        <v>3331546745</v>
      </c>
      <c r="C115" s="105" t="s">
        <v>117</v>
      </c>
      <c r="D115" s="106">
        <v>24140203</v>
      </c>
      <c r="E115" s="106" t="s">
        <v>131</v>
      </c>
      <c r="F115" s="106"/>
      <c r="G115" s="107">
        <v>25150</v>
      </c>
      <c r="H115" s="101"/>
      <c r="I115" s="101"/>
    </row>
    <row r="116" spans="1:9" s="90" customFormat="1" ht="15" customHeight="1">
      <c r="A116" s="6">
        <v>45895</v>
      </c>
      <c r="B116" s="53">
        <v>3331546763</v>
      </c>
      <c r="C116" s="15" t="s">
        <v>124</v>
      </c>
      <c r="D116" s="15">
        <v>24140205</v>
      </c>
      <c r="E116" s="15" t="s">
        <v>132</v>
      </c>
      <c r="F116" s="15"/>
      <c r="G116" s="56">
        <v>24791</v>
      </c>
      <c r="H116" s="36"/>
      <c r="I116" s="52"/>
    </row>
    <row r="117" spans="1:9" s="90" customFormat="1" ht="15" customHeight="1">
      <c r="A117" s="6">
        <v>45895</v>
      </c>
      <c r="B117" s="53">
        <v>3331546764</v>
      </c>
      <c r="C117" s="15" t="s">
        <v>124</v>
      </c>
      <c r="D117" s="15">
        <v>24140206</v>
      </c>
      <c r="E117" s="15" t="s">
        <v>132</v>
      </c>
      <c r="F117" s="15"/>
      <c r="G117" s="56">
        <v>26150</v>
      </c>
      <c r="H117" s="36"/>
      <c r="I117" s="52"/>
    </row>
    <row r="118" spans="1:9" s="90" customFormat="1" ht="15" customHeight="1">
      <c r="A118" s="6">
        <v>45895</v>
      </c>
      <c r="B118" s="53">
        <v>3331546766</v>
      </c>
      <c r="C118" s="15" t="s">
        <v>124</v>
      </c>
      <c r="D118" s="15">
        <v>24140207</v>
      </c>
      <c r="E118" s="15" t="s">
        <v>132</v>
      </c>
      <c r="F118" s="15"/>
      <c r="G118" s="56">
        <v>25700</v>
      </c>
      <c r="H118" s="36"/>
      <c r="I118" s="52"/>
    </row>
    <row r="119" spans="1:9" s="90" customFormat="1" ht="15" customHeight="1">
      <c r="A119" s="6">
        <v>45895</v>
      </c>
      <c r="B119" s="53">
        <v>3331546769</v>
      </c>
      <c r="C119" s="15" t="s">
        <v>124</v>
      </c>
      <c r="D119" s="15">
        <v>24140208</v>
      </c>
      <c r="E119" s="15" t="s">
        <v>132</v>
      </c>
      <c r="F119" s="15"/>
      <c r="G119" s="56">
        <v>27330</v>
      </c>
      <c r="H119" s="36"/>
      <c r="I119" s="52"/>
    </row>
    <row r="120" spans="1:9" s="90" customFormat="1" ht="15" customHeight="1">
      <c r="A120" s="6">
        <v>45895</v>
      </c>
      <c r="B120" s="53">
        <v>3331546772</v>
      </c>
      <c r="C120" s="15" t="s">
        <v>124</v>
      </c>
      <c r="D120" s="15">
        <v>24140209</v>
      </c>
      <c r="E120" s="15" t="s">
        <v>132</v>
      </c>
      <c r="F120" s="15"/>
      <c r="G120" s="56">
        <v>25435</v>
      </c>
      <c r="H120" s="36"/>
      <c r="I120" s="52"/>
    </row>
    <row r="121" spans="1:9" s="90" customFormat="1" ht="15" customHeight="1">
      <c r="A121" s="6">
        <v>45895</v>
      </c>
      <c r="B121" s="53">
        <v>3331546777</v>
      </c>
      <c r="C121" s="15" t="s">
        <v>124</v>
      </c>
      <c r="D121" s="15">
        <v>24140211</v>
      </c>
      <c r="E121" s="15" t="s">
        <v>132</v>
      </c>
      <c r="F121" s="15"/>
      <c r="G121" s="56">
        <v>25025</v>
      </c>
      <c r="H121" s="36"/>
      <c r="I121" s="52"/>
    </row>
    <row r="122" spans="1:9" s="108" customFormat="1" ht="15" customHeight="1">
      <c r="A122" s="103">
        <v>45895</v>
      </c>
      <c r="B122" s="104">
        <v>3331546753</v>
      </c>
      <c r="C122" s="106" t="s">
        <v>124</v>
      </c>
      <c r="D122" s="106">
        <v>24140198</v>
      </c>
      <c r="E122" s="106" t="s">
        <v>132</v>
      </c>
      <c r="F122" s="106"/>
      <c r="G122" s="107">
        <v>24791</v>
      </c>
      <c r="H122" s="101"/>
      <c r="I122" s="101"/>
    </row>
    <row r="123" spans="1:9" s="108" customFormat="1" ht="15" customHeight="1">
      <c r="A123" s="103">
        <v>45895</v>
      </c>
      <c r="B123" s="104">
        <v>3331546755</v>
      </c>
      <c r="C123" s="106" t="s">
        <v>124</v>
      </c>
      <c r="D123" s="106">
        <v>24140199</v>
      </c>
      <c r="E123" s="106" t="s">
        <v>132</v>
      </c>
      <c r="F123" s="106"/>
      <c r="G123" s="107">
        <v>24791</v>
      </c>
      <c r="H123" s="101"/>
      <c r="I123" s="101"/>
    </row>
    <row r="124" spans="1:9" s="44" customFormat="1" ht="15" customHeight="1">
      <c r="A124" s="79">
        <v>45895</v>
      </c>
      <c r="B124" s="114">
        <v>3331546349</v>
      </c>
      <c r="C124" s="81" t="s">
        <v>34</v>
      </c>
      <c r="D124" s="82">
        <v>24140171</v>
      </c>
      <c r="E124" s="82" t="s">
        <v>121</v>
      </c>
      <c r="F124" s="82"/>
      <c r="G124" s="214">
        <v>25675</v>
      </c>
      <c r="H124" s="83"/>
      <c r="I124" s="83"/>
    </row>
    <row r="125" spans="1:9" s="44" customFormat="1" ht="15" customHeight="1">
      <c r="A125" s="79">
        <v>45895</v>
      </c>
      <c r="B125" s="114">
        <v>3331546352</v>
      </c>
      <c r="C125" s="81" t="s">
        <v>34</v>
      </c>
      <c r="D125" s="82">
        <v>24140172</v>
      </c>
      <c r="E125" s="82" t="s">
        <v>121</v>
      </c>
      <c r="F125" s="82"/>
      <c r="G125" s="214">
        <v>24624</v>
      </c>
      <c r="H125" s="83"/>
      <c r="I125" s="83"/>
    </row>
    <row r="126" spans="1:9" s="108" customFormat="1" ht="15" customHeight="1">
      <c r="A126" s="103">
        <v>45895</v>
      </c>
      <c r="B126" s="104">
        <v>3331546827</v>
      </c>
      <c r="C126" s="105" t="s">
        <v>133</v>
      </c>
      <c r="D126" s="106">
        <v>24140212</v>
      </c>
      <c r="E126" s="106" t="s">
        <v>134</v>
      </c>
      <c r="F126" s="106"/>
      <c r="G126" s="107">
        <v>25275</v>
      </c>
      <c r="H126" s="101"/>
      <c r="I126" s="101"/>
    </row>
    <row r="127" spans="1:9" s="108" customFormat="1" ht="15" customHeight="1">
      <c r="A127" s="103">
        <v>45895</v>
      </c>
      <c r="B127" s="104">
        <v>3331546831</v>
      </c>
      <c r="C127" s="105" t="s">
        <v>133</v>
      </c>
      <c r="D127" s="106">
        <v>24140213</v>
      </c>
      <c r="E127" s="106" t="s">
        <v>134</v>
      </c>
      <c r="F127" s="106"/>
      <c r="G127" s="107">
        <v>24595</v>
      </c>
      <c r="H127" s="101"/>
      <c r="I127" s="101"/>
    </row>
    <row r="128" spans="1:9" s="108" customFormat="1" ht="15" customHeight="1">
      <c r="A128" s="103">
        <v>45895</v>
      </c>
      <c r="B128" s="104">
        <v>3331546821</v>
      </c>
      <c r="C128" s="105" t="s">
        <v>34</v>
      </c>
      <c r="D128" s="106">
        <v>24140214</v>
      </c>
      <c r="E128" s="106" t="s">
        <v>135</v>
      </c>
      <c r="F128" s="106"/>
      <c r="G128" s="107">
        <v>26005</v>
      </c>
      <c r="H128" s="101"/>
      <c r="I128" s="101"/>
    </row>
    <row r="129" spans="1:9" s="108" customFormat="1" ht="15" customHeight="1">
      <c r="A129" s="103">
        <v>45895</v>
      </c>
      <c r="B129" s="104">
        <v>3331546863</v>
      </c>
      <c r="C129" s="105" t="s">
        <v>34</v>
      </c>
      <c r="D129" s="106">
        <v>24140216</v>
      </c>
      <c r="E129" s="106" t="s">
        <v>136</v>
      </c>
      <c r="F129" s="106"/>
      <c r="G129" s="107">
        <v>25675</v>
      </c>
      <c r="H129" s="101"/>
      <c r="I129" s="101"/>
    </row>
    <row r="130" spans="1:9" s="44" customFormat="1" ht="15" customHeight="1">
      <c r="A130" s="79">
        <v>45896</v>
      </c>
      <c r="B130" s="86">
        <v>3331546729</v>
      </c>
      <c r="C130" s="85" t="s">
        <v>27</v>
      </c>
      <c r="D130" s="85">
        <v>24140194</v>
      </c>
      <c r="E130" s="85" t="s">
        <v>12</v>
      </c>
      <c r="F130" s="85"/>
      <c r="G130" s="87">
        <v>23250</v>
      </c>
      <c r="H130" s="81" t="s">
        <v>62</v>
      </c>
      <c r="I130" s="83"/>
    </row>
    <row r="131" spans="1:9" s="44" customFormat="1" ht="15" customHeight="1">
      <c r="A131" s="79">
        <v>45896</v>
      </c>
      <c r="B131" s="86">
        <v>3331546730</v>
      </c>
      <c r="C131" s="85" t="s">
        <v>27</v>
      </c>
      <c r="D131" s="85">
        <v>24140195</v>
      </c>
      <c r="E131" s="85" t="s">
        <v>12</v>
      </c>
      <c r="F131" s="85"/>
      <c r="G131" s="87">
        <v>23250</v>
      </c>
      <c r="H131" s="81" t="s">
        <v>62</v>
      </c>
      <c r="I131" s="83"/>
    </row>
    <row r="132" spans="1:9" s="44" customFormat="1" ht="15" customHeight="1">
      <c r="A132" s="79">
        <v>45896</v>
      </c>
      <c r="B132" s="86">
        <v>3331546731</v>
      </c>
      <c r="C132" s="85" t="s">
        <v>27</v>
      </c>
      <c r="D132" s="85">
        <v>24140196</v>
      </c>
      <c r="E132" s="85" t="s">
        <v>12</v>
      </c>
      <c r="F132" s="85"/>
      <c r="G132" s="87">
        <v>23250</v>
      </c>
      <c r="H132" s="81" t="s">
        <v>74</v>
      </c>
      <c r="I132" s="83"/>
    </row>
    <row r="133" spans="1:9" s="44" customFormat="1" ht="15" customHeight="1">
      <c r="A133" s="79">
        <v>45896</v>
      </c>
      <c r="B133" s="86">
        <v>3331546732</v>
      </c>
      <c r="C133" s="85" t="s">
        <v>137</v>
      </c>
      <c r="D133" s="85">
        <v>24140197</v>
      </c>
      <c r="E133" s="85" t="s">
        <v>12</v>
      </c>
      <c r="F133" s="85"/>
      <c r="G133" s="87">
        <v>23000</v>
      </c>
      <c r="H133" s="94" t="s">
        <v>138</v>
      </c>
      <c r="I133" s="81"/>
    </row>
    <row r="134" spans="1:9" s="44" customFormat="1" ht="15" customHeight="1">
      <c r="A134" s="70">
        <v>45896</v>
      </c>
      <c r="B134" s="71">
        <v>3331546763</v>
      </c>
      <c r="C134" s="128" t="s">
        <v>139</v>
      </c>
      <c r="D134" s="128">
        <v>24140205</v>
      </c>
      <c r="E134" s="128" t="s">
        <v>132</v>
      </c>
      <c r="F134" s="15"/>
      <c r="G134" s="129">
        <v>24791</v>
      </c>
      <c r="H134" s="93" t="s">
        <v>140</v>
      </c>
      <c r="I134" s="40"/>
    </row>
    <row r="135" spans="1:9" s="44" customFormat="1" ht="15" customHeight="1">
      <c r="A135" s="79">
        <v>45896</v>
      </c>
      <c r="B135" s="53">
        <v>3331546764</v>
      </c>
      <c r="C135" s="15" t="s">
        <v>124</v>
      </c>
      <c r="D135" s="15">
        <v>24140206</v>
      </c>
      <c r="E135" s="15" t="s">
        <v>132</v>
      </c>
      <c r="F135" s="15"/>
      <c r="G135" s="56">
        <v>26150</v>
      </c>
      <c r="H135" s="81" t="s">
        <v>141</v>
      </c>
      <c r="I135" s="83"/>
    </row>
    <row r="136" spans="1:9" s="44" customFormat="1" ht="15" customHeight="1">
      <c r="A136" s="79">
        <v>45896</v>
      </c>
      <c r="B136" s="53">
        <v>3331546766</v>
      </c>
      <c r="C136" s="15" t="s">
        <v>124</v>
      </c>
      <c r="D136" s="15">
        <v>24140207</v>
      </c>
      <c r="E136" s="15" t="s">
        <v>132</v>
      </c>
      <c r="F136" s="15"/>
      <c r="G136" s="56">
        <v>25700</v>
      </c>
      <c r="H136" s="81" t="s">
        <v>142</v>
      </c>
      <c r="I136" s="83"/>
    </row>
    <row r="137" spans="1:9" s="44" customFormat="1" ht="15" customHeight="1">
      <c r="A137" s="79">
        <v>45896</v>
      </c>
      <c r="B137" s="53">
        <v>3331546769</v>
      </c>
      <c r="C137" s="15" t="s">
        <v>124</v>
      </c>
      <c r="D137" s="15">
        <v>24140208</v>
      </c>
      <c r="E137" s="15" t="s">
        <v>132</v>
      </c>
      <c r="F137" s="15"/>
      <c r="G137" s="56">
        <v>27330</v>
      </c>
      <c r="H137" s="81" t="s">
        <v>143</v>
      </c>
      <c r="I137" s="83"/>
    </row>
    <row r="138" spans="1:9" s="44" customFormat="1" ht="15" customHeight="1">
      <c r="A138" s="79">
        <v>45896</v>
      </c>
      <c r="B138" s="53">
        <v>3331546772</v>
      </c>
      <c r="C138" s="15" t="s">
        <v>124</v>
      </c>
      <c r="D138" s="15">
        <v>24140209</v>
      </c>
      <c r="E138" s="15" t="s">
        <v>132</v>
      </c>
      <c r="F138" s="15"/>
      <c r="G138" s="56">
        <v>25435</v>
      </c>
      <c r="H138" s="81" t="s">
        <v>144</v>
      </c>
      <c r="I138" s="83"/>
    </row>
    <row r="139" spans="1:9" s="44" customFormat="1" ht="15" customHeight="1">
      <c r="A139" s="70">
        <v>45896</v>
      </c>
      <c r="B139" s="71">
        <v>3331546776</v>
      </c>
      <c r="C139" s="128" t="s">
        <v>139</v>
      </c>
      <c r="D139" s="128">
        <v>24140210</v>
      </c>
      <c r="E139" s="128" t="s">
        <v>132</v>
      </c>
      <c r="F139" s="15"/>
      <c r="G139" s="129">
        <v>25025</v>
      </c>
      <c r="H139" s="93"/>
      <c r="I139" s="40"/>
    </row>
    <row r="140" spans="1:9" s="44" customFormat="1" ht="15" customHeight="1">
      <c r="A140" s="79">
        <v>45896</v>
      </c>
      <c r="B140" s="53">
        <v>3331546777</v>
      </c>
      <c r="C140" s="15" t="s">
        <v>124</v>
      </c>
      <c r="D140" s="15">
        <v>24140211</v>
      </c>
      <c r="E140" s="15" t="s">
        <v>132</v>
      </c>
      <c r="F140" s="15"/>
      <c r="G140" s="56">
        <v>25025</v>
      </c>
      <c r="H140" s="81"/>
      <c r="I140" s="83"/>
    </row>
    <row r="141" spans="1:9" s="44" customFormat="1" ht="15" customHeight="1">
      <c r="A141" s="79">
        <v>45896</v>
      </c>
      <c r="B141" s="65">
        <v>3331546827</v>
      </c>
      <c r="C141" s="51" t="s">
        <v>11</v>
      </c>
      <c r="D141" s="51">
        <v>24140212</v>
      </c>
      <c r="E141" s="51" t="s">
        <v>134</v>
      </c>
      <c r="F141" s="51"/>
      <c r="G141" s="125">
        <v>25275</v>
      </c>
      <c r="H141" s="124" t="s">
        <v>19</v>
      </c>
      <c r="I141" s="83"/>
    </row>
    <row r="142" spans="1:9" s="44" customFormat="1" ht="15" customHeight="1">
      <c r="A142" s="79">
        <v>45894</v>
      </c>
      <c r="B142" s="121">
        <v>3331546445</v>
      </c>
      <c r="C142" s="122" t="s">
        <v>27</v>
      </c>
      <c r="D142" s="122">
        <v>24140189</v>
      </c>
      <c r="E142" s="122" t="s">
        <v>129</v>
      </c>
      <c r="F142" s="115"/>
      <c r="G142" s="116">
        <v>40320</v>
      </c>
      <c r="H142" s="123" t="s">
        <v>145</v>
      </c>
      <c r="I142" s="83"/>
    </row>
    <row r="143" spans="1:9" s="44" customFormat="1" ht="15" customHeight="1">
      <c r="A143" s="79">
        <v>45896</v>
      </c>
      <c r="B143" s="114">
        <v>3331547148</v>
      </c>
      <c r="C143" s="115" t="s">
        <v>146</v>
      </c>
      <c r="D143" s="115">
        <v>24140217</v>
      </c>
      <c r="E143" s="115" t="s">
        <v>135</v>
      </c>
      <c r="F143" s="115"/>
      <c r="G143" s="116">
        <v>26820</v>
      </c>
      <c r="H143" s="124" t="s">
        <v>78</v>
      </c>
      <c r="I143" s="83"/>
    </row>
    <row r="144" spans="1:9" s="44" customFormat="1" ht="15" customHeight="1">
      <c r="A144" s="79">
        <v>45896</v>
      </c>
      <c r="B144" s="114">
        <v>3331547143</v>
      </c>
      <c r="C144" s="115" t="s">
        <v>34</v>
      </c>
      <c r="D144" s="115">
        <v>24140218</v>
      </c>
      <c r="E144" s="115" t="s">
        <v>147</v>
      </c>
      <c r="F144" s="115"/>
      <c r="G144" s="116">
        <v>25400</v>
      </c>
      <c r="H144" s="113" t="s">
        <v>77</v>
      </c>
      <c r="I144" s="83"/>
    </row>
    <row r="145" spans="1:9" s="44" customFormat="1" ht="15" customHeight="1">
      <c r="A145" s="79">
        <v>45896</v>
      </c>
      <c r="B145" s="114">
        <v>3331547227</v>
      </c>
      <c r="C145" s="115" t="s">
        <v>148</v>
      </c>
      <c r="D145" s="115">
        <v>24140219</v>
      </c>
      <c r="E145" s="115" t="s">
        <v>129</v>
      </c>
      <c r="F145" s="115"/>
      <c r="G145" s="116">
        <v>41650</v>
      </c>
      <c r="H145" s="113" t="s">
        <v>149</v>
      </c>
      <c r="I145" s="83"/>
    </row>
    <row r="146" spans="1:9" s="44" customFormat="1" ht="15" customHeight="1">
      <c r="A146" s="79">
        <v>45896</v>
      </c>
      <c r="B146" s="86">
        <v>3331546755</v>
      </c>
      <c r="C146" s="122" t="s">
        <v>34</v>
      </c>
      <c r="D146" s="122">
        <v>24140199</v>
      </c>
      <c r="E146" s="122" t="s">
        <v>132</v>
      </c>
      <c r="F146" s="115"/>
      <c r="G146" s="127">
        <v>24791</v>
      </c>
      <c r="H146" s="126"/>
      <c r="I146" s="83"/>
    </row>
    <row r="147" spans="1:9" s="44" customFormat="1" ht="15" customHeight="1">
      <c r="A147" s="79">
        <v>45896</v>
      </c>
      <c r="B147" s="114">
        <v>3331547305</v>
      </c>
      <c r="C147" s="115" t="s">
        <v>34</v>
      </c>
      <c r="D147" s="115">
        <v>24140220</v>
      </c>
      <c r="E147" s="115" t="s">
        <v>121</v>
      </c>
      <c r="F147" s="115"/>
      <c r="G147" s="116">
        <v>25900</v>
      </c>
      <c r="H147" s="113"/>
      <c r="I147" s="83"/>
    </row>
    <row r="148" spans="1:9" s="44" customFormat="1" ht="15" customHeight="1">
      <c r="A148" s="79">
        <v>45896</v>
      </c>
      <c r="B148" s="114">
        <v>3331547320</v>
      </c>
      <c r="C148" s="115" t="s">
        <v>34</v>
      </c>
      <c r="D148" s="115">
        <v>24140221</v>
      </c>
      <c r="E148" s="115" t="s">
        <v>150</v>
      </c>
      <c r="F148" s="115"/>
      <c r="G148" s="116">
        <v>25180</v>
      </c>
      <c r="H148" s="113"/>
      <c r="I148" s="83"/>
    </row>
    <row r="149" spans="1:9" s="44" customFormat="1" ht="15" customHeight="1">
      <c r="A149" s="79">
        <v>45896</v>
      </c>
      <c r="B149" s="114">
        <v>3331547321</v>
      </c>
      <c r="C149" s="115" t="s">
        <v>34</v>
      </c>
      <c r="D149" s="115">
        <v>24140222</v>
      </c>
      <c r="E149" s="115" t="s">
        <v>150</v>
      </c>
      <c r="F149" s="115"/>
      <c r="G149" s="116">
        <v>25180</v>
      </c>
      <c r="H149" s="113"/>
      <c r="I149" s="83"/>
    </row>
    <row r="150" spans="1:9" s="44" customFormat="1" ht="15" customHeight="1">
      <c r="A150" s="79">
        <v>45896</v>
      </c>
      <c r="B150" s="114">
        <v>3331547322</v>
      </c>
      <c r="C150" s="115" t="s">
        <v>34</v>
      </c>
      <c r="D150" s="115">
        <v>24140223</v>
      </c>
      <c r="E150" s="115" t="s">
        <v>150</v>
      </c>
      <c r="F150" s="115"/>
      <c r="G150" s="116">
        <v>25480</v>
      </c>
      <c r="H150" s="113"/>
      <c r="I150" s="83"/>
    </row>
    <row r="151" spans="1:9" s="44" customFormat="1" ht="15" customHeight="1">
      <c r="A151" s="79">
        <v>45896</v>
      </c>
      <c r="B151" s="114">
        <v>3331547338</v>
      </c>
      <c r="C151" s="115" t="s">
        <v>34</v>
      </c>
      <c r="D151" s="115">
        <v>24140225</v>
      </c>
      <c r="E151" s="115" t="s">
        <v>147</v>
      </c>
      <c r="F151" s="115"/>
      <c r="G151" s="116">
        <v>25300</v>
      </c>
      <c r="H151" s="113"/>
      <c r="I151" s="83"/>
    </row>
    <row r="152" spans="1:9" s="44" customFormat="1" ht="15" customHeight="1">
      <c r="A152" s="79">
        <v>45896</v>
      </c>
      <c r="B152" s="114">
        <v>3331547333</v>
      </c>
      <c r="C152" s="115" t="s">
        <v>34</v>
      </c>
      <c r="D152" s="115">
        <v>24140226</v>
      </c>
      <c r="E152" s="115" t="s">
        <v>119</v>
      </c>
      <c r="F152" s="115"/>
      <c r="G152" s="116">
        <v>24630</v>
      </c>
      <c r="H152" s="113"/>
      <c r="I152" s="83"/>
    </row>
    <row r="153" spans="1:9" s="44" customFormat="1" ht="15" customHeight="1">
      <c r="A153" s="79">
        <v>45896</v>
      </c>
      <c r="B153" s="114">
        <v>3331547324</v>
      </c>
      <c r="C153" s="115" t="s">
        <v>27</v>
      </c>
      <c r="D153" s="115">
        <v>24140224</v>
      </c>
      <c r="E153" s="115" t="s">
        <v>150</v>
      </c>
      <c r="F153" s="116">
        <v>25030</v>
      </c>
      <c r="G153" s="117">
        <v>25180.18</v>
      </c>
      <c r="H153" s="130"/>
    </row>
    <row r="154" spans="1:9" ht="15" customHeight="1">
      <c r="A154" s="136">
        <v>45897</v>
      </c>
      <c r="B154" s="137">
        <v>3331546764</v>
      </c>
      <c r="C154" s="26" t="s">
        <v>124</v>
      </c>
      <c r="D154" s="26">
        <v>24140206</v>
      </c>
      <c r="E154" s="26" t="s">
        <v>132</v>
      </c>
      <c r="F154" s="138">
        <v>26271</v>
      </c>
      <c r="G154" s="139">
        <v>26402.355</v>
      </c>
      <c r="H154" s="26"/>
      <c r="I154" s="112"/>
    </row>
    <row r="155" spans="1:9" ht="15" customHeight="1">
      <c r="A155" s="136">
        <v>45897</v>
      </c>
      <c r="B155" s="137">
        <v>3331546766</v>
      </c>
      <c r="C155" s="26" t="s">
        <v>124</v>
      </c>
      <c r="D155" s="26">
        <v>24140207</v>
      </c>
      <c r="E155" s="26" t="s">
        <v>132</v>
      </c>
      <c r="F155" s="138">
        <v>25828</v>
      </c>
      <c r="G155" s="139">
        <v>26402.355</v>
      </c>
      <c r="H155" s="26"/>
      <c r="I155" s="112"/>
    </row>
    <row r="156" spans="1:9" ht="15" customHeight="1">
      <c r="A156" s="136">
        <v>45897</v>
      </c>
      <c r="B156" s="142">
        <v>3331546763</v>
      </c>
      <c r="C156" s="26" t="s">
        <v>151</v>
      </c>
      <c r="D156" s="26">
        <v>24140205</v>
      </c>
      <c r="E156" s="26" t="s">
        <v>132</v>
      </c>
      <c r="F156" s="140">
        <v>22949</v>
      </c>
      <c r="G156" s="141">
        <v>23063.744999999999</v>
      </c>
      <c r="H156" s="112"/>
      <c r="I156" s="112"/>
    </row>
    <row r="157" spans="1:9" ht="15" customHeight="1">
      <c r="A157" s="136">
        <v>45897</v>
      </c>
      <c r="B157" s="142">
        <v>3331546776</v>
      </c>
      <c r="C157" s="26" t="s">
        <v>152</v>
      </c>
      <c r="D157" s="26">
        <v>24140210</v>
      </c>
      <c r="E157" s="26" t="s">
        <v>132</v>
      </c>
      <c r="F157" s="140">
        <v>25828</v>
      </c>
      <c r="G157" s="141">
        <v>25957.14</v>
      </c>
      <c r="H157" s="112"/>
      <c r="I157" s="112"/>
    </row>
    <row r="158" spans="1:9" ht="15" customHeight="1">
      <c r="A158" s="136">
        <v>45897</v>
      </c>
      <c r="B158" s="142">
        <v>3331546730</v>
      </c>
      <c r="C158" s="26" t="s">
        <v>27</v>
      </c>
      <c r="D158" s="26">
        <v>24140195</v>
      </c>
      <c r="E158" s="26" t="s">
        <v>12</v>
      </c>
      <c r="F158" s="138">
        <v>21778</v>
      </c>
      <c r="G158" s="141">
        <v>21886.89</v>
      </c>
      <c r="H158" s="112"/>
      <c r="I158" s="112"/>
    </row>
    <row r="159" spans="1:9" ht="15" customHeight="1">
      <c r="A159" s="136">
        <v>45897</v>
      </c>
      <c r="B159" s="142">
        <v>3331547227</v>
      </c>
      <c r="C159" s="26" t="s">
        <v>153</v>
      </c>
      <c r="D159" s="26">
        <v>24140219</v>
      </c>
      <c r="E159" s="26" t="s">
        <v>129</v>
      </c>
      <c r="F159" s="138">
        <v>41650</v>
      </c>
      <c r="G159" s="141">
        <v>41858.25</v>
      </c>
      <c r="H159" s="112"/>
      <c r="I159" s="112"/>
    </row>
    <row r="160" spans="1:9" ht="15" customHeight="1">
      <c r="A160" s="136">
        <v>45897</v>
      </c>
      <c r="B160" s="142">
        <v>3331547338</v>
      </c>
      <c r="C160" s="26" t="s">
        <v>34</v>
      </c>
      <c r="D160" s="26">
        <v>24140225</v>
      </c>
      <c r="E160" s="26" t="s">
        <v>134</v>
      </c>
      <c r="F160" s="138">
        <v>25300</v>
      </c>
      <c r="G160" s="141">
        <v>25451.8</v>
      </c>
      <c r="H160" s="112"/>
      <c r="I160" s="112"/>
    </row>
    <row r="161" spans="1:9" ht="15" customHeight="1">
      <c r="A161" s="136">
        <v>45897</v>
      </c>
      <c r="B161" s="142">
        <v>3331546769</v>
      </c>
      <c r="C161" s="26" t="s">
        <v>151</v>
      </c>
      <c r="D161" s="26">
        <v>24140208</v>
      </c>
      <c r="E161" s="26" t="s">
        <v>154</v>
      </c>
      <c r="F161" s="138">
        <v>27330</v>
      </c>
      <c r="G161" s="141">
        <v>27466.65</v>
      </c>
      <c r="H161" s="112"/>
      <c r="I161" s="112"/>
    </row>
    <row r="162" spans="1:9" ht="15" customHeight="1">
      <c r="A162" s="136">
        <v>45897</v>
      </c>
      <c r="B162" s="142">
        <v>3331546777</v>
      </c>
      <c r="C162" s="26" t="s">
        <v>82</v>
      </c>
      <c r="D162" s="26">
        <v>24140211</v>
      </c>
      <c r="E162" s="26" t="s">
        <v>154</v>
      </c>
      <c r="F162" s="138">
        <v>25025</v>
      </c>
      <c r="G162" s="141">
        <v>25150.125</v>
      </c>
      <c r="H162" s="112"/>
      <c r="I162" s="112"/>
    </row>
    <row r="163" spans="1:9" ht="15" customHeight="1">
      <c r="A163" s="136">
        <v>45897</v>
      </c>
      <c r="B163" s="137">
        <v>3331547321</v>
      </c>
      <c r="C163" s="26" t="s">
        <v>34</v>
      </c>
      <c r="D163" s="26">
        <v>24140222</v>
      </c>
      <c r="E163" s="26" t="s">
        <v>155</v>
      </c>
      <c r="F163" s="138">
        <v>25480</v>
      </c>
      <c r="G163" s="141">
        <v>25632.880000000001</v>
      </c>
      <c r="H163" s="112"/>
      <c r="I163" s="112"/>
    </row>
    <row r="164" spans="1:9" ht="15" customHeight="1">
      <c r="A164" s="136">
        <v>45897</v>
      </c>
      <c r="B164" s="142">
        <v>3331547323</v>
      </c>
      <c r="C164" s="26" t="s">
        <v>27</v>
      </c>
      <c r="D164" s="26">
        <v>24140227</v>
      </c>
      <c r="E164" s="26" t="s">
        <v>155</v>
      </c>
      <c r="F164" s="138">
        <v>24100</v>
      </c>
      <c r="G164" s="141">
        <v>24244.6</v>
      </c>
      <c r="H164" s="112"/>
      <c r="I164" s="112"/>
    </row>
    <row r="165" spans="1:9" ht="15" customHeight="1">
      <c r="A165" s="136">
        <v>45897</v>
      </c>
      <c r="B165" s="142">
        <v>3331547338</v>
      </c>
      <c r="C165" s="26" t="s">
        <v>34</v>
      </c>
      <c r="D165" s="26">
        <v>24140225</v>
      </c>
      <c r="E165" s="26" t="s">
        <v>156</v>
      </c>
      <c r="F165" s="138">
        <v>25300</v>
      </c>
      <c r="G165" s="141">
        <v>25451.8</v>
      </c>
      <c r="H165" s="112"/>
      <c r="I165" s="112"/>
    </row>
    <row r="166" spans="1:9" ht="15" customHeight="1">
      <c r="A166" s="136">
        <v>45897</v>
      </c>
      <c r="B166" s="142">
        <v>3331546730</v>
      </c>
      <c r="C166" s="26" t="s">
        <v>27</v>
      </c>
      <c r="D166" s="26">
        <v>24140195</v>
      </c>
      <c r="E166" s="26" t="s">
        <v>12</v>
      </c>
      <c r="F166" s="138">
        <v>23250</v>
      </c>
      <c r="G166" s="141">
        <v>23366.25</v>
      </c>
      <c r="H166" s="112"/>
      <c r="I166" s="112"/>
    </row>
    <row r="167" spans="1:9" ht="15" customHeight="1">
      <c r="A167" s="136">
        <v>45897</v>
      </c>
      <c r="B167" s="142">
        <v>3331547324</v>
      </c>
      <c r="C167" s="26" t="s">
        <v>58</v>
      </c>
      <c r="D167" s="26">
        <v>24140224</v>
      </c>
      <c r="E167" s="26" t="s">
        <v>155</v>
      </c>
      <c r="F167" s="138">
        <v>25030</v>
      </c>
      <c r="G167" s="141">
        <v>25180.18</v>
      </c>
      <c r="H167" s="112"/>
      <c r="I167" s="112"/>
    </row>
    <row r="168" spans="1:9" ht="15" customHeight="1">
      <c r="A168" s="136">
        <v>45897</v>
      </c>
      <c r="B168" s="142">
        <v>3331547479</v>
      </c>
      <c r="C168" s="26" t="s">
        <v>157</v>
      </c>
      <c r="D168" s="26">
        <v>24140228</v>
      </c>
      <c r="E168" s="26" t="s">
        <v>95</v>
      </c>
      <c r="F168" s="138">
        <v>23535</v>
      </c>
      <c r="G168" s="141">
        <v>23652.674999999999</v>
      </c>
      <c r="H168" s="112"/>
      <c r="I168" s="112"/>
    </row>
    <row r="169" spans="1:9" ht="15" customHeight="1">
      <c r="A169" s="136">
        <v>45897</v>
      </c>
      <c r="B169" s="142">
        <v>3331547487</v>
      </c>
      <c r="C169" s="1482" t="s">
        <v>152</v>
      </c>
      <c r="D169" s="1482">
        <v>24140229</v>
      </c>
      <c r="E169" s="1482" t="s">
        <v>46</v>
      </c>
      <c r="F169" s="138">
        <v>9207</v>
      </c>
      <c r="G169" s="141">
        <v>9253.0349999999999</v>
      </c>
      <c r="H169" s="112"/>
      <c r="I169" s="112"/>
    </row>
    <row r="170" spans="1:9" ht="15" customHeight="1">
      <c r="A170" s="136">
        <v>45897</v>
      </c>
      <c r="B170" s="142">
        <v>3331547488</v>
      </c>
      <c r="C170" s="1483"/>
      <c r="D170" s="1483"/>
      <c r="E170" s="1483"/>
      <c r="F170" s="138">
        <v>9305</v>
      </c>
      <c r="G170" s="141">
        <v>9351.5249999999996</v>
      </c>
      <c r="H170" s="112"/>
      <c r="I170" s="112"/>
    </row>
    <row r="171" spans="1:9" ht="15" customHeight="1">
      <c r="A171" s="136">
        <v>45897</v>
      </c>
      <c r="B171" s="137">
        <v>3331547489</v>
      </c>
      <c r="C171" s="1484"/>
      <c r="D171" s="1484"/>
      <c r="E171" s="1484"/>
      <c r="F171" s="138">
        <v>8120</v>
      </c>
      <c r="G171" s="141">
        <v>8160.6</v>
      </c>
      <c r="H171" s="112"/>
      <c r="I171" s="112"/>
    </row>
    <row r="172" spans="1:9" ht="15" customHeight="1">
      <c r="A172" s="136">
        <v>45897</v>
      </c>
      <c r="B172" s="142">
        <v>3331547504</v>
      </c>
      <c r="C172" s="34" t="s">
        <v>34</v>
      </c>
      <c r="D172" s="34">
        <v>24140230</v>
      </c>
      <c r="E172" s="34" t="s">
        <v>158</v>
      </c>
      <c r="F172" s="138">
        <v>26506</v>
      </c>
      <c r="G172" s="141">
        <v>26665.036</v>
      </c>
      <c r="H172" s="112"/>
      <c r="I172" s="112"/>
    </row>
    <row r="173" spans="1:9" ht="15" customHeight="1">
      <c r="A173" s="136">
        <v>45897</v>
      </c>
      <c r="B173" s="142">
        <v>3331547503</v>
      </c>
      <c r="C173" s="34" t="s">
        <v>157</v>
      </c>
      <c r="D173" s="34">
        <v>24140231</v>
      </c>
      <c r="E173" s="34" t="s">
        <v>150</v>
      </c>
      <c r="F173" s="138">
        <v>25015</v>
      </c>
      <c r="G173" s="141">
        <v>25165.09</v>
      </c>
      <c r="H173" s="112"/>
      <c r="I173" s="112"/>
    </row>
    <row r="174" spans="1:9" ht="15" customHeight="1">
      <c r="A174" s="150">
        <v>45897</v>
      </c>
      <c r="B174" s="104">
        <v>3331546315</v>
      </c>
      <c r="C174" s="151" t="s">
        <v>117</v>
      </c>
      <c r="D174" s="151">
        <v>24140163</v>
      </c>
      <c r="E174" s="151" t="s">
        <v>159</v>
      </c>
      <c r="F174" s="154">
        <v>22200</v>
      </c>
      <c r="G174" s="155">
        <v>22333.200000000001</v>
      </c>
      <c r="H174" s="112"/>
      <c r="I174" s="112"/>
    </row>
    <row r="175" spans="1:9" s="213" customFormat="1" ht="15" customHeight="1">
      <c r="A175" s="210">
        <v>45897</v>
      </c>
      <c r="B175" s="190">
        <v>3331546328</v>
      </c>
      <c r="C175" s="39" t="s">
        <v>152</v>
      </c>
      <c r="D175" s="39">
        <v>24140166</v>
      </c>
      <c r="E175" s="39" t="s">
        <v>159</v>
      </c>
      <c r="F175" s="211">
        <v>21950</v>
      </c>
      <c r="G175" s="212">
        <v>22081.7</v>
      </c>
      <c r="H175" s="40"/>
      <c r="I175" s="40"/>
    </row>
    <row r="176" spans="1:9" ht="15" customHeight="1">
      <c r="A176" s="136">
        <v>45897</v>
      </c>
      <c r="B176" s="142">
        <v>3331547509</v>
      </c>
      <c r="C176" s="34" t="s">
        <v>34</v>
      </c>
      <c r="D176" s="34">
        <v>24140232</v>
      </c>
      <c r="E176" s="34" t="s">
        <v>160</v>
      </c>
      <c r="F176" s="138">
        <v>26900</v>
      </c>
      <c r="G176" s="141">
        <v>27061.4</v>
      </c>
      <c r="H176" s="112"/>
      <c r="I176" s="112"/>
    </row>
    <row r="177" spans="1:9" ht="15" customHeight="1">
      <c r="A177" s="136">
        <v>45897</v>
      </c>
      <c r="B177" s="137">
        <v>3331547510</v>
      </c>
      <c r="C177" s="34" t="s">
        <v>34</v>
      </c>
      <c r="D177" s="151">
        <v>24140234</v>
      </c>
      <c r="E177" s="34" t="s">
        <v>158</v>
      </c>
      <c r="F177" s="138">
        <v>24882</v>
      </c>
      <c r="G177" s="141">
        <v>25031.292000000001</v>
      </c>
      <c r="H177" s="112"/>
      <c r="I177" s="112"/>
    </row>
    <row r="178" spans="1:9" ht="15" customHeight="1">
      <c r="A178" s="136">
        <v>45897</v>
      </c>
      <c r="B178" s="142">
        <v>3331546335</v>
      </c>
      <c r="C178" s="34" t="s">
        <v>27</v>
      </c>
      <c r="D178" s="34">
        <v>24140167</v>
      </c>
      <c r="E178" s="34" t="s">
        <v>121</v>
      </c>
      <c r="F178" s="138">
        <v>23100</v>
      </c>
      <c r="G178" s="141">
        <v>23238.6</v>
      </c>
      <c r="H178" s="112"/>
      <c r="I178" s="112"/>
    </row>
    <row r="179" spans="1:9" ht="15" customHeight="1">
      <c r="A179" s="136">
        <v>45897</v>
      </c>
      <c r="B179" s="142">
        <v>3331547519</v>
      </c>
      <c r="C179" s="34" t="s">
        <v>27</v>
      </c>
      <c r="D179" s="34">
        <v>24140233</v>
      </c>
      <c r="E179" s="34" t="s">
        <v>161</v>
      </c>
      <c r="F179" s="138">
        <v>25185</v>
      </c>
      <c r="G179" s="141">
        <v>25310.924999999999</v>
      </c>
      <c r="H179" s="112"/>
      <c r="I179" s="112"/>
    </row>
    <row r="180" spans="1:9" ht="15" customHeight="1">
      <c r="A180" s="136">
        <v>45897</v>
      </c>
      <c r="B180" s="142">
        <v>3331547558</v>
      </c>
      <c r="C180" s="34" t="s">
        <v>82</v>
      </c>
      <c r="D180" s="34">
        <v>24140235</v>
      </c>
      <c r="E180" s="34" t="s">
        <v>156</v>
      </c>
      <c r="F180" s="138">
        <v>25097</v>
      </c>
      <c r="G180" s="141">
        <v>25247.581999999999</v>
      </c>
      <c r="H180" s="112"/>
      <c r="I180" s="112"/>
    </row>
    <row r="181" spans="1:9" ht="15" customHeight="1">
      <c r="A181" s="136">
        <v>45897</v>
      </c>
      <c r="B181" s="142">
        <v>3331546299</v>
      </c>
      <c r="C181" s="34" t="s">
        <v>162</v>
      </c>
      <c r="D181" s="34">
        <v>24140236</v>
      </c>
      <c r="E181" s="34" t="s">
        <v>129</v>
      </c>
      <c r="F181" s="138">
        <v>42380</v>
      </c>
      <c r="G181" s="141">
        <v>42591.9</v>
      </c>
      <c r="H181" s="112"/>
      <c r="I181" s="112"/>
    </row>
    <row r="182" spans="1:9" ht="15" customHeight="1">
      <c r="A182" s="160">
        <v>45898</v>
      </c>
      <c r="B182" s="161">
        <v>3331547321</v>
      </c>
      <c r="C182" s="162" t="s">
        <v>163</v>
      </c>
      <c r="D182" s="162">
        <v>24140222</v>
      </c>
      <c r="E182" s="162" t="s">
        <v>150</v>
      </c>
      <c r="F182" s="163">
        <v>25080</v>
      </c>
      <c r="G182" s="163">
        <v>25180</v>
      </c>
      <c r="H182" s="112"/>
      <c r="I182" s="112"/>
    </row>
    <row r="183" spans="1:9" ht="15" customHeight="1">
      <c r="A183" s="150">
        <v>45898</v>
      </c>
      <c r="B183" s="111">
        <v>3331547744</v>
      </c>
      <c r="C183" s="151" t="s">
        <v>164</v>
      </c>
      <c r="D183" s="151">
        <v>24140237</v>
      </c>
      <c r="E183" s="151" t="s">
        <v>165</v>
      </c>
      <c r="F183" s="152">
        <v>24400</v>
      </c>
      <c r="G183" s="153">
        <v>24546.400000000001</v>
      </c>
      <c r="H183" s="112"/>
      <c r="I183" s="112"/>
    </row>
    <row r="184" spans="1:9" s="44" customFormat="1" ht="15" customHeight="1">
      <c r="A184" s="150">
        <v>45898</v>
      </c>
      <c r="B184" s="111">
        <v>3331547747</v>
      </c>
      <c r="C184" s="151" t="s">
        <v>166</v>
      </c>
      <c r="D184" s="151">
        <v>24140239</v>
      </c>
      <c r="E184" s="151" t="s">
        <v>165</v>
      </c>
      <c r="F184" s="152">
        <v>23545</v>
      </c>
      <c r="G184" s="153">
        <v>23686.27</v>
      </c>
      <c r="H184" s="83"/>
      <c r="I184" s="83"/>
    </row>
    <row r="185" spans="1:9" ht="15" customHeight="1">
      <c r="A185" s="150">
        <v>45898</v>
      </c>
      <c r="B185" s="111">
        <v>3331547754</v>
      </c>
      <c r="C185" s="151" t="s">
        <v>164</v>
      </c>
      <c r="D185" s="151">
        <v>24140243</v>
      </c>
      <c r="E185" s="151" t="s">
        <v>165</v>
      </c>
      <c r="F185" s="154">
        <v>23673</v>
      </c>
      <c r="G185" s="155">
        <v>23815.038</v>
      </c>
      <c r="H185" s="112"/>
      <c r="I185" s="112"/>
    </row>
    <row r="186" spans="1:9" ht="15" customHeight="1">
      <c r="A186" s="150">
        <v>45898</v>
      </c>
      <c r="B186" s="111">
        <v>3331547776</v>
      </c>
      <c r="C186" s="151" t="s">
        <v>167</v>
      </c>
      <c r="D186" s="151">
        <v>24140240</v>
      </c>
      <c r="E186" s="151" t="s">
        <v>165</v>
      </c>
      <c r="F186" s="154">
        <v>24026</v>
      </c>
      <c r="G186" s="155">
        <v>24170.155999999999</v>
      </c>
      <c r="H186" s="112"/>
      <c r="I186" s="112"/>
    </row>
    <row r="187" spans="1:9" ht="15" customHeight="1">
      <c r="A187" s="150">
        <v>45898</v>
      </c>
      <c r="B187" s="111">
        <v>3331547778</v>
      </c>
      <c r="C187" s="151" t="s">
        <v>168</v>
      </c>
      <c r="D187" s="151">
        <v>24140247</v>
      </c>
      <c r="E187" s="151" t="s">
        <v>165</v>
      </c>
      <c r="F187" s="154">
        <v>22192</v>
      </c>
      <c r="G187" s="155">
        <v>22325.151999999998</v>
      </c>
      <c r="H187" s="112"/>
      <c r="I187" s="112"/>
    </row>
    <row r="188" spans="1:9" ht="15" customHeight="1">
      <c r="A188" s="150">
        <v>45898</v>
      </c>
      <c r="B188" s="111">
        <v>3331547779</v>
      </c>
      <c r="C188" s="151" t="s">
        <v>169</v>
      </c>
      <c r="D188" s="151">
        <v>24140241</v>
      </c>
      <c r="E188" s="151" t="s">
        <v>165</v>
      </c>
      <c r="F188" s="154">
        <v>23860</v>
      </c>
      <c r="G188" s="155">
        <v>24003.16</v>
      </c>
      <c r="H188" s="112"/>
      <c r="I188" s="112"/>
    </row>
    <row r="189" spans="1:9" ht="15" customHeight="1">
      <c r="A189" s="150">
        <v>45898</v>
      </c>
      <c r="B189" s="111">
        <v>3331546330</v>
      </c>
      <c r="C189" s="111" t="s">
        <v>170</v>
      </c>
      <c r="D189" s="111">
        <v>24140164</v>
      </c>
      <c r="E189" s="111" t="s">
        <v>159</v>
      </c>
      <c r="F189" s="154">
        <v>21775</v>
      </c>
      <c r="G189" s="155">
        <v>21905.65</v>
      </c>
      <c r="H189" s="112"/>
      <c r="I189" s="112"/>
    </row>
    <row r="190" spans="1:9" ht="15" customHeight="1">
      <c r="A190" s="150">
        <v>45898</v>
      </c>
      <c r="B190" s="111">
        <v>3331546337</v>
      </c>
      <c r="C190" s="111" t="s">
        <v>170</v>
      </c>
      <c r="D190" s="111">
        <v>24140168</v>
      </c>
      <c r="E190" s="111" t="s">
        <v>159</v>
      </c>
      <c r="F190" s="154">
        <v>21950</v>
      </c>
      <c r="G190" s="155">
        <v>22081.7</v>
      </c>
      <c r="H190" s="112"/>
      <c r="I190" s="112"/>
    </row>
    <row r="191" spans="1:9" ht="15" customHeight="1">
      <c r="A191" s="150">
        <v>45898</v>
      </c>
      <c r="B191" s="111">
        <v>3331546348</v>
      </c>
      <c r="C191" s="151" t="s">
        <v>167</v>
      </c>
      <c r="D191" s="151">
        <v>24140170</v>
      </c>
      <c r="E191" s="111" t="s">
        <v>159</v>
      </c>
      <c r="F191" s="154">
        <v>25250</v>
      </c>
      <c r="G191" s="155">
        <v>25401.5</v>
      </c>
      <c r="H191" s="83"/>
      <c r="I191" s="112"/>
    </row>
    <row r="192" spans="1:9" ht="15" customHeight="1">
      <c r="A192" s="150">
        <v>45898</v>
      </c>
      <c r="B192" s="111">
        <v>3331547767</v>
      </c>
      <c r="C192" s="151" t="s">
        <v>167</v>
      </c>
      <c r="D192" s="151">
        <v>24140242</v>
      </c>
      <c r="E192" s="151" t="s">
        <v>160</v>
      </c>
      <c r="F192" s="154">
        <v>26508</v>
      </c>
      <c r="G192" s="155">
        <v>26667.047999999999</v>
      </c>
      <c r="H192" s="83"/>
      <c r="I192" s="112"/>
    </row>
    <row r="193" spans="1:9" ht="15" customHeight="1">
      <c r="A193" s="220">
        <v>45898</v>
      </c>
      <c r="B193" s="80">
        <v>3331547796</v>
      </c>
      <c r="C193" s="203" t="s">
        <v>168</v>
      </c>
      <c r="D193" s="203">
        <v>24140246</v>
      </c>
      <c r="E193" s="203" t="s">
        <v>160</v>
      </c>
      <c r="F193" s="221">
        <v>26604</v>
      </c>
      <c r="G193" s="222">
        <v>26763.624</v>
      </c>
      <c r="H193" s="83"/>
      <c r="I193" s="112"/>
    </row>
    <row r="194" spans="1:9" ht="15" customHeight="1">
      <c r="A194" s="150">
        <v>45898</v>
      </c>
      <c r="B194" s="111">
        <v>3331547903</v>
      </c>
      <c r="C194" s="151" t="s">
        <v>168</v>
      </c>
      <c r="D194" s="151">
        <v>24140248</v>
      </c>
      <c r="E194" s="151" t="s">
        <v>171</v>
      </c>
      <c r="F194" s="154">
        <v>24198</v>
      </c>
      <c r="G194" s="155">
        <v>24343.187999999998</v>
      </c>
      <c r="H194" s="112"/>
      <c r="I194" s="112"/>
    </row>
    <row r="195" spans="1:9" ht="15" customHeight="1">
      <c r="A195" s="150">
        <v>45898</v>
      </c>
      <c r="B195" s="111">
        <v>3331547814</v>
      </c>
      <c r="C195" s="98" t="s">
        <v>172</v>
      </c>
      <c r="D195" s="151">
        <v>24140244</v>
      </c>
      <c r="E195" s="151" t="s">
        <v>173</v>
      </c>
      <c r="F195" s="154">
        <v>45456</v>
      </c>
      <c r="G195" s="155">
        <v>45694.614999999998</v>
      </c>
      <c r="H195" s="112"/>
      <c r="I195" s="112"/>
    </row>
    <row r="196" spans="1:9" s="44" customFormat="1" ht="15" customHeight="1">
      <c r="A196" s="220">
        <v>45898</v>
      </c>
      <c r="B196" s="223">
        <v>3331546343</v>
      </c>
      <c r="C196" s="203" t="s">
        <v>169</v>
      </c>
      <c r="D196" s="203">
        <v>24140256</v>
      </c>
      <c r="E196" s="203" t="s">
        <v>159</v>
      </c>
      <c r="F196" s="224">
        <v>21775</v>
      </c>
      <c r="G196" s="222">
        <v>21905.65</v>
      </c>
      <c r="H196" s="83"/>
      <c r="I196" s="83"/>
    </row>
    <row r="197" spans="1:9" s="44" customFormat="1" ht="15" customHeight="1">
      <c r="A197" s="225">
        <v>45898</v>
      </c>
      <c r="B197" s="223">
        <v>3331546344</v>
      </c>
      <c r="C197" s="203" t="s">
        <v>169</v>
      </c>
      <c r="D197" s="203">
        <v>24140257</v>
      </c>
      <c r="E197" s="203" t="s">
        <v>159</v>
      </c>
      <c r="F197" s="224">
        <v>21950</v>
      </c>
      <c r="G197" s="226">
        <v>22081.7</v>
      </c>
      <c r="H197" s="130"/>
      <c r="I197" s="130"/>
    </row>
    <row r="198" spans="1:9" s="44" customFormat="1" ht="15" customHeight="1">
      <c r="A198" s="225">
        <v>45898</v>
      </c>
      <c r="B198" s="114">
        <v>3331546331</v>
      </c>
      <c r="C198" s="81" t="s">
        <v>169</v>
      </c>
      <c r="D198" s="81">
        <v>24140253</v>
      </c>
      <c r="E198" s="81" t="s">
        <v>159</v>
      </c>
      <c r="F198" s="221">
        <v>21775</v>
      </c>
      <c r="G198" s="221">
        <v>21905.65</v>
      </c>
      <c r="H198" s="83"/>
      <c r="I198" s="83"/>
    </row>
    <row r="199" spans="1:9" s="44" customFormat="1" ht="15" customHeight="1">
      <c r="A199" s="156">
        <v>45898</v>
      </c>
      <c r="B199" s="227">
        <v>3331547821</v>
      </c>
      <c r="C199" s="228" t="s">
        <v>172</v>
      </c>
      <c r="D199" s="229">
        <v>24140245</v>
      </c>
      <c r="E199" s="229" t="s">
        <v>173</v>
      </c>
      <c r="F199" s="230">
        <v>47750</v>
      </c>
      <c r="G199" s="231">
        <v>47995.19</v>
      </c>
      <c r="H199" s="232"/>
      <c r="I199" s="113"/>
    </row>
    <row r="200" spans="1:9" s="44" customFormat="1" ht="15" customHeight="1">
      <c r="A200" s="156">
        <v>45898</v>
      </c>
      <c r="B200" s="164">
        <v>3331547829</v>
      </c>
      <c r="C200" s="98" t="s">
        <v>172</v>
      </c>
      <c r="D200" s="151">
        <v>24140249</v>
      </c>
      <c r="E200" s="151" t="s">
        <v>173</v>
      </c>
      <c r="F200" s="157">
        <v>46580</v>
      </c>
      <c r="G200" s="154">
        <v>46821.18</v>
      </c>
      <c r="H200" s="83"/>
      <c r="I200" s="143"/>
    </row>
    <row r="201" spans="1:9" s="44" customFormat="1" ht="15" customHeight="1">
      <c r="A201" s="156">
        <v>45898</v>
      </c>
      <c r="B201" s="164">
        <v>3331547839</v>
      </c>
      <c r="C201" s="98" t="s">
        <v>172</v>
      </c>
      <c r="D201" s="151">
        <v>24140250</v>
      </c>
      <c r="E201" s="151" t="s">
        <v>173</v>
      </c>
      <c r="F201" s="157">
        <v>45420</v>
      </c>
      <c r="G201" s="154">
        <v>45663.66</v>
      </c>
      <c r="H201" s="83"/>
      <c r="I201" s="143"/>
    </row>
    <row r="202" spans="1:9" s="44" customFormat="1" ht="15" customHeight="1">
      <c r="A202" s="156">
        <v>45898</v>
      </c>
      <c r="B202" s="164">
        <v>3331547845</v>
      </c>
      <c r="C202" s="98" t="s">
        <v>172</v>
      </c>
      <c r="D202" s="151">
        <v>24140251</v>
      </c>
      <c r="E202" s="151" t="s">
        <v>174</v>
      </c>
      <c r="F202" s="157">
        <v>47834</v>
      </c>
      <c r="G202" s="154">
        <v>48073.17</v>
      </c>
      <c r="H202" s="83"/>
      <c r="I202" s="143"/>
    </row>
    <row r="203" spans="1:9" s="44" customFormat="1" ht="15" customHeight="1">
      <c r="A203" s="156">
        <v>45898</v>
      </c>
      <c r="B203" s="164">
        <v>3331547852</v>
      </c>
      <c r="C203" s="98" t="s">
        <v>172</v>
      </c>
      <c r="D203" s="151">
        <v>24140252</v>
      </c>
      <c r="E203" s="151" t="s">
        <v>174</v>
      </c>
      <c r="F203" s="157">
        <v>47440</v>
      </c>
      <c r="G203" s="158">
        <v>47677.2</v>
      </c>
      <c r="H203" s="144"/>
      <c r="I203" s="143"/>
    </row>
    <row r="204" spans="1:9" s="44" customFormat="1" ht="15" customHeight="1">
      <c r="A204" s="156">
        <v>45898</v>
      </c>
      <c r="B204" s="159">
        <v>3331547864</v>
      </c>
      <c r="C204" s="151" t="s">
        <v>175</v>
      </c>
      <c r="D204" s="151">
        <v>24140254</v>
      </c>
      <c r="E204" s="151" t="s">
        <v>176</v>
      </c>
      <c r="F204" s="157">
        <v>39950</v>
      </c>
      <c r="G204" s="158">
        <v>40149.75</v>
      </c>
      <c r="H204" s="144"/>
      <c r="I204" s="143"/>
    </row>
    <row r="205" spans="1:9" s="44" customFormat="1" ht="15" customHeight="1">
      <c r="A205" s="156">
        <v>45898</v>
      </c>
      <c r="B205" s="853">
        <v>3331547881</v>
      </c>
      <c r="C205" s="151" t="s">
        <v>175</v>
      </c>
      <c r="D205" s="151">
        <v>24140259</v>
      </c>
      <c r="E205" s="151" t="s">
        <v>176</v>
      </c>
      <c r="F205" s="157">
        <v>38379</v>
      </c>
      <c r="G205" s="158">
        <v>38570.894999999997</v>
      </c>
      <c r="H205" s="144"/>
      <c r="I205" s="143"/>
    </row>
    <row r="206" spans="1:9" s="44" customFormat="1" ht="15" customHeight="1">
      <c r="A206" s="156">
        <v>45898</v>
      </c>
      <c r="B206" s="159">
        <v>3331547876</v>
      </c>
      <c r="C206" s="151" t="s">
        <v>27</v>
      </c>
      <c r="D206" s="151">
        <v>24140255</v>
      </c>
      <c r="E206" s="151" t="s">
        <v>176</v>
      </c>
      <c r="F206" s="154">
        <v>44595</v>
      </c>
      <c r="G206" s="154">
        <v>44817.974999999999</v>
      </c>
      <c r="H206" s="144"/>
      <c r="I206" s="143"/>
    </row>
    <row r="207" spans="1:9" s="44" customFormat="1" ht="15" customHeight="1">
      <c r="A207" s="156">
        <v>45898</v>
      </c>
      <c r="B207" s="164">
        <v>3331547877</v>
      </c>
      <c r="C207" s="1491" t="s">
        <v>27</v>
      </c>
      <c r="D207" s="1491">
        <v>24140258</v>
      </c>
      <c r="E207" s="1491" t="s">
        <v>176</v>
      </c>
      <c r="F207" s="154">
        <v>27205</v>
      </c>
      <c r="G207" s="154">
        <v>27341.025000000001</v>
      </c>
      <c r="H207" s="144"/>
      <c r="I207" s="143"/>
    </row>
    <row r="208" spans="1:9" s="44" customFormat="1" ht="15" customHeight="1">
      <c r="A208" s="156">
        <v>45898</v>
      </c>
      <c r="B208" s="164">
        <v>3331547878</v>
      </c>
      <c r="C208" s="1492"/>
      <c r="D208" s="1492"/>
      <c r="E208" s="1492"/>
      <c r="F208" s="154">
        <v>16264</v>
      </c>
      <c r="G208" s="154">
        <v>16345.32</v>
      </c>
      <c r="H208" s="144"/>
      <c r="I208" s="143"/>
    </row>
    <row r="209" spans="1:9" s="44" customFormat="1" ht="15" customHeight="1">
      <c r="A209" s="156">
        <v>45898</v>
      </c>
      <c r="B209" s="164">
        <v>3331545243</v>
      </c>
      <c r="C209" s="151" t="s">
        <v>34</v>
      </c>
      <c r="D209" s="181" t="s">
        <v>177</v>
      </c>
      <c r="E209" s="105" t="s">
        <v>95</v>
      </c>
      <c r="F209" s="182">
        <v>25782</v>
      </c>
      <c r="G209" s="154">
        <v>25910.91</v>
      </c>
      <c r="H209" s="144"/>
      <c r="I209" s="143"/>
    </row>
    <row r="210" spans="1:9" s="44" customFormat="1" ht="15" hidden="1" customHeight="1">
      <c r="A210" s="167">
        <v>45898</v>
      </c>
      <c r="B210" s="96">
        <v>3331547333</v>
      </c>
      <c r="C210" s="98" t="s">
        <v>34</v>
      </c>
      <c r="D210" s="174" t="s">
        <v>178</v>
      </c>
      <c r="E210" s="106" t="s">
        <v>179</v>
      </c>
      <c r="F210" s="175">
        <v>24630</v>
      </c>
      <c r="G210" s="176">
        <v>24777.78</v>
      </c>
      <c r="H210" s="144"/>
      <c r="I210" s="143"/>
    </row>
    <row r="211" spans="1:9" s="44" customFormat="1" ht="15" hidden="1" customHeight="1">
      <c r="A211" s="167">
        <v>45898</v>
      </c>
      <c r="B211" s="96">
        <v>3331547892</v>
      </c>
      <c r="C211" s="98" t="s">
        <v>34</v>
      </c>
      <c r="D211" s="174" t="s">
        <v>180</v>
      </c>
      <c r="E211" s="106" t="s">
        <v>181</v>
      </c>
      <c r="F211" s="175">
        <v>23210</v>
      </c>
      <c r="G211" s="176">
        <v>23349.26</v>
      </c>
      <c r="H211" s="144"/>
      <c r="I211" s="143"/>
    </row>
    <row r="212" spans="1:9" s="44" customFormat="1" ht="15" hidden="1" customHeight="1">
      <c r="A212" s="167">
        <v>45898</v>
      </c>
      <c r="B212" s="96">
        <v>3331547893</v>
      </c>
      <c r="C212" s="1488" t="s">
        <v>182</v>
      </c>
      <c r="D212" s="96">
        <v>24140263</v>
      </c>
      <c r="E212" s="96" t="s">
        <v>181</v>
      </c>
      <c r="F212" s="171">
        <v>13620</v>
      </c>
      <c r="G212" s="171">
        <v>13701.72</v>
      </c>
      <c r="H212" s="144"/>
      <c r="I212" s="143"/>
    </row>
    <row r="213" spans="1:9" s="44" customFormat="1" ht="15" hidden="1" customHeight="1">
      <c r="A213" s="167">
        <v>45898</v>
      </c>
      <c r="B213" s="96">
        <v>3331547902</v>
      </c>
      <c r="C213" s="1489"/>
      <c r="D213" s="172"/>
      <c r="E213" s="172"/>
      <c r="F213" s="173"/>
      <c r="G213" s="173"/>
      <c r="H213" s="144"/>
      <c r="I213" s="143"/>
    </row>
    <row r="214" spans="1:9" s="44" customFormat="1" ht="15" hidden="1" customHeight="1">
      <c r="A214" s="167">
        <v>45898</v>
      </c>
      <c r="B214" s="96">
        <v>3331547898</v>
      </c>
      <c r="C214" s="1490"/>
      <c r="D214" s="168">
        <v>24140264</v>
      </c>
      <c r="E214" s="106" t="s">
        <v>181</v>
      </c>
      <c r="F214" s="169">
        <v>22724</v>
      </c>
      <c r="G214" s="170">
        <v>22860.344000000001</v>
      </c>
      <c r="H214" s="144"/>
      <c r="I214" s="143"/>
    </row>
    <row r="215" spans="1:9" s="44" customFormat="1" ht="15" hidden="1" customHeight="1">
      <c r="A215" s="167">
        <v>45898</v>
      </c>
      <c r="B215" s="96">
        <v>3331547900</v>
      </c>
      <c r="C215" s="98" t="s">
        <v>34</v>
      </c>
      <c r="D215" s="168">
        <v>24140265</v>
      </c>
      <c r="E215" s="106" t="s">
        <v>181</v>
      </c>
      <c r="F215" s="177">
        <v>23133</v>
      </c>
      <c r="G215" s="178">
        <v>23271.797999999999</v>
      </c>
      <c r="H215" s="144"/>
      <c r="I215" s="143"/>
    </row>
    <row r="216" spans="1:9" s="44" customFormat="1" ht="15" hidden="1" customHeight="1">
      <c r="A216" s="103">
        <v>45898</v>
      </c>
      <c r="B216" s="106">
        <v>3331547903</v>
      </c>
      <c r="C216" s="98" t="s">
        <v>34</v>
      </c>
      <c r="D216" s="104" t="s">
        <v>183</v>
      </c>
      <c r="E216" s="180" t="s">
        <v>181</v>
      </c>
      <c r="F216" s="179">
        <v>20000</v>
      </c>
      <c r="G216" s="179">
        <v>20120</v>
      </c>
      <c r="H216" s="131"/>
    </row>
    <row r="217" spans="1:9" s="44" customFormat="1" ht="15" hidden="1" customHeight="1">
      <c r="A217" s="103">
        <v>45898</v>
      </c>
      <c r="B217" s="106">
        <v>3331547998</v>
      </c>
      <c r="C217" s="101" t="s">
        <v>162</v>
      </c>
      <c r="D217" s="104">
        <v>24140269</v>
      </c>
      <c r="E217" s="180" t="s">
        <v>184</v>
      </c>
      <c r="F217" s="179">
        <v>40000</v>
      </c>
      <c r="G217" s="179">
        <v>40240</v>
      </c>
      <c r="H217" s="131"/>
    </row>
    <row r="218" spans="1:9" s="44" customFormat="1" ht="15" hidden="1" customHeight="1">
      <c r="A218" s="103">
        <v>45898</v>
      </c>
      <c r="B218" s="106">
        <v>3331547997</v>
      </c>
      <c r="C218" s="101" t="s">
        <v>162</v>
      </c>
      <c r="D218" s="104">
        <v>24140270</v>
      </c>
      <c r="E218" s="180" t="s">
        <v>185</v>
      </c>
      <c r="F218" s="179">
        <v>36130</v>
      </c>
      <c r="G218" s="179">
        <v>36346</v>
      </c>
      <c r="H218" s="131"/>
    </row>
    <row r="219" spans="1:9" s="44" customFormat="1" ht="15" customHeight="1">
      <c r="A219" s="131"/>
      <c r="B219" s="132"/>
      <c r="C219"/>
      <c r="D219" s="131"/>
      <c r="E219" s="132"/>
      <c r="F219"/>
      <c r="G219" s="131"/>
      <c r="H219" s="131"/>
    </row>
    <row r="220" spans="1:9" s="44" customFormat="1" ht="6" customHeight="1">
      <c r="A220" s="131"/>
      <c r="B220" s="132"/>
      <c r="C220"/>
      <c r="D220" s="131"/>
      <c r="E220" s="132"/>
      <c r="F220"/>
      <c r="G220"/>
      <c r="H220" s="131"/>
    </row>
    <row r="221" spans="1:9" s="44" customFormat="1" ht="24" customHeight="1">
      <c r="A221" s="131"/>
      <c r="B221" s="27"/>
      <c r="C221"/>
      <c r="D221" s="1485" t="s">
        <v>186</v>
      </c>
      <c r="E221" s="1486"/>
      <c r="F221"/>
      <c r="G221"/>
      <c r="H221" s="131"/>
    </row>
    <row r="222" spans="1:9" s="44" customFormat="1" ht="24" customHeight="1">
      <c r="A222" s="131"/>
      <c r="B222" s="27"/>
      <c r="C222"/>
      <c r="D222" s="134" t="s">
        <v>187</v>
      </c>
      <c r="E222" s="135">
        <v>2</v>
      </c>
      <c r="F222"/>
      <c r="G222"/>
      <c r="H222" s="131"/>
    </row>
    <row r="223" spans="1:9" ht="18">
      <c r="A223" s="131"/>
      <c r="B223" s="131"/>
      <c r="D223" s="134" t="s">
        <v>188</v>
      </c>
      <c r="E223" s="135">
        <v>29</v>
      </c>
      <c r="G223"/>
    </row>
    <row r="224" spans="1:9" ht="18">
      <c r="A224" s="131"/>
      <c r="B224" s="27"/>
      <c r="D224" s="134" t="s">
        <v>189</v>
      </c>
      <c r="E224" s="135">
        <v>6</v>
      </c>
      <c r="G224"/>
    </row>
    <row r="225" spans="1:7" ht="18">
      <c r="A225" s="131"/>
      <c r="B225" s="27"/>
      <c r="D225" s="134" t="s">
        <v>190</v>
      </c>
      <c r="E225" s="135">
        <f>SUBTOTAL(9,E222:E224)</f>
        <v>37</v>
      </c>
      <c r="G225"/>
    </row>
    <row r="226" spans="1:7">
      <c r="A226" s="131"/>
      <c r="B226" s="27"/>
      <c r="G226" s="133"/>
    </row>
    <row r="229" spans="1:7">
      <c r="A229" s="150">
        <v>45897</v>
      </c>
      <c r="B229" s="104">
        <v>3331546315</v>
      </c>
      <c r="C229" s="151" t="s">
        <v>117</v>
      </c>
      <c r="D229" s="151">
        <v>24140163</v>
      </c>
      <c r="E229" s="151" t="s">
        <v>159</v>
      </c>
      <c r="F229" s="154">
        <v>22200</v>
      </c>
      <c r="G229" s="155">
        <v>22333.200000000001</v>
      </c>
    </row>
    <row r="230" spans="1:7">
      <c r="A230" s="150">
        <v>45898</v>
      </c>
      <c r="B230" s="111">
        <v>3331546330</v>
      </c>
      <c r="C230" s="111" t="s">
        <v>170</v>
      </c>
      <c r="D230" s="111">
        <v>24140164</v>
      </c>
      <c r="E230" s="111" t="s">
        <v>159</v>
      </c>
      <c r="F230" s="154">
        <v>21775</v>
      </c>
      <c r="G230" s="155">
        <v>21905.65</v>
      </c>
    </row>
    <row r="231" spans="1:7">
      <c r="A231" s="150">
        <v>45898</v>
      </c>
      <c r="B231" s="111">
        <v>3331546337</v>
      </c>
      <c r="C231" s="111" t="s">
        <v>170</v>
      </c>
      <c r="D231" s="111">
        <v>24140168</v>
      </c>
      <c r="E231" s="111" t="s">
        <v>159</v>
      </c>
      <c r="F231" s="154">
        <v>21950</v>
      </c>
      <c r="G231" s="155">
        <v>22081.7</v>
      </c>
    </row>
    <row r="232" spans="1:7">
      <c r="A232" s="150">
        <v>45898</v>
      </c>
      <c r="B232" s="111">
        <v>3331546348</v>
      </c>
      <c r="C232" s="151" t="s">
        <v>167</v>
      </c>
      <c r="D232" s="151">
        <v>24140170</v>
      </c>
      <c r="E232" s="111" t="s">
        <v>159</v>
      </c>
      <c r="F232" s="154">
        <v>25250</v>
      </c>
      <c r="G232" s="155">
        <v>25401.5</v>
      </c>
    </row>
    <row r="233" spans="1:7">
      <c r="A233" s="150">
        <v>45898</v>
      </c>
      <c r="B233" s="111">
        <v>3331547767</v>
      </c>
      <c r="C233" s="151" t="s">
        <v>167</v>
      </c>
      <c r="D233" s="151">
        <v>24140242</v>
      </c>
      <c r="E233" s="151" t="s">
        <v>160</v>
      </c>
      <c r="F233" s="154">
        <v>26508</v>
      </c>
      <c r="G233" s="155">
        <v>26667.047999999999</v>
      </c>
    </row>
  </sheetData>
  <autoFilter ref="A5:I218" xr:uid="{B38E1C50-3603-4464-88E9-66D18A07DAB1}">
    <filterColumn colId="1">
      <filters>
        <filter val="3331545243"/>
      </filters>
    </filterColumn>
  </autoFilter>
  <mergeCells count="18">
    <mergeCell ref="G95:G96"/>
    <mergeCell ref="C169:C171"/>
    <mergeCell ref="D169:D171"/>
    <mergeCell ref="E169:E171"/>
    <mergeCell ref="D221:E221"/>
    <mergeCell ref="C95:C96"/>
    <mergeCell ref="D95:D96"/>
    <mergeCell ref="E95:E96"/>
    <mergeCell ref="C212:C214"/>
    <mergeCell ref="C207:C208"/>
    <mergeCell ref="D207:D208"/>
    <mergeCell ref="E207:E208"/>
    <mergeCell ref="D50:D51"/>
    <mergeCell ref="E50:E51"/>
    <mergeCell ref="C50:C51"/>
    <mergeCell ref="F50:F51"/>
    <mergeCell ref="D65:D66"/>
    <mergeCell ref="C65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14E2-C3E0-4706-87BD-BECC68CC0836}">
  <dimension ref="A1:M99"/>
  <sheetViews>
    <sheetView showGridLines="0" topLeftCell="A81" zoomScale="85" zoomScaleNormal="85" workbookViewId="0">
      <selection activeCell="B70" sqref="B70"/>
    </sheetView>
  </sheetViews>
  <sheetFormatPr defaultRowHeight="14.4"/>
  <cols>
    <col min="1" max="1" width="28.44140625" customWidth="1"/>
    <col min="2" max="2" width="23.33203125" bestFit="1" customWidth="1"/>
    <col min="3" max="3" width="12.109375" bestFit="1" customWidth="1"/>
    <col min="4" max="4" width="9.88671875" bestFit="1" customWidth="1"/>
    <col min="5" max="5" width="42.109375" bestFit="1" customWidth="1"/>
    <col min="6" max="6" width="19" customWidth="1"/>
    <col min="7" max="7" width="22.6640625" customWidth="1"/>
    <col min="8" max="8" width="16.109375" bestFit="1" customWidth="1"/>
    <col min="9" max="9" width="17.5546875" customWidth="1"/>
    <col min="10" max="10" width="13.88671875" customWidth="1"/>
    <col min="11" max="11" width="16.88671875" customWidth="1"/>
    <col min="12" max="12" width="18.88671875" customWidth="1"/>
  </cols>
  <sheetData>
    <row r="1" spans="1:13">
      <c r="I1" t="s">
        <v>191</v>
      </c>
      <c r="J1" s="275">
        <f ca="1">J2+J3</f>
        <v>21</v>
      </c>
      <c r="K1" t="s">
        <v>192</v>
      </c>
      <c r="L1" s="275">
        <f>SUM(L2:L7)</f>
        <v>19</v>
      </c>
    </row>
    <row r="2" spans="1:13" ht="30" customHeight="1">
      <c r="A2" s="283" t="s">
        <v>193</v>
      </c>
      <c r="B2" s="284">
        <f ca="1">TODAY()</f>
        <v>45977</v>
      </c>
      <c r="E2" s="196" t="s">
        <v>194</v>
      </c>
      <c r="F2" s="197" t="s">
        <v>195</v>
      </c>
      <c r="G2" s="198" t="s">
        <v>196</v>
      </c>
      <c r="I2" s="276" t="s">
        <v>197</v>
      </c>
      <c r="J2" s="277">
        <f ca="1">SUMIF(H61:I1036, "TRAILER", I61:J1035)</f>
        <v>11</v>
      </c>
      <c r="K2" s="276" t="s">
        <v>27</v>
      </c>
      <c r="L2" s="278">
        <f>COUNTIF(C60:C1018,"SILOG")</f>
        <v>7</v>
      </c>
      <c r="M2" s="195"/>
    </row>
    <row r="3" spans="1:13" ht="36.75" customHeight="1">
      <c r="A3" s="283" t="s">
        <v>198</v>
      </c>
      <c r="B3" s="285">
        <f>SUM(I61:I114)</f>
        <v>21</v>
      </c>
      <c r="E3" s="201" t="s">
        <v>199</v>
      </c>
      <c r="F3" s="243">
        <f>COUNTIF(F61:F1037, "JABODETABEK")</f>
        <v>10</v>
      </c>
      <c r="G3" s="244">
        <f>SUMIF(F61:F1037, "JABODETABEK", G38:G1037)</f>
        <v>345166.65399999998</v>
      </c>
      <c r="I3" s="279" t="s">
        <v>200</v>
      </c>
      <c r="J3" s="280">
        <f ca="1">SUMIF(H61:I1037, "TRONTON", I61:J1036)</f>
        <v>10</v>
      </c>
      <c r="K3" s="276" t="s">
        <v>175</v>
      </c>
      <c r="L3" s="278">
        <f>COUNTIF(C61:C1019,"SIBA")</f>
        <v>1</v>
      </c>
      <c r="M3" s="195"/>
    </row>
    <row r="4" spans="1:13" ht="29.25" customHeight="1">
      <c r="A4" s="286" t="s">
        <v>201</v>
      </c>
      <c r="B4" s="287">
        <f>SUM(J61:J165)</f>
        <v>19</v>
      </c>
      <c r="C4" t="s">
        <v>202</v>
      </c>
      <c r="E4" s="201" t="s">
        <v>203</v>
      </c>
      <c r="F4" s="245">
        <f>COUNTIF($F$61:F1038, "JAWA TENGAH")</f>
        <v>9</v>
      </c>
      <c r="G4" s="246">
        <f>SUMIF(F61:F1038, "JAWA TENGAH", G38:G1037)</f>
        <v>246666.16700000002</v>
      </c>
      <c r="I4" s="281"/>
      <c r="J4" s="281"/>
      <c r="K4" s="276" t="s">
        <v>11</v>
      </c>
      <c r="L4" s="278">
        <f>COUNTIF(C61:C1019,"YUSHAR")</f>
        <v>1</v>
      </c>
      <c r="M4" s="195"/>
    </row>
    <row r="5" spans="1:13" ht="33.6">
      <c r="A5" s="286" t="s">
        <v>204</v>
      </c>
      <c r="B5" s="287" cm="1">
        <f t="array" ref="B5">SUMPRODUCT(--(ISNUMBER(K61:K1014)))</f>
        <v>1</v>
      </c>
      <c r="E5" s="202" t="s">
        <v>205</v>
      </c>
      <c r="F5" s="247">
        <f>COUNTIF($F$61:F1039, "JAWA TIMUR")</f>
        <v>2</v>
      </c>
      <c r="G5" s="248">
        <f>SUMIF(F61:F1039, "JAWA TIMUR", G39:G1038)</f>
        <v>85371.334999999992</v>
      </c>
      <c r="I5" s="281"/>
      <c r="J5" s="281"/>
      <c r="K5" s="276" t="s">
        <v>206</v>
      </c>
      <c r="L5" s="278">
        <f>COUNTIF(C61:C1019,"BRJ")</f>
        <v>4</v>
      </c>
      <c r="M5" s="195"/>
    </row>
    <row r="6" spans="1:13" ht="33.6">
      <c r="A6" s="286" t="s">
        <v>207</v>
      </c>
      <c r="B6" s="287">
        <f>COUNTIF(K60:K1014,"BELUM MASUK")</f>
        <v>20</v>
      </c>
      <c r="E6" s="201" t="s">
        <v>208</v>
      </c>
      <c r="F6" s="249">
        <f>SUM(F3:F5)</f>
        <v>21</v>
      </c>
      <c r="G6" s="244">
        <f>SUM(G3:G5)</f>
        <v>677204.15599999996</v>
      </c>
      <c r="I6" s="281"/>
      <c r="J6" s="281"/>
      <c r="K6" s="276" t="s">
        <v>34</v>
      </c>
      <c r="L6" s="278">
        <f>COUNTIF(C62:C1020,"ALIEF")</f>
        <v>3</v>
      </c>
      <c r="M6" s="195"/>
    </row>
    <row r="7" spans="1:13" ht="27" customHeight="1">
      <c r="A7" s="283" t="s">
        <v>209</v>
      </c>
      <c r="B7" s="285">
        <f>B3-B4</f>
        <v>2</v>
      </c>
      <c r="C7" t="s">
        <v>210</v>
      </c>
      <c r="E7" s="239"/>
      <c r="F7" s="247"/>
      <c r="G7" s="253"/>
      <c r="I7" s="281"/>
      <c r="J7" s="281"/>
      <c r="K7" s="282" t="s">
        <v>152</v>
      </c>
      <c r="L7" s="278">
        <f>COUNTIF(C63:C1021,"ELANG")</f>
        <v>3</v>
      </c>
      <c r="M7" s="195"/>
    </row>
    <row r="9" spans="1:13">
      <c r="A9" s="192" t="s">
        <v>1</v>
      </c>
      <c r="B9" s="193" t="s">
        <v>2</v>
      </c>
      <c r="C9" s="193" t="s">
        <v>3</v>
      </c>
      <c r="D9" s="193" t="s">
        <v>211</v>
      </c>
      <c r="E9" s="193" t="s">
        <v>5</v>
      </c>
      <c r="F9" s="193" t="s">
        <v>194</v>
      </c>
      <c r="G9" s="193" t="s">
        <v>212</v>
      </c>
      <c r="H9" s="194" t="s">
        <v>213</v>
      </c>
      <c r="I9" s="194" t="s">
        <v>214</v>
      </c>
      <c r="J9" s="194" t="s">
        <v>215</v>
      </c>
      <c r="K9" s="193" t="s">
        <v>216</v>
      </c>
      <c r="L9" s="193" t="s">
        <v>217</v>
      </c>
    </row>
    <row r="10" spans="1:13" hidden="1">
      <c r="A10" s="83" t="s">
        <v>218</v>
      </c>
      <c r="B10" s="81">
        <v>3331548306</v>
      </c>
      <c r="C10" s="185" t="s">
        <v>49</v>
      </c>
      <c r="D10" s="185">
        <v>24140272</v>
      </c>
      <c r="E10" s="81" t="s">
        <v>219</v>
      </c>
      <c r="F10" s="81" t="s">
        <v>199</v>
      </c>
      <c r="G10" s="191">
        <v>25</v>
      </c>
      <c r="H10" s="191" t="s">
        <v>220</v>
      </c>
      <c r="I10" s="191">
        <v>1</v>
      </c>
      <c r="J10" s="83">
        <v>1</v>
      </c>
      <c r="K10" s="81"/>
      <c r="L10" s="81"/>
    </row>
    <row r="11" spans="1:13" hidden="1">
      <c r="A11" s="83" t="s">
        <v>218</v>
      </c>
      <c r="B11" s="81">
        <v>3331548307</v>
      </c>
      <c r="C11" s="185" t="s">
        <v>58</v>
      </c>
      <c r="D11" s="185">
        <v>24140273</v>
      </c>
      <c r="E11" s="81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3" hidden="1">
      <c r="A12" s="83" t="s">
        <v>218</v>
      </c>
      <c r="B12" s="81">
        <v>3331547906</v>
      </c>
      <c r="C12" s="185" t="s">
        <v>34</v>
      </c>
      <c r="D12" s="185">
        <v>24140274</v>
      </c>
      <c r="E12" s="81" t="s">
        <v>132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3" hidden="1">
      <c r="A13" s="83" t="s">
        <v>218</v>
      </c>
      <c r="B13" s="81">
        <v>3331548297</v>
      </c>
      <c r="C13" s="185" t="s">
        <v>34</v>
      </c>
      <c r="D13" s="185">
        <v>24140275</v>
      </c>
      <c r="E13" s="81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3" hidden="1">
      <c r="A14" s="83" t="s">
        <v>221</v>
      </c>
      <c r="B14" s="81">
        <v>3331548390</v>
      </c>
      <c r="C14" s="185" t="s">
        <v>34</v>
      </c>
      <c r="D14" s="185">
        <v>24140284</v>
      </c>
      <c r="E14" s="81" t="s">
        <v>154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3" hidden="1">
      <c r="A15" s="83" t="s">
        <v>221</v>
      </c>
      <c r="B15" s="81">
        <v>3331548324</v>
      </c>
      <c r="C15" s="185" t="s">
        <v>49</v>
      </c>
      <c r="D15" s="185">
        <v>24140281</v>
      </c>
      <c r="E15" s="81" t="s">
        <v>158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3" hidden="1">
      <c r="A16" s="83" t="s">
        <v>218</v>
      </c>
      <c r="B16" s="81">
        <v>3331548346</v>
      </c>
      <c r="C16" s="185"/>
      <c r="D16" s="185"/>
      <c r="E16" s="81" t="s">
        <v>134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3331548331</v>
      </c>
      <c r="C17" s="185" t="s">
        <v>58</v>
      </c>
      <c r="D17" s="185">
        <v>24140277</v>
      </c>
      <c r="E17" s="81" t="s">
        <v>158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3331548348</v>
      </c>
      <c r="C18" s="185" t="s">
        <v>34</v>
      </c>
      <c r="D18" s="185">
        <v>24140279</v>
      </c>
      <c r="E18" s="81" t="s">
        <v>150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3331548351</v>
      </c>
      <c r="C19" s="185" t="s">
        <v>27</v>
      </c>
      <c r="D19" s="185">
        <v>24140280</v>
      </c>
      <c r="E19" s="81" t="s">
        <v>222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221</v>
      </c>
      <c r="B20" s="81">
        <v>3331548298</v>
      </c>
      <c r="C20" s="185" t="s">
        <v>27</v>
      </c>
      <c r="D20" s="185">
        <v>24140282</v>
      </c>
      <c r="E20" s="81" t="s">
        <v>135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218</v>
      </c>
      <c r="B21" s="81">
        <v>3331547489</v>
      </c>
      <c r="C21" s="185" t="s">
        <v>34</v>
      </c>
      <c r="D21" s="185">
        <v>24140283</v>
      </c>
      <c r="E21" s="81" t="s">
        <v>46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3331548380</v>
      </c>
      <c r="C22" s="185"/>
      <c r="D22" s="185"/>
      <c r="E22" s="81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221</v>
      </c>
      <c r="B23" s="81">
        <v>3331548645</v>
      </c>
      <c r="C23" s="185" t="s">
        <v>82</v>
      </c>
      <c r="D23" s="185">
        <v>24140302</v>
      </c>
      <c r="E23" s="81" t="s">
        <v>223</v>
      </c>
      <c r="F23" s="81" t="s">
        <v>205</v>
      </c>
      <c r="G23" s="191">
        <v>26525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3331548670</v>
      </c>
      <c r="C24" s="185" t="s">
        <v>82</v>
      </c>
      <c r="D24" s="185">
        <v>24140304</v>
      </c>
      <c r="E24" s="81" t="s">
        <v>150</v>
      </c>
      <c r="F24" s="81" t="s">
        <v>199</v>
      </c>
      <c r="G24" s="191">
        <v>13000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3331548667</v>
      </c>
      <c r="C25" s="185" t="s">
        <v>82</v>
      </c>
      <c r="D25" s="185"/>
      <c r="E25" s="81" t="s">
        <v>134</v>
      </c>
      <c r="F25" s="81" t="s">
        <v>199</v>
      </c>
      <c r="G25" s="191">
        <v>11348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3331548673</v>
      </c>
      <c r="C26" s="185" t="s">
        <v>82</v>
      </c>
      <c r="D26" s="185">
        <v>24140290</v>
      </c>
      <c r="E26" s="81" t="s">
        <v>219</v>
      </c>
      <c r="F26" s="81" t="s">
        <v>199</v>
      </c>
      <c r="G26" s="191">
        <v>24763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3331548675</v>
      </c>
      <c r="C27" s="185" t="s">
        <v>34</v>
      </c>
      <c r="D27" s="185">
        <v>24140291</v>
      </c>
      <c r="E27" s="81" t="s">
        <v>134</v>
      </c>
      <c r="F27" s="81" t="s">
        <v>199</v>
      </c>
      <c r="G27" s="191">
        <v>22060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218</v>
      </c>
      <c r="B28" s="81">
        <v>3331548333</v>
      </c>
      <c r="C28" s="185" t="s">
        <v>82</v>
      </c>
      <c r="D28" s="185">
        <v>24140295</v>
      </c>
      <c r="E28" s="81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221</v>
      </c>
      <c r="B29" s="81">
        <v>3331548732</v>
      </c>
      <c r="C29" s="185" t="s">
        <v>206</v>
      </c>
      <c r="D29" s="185">
        <v>24140296</v>
      </c>
      <c r="E29" s="81" t="s">
        <v>224</v>
      </c>
      <c r="F29" s="81" t="s">
        <v>203</v>
      </c>
      <c r="G29" s="191">
        <v>33872</v>
      </c>
      <c r="H29" s="191" t="s">
        <v>128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3331548736</v>
      </c>
      <c r="C30" s="185" t="s">
        <v>206</v>
      </c>
      <c r="D30" s="185">
        <v>24140297</v>
      </c>
      <c r="E30" s="81" t="s">
        <v>224</v>
      </c>
      <c r="F30" s="81" t="s">
        <v>203</v>
      </c>
      <c r="G30" s="191">
        <v>44529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3331548741</v>
      </c>
      <c r="C31" s="185" t="s">
        <v>206</v>
      </c>
      <c r="D31" s="185">
        <v>24140298</v>
      </c>
      <c r="E31" s="81" t="s">
        <v>224</v>
      </c>
      <c r="F31" s="81" t="s">
        <v>203</v>
      </c>
      <c r="G31" s="191">
        <v>45726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3331548746</v>
      </c>
      <c r="C32" s="185" t="s">
        <v>206</v>
      </c>
      <c r="D32" s="185">
        <v>24140299</v>
      </c>
      <c r="E32" s="81" t="s">
        <v>225</v>
      </c>
      <c r="F32" s="81" t="s">
        <v>203</v>
      </c>
      <c r="G32" s="191">
        <v>37035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3331548749</v>
      </c>
      <c r="C33" s="185" t="s">
        <v>206</v>
      </c>
      <c r="D33" s="185">
        <v>24140300</v>
      </c>
      <c r="E33" s="81" t="s">
        <v>225</v>
      </c>
      <c r="F33" s="81" t="s">
        <v>203</v>
      </c>
      <c r="G33" s="191">
        <v>33812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3331548756</v>
      </c>
      <c r="C34" s="185" t="s">
        <v>175</v>
      </c>
      <c r="D34" s="185">
        <v>24140301</v>
      </c>
      <c r="E34" s="81" t="s">
        <v>225</v>
      </c>
      <c r="F34" s="81" t="s">
        <v>203</v>
      </c>
      <c r="G34" s="191">
        <v>34290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3331548760</v>
      </c>
      <c r="C35" s="185" t="s">
        <v>82</v>
      </c>
      <c r="D35" s="185">
        <v>24140303</v>
      </c>
      <c r="E35" s="81" t="s">
        <v>12</v>
      </c>
      <c r="F35" s="81" t="s">
        <v>199</v>
      </c>
      <c r="G35" s="191">
        <v>13963</v>
      </c>
      <c r="H35" s="191" t="s">
        <v>220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3331548761</v>
      </c>
      <c r="C36" s="185"/>
      <c r="D36" s="185"/>
      <c r="E36" s="81" t="s">
        <v>12</v>
      </c>
      <c r="F36" s="81" t="s">
        <v>199</v>
      </c>
      <c r="G36" s="191">
        <v>10480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186" t="s">
        <v>221</v>
      </c>
      <c r="B37" s="188">
        <v>3331548736</v>
      </c>
      <c r="C37" s="189" t="s">
        <v>206</v>
      </c>
      <c r="D37" s="189">
        <v>24140297</v>
      </c>
      <c r="E37" s="186" t="s">
        <v>224</v>
      </c>
      <c r="F37" s="186" t="s">
        <v>203</v>
      </c>
      <c r="G37" s="187">
        <v>44529</v>
      </c>
      <c r="H37" s="187" t="s">
        <v>128</v>
      </c>
      <c r="I37" s="187">
        <v>1</v>
      </c>
      <c r="J37" s="186">
        <v>1</v>
      </c>
      <c r="K37" s="234">
        <v>0.17986111111111111</v>
      </c>
      <c r="L37" s="234">
        <v>0.44444444444444442</v>
      </c>
    </row>
    <row r="38" spans="1:12" s="27" customFormat="1" hidden="1">
      <c r="A38" s="186" t="s">
        <v>221</v>
      </c>
      <c r="B38" s="188">
        <v>3331548749</v>
      </c>
      <c r="C38" s="189" t="s">
        <v>49</v>
      </c>
      <c r="D38" s="189">
        <v>24140300</v>
      </c>
      <c r="E38" s="186" t="s">
        <v>226</v>
      </c>
      <c r="F38" s="186" t="s">
        <v>203</v>
      </c>
      <c r="G38" s="187">
        <v>35775.372000000003</v>
      </c>
      <c r="H38" s="187" t="s">
        <v>128</v>
      </c>
      <c r="I38" s="187">
        <v>1</v>
      </c>
      <c r="J38" s="187">
        <v>1</v>
      </c>
      <c r="K38" s="235" t="str">
        <f>IFERROR(VLOOKUP(B38,'IN OUT'!F:G,2,FALSE), "BELUM MASUK")</f>
        <v>BELUM MASUK</v>
      </c>
      <c r="L38" s="235">
        <v>9.0277777777777776E-2</v>
      </c>
    </row>
    <row r="39" spans="1:12" s="27" customFormat="1" hidden="1">
      <c r="A39" s="105" t="s">
        <v>221</v>
      </c>
      <c r="B39" s="106">
        <v>3331548756</v>
      </c>
      <c r="C39" s="205" t="s">
        <v>227</v>
      </c>
      <c r="D39" s="205">
        <v>24140301</v>
      </c>
      <c r="E39" s="106" t="s">
        <v>134</v>
      </c>
      <c r="F39" s="105" t="s">
        <v>203</v>
      </c>
      <c r="G39" s="209">
        <v>34495.741000000002</v>
      </c>
      <c r="H39" s="209" t="s">
        <v>128</v>
      </c>
      <c r="I39" s="209">
        <v>1</v>
      </c>
      <c r="J39" s="209">
        <v>1</v>
      </c>
      <c r="K39" s="233" t="str">
        <f>IFERROR(VLOOKUP(B39,'IN OUT'!F:G,2,FALSE), "BELUM MASUK")</f>
        <v>BELUM MASUK</v>
      </c>
      <c r="L39" s="233" t="s">
        <v>228</v>
      </c>
    </row>
    <row r="40" spans="1:12" s="89" customFormat="1" hidden="1">
      <c r="A40" s="257" t="s">
        <v>229</v>
      </c>
      <c r="B40" s="257">
        <v>3331548394</v>
      </c>
      <c r="C40" s="267" t="s">
        <v>34</v>
      </c>
      <c r="D40" s="267">
        <v>24140305</v>
      </c>
      <c r="E40" s="257" t="s">
        <v>230</v>
      </c>
      <c r="F40" s="257" t="s">
        <v>199</v>
      </c>
      <c r="G40" s="259">
        <v>26626.47</v>
      </c>
      <c r="H40" s="259" t="s">
        <v>220</v>
      </c>
      <c r="I40" s="259">
        <v>1</v>
      </c>
      <c r="J40" s="259">
        <v>1</v>
      </c>
      <c r="K40" s="262" t="str">
        <f>IFERROR(VLOOKUP(B40,'IN OUT'!F:G,2,FALSE), "BELUM MASUK")</f>
        <v>BELUM MASUK</v>
      </c>
      <c r="L40" s="262">
        <v>0.84027777777777779</v>
      </c>
    </row>
    <row r="41" spans="1:12" s="27" customFormat="1" hidden="1">
      <c r="A41" s="26" t="s">
        <v>229</v>
      </c>
      <c r="B41" s="26">
        <v>3331548958</v>
      </c>
      <c r="C41" s="238" t="s">
        <v>206</v>
      </c>
      <c r="D41" s="238">
        <v>24140306</v>
      </c>
      <c r="E41" s="26" t="s">
        <v>224</v>
      </c>
      <c r="F41" s="34" t="s">
        <v>203</v>
      </c>
      <c r="G41" s="255">
        <v>42969.277999999998</v>
      </c>
      <c r="H41" s="255" t="s">
        <v>128</v>
      </c>
      <c r="I41" s="255">
        <v>1</v>
      </c>
      <c r="J41" s="255">
        <v>1</v>
      </c>
      <c r="K41" s="256" t="str">
        <f>IFERROR(VLOOKUP(B41,'IN OUT'!F:G,2,FALSE), "BELUM MASUK")</f>
        <v>BELUM MASUK</v>
      </c>
      <c r="L41" s="256" t="s">
        <v>228</v>
      </c>
    </row>
    <row r="42" spans="1:12" s="89" customFormat="1" hidden="1">
      <c r="A42" s="263" t="s">
        <v>229</v>
      </c>
      <c r="B42" s="263">
        <v>3331548967</v>
      </c>
      <c r="C42" s="264" t="s">
        <v>227</v>
      </c>
      <c r="D42" s="264">
        <v>24140307</v>
      </c>
      <c r="E42" s="265" t="s">
        <v>224</v>
      </c>
      <c r="F42" s="263" t="s">
        <v>203</v>
      </c>
      <c r="G42" s="266">
        <v>43071.89</v>
      </c>
      <c r="H42" s="266" t="s">
        <v>128</v>
      </c>
      <c r="I42" s="263">
        <v>1</v>
      </c>
      <c r="J42" s="263">
        <v>1</v>
      </c>
      <c r="K42" s="260">
        <v>0.71081018518518524</v>
      </c>
      <c r="L42" s="262">
        <v>6.25E-2</v>
      </c>
    </row>
    <row r="43" spans="1:12" s="261" customFormat="1" hidden="1">
      <c r="A43" s="257" t="s">
        <v>229</v>
      </c>
      <c r="B43" s="85">
        <v>3331548968</v>
      </c>
      <c r="C43" s="258" t="s">
        <v>11</v>
      </c>
      <c r="D43" s="258">
        <v>24140309</v>
      </c>
      <c r="E43" s="257" t="s">
        <v>226</v>
      </c>
      <c r="F43" s="257" t="s">
        <v>203</v>
      </c>
      <c r="G43" s="259">
        <v>32961.589999999997</v>
      </c>
      <c r="H43" s="259" t="s">
        <v>128</v>
      </c>
      <c r="I43" s="257">
        <v>1</v>
      </c>
      <c r="J43" s="257">
        <v>1</v>
      </c>
      <c r="K43" s="260" t="str">
        <f>IFERROR(VLOOKUP(B43,'IN OUT'!F:G,2,FALSE), "BELUM MASUK")</f>
        <v>BELUM MASUK</v>
      </c>
      <c r="L43" s="260" t="s">
        <v>228</v>
      </c>
    </row>
    <row r="44" spans="1:12" hidden="1">
      <c r="A44" s="81" t="s">
        <v>229</v>
      </c>
      <c r="B44" s="82">
        <v>3331548969</v>
      </c>
      <c r="C44" s="80" t="s">
        <v>206</v>
      </c>
      <c r="D44" s="80">
        <v>24140310</v>
      </c>
      <c r="E44" s="81" t="s">
        <v>226</v>
      </c>
      <c r="F44" s="81" t="s">
        <v>203</v>
      </c>
      <c r="G44" s="204">
        <v>34967.553999999996</v>
      </c>
      <c r="H44" s="191" t="s">
        <v>128</v>
      </c>
      <c r="I44" s="26">
        <v>1</v>
      </c>
      <c r="J44" s="26">
        <v>0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105" t="s">
        <v>229</v>
      </c>
      <c r="B45" s="106">
        <v>3331547878</v>
      </c>
      <c r="C45" s="111" t="s">
        <v>206</v>
      </c>
      <c r="D45" s="111">
        <v>24140311</v>
      </c>
      <c r="E45" s="105" t="s">
        <v>231</v>
      </c>
      <c r="F45" s="105" t="s">
        <v>203</v>
      </c>
      <c r="G45" s="209">
        <v>42299.445</v>
      </c>
      <c r="H45" s="209" t="s">
        <v>128</v>
      </c>
      <c r="I45" s="105">
        <v>1</v>
      </c>
      <c r="J45" s="105">
        <v>0</v>
      </c>
      <c r="K45" s="208" t="str">
        <f>IFERROR(VLOOKUP(B45,'IN OUT'!F:G,2,FALSE), "BELUM MASUK")</f>
        <v>BELUM MASUK</v>
      </c>
      <c r="L45" s="208" t="s">
        <v>228</v>
      </c>
    </row>
    <row r="46" spans="1:12" hidden="1">
      <c r="A46" s="105" t="s">
        <v>229</v>
      </c>
      <c r="B46" s="106">
        <v>3331549001</v>
      </c>
      <c r="C46" s="111" t="s">
        <v>206</v>
      </c>
      <c r="D46" s="111">
        <v>24140312</v>
      </c>
      <c r="E46" s="105" t="s">
        <v>173</v>
      </c>
      <c r="F46" s="105" t="s">
        <v>205</v>
      </c>
      <c r="G46" s="209">
        <v>40818.074999999997</v>
      </c>
      <c r="H46" s="209" t="s">
        <v>128</v>
      </c>
      <c r="I46" s="105">
        <v>1</v>
      </c>
      <c r="J46" s="105">
        <v>0</v>
      </c>
      <c r="K46" s="208">
        <v>0.20208333333333334</v>
      </c>
      <c r="L46" s="208" t="s">
        <v>228</v>
      </c>
    </row>
    <row r="47" spans="1:12" hidden="1">
      <c r="A47" s="151" t="s">
        <v>229</v>
      </c>
      <c r="B47" s="151">
        <v>3331549014</v>
      </c>
      <c r="C47" s="1491" t="s">
        <v>27</v>
      </c>
      <c r="D47" s="1491">
        <v>24140313</v>
      </c>
      <c r="E47" s="1491" t="s">
        <v>70</v>
      </c>
      <c r="F47" s="1491" t="s">
        <v>199</v>
      </c>
      <c r="G47" s="207">
        <v>22104.974999999999</v>
      </c>
      <c r="H47" s="151" t="s">
        <v>220</v>
      </c>
      <c r="I47" s="151">
        <v>1</v>
      </c>
      <c r="J47" s="151">
        <v>1</v>
      </c>
      <c r="K47" s="1493">
        <v>0.69403935185185184</v>
      </c>
      <c r="L47" s="233" t="s">
        <v>228</v>
      </c>
    </row>
    <row r="48" spans="1:12" hidden="1">
      <c r="A48" s="105" t="s">
        <v>229</v>
      </c>
      <c r="B48" s="105">
        <v>3331549063</v>
      </c>
      <c r="C48" s="1491"/>
      <c r="D48" s="1491"/>
      <c r="E48" s="1491"/>
      <c r="F48" s="1491"/>
      <c r="G48" s="209">
        <v>2026.08</v>
      </c>
      <c r="H48" s="151" t="s">
        <v>220</v>
      </c>
      <c r="I48" s="101"/>
      <c r="J48" s="101"/>
      <c r="K48" s="1493"/>
      <c r="L48" s="233" t="s">
        <v>228</v>
      </c>
    </row>
    <row r="49" spans="1:12" hidden="1">
      <c r="A49" s="105" t="s">
        <v>229</v>
      </c>
      <c r="B49" s="105">
        <v>3331549019</v>
      </c>
      <c r="C49" s="105" t="s">
        <v>27</v>
      </c>
      <c r="D49" s="105">
        <v>24140314</v>
      </c>
      <c r="E49" s="105" t="s">
        <v>156</v>
      </c>
      <c r="F49" s="151" t="s">
        <v>199</v>
      </c>
      <c r="G49" s="209">
        <v>20301.080000000002</v>
      </c>
      <c r="H49" s="151" t="s">
        <v>220</v>
      </c>
      <c r="I49" s="105">
        <v>1</v>
      </c>
      <c r="J49" s="105">
        <v>1</v>
      </c>
      <c r="K49" s="208">
        <v>0.82620370370370366</v>
      </c>
      <c r="L49" s="233" t="s">
        <v>228</v>
      </c>
    </row>
    <row r="50" spans="1:12" hidden="1">
      <c r="A50" s="105" t="s">
        <v>229</v>
      </c>
      <c r="B50" s="105">
        <v>3331549073</v>
      </c>
      <c r="C50" s="105" t="s">
        <v>34</v>
      </c>
      <c r="D50" s="105">
        <v>24140315</v>
      </c>
      <c r="E50" s="105" t="s">
        <v>165</v>
      </c>
      <c r="F50" s="151" t="s">
        <v>199</v>
      </c>
      <c r="G50" s="209">
        <v>26098.657999999999</v>
      </c>
      <c r="H50" s="151" t="s">
        <v>220</v>
      </c>
      <c r="I50" s="105">
        <v>1</v>
      </c>
      <c r="J50" s="105">
        <v>1</v>
      </c>
      <c r="K50" s="208">
        <v>0.75359953703703708</v>
      </c>
      <c r="L50" s="233" t="s">
        <v>228</v>
      </c>
    </row>
    <row r="51" spans="1:12" hidden="1">
      <c r="A51" s="105" t="s">
        <v>229</v>
      </c>
      <c r="B51" s="105">
        <v>3331549101</v>
      </c>
      <c r="C51" s="105" t="s">
        <v>227</v>
      </c>
      <c r="D51" s="105">
        <v>24140316</v>
      </c>
      <c r="E51" s="105" t="s">
        <v>129</v>
      </c>
      <c r="F51" s="105" t="s">
        <v>205</v>
      </c>
      <c r="G51" s="209">
        <v>46276.201000000001</v>
      </c>
      <c r="H51" s="105" t="s">
        <v>128</v>
      </c>
      <c r="I51" s="105">
        <v>1</v>
      </c>
      <c r="J51" s="105">
        <v>1</v>
      </c>
      <c r="K51" s="208">
        <v>0.95194444444444448</v>
      </c>
      <c r="L51" s="208" t="s">
        <v>228</v>
      </c>
    </row>
    <row r="52" spans="1:12" hidden="1">
      <c r="A52" s="105" t="s">
        <v>229</v>
      </c>
      <c r="B52" s="105">
        <v>3331549149</v>
      </c>
      <c r="C52" s="105" t="s">
        <v>137</v>
      </c>
      <c r="D52" s="105">
        <v>24140318</v>
      </c>
      <c r="E52" s="105" t="s">
        <v>46</v>
      </c>
      <c r="F52" s="105" t="s">
        <v>199</v>
      </c>
      <c r="G52" s="209">
        <v>25114.95</v>
      </c>
      <c r="H52" s="105" t="s">
        <v>220</v>
      </c>
      <c r="I52" s="105">
        <v>1</v>
      </c>
      <c r="J52" s="105">
        <v>1</v>
      </c>
      <c r="K52" s="208">
        <v>0.76285879629629627</v>
      </c>
      <c r="L52" s="233" t="s">
        <v>232</v>
      </c>
    </row>
    <row r="53" spans="1:12" s="108" customFormat="1" hidden="1">
      <c r="A53" s="105" t="s">
        <v>229</v>
      </c>
      <c r="B53" s="105">
        <v>3331549158</v>
      </c>
      <c r="C53" s="105" t="s">
        <v>27</v>
      </c>
      <c r="D53" s="105">
        <v>24140319</v>
      </c>
      <c r="E53" s="105" t="s">
        <v>46</v>
      </c>
      <c r="F53" s="105" t="s">
        <v>199</v>
      </c>
      <c r="G53" s="209">
        <v>22543.454000000002</v>
      </c>
      <c r="H53" s="105" t="s">
        <v>220</v>
      </c>
      <c r="I53" s="105">
        <v>1</v>
      </c>
      <c r="J53" s="105">
        <v>1</v>
      </c>
      <c r="K53" s="233">
        <v>0.93285879629629631</v>
      </c>
      <c r="L53" s="208" t="s">
        <v>228</v>
      </c>
    </row>
    <row r="54" spans="1:12" hidden="1">
      <c r="A54" s="105" t="s">
        <v>229</v>
      </c>
      <c r="B54" s="105">
        <v>3331549164</v>
      </c>
      <c r="C54" s="105" t="s">
        <v>27</v>
      </c>
      <c r="D54" s="105">
        <v>24140321</v>
      </c>
      <c r="E54" s="105" t="s">
        <v>46</v>
      </c>
      <c r="F54" s="105" t="s">
        <v>199</v>
      </c>
      <c r="G54" s="209">
        <v>27921.53</v>
      </c>
      <c r="H54" s="105" t="s">
        <v>220</v>
      </c>
      <c r="I54" s="105">
        <v>1</v>
      </c>
      <c r="J54" s="105">
        <v>1</v>
      </c>
      <c r="K54" s="233">
        <v>0.86071759259259262</v>
      </c>
      <c r="L54" s="208" t="s">
        <v>228</v>
      </c>
    </row>
    <row r="55" spans="1:12" s="261" customFormat="1" hidden="1">
      <c r="A55" s="257" t="s">
        <v>229</v>
      </c>
      <c r="B55" s="257">
        <v>3331549168</v>
      </c>
      <c r="C55" s="257" t="s">
        <v>34</v>
      </c>
      <c r="D55" s="257">
        <v>24140323</v>
      </c>
      <c r="E55" s="257" t="s">
        <v>48</v>
      </c>
      <c r="F55" s="257" t="s">
        <v>199</v>
      </c>
      <c r="G55" s="259">
        <v>30009.3</v>
      </c>
      <c r="H55" s="257" t="s">
        <v>220</v>
      </c>
      <c r="I55" s="257">
        <v>1</v>
      </c>
      <c r="J55" s="257">
        <v>1</v>
      </c>
      <c r="K55" s="262">
        <v>0.78456018518518522</v>
      </c>
      <c r="L55" s="262">
        <v>8.3333333333333329E-2</v>
      </c>
    </row>
    <row r="56" spans="1:12" hidden="1">
      <c r="A56" s="151" t="s">
        <v>229</v>
      </c>
      <c r="B56" s="151">
        <v>3331549173</v>
      </c>
      <c r="C56" s="151" t="s">
        <v>34</v>
      </c>
      <c r="D56" s="151">
        <v>24140324</v>
      </c>
      <c r="E56" s="151" t="s">
        <v>48</v>
      </c>
      <c r="F56" s="151" t="s">
        <v>199</v>
      </c>
      <c r="G56" s="207">
        <v>25702.875</v>
      </c>
      <c r="H56" s="151" t="s">
        <v>220</v>
      </c>
      <c r="I56" s="151">
        <v>1</v>
      </c>
      <c r="J56" s="151">
        <v>1</v>
      </c>
      <c r="K56" s="208">
        <v>0.81268518518518518</v>
      </c>
      <c r="L56" s="208" t="s">
        <v>228</v>
      </c>
    </row>
    <row r="57" spans="1:12" hidden="1">
      <c r="A57" s="81" t="s">
        <v>233</v>
      </c>
      <c r="B57" s="82">
        <v>3331548968</v>
      </c>
      <c r="C57" s="80" t="s">
        <v>11</v>
      </c>
      <c r="D57" s="80">
        <v>24140309</v>
      </c>
      <c r="E57" s="81" t="s">
        <v>226</v>
      </c>
      <c r="F57" s="81" t="s">
        <v>203</v>
      </c>
      <c r="G57" s="204">
        <v>32961.589999999997</v>
      </c>
      <c r="H57" s="191" t="s">
        <v>128</v>
      </c>
      <c r="I57" s="26">
        <v>1</v>
      </c>
      <c r="J57" s="26">
        <v>1</v>
      </c>
      <c r="K57" s="200" t="str">
        <f>IFERROR(VLOOKUP(B57,'IN OUT'!F:G,2,FALSE), "BELUM MASUK")</f>
        <v>BELUM MASUK</v>
      </c>
      <c r="L57" s="200" t="s">
        <v>228</v>
      </c>
    </row>
    <row r="58" spans="1:12" hidden="1">
      <c r="A58" s="81" t="s">
        <v>233</v>
      </c>
      <c r="B58" s="82">
        <v>3331548969</v>
      </c>
      <c r="C58" s="80" t="s">
        <v>206</v>
      </c>
      <c r="D58" s="80">
        <v>24140310</v>
      </c>
      <c r="E58" s="81" t="s">
        <v>226</v>
      </c>
      <c r="F58" s="81" t="s">
        <v>203</v>
      </c>
      <c r="G58" s="204">
        <v>34967.553999999996</v>
      </c>
      <c r="H58" s="191" t="s">
        <v>128</v>
      </c>
      <c r="I58" s="26">
        <v>1</v>
      </c>
      <c r="J58" s="26">
        <v>0</v>
      </c>
      <c r="K58" s="200" t="str">
        <f>IFERROR(VLOOKUP(B58,'IN OUT'!F:G,2,FALSE), "BELUM MASUK")</f>
        <v>BELUM MASUK</v>
      </c>
      <c r="L58" s="200" t="s">
        <v>228</v>
      </c>
    </row>
    <row r="59" spans="1:12" hidden="1">
      <c r="A59" s="81" t="s">
        <v>233</v>
      </c>
      <c r="B59" s="106">
        <v>3331547878</v>
      </c>
      <c r="C59" s="111" t="s">
        <v>206</v>
      </c>
      <c r="D59" s="111">
        <v>24140311</v>
      </c>
      <c r="E59" s="105" t="s">
        <v>130</v>
      </c>
      <c r="F59" s="105" t="s">
        <v>203</v>
      </c>
      <c r="G59" s="209">
        <v>42299.445</v>
      </c>
      <c r="H59" s="209" t="s">
        <v>128</v>
      </c>
      <c r="I59" s="105">
        <v>1</v>
      </c>
      <c r="J59" s="105">
        <v>0</v>
      </c>
      <c r="K59" s="208" t="str">
        <f>IFERROR(VLOOKUP(B59,'IN OUT'!F:G,2,FALSE), "BELUM MASUK")</f>
        <v>BELUM MASUK</v>
      </c>
      <c r="L59" s="208" t="s">
        <v>228</v>
      </c>
    </row>
    <row r="60" spans="1:12" hidden="1">
      <c r="A60" s="81" t="s">
        <v>233</v>
      </c>
      <c r="B60" s="106">
        <v>3331549001</v>
      </c>
      <c r="C60" s="111" t="s">
        <v>206</v>
      </c>
      <c r="D60" s="111">
        <v>24140312</v>
      </c>
      <c r="E60" s="105" t="s">
        <v>129</v>
      </c>
      <c r="F60" s="105" t="s">
        <v>205</v>
      </c>
      <c r="G60" s="209">
        <v>40818.074999999997</v>
      </c>
      <c r="H60" s="209" t="s">
        <v>128</v>
      </c>
      <c r="I60" s="105">
        <v>1</v>
      </c>
      <c r="J60" s="105">
        <v>0</v>
      </c>
      <c r="K60" s="208">
        <v>0.20208333333333334</v>
      </c>
      <c r="L60" s="208" t="s">
        <v>228</v>
      </c>
    </row>
    <row r="61" spans="1:12" s="44" customFormat="1">
      <c r="A61" s="105" t="s">
        <v>234</v>
      </c>
      <c r="B61" s="105">
        <v>3331548968</v>
      </c>
      <c r="C61" s="111" t="s">
        <v>11</v>
      </c>
      <c r="D61" s="111">
        <v>24140309</v>
      </c>
      <c r="E61" s="105" t="s">
        <v>226</v>
      </c>
      <c r="F61" s="105" t="s">
        <v>203</v>
      </c>
      <c r="G61" s="209">
        <v>32961.589999999997</v>
      </c>
      <c r="H61" s="209" t="s">
        <v>128</v>
      </c>
      <c r="I61" s="105">
        <v>1</v>
      </c>
      <c r="J61" s="105">
        <v>1</v>
      </c>
      <c r="K61" s="254" t="str">
        <f>IFERROR(VLOOKUP(B61,'IN OUT'!F:G,2,FALSE), "BELUM MASUK")</f>
        <v>BELUM MASUK</v>
      </c>
      <c r="L61" s="254" t="str">
        <f>IFERROR(VLOOKUP(B61,'IN OUT'!G:H,3,FALSE), "BELUM KELUAR")</f>
        <v>BELUM KELUAR</v>
      </c>
    </row>
    <row r="62" spans="1:12" s="27" customFormat="1">
      <c r="A62" s="82" t="s">
        <v>234</v>
      </c>
      <c r="B62" s="82">
        <v>3331548969</v>
      </c>
      <c r="C62" s="114" t="s">
        <v>206</v>
      </c>
      <c r="D62" s="114">
        <v>24140310</v>
      </c>
      <c r="E62" s="82" t="s">
        <v>226</v>
      </c>
      <c r="F62" s="82" t="s">
        <v>203</v>
      </c>
      <c r="G62" s="250">
        <v>34967.553999999996</v>
      </c>
      <c r="H62" s="219" t="s">
        <v>128</v>
      </c>
      <c r="I62" s="1">
        <v>1</v>
      </c>
      <c r="J62" s="1">
        <v>1</v>
      </c>
      <c r="K62" s="200" t="str">
        <f>IFERROR(VLOOKUP(B62,'IN OUT'!F:G,2,FALSE), "BELUM MASUK")</f>
        <v>BELUM MASUK</v>
      </c>
      <c r="L62" s="200" t="str">
        <f>IFERROR(VLOOKUP(B62,'IN OUT'!G:H,3,FALSE), "BELUM KELUAR")</f>
        <v>BELUM KELUAR</v>
      </c>
    </row>
    <row r="63" spans="1:12">
      <c r="A63" s="105" t="s">
        <v>234</v>
      </c>
      <c r="B63" s="105">
        <v>3331547878</v>
      </c>
      <c r="C63" s="111" t="s">
        <v>206</v>
      </c>
      <c r="D63" s="111">
        <v>24140311</v>
      </c>
      <c r="E63" s="105" t="s">
        <v>235</v>
      </c>
      <c r="F63" s="105" t="s">
        <v>203</v>
      </c>
      <c r="G63" s="209">
        <v>42299.445</v>
      </c>
      <c r="H63" s="209" t="s">
        <v>128</v>
      </c>
      <c r="I63" s="105">
        <v>1</v>
      </c>
      <c r="J63" s="105">
        <v>1</v>
      </c>
      <c r="K63" s="254" t="str">
        <f>IFERROR(VLOOKUP(B63,'IN OUT'!F:G,2,FALSE), "BELUM MASUK")</f>
        <v>BELUM MASUK</v>
      </c>
      <c r="L63" s="254" t="str">
        <f>IFERROR(VLOOKUP(B63,'IN OUT'!G:H,3,FALSE), "BELUM KELUAR")</f>
        <v>BELUM KELUAR</v>
      </c>
    </row>
    <row r="64" spans="1:12">
      <c r="A64" s="105" t="s">
        <v>234</v>
      </c>
      <c r="B64" s="105">
        <v>3331549001</v>
      </c>
      <c r="C64" s="111" t="s">
        <v>206</v>
      </c>
      <c r="D64" s="111">
        <v>24140312</v>
      </c>
      <c r="E64" s="105" t="s">
        <v>236</v>
      </c>
      <c r="F64" s="105" t="s">
        <v>205</v>
      </c>
      <c r="G64" s="209">
        <v>40818.074999999997</v>
      </c>
      <c r="H64" s="209" t="s">
        <v>128</v>
      </c>
      <c r="I64" s="151">
        <v>1</v>
      </c>
      <c r="J64" s="151">
        <v>1</v>
      </c>
      <c r="K64" s="254" t="str">
        <f>IFERROR(VLOOKUP(B64,'IN OUT'!F:G,2,FALSE), "BELUM MASUK")</f>
        <v>BELUM MASUK</v>
      </c>
      <c r="L64" s="254" t="str">
        <f>IFERROR(VLOOKUP(B64,'IN OUT'!G:H,3,FALSE), "BELUM KELUAR")</f>
        <v>BELUM KELUAR</v>
      </c>
    </row>
    <row r="65" spans="1:13">
      <c r="A65" s="105" t="s">
        <v>229</v>
      </c>
      <c r="B65" s="105">
        <v>3331549196</v>
      </c>
      <c r="C65" s="105" t="s">
        <v>27</v>
      </c>
      <c r="D65" s="105">
        <v>24140326</v>
      </c>
      <c r="E65" s="105" t="s">
        <v>219</v>
      </c>
      <c r="F65" s="105" t="s">
        <v>199</v>
      </c>
      <c r="G65" s="209">
        <v>25376.35</v>
      </c>
      <c r="H65" s="269" t="s">
        <v>200</v>
      </c>
      <c r="I65" s="105">
        <v>1</v>
      </c>
      <c r="J65" s="105">
        <v>1</v>
      </c>
      <c r="K65" s="268" t="str">
        <f>IFERROR(VLOOKUP(B65,'IN OUT'!F:G,2,FALSE), "BELUM MASUK")</f>
        <v>BELUM MASUK</v>
      </c>
      <c r="L65" s="254" t="str">
        <f>IFERROR(VLOOKUP(B65,'IN OUT'!G:H,3,FALSE), "BELUM KELUAR")</f>
        <v>BELUM KELUAR</v>
      </c>
    </row>
    <row r="66" spans="1:13" s="274" customFormat="1">
      <c r="A66" s="114" t="s">
        <v>237</v>
      </c>
      <c r="B66" s="114">
        <v>3331548636</v>
      </c>
      <c r="C66" s="114" t="s">
        <v>27</v>
      </c>
      <c r="D66" s="114">
        <v>24140327</v>
      </c>
      <c r="E66" s="270" t="s">
        <v>235</v>
      </c>
      <c r="F66" s="114" t="s">
        <v>203</v>
      </c>
      <c r="G66" s="270">
        <v>42872.294999999998</v>
      </c>
      <c r="H66" s="271" t="s">
        <v>128</v>
      </c>
      <c r="I66" s="137">
        <v>1</v>
      </c>
      <c r="J66" s="137">
        <v>1</v>
      </c>
      <c r="K66" s="272" t="str">
        <f>IFERROR(VLOOKUP(B66,'IN OUT'!F:G,2,FALSE), "BELUM MASUK")</f>
        <v>BELUM MASUK</v>
      </c>
      <c r="L66" s="273" t="str">
        <f>IFERROR(VLOOKUP(B66,'IN OUT'!G:H,3,FALSE), "BELUM KELUAR")</f>
        <v>BELUM KELUAR</v>
      </c>
    </row>
    <row r="67" spans="1:13" s="27" customFormat="1">
      <c r="A67" s="82" t="s">
        <v>238</v>
      </c>
      <c r="B67" s="82">
        <v>3331549287</v>
      </c>
      <c r="C67" s="82" t="s">
        <v>175</v>
      </c>
      <c r="D67" s="82">
        <v>24140328</v>
      </c>
      <c r="E67" s="82" t="s">
        <v>236</v>
      </c>
      <c r="F67" s="82" t="s">
        <v>205</v>
      </c>
      <c r="G67" s="219">
        <v>47802.824999999997</v>
      </c>
      <c r="H67" s="252" t="s">
        <v>128</v>
      </c>
      <c r="I67" s="115">
        <v>1</v>
      </c>
      <c r="J67" s="115">
        <v>1</v>
      </c>
      <c r="K67" s="241" t="str">
        <f>IFERROR(VLOOKUP(B67,'IN OUT'!F:G,2,FALSE), "BELUM MASUK")</f>
        <v>BELUM MASUK</v>
      </c>
      <c r="L67" s="200" t="str">
        <f>IFERROR(VLOOKUP(B67,'IN OUT'!G:H,3,FALSE), "BELUM KELUAR")</f>
        <v>BELUM KELUAR</v>
      </c>
    </row>
    <row r="68" spans="1:13" s="35" customFormat="1">
      <c r="A68" s="105" t="s">
        <v>237</v>
      </c>
      <c r="B68" s="105">
        <v>3331549288</v>
      </c>
      <c r="C68" s="105" t="s">
        <v>27</v>
      </c>
      <c r="D68" s="105">
        <v>24140329</v>
      </c>
      <c r="E68" s="105" t="s">
        <v>239</v>
      </c>
      <c r="F68" s="105" t="s">
        <v>199</v>
      </c>
      <c r="G68" s="209">
        <v>24670.74</v>
      </c>
      <c r="H68" s="105" t="s">
        <v>200</v>
      </c>
      <c r="I68" s="105">
        <v>1</v>
      </c>
      <c r="J68" s="105">
        <v>1</v>
      </c>
      <c r="K68" s="268" t="str">
        <f>IFERROR(VLOOKUP(B68,'IN OUT'!F:G,2,FALSE), "BELUM MASUK")</f>
        <v>BELUM MASUK</v>
      </c>
      <c r="L68" s="254" t="str">
        <f>IFERROR(VLOOKUP(B68,'IN OUT'!G:H,3,FALSE), "BELUM KELUAR")</f>
        <v>BELUM KELUAR</v>
      </c>
      <c r="M68" s="44"/>
    </row>
    <row r="69" spans="1:13" s="27" customFormat="1">
      <c r="A69" s="105" t="s">
        <v>238</v>
      </c>
      <c r="B69" s="105">
        <v>3331549290</v>
      </c>
      <c r="C69" s="105" t="s">
        <v>27</v>
      </c>
      <c r="D69" s="105">
        <v>24140330</v>
      </c>
      <c r="E69" s="105" t="s">
        <v>239</v>
      </c>
      <c r="F69" s="105" t="s">
        <v>199</v>
      </c>
      <c r="G69" s="209">
        <v>25234.544999999998</v>
      </c>
      <c r="H69" s="105" t="s">
        <v>200</v>
      </c>
      <c r="I69" s="105">
        <v>1</v>
      </c>
      <c r="J69" s="105">
        <v>1</v>
      </c>
      <c r="K69" s="268" t="str">
        <f>IFERROR(VLOOKUP(B69,'IN OUT'!F:G,2,FALSE), "BELUM MASUK")</f>
        <v>BELUM MASUK</v>
      </c>
      <c r="L69" s="254" t="str">
        <f>IFERROR(VLOOKUP(B69,'IN OUT'!G:H,3,FALSE), "BELUM KELUAR")</f>
        <v>BELUM KELUAR</v>
      </c>
      <c r="M69"/>
    </row>
    <row r="70" spans="1:13" s="27" customFormat="1">
      <c r="A70" s="82" t="s">
        <v>238</v>
      </c>
      <c r="B70" s="82">
        <v>3331549303</v>
      </c>
      <c r="C70" s="82" t="s">
        <v>27</v>
      </c>
      <c r="D70" s="82">
        <v>24140332</v>
      </c>
      <c r="E70" s="82" t="s">
        <v>226</v>
      </c>
      <c r="F70" s="82" t="s">
        <v>203</v>
      </c>
      <c r="G70" s="219">
        <v>31377.14</v>
      </c>
      <c r="H70" s="82" t="s">
        <v>128</v>
      </c>
      <c r="I70" s="82">
        <v>1</v>
      </c>
      <c r="J70" s="82">
        <v>1</v>
      </c>
      <c r="K70" s="241" t="str">
        <f>IFERROR(VLOOKUP(B70,'IN OUT'!F:G,2,FALSE), "BELUM MASUK")</f>
        <v>BELUM MASUK</v>
      </c>
      <c r="L70" s="200" t="str">
        <f>IFERROR(VLOOKUP(B70,'IN OUT'!G:H,3,FALSE), "BELUM KELUAR")</f>
        <v>BELUM KELUAR</v>
      </c>
    </row>
    <row r="71" spans="1:13">
      <c r="A71" s="82" t="s">
        <v>238</v>
      </c>
      <c r="B71" s="82">
        <v>3331549302</v>
      </c>
      <c r="C71" s="82" t="s">
        <v>152</v>
      </c>
      <c r="D71" s="82">
        <v>24140331</v>
      </c>
      <c r="E71" s="82" t="s">
        <v>226</v>
      </c>
      <c r="F71" s="82" t="s">
        <v>203</v>
      </c>
      <c r="G71" s="219">
        <v>33582.292000000001</v>
      </c>
      <c r="H71" s="82" t="s">
        <v>128</v>
      </c>
      <c r="I71" s="81">
        <v>1</v>
      </c>
      <c r="J71" s="81">
        <v>1</v>
      </c>
      <c r="K71" s="241" t="str">
        <f>IFERROR(VLOOKUP(B71,'IN OUT'!F:G,2,FALSE), "BELUM MASUK")</f>
        <v>BELUM MASUK</v>
      </c>
      <c r="L71" s="200" t="str">
        <f>IFERROR(VLOOKUP(B71,'IN OUT'!G:H,3,FALSE), "BELUM KELUAR")</f>
        <v>BELUM KELUAR</v>
      </c>
    </row>
    <row r="72" spans="1:13">
      <c r="A72" s="82" t="s">
        <v>238</v>
      </c>
      <c r="B72" s="82">
        <v>3331549306</v>
      </c>
      <c r="C72" s="82" t="s">
        <v>206</v>
      </c>
      <c r="D72" s="82">
        <v>24140338</v>
      </c>
      <c r="E72" s="82" t="s">
        <v>224</v>
      </c>
      <c r="F72" s="82" t="s">
        <v>203</v>
      </c>
      <c r="G72" s="219">
        <v>32448.53</v>
      </c>
      <c r="H72" s="82" t="s">
        <v>128</v>
      </c>
      <c r="I72" s="81">
        <v>1</v>
      </c>
      <c r="J72" s="81">
        <v>1</v>
      </c>
      <c r="K72" s="241" t="str">
        <f>IFERROR(VLOOKUP(B72,'IN OUT'!F:G,2,FALSE), "BELUM MASUK")</f>
        <v>BELUM MASUK</v>
      </c>
      <c r="L72" s="200" t="str">
        <f>IFERROR(VLOOKUP(B72,'IN OUT'!G:H,3,FALSE), "BELUM KELUAR")</f>
        <v>BELUM KELUAR</v>
      </c>
    </row>
    <row r="73" spans="1:13">
      <c r="A73" s="82" t="s">
        <v>238</v>
      </c>
      <c r="B73" s="82">
        <v>3331549308</v>
      </c>
      <c r="C73" s="82"/>
      <c r="D73" s="82">
        <v>24140336</v>
      </c>
      <c r="E73" s="82" t="s">
        <v>224</v>
      </c>
      <c r="F73" s="82" t="s">
        <v>203</v>
      </c>
      <c r="G73" s="219">
        <v>30972.727999999999</v>
      </c>
      <c r="H73" s="82" t="s">
        <v>128</v>
      </c>
      <c r="I73" s="81">
        <v>1</v>
      </c>
      <c r="J73" s="203">
        <v>0</v>
      </c>
      <c r="K73" s="241" t="str">
        <f>IFERROR(VLOOKUP(B73,'IN OUT'!F:G,2,FALSE), "BELUM MASUK")</f>
        <v>BELUM MASUK</v>
      </c>
      <c r="L73" s="200" t="str">
        <f>IFERROR(VLOOKUP(B73,'IN OUT'!G:H,3,FALSE), "BELUM KELUAR")</f>
        <v>BELUM KELUAR</v>
      </c>
    </row>
    <row r="74" spans="1:13">
      <c r="A74" s="82" t="s">
        <v>238</v>
      </c>
      <c r="B74" s="82">
        <v>3331549310</v>
      </c>
      <c r="C74" s="217"/>
      <c r="D74" s="82">
        <v>24140337</v>
      </c>
      <c r="E74" s="82" t="s">
        <v>224</v>
      </c>
      <c r="F74" s="82" t="s">
        <v>203</v>
      </c>
      <c r="G74" s="219">
        <v>31570.292000000001</v>
      </c>
      <c r="H74" s="82" t="s">
        <v>128</v>
      </c>
      <c r="I74" s="240">
        <v>1</v>
      </c>
      <c r="J74" s="203">
        <v>0</v>
      </c>
      <c r="K74" s="241" t="str">
        <f>IFERROR(VLOOKUP(B74,'IN OUT'!F:G,2,FALSE), "BELUM MASUK")</f>
        <v>BELUM MASUK</v>
      </c>
      <c r="L74" s="200" t="str">
        <f>IFERROR(VLOOKUP(B74,'IN OUT'!G:H,3,FALSE), "BELUM KELUAR")</f>
        <v>BELUM KELUAR</v>
      </c>
    </row>
    <row r="75" spans="1:13" s="44" customFormat="1">
      <c r="A75" s="105" t="s">
        <v>237</v>
      </c>
      <c r="B75" s="269">
        <v>3331549284</v>
      </c>
      <c r="C75" s="1491" t="s">
        <v>27</v>
      </c>
      <c r="D75" s="1491">
        <v>24140339</v>
      </c>
      <c r="E75" s="105" t="s">
        <v>240</v>
      </c>
      <c r="F75" s="105" t="s">
        <v>199</v>
      </c>
      <c r="G75" s="209">
        <v>4889.3249999999998</v>
      </c>
      <c r="H75" s="105" t="s">
        <v>200</v>
      </c>
      <c r="I75" s="269">
        <v>1</v>
      </c>
      <c r="J75" s="105">
        <v>1</v>
      </c>
      <c r="K75" s="288">
        <v>45904.466736111113</v>
      </c>
      <c r="L75" s="289" t="str">
        <f>IFERROR(VLOOKUP(B75,'IN OUT'!G:H,3,FALSE), "BELUM KELUAR")</f>
        <v>BELUM KELUAR</v>
      </c>
    </row>
    <row r="76" spans="1:13">
      <c r="A76" s="105" t="s">
        <v>237</v>
      </c>
      <c r="B76" s="269">
        <v>3331549286</v>
      </c>
      <c r="C76" s="1492"/>
      <c r="D76" s="1492"/>
      <c r="E76" s="105" t="s">
        <v>240</v>
      </c>
      <c r="F76" s="105"/>
      <c r="G76" s="209">
        <v>20213.564999999999</v>
      </c>
      <c r="H76" s="105"/>
      <c r="I76" s="269"/>
      <c r="J76" s="105"/>
      <c r="K76" s="288"/>
      <c r="L76" s="289"/>
    </row>
    <row r="77" spans="1:13" s="44" customFormat="1">
      <c r="A77" s="105" t="s">
        <v>238</v>
      </c>
      <c r="B77" s="105">
        <v>3331549314</v>
      </c>
      <c r="C77" s="290" t="s">
        <v>34</v>
      </c>
      <c r="D77" s="105">
        <v>24140340</v>
      </c>
      <c r="E77" s="105" t="s">
        <v>240</v>
      </c>
      <c r="F77" s="105" t="s">
        <v>199</v>
      </c>
      <c r="G77" s="209">
        <v>24895.86</v>
      </c>
      <c r="H77" s="105" t="s">
        <v>200</v>
      </c>
      <c r="I77" s="269">
        <v>1</v>
      </c>
      <c r="J77" s="290">
        <v>1</v>
      </c>
      <c r="K77" s="291" t="str">
        <f>IFERROR(VLOOKUP(B77,'IN OUT'!F:G,2,FALSE), "BELUM MASUK")</f>
        <v>BELUM MASUK</v>
      </c>
      <c r="L77" s="292" t="str">
        <f>IFERROR(VLOOKUP(B77,'IN OUT'!G:H,3,FALSE), "BELUM KELUAR")</f>
        <v>BELUM KELUAR</v>
      </c>
    </row>
    <row r="78" spans="1:13" s="44" customFormat="1">
      <c r="A78" s="105" t="s">
        <v>241</v>
      </c>
      <c r="B78" s="105">
        <v>3331549316</v>
      </c>
      <c r="C78" s="105" t="s">
        <v>34</v>
      </c>
      <c r="D78" s="105">
        <v>24140341</v>
      </c>
      <c r="E78" s="105" t="s">
        <v>240</v>
      </c>
      <c r="F78" s="105" t="s">
        <v>199</v>
      </c>
      <c r="G78" s="209">
        <v>24557.174999999999</v>
      </c>
      <c r="H78" s="105" t="s">
        <v>200</v>
      </c>
      <c r="I78" s="269">
        <v>1</v>
      </c>
      <c r="J78" s="105">
        <v>1</v>
      </c>
      <c r="K78" s="268" t="str">
        <f>IFERROR(VLOOKUP(B78,'IN OUT'!F:G,2,FALSE), "BELUM MASUK")</f>
        <v>BELUM MASUK</v>
      </c>
      <c r="L78" s="254" t="str">
        <f>IFERROR(VLOOKUP(B78,'IN OUT'!G:H,3,FALSE), "BELUM KELUAR")</f>
        <v>BELUM KELUAR</v>
      </c>
    </row>
    <row r="79" spans="1:13" s="44" customFormat="1">
      <c r="A79" s="82" t="s">
        <v>241</v>
      </c>
      <c r="B79" s="82">
        <v>3331549319</v>
      </c>
      <c r="C79" s="82" t="s">
        <v>34</v>
      </c>
      <c r="D79" s="82">
        <v>24140342</v>
      </c>
      <c r="E79" s="82" t="s">
        <v>240</v>
      </c>
      <c r="F79" s="82" t="s">
        <v>199</v>
      </c>
      <c r="G79" s="219">
        <v>24780.285</v>
      </c>
      <c r="H79" s="82" t="s">
        <v>200</v>
      </c>
      <c r="I79" s="240">
        <v>1</v>
      </c>
      <c r="J79" s="81">
        <v>1</v>
      </c>
      <c r="K79" s="241" t="str">
        <f>IFERROR(VLOOKUP(B79,'IN OUT'!F:G,2,FALSE), "BELUM MASUK")</f>
        <v>BELUM MASUK</v>
      </c>
      <c r="L79" s="200" t="str">
        <f>IFERROR(VLOOKUP(B79,'IN OUT'!G:H,3,FALSE), "BELUM KELUAR")</f>
        <v>BELUM KELUAR</v>
      </c>
    </row>
    <row r="80" spans="1:13">
      <c r="A80" s="82" t="s">
        <v>237</v>
      </c>
      <c r="B80" s="82">
        <v>3331549321</v>
      </c>
      <c r="C80" s="82" t="s">
        <v>152</v>
      </c>
      <c r="D80" s="82">
        <v>24140343</v>
      </c>
      <c r="E80" s="82" t="s">
        <v>242</v>
      </c>
      <c r="F80" s="82" t="s">
        <v>199</v>
      </c>
      <c r="G80" s="219">
        <v>24602.400000000001</v>
      </c>
      <c r="H80" s="82" t="s">
        <v>200</v>
      </c>
      <c r="I80" s="240">
        <v>1</v>
      </c>
      <c r="J80" s="81">
        <v>1</v>
      </c>
      <c r="K80" s="241" t="str">
        <f>IFERROR(VLOOKUP(B80,'IN OUT'!F:G,2,FALSE), "BELUM MASUK")</f>
        <v>BELUM MASUK</v>
      </c>
      <c r="L80" s="200" t="str">
        <f>IFERROR(VLOOKUP(B80,'IN OUT'!G:H,3,FALSE), "BELUM KELUAR")</f>
        <v>BELUM KELUAR</v>
      </c>
    </row>
    <row r="81" spans="1:12">
      <c r="A81" s="82" t="s">
        <v>238</v>
      </c>
      <c r="B81" s="82">
        <v>3331549324</v>
      </c>
      <c r="C81" s="82" t="s">
        <v>152</v>
      </c>
      <c r="D81" s="82">
        <v>24140344</v>
      </c>
      <c r="E81" s="82" t="s">
        <v>242</v>
      </c>
      <c r="F81" s="82" t="s">
        <v>199</v>
      </c>
      <c r="G81" s="219">
        <v>25388.31</v>
      </c>
      <c r="H81" s="82" t="s">
        <v>200</v>
      </c>
      <c r="I81" s="240">
        <v>1</v>
      </c>
      <c r="J81" s="81">
        <v>1</v>
      </c>
      <c r="K81" s="241" t="str">
        <f>IFERROR(VLOOKUP(B81,'IN OUT'!F:G,2,FALSE), "BELUM MASUK")</f>
        <v>BELUM MASUK</v>
      </c>
      <c r="L81" s="200" t="str">
        <f>IFERROR(VLOOKUP(B81,'IN OUT'!G:H,3,FALSE), "BELUM KELUAR")</f>
        <v>BELUM KELUAR</v>
      </c>
    </row>
    <row r="82" spans="1:12">
      <c r="A82" s="82" t="s">
        <v>238</v>
      </c>
      <c r="B82" s="82">
        <v>3331549327</v>
      </c>
      <c r="C82" s="82" t="s">
        <v>27</v>
      </c>
      <c r="D82" s="82">
        <v>24140346</v>
      </c>
      <c r="E82" s="82" t="s">
        <v>243</v>
      </c>
      <c r="F82" s="82" t="s">
        <v>199</v>
      </c>
      <c r="G82" s="219">
        <v>26166.06</v>
      </c>
      <c r="H82" s="82" t="s">
        <v>200</v>
      </c>
      <c r="I82" s="240">
        <v>1</v>
      </c>
      <c r="J82" s="81">
        <v>1</v>
      </c>
      <c r="K82" s="241" t="str">
        <f>IFERROR(VLOOKUP(B82,'IN OUT'!F:G,2,FALSE), "BELUM MASUK")</f>
        <v>BELUM MASUK</v>
      </c>
      <c r="L82" s="200" t="str">
        <f>IFERROR(VLOOKUP(B82,'IN OUT'!G:H,3,FALSE), "BELUM KELUAR")</f>
        <v>BELUM KELUAR</v>
      </c>
    </row>
    <row r="83" spans="1:12">
      <c r="A83" s="82"/>
      <c r="B83" s="82"/>
      <c r="C83" s="82"/>
      <c r="D83" s="82"/>
      <c r="E83" s="82"/>
      <c r="F83" s="82"/>
      <c r="G83" s="219"/>
      <c r="H83" s="82"/>
      <c r="I83" s="240"/>
      <c r="J83" s="81"/>
      <c r="K83" s="237"/>
      <c r="L83" s="242"/>
    </row>
    <row r="84" spans="1:12">
      <c r="A84" s="82"/>
      <c r="B84" s="82"/>
      <c r="C84" s="82"/>
      <c r="D84" s="82"/>
      <c r="E84" s="82"/>
      <c r="F84" s="82"/>
      <c r="G84" s="219"/>
      <c r="H84" s="82"/>
      <c r="I84" s="240"/>
      <c r="J84" s="81"/>
      <c r="K84" s="237"/>
      <c r="L84" s="242"/>
    </row>
    <row r="85" spans="1:12">
      <c r="A85" s="82"/>
      <c r="B85" s="82"/>
      <c r="C85" s="82"/>
      <c r="D85" s="82"/>
      <c r="E85" s="82"/>
      <c r="F85" s="82"/>
      <c r="G85" s="219"/>
      <c r="H85" s="82"/>
      <c r="I85" s="240"/>
      <c r="J85" s="81"/>
      <c r="K85" s="237"/>
      <c r="L85" s="242"/>
    </row>
    <row r="86" spans="1:12">
      <c r="A86" s="82"/>
      <c r="B86" s="82"/>
      <c r="C86" s="82"/>
      <c r="D86" s="82"/>
      <c r="E86" s="82"/>
      <c r="F86" s="82"/>
      <c r="G86" s="219"/>
      <c r="H86" s="82"/>
      <c r="I86" s="240"/>
      <c r="J86" s="81"/>
      <c r="K86" s="237"/>
      <c r="L86" s="242"/>
    </row>
    <row r="87" spans="1:12">
      <c r="A87" s="82"/>
      <c r="B87" s="82"/>
      <c r="C87" s="82"/>
      <c r="D87" s="82"/>
      <c r="E87" s="82"/>
      <c r="F87" s="82"/>
      <c r="G87" s="219"/>
      <c r="H87" s="82"/>
      <c r="I87" s="240"/>
      <c r="J87" s="81"/>
      <c r="K87" s="237"/>
      <c r="L87" s="242"/>
    </row>
    <row r="88" spans="1:12">
      <c r="A88" s="82"/>
      <c r="B88" s="82"/>
      <c r="C88" s="82"/>
      <c r="D88" s="82"/>
      <c r="E88" s="82"/>
      <c r="F88" s="82"/>
      <c r="G88" s="219"/>
      <c r="H88" s="82"/>
      <c r="I88" s="240"/>
      <c r="J88" s="81"/>
      <c r="K88" s="237"/>
      <c r="L88" s="242"/>
    </row>
    <row r="89" spans="1:12">
      <c r="A89" s="82"/>
      <c r="B89" s="82"/>
      <c r="C89" s="82"/>
      <c r="D89" s="82"/>
      <c r="E89" s="82"/>
      <c r="F89" s="82"/>
      <c r="G89" s="219"/>
      <c r="H89" s="82"/>
      <c r="I89" s="240"/>
      <c r="J89" s="81"/>
      <c r="K89" s="237"/>
      <c r="L89" s="242"/>
    </row>
    <row r="90" spans="1:12">
      <c r="A90" s="82"/>
      <c r="B90" s="82"/>
      <c r="C90" s="82"/>
      <c r="D90" s="82"/>
      <c r="E90" s="82"/>
      <c r="F90" s="82"/>
      <c r="G90" s="219"/>
      <c r="H90" s="82"/>
      <c r="I90" s="240"/>
      <c r="J90" s="81"/>
      <c r="K90" s="237"/>
      <c r="L90" s="242"/>
    </row>
    <row r="91" spans="1:12">
      <c r="A91" s="82"/>
      <c r="B91" s="82"/>
      <c r="C91" s="82"/>
      <c r="D91" s="82"/>
      <c r="E91" s="82"/>
      <c r="F91" s="82"/>
      <c r="G91" s="219"/>
      <c r="H91" s="82"/>
      <c r="I91" s="240"/>
      <c r="J91" s="81"/>
      <c r="K91" s="237"/>
      <c r="L91" s="242"/>
    </row>
    <row r="92" spans="1:12">
      <c r="A92" s="82"/>
      <c r="B92" s="82"/>
      <c r="C92" s="82"/>
      <c r="D92" s="82"/>
      <c r="E92" s="82"/>
      <c r="F92" s="82"/>
      <c r="G92" s="219"/>
      <c r="H92" s="82"/>
      <c r="I92" s="240"/>
      <c r="J92" s="81"/>
      <c r="K92" s="237"/>
      <c r="L92" s="242"/>
    </row>
    <row r="93" spans="1:12">
      <c r="A93" s="81"/>
      <c r="B93" s="81"/>
      <c r="C93" s="81"/>
      <c r="D93" s="81"/>
      <c r="E93" s="81"/>
      <c r="F93" s="81"/>
      <c r="G93" s="191"/>
      <c r="H93" s="81"/>
      <c r="I93" s="240"/>
      <c r="J93" s="81"/>
      <c r="K93" s="237"/>
      <c r="L93" s="242"/>
    </row>
    <row r="95" spans="1:12">
      <c r="B95" s="236" t="s">
        <v>244</v>
      </c>
    </row>
    <row r="97" spans="2:2" ht="18">
      <c r="B97" s="251" t="s">
        <v>245</v>
      </c>
    </row>
    <row r="98" spans="2:2" ht="18">
      <c r="B98" s="251" t="s">
        <v>246</v>
      </c>
    </row>
    <row r="99" spans="2:2" ht="18">
      <c r="B99" s="251"/>
    </row>
  </sheetData>
  <autoFilter ref="A9:K9" xr:uid="{065DF3BE-13D7-443F-9CFE-307011C16B40}"/>
  <mergeCells count="7">
    <mergeCell ref="F47:F48"/>
    <mergeCell ref="K47:K48"/>
    <mergeCell ref="C75:C76"/>
    <mergeCell ref="D75:D76"/>
    <mergeCell ref="C47:C48"/>
    <mergeCell ref="D47:D48"/>
    <mergeCell ref="E47:E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A9AB-5709-45E2-B955-5218C7B85BA5}">
  <dimension ref="A1:N140"/>
  <sheetViews>
    <sheetView showGridLines="0" topLeftCell="A99" zoomScale="85" zoomScaleNormal="85" workbookViewId="0">
      <selection activeCell="B140" sqref="B140"/>
    </sheetView>
  </sheetViews>
  <sheetFormatPr defaultRowHeight="14.4"/>
  <cols>
    <col min="1" max="1" width="24.5546875" customWidth="1"/>
    <col min="2" max="2" width="22.33203125" customWidth="1"/>
    <col min="3" max="3" width="8.5546875" customWidth="1"/>
    <col min="4" max="4" width="10.5546875" customWidth="1"/>
    <col min="5" max="5" width="42.109375" bestFit="1" customWidth="1"/>
    <col min="6" max="6" width="19" customWidth="1"/>
    <col min="7" max="7" width="16.44140625" customWidth="1"/>
    <col min="8" max="8" width="23.33203125" bestFit="1" customWidth="1"/>
    <col min="9" max="9" width="19.88671875" bestFit="1" customWidth="1"/>
    <col min="10" max="10" width="23.33203125" bestFit="1" customWidth="1"/>
    <col min="11" max="11" width="16.88671875" customWidth="1"/>
    <col min="12" max="12" width="18.88671875" customWidth="1"/>
    <col min="14" max="14" width="0.88671875" customWidth="1"/>
  </cols>
  <sheetData>
    <row r="1" spans="1:14">
      <c r="J1" s="275"/>
      <c r="K1" s="44"/>
      <c r="L1" s="306"/>
    </row>
    <row r="2" spans="1:14" ht="30" customHeight="1">
      <c r="A2" s="321" t="s">
        <v>193</v>
      </c>
      <c r="B2" s="284">
        <f ca="1">TODAY()</f>
        <v>45977</v>
      </c>
      <c r="E2" s="1495" t="s">
        <v>213</v>
      </c>
      <c r="F2" s="1496"/>
      <c r="H2" s="322" t="s">
        <v>247</v>
      </c>
      <c r="I2" s="326" t="s">
        <v>195</v>
      </c>
      <c r="J2" s="322" t="s">
        <v>196</v>
      </c>
    </row>
    <row r="3" spans="1:14" ht="36.75" customHeight="1">
      <c r="A3" s="328" t="s">
        <v>198</v>
      </c>
      <c r="B3" s="329">
        <f>SUM(I62:I108)</f>
        <v>44</v>
      </c>
      <c r="E3" s="312" t="s">
        <v>197</v>
      </c>
      <c r="F3" s="316">
        <f>SUMIF(H62:H108, "TRAILER", I62:I108)</f>
        <v>18</v>
      </c>
      <c r="H3" s="319" t="s">
        <v>199</v>
      </c>
      <c r="I3" s="243">
        <f>COUNTIF(F62:F108, "JABODETABEK")</f>
        <v>26</v>
      </c>
      <c r="J3" s="318">
        <f>SUMIF(F62:F108, "JABODETABEK", G62:G108)</f>
        <v>604530.59699999983</v>
      </c>
    </row>
    <row r="4" spans="1:14" ht="29.25" customHeight="1">
      <c r="A4" s="311" t="s">
        <v>201</v>
      </c>
      <c r="B4" s="315">
        <f>SUM(J62:J108)</f>
        <v>44</v>
      </c>
      <c r="E4" s="313" t="s">
        <v>200</v>
      </c>
      <c r="F4" s="317">
        <f>SUMIF(H62:H108, "TRONTON", J62:J108)</f>
        <v>26</v>
      </c>
      <c r="H4" s="319" t="s">
        <v>203</v>
      </c>
      <c r="I4" s="245">
        <f>COUNTIF($F$62:F108, "JAWA TENGAH")</f>
        <v>15</v>
      </c>
      <c r="J4" s="318">
        <f>SUMIF(F62:F108, "JAWA TENGAH", G62:G108)</f>
        <v>513186.00800000003</v>
      </c>
    </row>
    <row r="5" spans="1:14" ht="33.6">
      <c r="A5" s="311" t="s">
        <v>204</v>
      </c>
      <c r="B5" s="315">
        <f>COUNTIF(K62:K108,"MASUK")</f>
        <v>44</v>
      </c>
      <c r="H5" s="320" t="s">
        <v>205</v>
      </c>
      <c r="I5" s="247">
        <f>COUNTIF($F$62:F108, "JAWA TIMUR")</f>
        <v>3</v>
      </c>
      <c r="J5" s="318">
        <f>SUMIF(F62:F108, "JAWA TIMUR", G62:G108)</f>
        <v>132788.63999999998</v>
      </c>
    </row>
    <row r="6" spans="1:14" ht="33.6">
      <c r="A6" s="311" t="s">
        <v>207</v>
      </c>
      <c r="B6" s="315">
        <f>COUNTIF(K62:K108,"BELUM MASUK")</f>
        <v>0</v>
      </c>
      <c r="H6" s="319" t="s">
        <v>208</v>
      </c>
      <c r="I6" s="249">
        <f>SUM(I3:I5)</f>
        <v>44</v>
      </c>
      <c r="J6" s="244">
        <f>SUM(J3:J5)</f>
        <v>1250505.2449999999</v>
      </c>
      <c r="K6" s="298" t="s">
        <v>248</v>
      </c>
      <c r="L6" s="308"/>
      <c r="M6" s="307"/>
    </row>
    <row r="7" spans="1:14" ht="27" customHeight="1">
      <c r="A7" s="310" t="s">
        <v>249</v>
      </c>
      <c r="B7" s="314">
        <f>B3-B4</f>
        <v>0</v>
      </c>
      <c r="C7" s="27" t="s">
        <v>250</v>
      </c>
      <c r="E7" s="239"/>
      <c r="F7" s="247"/>
      <c r="G7" s="253"/>
      <c r="H7" s="299"/>
      <c r="I7" s="281"/>
      <c r="J7" s="281"/>
      <c r="K7" s="307"/>
      <c r="L7" s="308"/>
      <c r="M7" s="307"/>
      <c r="N7" s="308"/>
    </row>
    <row r="8" spans="1:14" ht="27" customHeight="1">
      <c r="A8" s="295"/>
      <c r="B8" s="296"/>
      <c r="E8" s="239"/>
      <c r="F8" s="327"/>
      <c r="G8" s="253"/>
      <c r="I8" s="281"/>
      <c r="J8" s="281"/>
      <c r="K8" s="307"/>
      <c r="L8" s="308"/>
      <c r="M8" s="195"/>
    </row>
    <row r="10" spans="1:14">
      <c r="A10" s="323" t="s">
        <v>1</v>
      </c>
      <c r="B10" s="324" t="s">
        <v>2</v>
      </c>
      <c r="C10" s="324" t="s">
        <v>3</v>
      </c>
      <c r="D10" s="324" t="s">
        <v>211</v>
      </c>
      <c r="E10" s="324" t="s">
        <v>5</v>
      </c>
      <c r="F10" s="324" t="s">
        <v>194</v>
      </c>
      <c r="G10" s="324" t="s">
        <v>212</v>
      </c>
      <c r="H10" s="325" t="s">
        <v>213</v>
      </c>
      <c r="I10" s="325" t="s">
        <v>214</v>
      </c>
      <c r="J10" s="325" t="s">
        <v>215</v>
      </c>
      <c r="K10" s="324" t="s">
        <v>216</v>
      </c>
      <c r="L10" s="324" t="s">
        <v>217</v>
      </c>
    </row>
    <row r="11" spans="1:14" hidden="1">
      <c r="A11" s="83" t="s">
        <v>218</v>
      </c>
      <c r="B11" s="81">
        <v>3331548306</v>
      </c>
      <c r="C11" s="185" t="s">
        <v>49</v>
      </c>
      <c r="D11" s="185">
        <v>24140272</v>
      </c>
      <c r="E11" s="81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4" hidden="1">
      <c r="A12" s="83" t="s">
        <v>218</v>
      </c>
      <c r="B12" s="81">
        <v>3331548307</v>
      </c>
      <c r="C12" s="185" t="s">
        <v>58</v>
      </c>
      <c r="D12" s="185">
        <v>24140273</v>
      </c>
      <c r="E12" s="81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4" hidden="1">
      <c r="A13" s="83" t="s">
        <v>218</v>
      </c>
      <c r="B13" s="81">
        <v>3331547906</v>
      </c>
      <c r="C13" s="185" t="s">
        <v>34</v>
      </c>
      <c r="D13" s="185">
        <v>24140274</v>
      </c>
      <c r="E13" s="81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4" hidden="1">
      <c r="A14" s="83" t="s">
        <v>218</v>
      </c>
      <c r="B14" s="81">
        <v>3331548297</v>
      </c>
      <c r="C14" s="185" t="s">
        <v>34</v>
      </c>
      <c r="D14" s="185">
        <v>24140275</v>
      </c>
      <c r="E14" s="81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4" hidden="1">
      <c r="A15" s="83" t="s">
        <v>221</v>
      </c>
      <c r="B15" s="81">
        <v>3331548390</v>
      </c>
      <c r="C15" s="185" t="s">
        <v>34</v>
      </c>
      <c r="D15" s="185">
        <v>24140284</v>
      </c>
      <c r="E15" s="81" t="s">
        <v>154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4" hidden="1">
      <c r="A16" s="83" t="s">
        <v>221</v>
      </c>
      <c r="B16" s="81">
        <v>3331548324</v>
      </c>
      <c r="C16" s="185" t="s">
        <v>49</v>
      </c>
      <c r="D16" s="185">
        <v>24140281</v>
      </c>
      <c r="E16" s="81" t="s">
        <v>158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3331548346</v>
      </c>
      <c r="C17" s="185"/>
      <c r="D17" s="185"/>
      <c r="E17" s="81" t="s">
        <v>134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3331548331</v>
      </c>
      <c r="C18" s="185" t="s">
        <v>58</v>
      </c>
      <c r="D18" s="185">
        <v>24140277</v>
      </c>
      <c r="E18" s="81" t="s">
        <v>158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3331548348</v>
      </c>
      <c r="C19" s="185" t="s">
        <v>34</v>
      </c>
      <c r="D19" s="185">
        <v>24140279</v>
      </c>
      <c r="E19" s="81" t="s">
        <v>150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3331548351</v>
      </c>
      <c r="C20" s="185" t="s">
        <v>27</v>
      </c>
      <c r="D20" s="185">
        <v>24140280</v>
      </c>
      <c r="E20" s="81" t="s">
        <v>222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221</v>
      </c>
      <c r="B21" s="81">
        <v>3331548298</v>
      </c>
      <c r="C21" s="185" t="s">
        <v>27</v>
      </c>
      <c r="D21" s="185">
        <v>24140282</v>
      </c>
      <c r="E21" s="81" t="s">
        <v>135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3331547489</v>
      </c>
      <c r="C22" s="185" t="s">
        <v>34</v>
      </c>
      <c r="D22" s="185">
        <v>24140283</v>
      </c>
      <c r="E22" s="81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3331548380</v>
      </c>
      <c r="C23" s="185"/>
      <c r="D23" s="185"/>
      <c r="E23" s="81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3331548645</v>
      </c>
      <c r="C24" s="185" t="s">
        <v>82</v>
      </c>
      <c r="D24" s="185">
        <v>24140302</v>
      </c>
      <c r="E24" s="81" t="s">
        <v>223</v>
      </c>
      <c r="F24" s="81" t="s">
        <v>205</v>
      </c>
      <c r="G24" s="191">
        <v>26525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3331548670</v>
      </c>
      <c r="C25" s="185" t="s">
        <v>82</v>
      </c>
      <c r="D25" s="185">
        <v>24140304</v>
      </c>
      <c r="E25" s="81" t="s">
        <v>150</v>
      </c>
      <c r="F25" s="81" t="s">
        <v>199</v>
      </c>
      <c r="G25" s="191">
        <v>13000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3331548667</v>
      </c>
      <c r="C26" s="185" t="s">
        <v>82</v>
      </c>
      <c r="D26" s="185"/>
      <c r="E26" s="81" t="s">
        <v>134</v>
      </c>
      <c r="F26" s="81" t="s">
        <v>199</v>
      </c>
      <c r="G26" s="191">
        <v>11348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3331548673</v>
      </c>
      <c r="C27" s="185" t="s">
        <v>82</v>
      </c>
      <c r="D27" s="185">
        <v>24140290</v>
      </c>
      <c r="E27" s="81" t="s">
        <v>219</v>
      </c>
      <c r="F27" s="81" t="s">
        <v>199</v>
      </c>
      <c r="G27" s="191">
        <v>24763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3331548675</v>
      </c>
      <c r="C28" s="185" t="s">
        <v>34</v>
      </c>
      <c r="D28" s="185">
        <v>24140291</v>
      </c>
      <c r="E28" s="81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218</v>
      </c>
      <c r="B29" s="81">
        <v>3331548333</v>
      </c>
      <c r="C29" s="185" t="s">
        <v>82</v>
      </c>
      <c r="D29" s="185">
        <v>24140295</v>
      </c>
      <c r="E29" s="81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3331548732</v>
      </c>
      <c r="C30" s="185" t="s">
        <v>206</v>
      </c>
      <c r="D30" s="185">
        <v>24140296</v>
      </c>
      <c r="E30" s="81" t="s">
        <v>224</v>
      </c>
      <c r="F30" s="81" t="s">
        <v>203</v>
      </c>
      <c r="G30" s="191">
        <v>33872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3331548736</v>
      </c>
      <c r="C31" s="185" t="s">
        <v>206</v>
      </c>
      <c r="D31" s="185">
        <v>24140297</v>
      </c>
      <c r="E31" s="81" t="s">
        <v>224</v>
      </c>
      <c r="F31" s="81" t="s">
        <v>203</v>
      </c>
      <c r="G31" s="191">
        <v>44529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3331548741</v>
      </c>
      <c r="C32" s="185" t="s">
        <v>206</v>
      </c>
      <c r="D32" s="185">
        <v>24140298</v>
      </c>
      <c r="E32" s="81" t="s">
        <v>224</v>
      </c>
      <c r="F32" s="81" t="s">
        <v>203</v>
      </c>
      <c r="G32" s="191">
        <v>45726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3331548746</v>
      </c>
      <c r="C33" s="185" t="s">
        <v>206</v>
      </c>
      <c r="D33" s="185">
        <v>24140299</v>
      </c>
      <c r="E33" s="81" t="s">
        <v>225</v>
      </c>
      <c r="F33" s="81" t="s">
        <v>203</v>
      </c>
      <c r="G33" s="191">
        <v>37035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3331548749</v>
      </c>
      <c r="C34" s="185" t="s">
        <v>206</v>
      </c>
      <c r="D34" s="185">
        <v>24140300</v>
      </c>
      <c r="E34" s="81" t="s">
        <v>225</v>
      </c>
      <c r="F34" s="81" t="s">
        <v>203</v>
      </c>
      <c r="G34" s="191">
        <v>33812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3331548756</v>
      </c>
      <c r="C35" s="185" t="s">
        <v>175</v>
      </c>
      <c r="D35" s="185">
        <v>24140301</v>
      </c>
      <c r="E35" s="81" t="s">
        <v>225</v>
      </c>
      <c r="F35" s="81" t="s">
        <v>203</v>
      </c>
      <c r="G35" s="191">
        <v>34290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3331548760</v>
      </c>
      <c r="C36" s="185" t="s">
        <v>82</v>
      </c>
      <c r="D36" s="185">
        <v>24140303</v>
      </c>
      <c r="E36" s="81" t="s">
        <v>12</v>
      </c>
      <c r="F36" s="81" t="s">
        <v>199</v>
      </c>
      <c r="G36" s="191">
        <v>13963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3331548761</v>
      </c>
      <c r="C37" s="185"/>
      <c r="D37" s="185"/>
      <c r="E37" s="81" t="s">
        <v>12</v>
      </c>
      <c r="F37" s="81" t="s">
        <v>199</v>
      </c>
      <c r="G37" s="191">
        <v>10480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1" t="s">
        <v>221</v>
      </c>
      <c r="B38" s="82">
        <v>3331548736</v>
      </c>
      <c r="C38" s="185" t="s">
        <v>206</v>
      </c>
      <c r="D38" s="185">
        <v>24140297</v>
      </c>
      <c r="E38" s="81" t="s">
        <v>224</v>
      </c>
      <c r="F38" s="81" t="s">
        <v>203</v>
      </c>
      <c r="G38" s="191">
        <v>44529</v>
      </c>
      <c r="H38" s="191" t="s">
        <v>128</v>
      </c>
      <c r="I38" s="191">
        <v>1</v>
      </c>
      <c r="J38" s="81">
        <v>1</v>
      </c>
      <c r="K38" s="331">
        <v>0.17986111111111111</v>
      </c>
      <c r="L38" s="331">
        <v>0.44444444444444442</v>
      </c>
    </row>
    <row r="39" spans="1:12" s="27" customFormat="1" hidden="1">
      <c r="A39" s="81" t="s">
        <v>221</v>
      </c>
      <c r="B39" s="82">
        <v>3331548749</v>
      </c>
      <c r="C39" s="185" t="s">
        <v>49</v>
      </c>
      <c r="D39" s="185">
        <v>24140300</v>
      </c>
      <c r="E39" s="81" t="s">
        <v>226</v>
      </c>
      <c r="F39" s="81" t="s">
        <v>203</v>
      </c>
      <c r="G39" s="191">
        <v>35775.372000000003</v>
      </c>
      <c r="H39" s="191" t="s">
        <v>128</v>
      </c>
      <c r="I39" s="191">
        <v>1</v>
      </c>
      <c r="J39" s="191">
        <v>1</v>
      </c>
      <c r="K39" s="237" t="str">
        <f>IFERROR(VLOOKUP(B39,'IN OUT'!F:G,2,FALSE), "BELUM MASUK")</f>
        <v>BELUM MASUK</v>
      </c>
      <c r="L39" s="237">
        <v>9.0277777777777776E-2</v>
      </c>
    </row>
    <row r="40" spans="1:12" s="27" customFormat="1" hidden="1">
      <c r="A40" s="81" t="s">
        <v>221</v>
      </c>
      <c r="B40" s="82">
        <v>3331548756</v>
      </c>
      <c r="C40" s="185" t="s">
        <v>227</v>
      </c>
      <c r="D40" s="185">
        <v>24140301</v>
      </c>
      <c r="E40" s="82" t="s">
        <v>134</v>
      </c>
      <c r="F40" s="81" t="s">
        <v>203</v>
      </c>
      <c r="G40" s="191">
        <v>34495.741000000002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 t="s">
        <v>228</v>
      </c>
    </row>
    <row r="41" spans="1:12" s="35" customFormat="1" hidden="1">
      <c r="A41" s="81" t="s">
        <v>229</v>
      </c>
      <c r="B41" s="81">
        <v>3331548394</v>
      </c>
      <c r="C41" s="185" t="s">
        <v>34</v>
      </c>
      <c r="D41" s="185">
        <v>24140305</v>
      </c>
      <c r="E41" s="81" t="s">
        <v>230</v>
      </c>
      <c r="F41" s="81" t="s">
        <v>199</v>
      </c>
      <c r="G41" s="191">
        <v>26626.47</v>
      </c>
      <c r="H41" s="191" t="s">
        <v>220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>
        <v>0.84027777777777779</v>
      </c>
    </row>
    <row r="42" spans="1:12" s="35" customFormat="1" hidden="1">
      <c r="A42" s="81" t="s">
        <v>229</v>
      </c>
      <c r="B42" s="81">
        <v>3331548958</v>
      </c>
      <c r="C42" s="185" t="s">
        <v>206</v>
      </c>
      <c r="D42" s="185">
        <v>24140306</v>
      </c>
      <c r="E42" s="81" t="s">
        <v>224</v>
      </c>
      <c r="F42" s="203" t="s">
        <v>203</v>
      </c>
      <c r="G42" s="332">
        <v>42969.277999999998</v>
      </c>
      <c r="H42" s="332" t="s">
        <v>128</v>
      </c>
      <c r="I42" s="332">
        <v>1</v>
      </c>
      <c r="J42" s="332">
        <v>1</v>
      </c>
      <c r="K42" s="237" t="str">
        <f>IFERROR(VLOOKUP(B42,'IN OUT'!F:G,2,FALSE), "BELUM MASUK")</f>
        <v>BELUM MASUK</v>
      </c>
      <c r="L42" s="237" t="s">
        <v>228</v>
      </c>
    </row>
    <row r="43" spans="1:12" s="35" customFormat="1" hidden="1">
      <c r="A43" s="203" t="s">
        <v>229</v>
      </c>
      <c r="B43" s="203">
        <v>3331548967</v>
      </c>
      <c r="C43" s="333" t="s">
        <v>227</v>
      </c>
      <c r="D43" s="333">
        <v>24140307</v>
      </c>
      <c r="E43" s="334" t="s">
        <v>224</v>
      </c>
      <c r="F43" s="203" t="s">
        <v>203</v>
      </c>
      <c r="G43" s="332">
        <v>43071.89</v>
      </c>
      <c r="H43" s="332" t="s">
        <v>128</v>
      </c>
      <c r="I43" s="203">
        <v>1</v>
      </c>
      <c r="J43" s="203">
        <v>1</v>
      </c>
      <c r="K43" s="200">
        <v>0.71081018518518524</v>
      </c>
      <c r="L43" s="237">
        <v>6.25E-2</v>
      </c>
    </row>
    <row r="44" spans="1:12" s="44" customFormat="1" hidden="1">
      <c r="A44" s="81" t="s">
        <v>229</v>
      </c>
      <c r="B44" s="82">
        <v>3331548968</v>
      </c>
      <c r="C44" s="80" t="s">
        <v>11</v>
      </c>
      <c r="D44" s="80">
        <v>24140309</v>
      </c>
      <c r="E44" s="81" t="s">
        <v>226</v>
      </c>
      <c r="F44" s="81" t="s">
        <v>203</v>
      </c>
      <c r="G44" s="191">
        <v>32961.589999999997</v>
      </c>
      <c r="H44" s="191" t="s">
        <v>128</v>
      </c>
      <c r="I44" s="81">
        <v>1</v>
      </c>
      <c r="J44" s="81">
        <v>1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81" t="s">
        <v>229</v>
      </c>
      <c r="B45" s="82">
        <v>3331548969</v>
      </c>
      <c r="C45" s="80" t="s">
        <v>206</v>
      </c>
      <c r="D45" s="80">
        <v>24140310</v>
      </c>
      <c r="E45" s="81" t="s">
        <v>226</v>
      </c>
      <c r="F45" s="81" t="s">
        <v>203</v>
      </c>
      <c r="G45" s="191">
        <v>34967.553999999996</v>
      </c>
      <c r="H45" s="191" t="s">
        <v>128</v>
      </c>
      <c r="I45" s="81">
        <v>1</v>
      </c>
      <c r="J45" s="81">
        <v>0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3331547878</v>
      </c>
      <c r="C46" s="80" t="s">
        <v>206</v>
      </c>
      <c r="D46" s="80">
        <v>24140311</v>
      </c>
      <c r="E46" s="81" t="s">
        <v>231</v>
      </c>
      <c r="F46" s="81" t="s">
        <v>203</v>
      </c>
      <c r="G46" s="191">
        <v>42299.445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3331549001</v>
      </c>
      <c r="C47" s="80" t="s">
        <v>206</v>
      </c>
      <c r="D47" s="80">
        <v>24140312</v>
      </c>
      <c r="E47" s="81" t="s">
        <v>173</v>
      </c>
      <c r="F47" s="81" t="s">
        <v>205</v>
      </c>
      <c r="G47" s="191">
        <v>40818.074999999997</v>
      </c>
      <c r="H47" s="191" t="s">
        <v>128</v>
      </c>
      <c r="I47" s="81">
        <v>1</v>
      </c>
      <c r="J47" s="81">
        <v>0</v>
      </c>
      <c r="K47" s="200">
        <v>0.20208333333333334</v>
      </c>
      <c r="L47" s="200" t="s">
        <v>228</v>
      </c>
    </row>
    <row r="48" spans="1:12" hidden="1">
      <c r="A48" s="203" t="s">
        <v>229</v>
      </c>
      <c r="B48" s="203">
        <v>3331549014</v>
      </c>
      <c r="C48" s="1497" t="s">
        <v>27</v>
      </c>
      <c r="D48" s="1497">
        <v>24140313</v>
      </c>
      <c r="E48" s="1497" t="s">
        <v>70</v>
      </c>
      <c r="F48" s="1497" t="s">
        <v>199</v>
      </c>
      <c r="G48" s="332">
        <v>22104.974999999999</v>
      </c>
      <c r="H48" s="203" t="s">
        <v>220</v>
      </c>
      <c r="I48" s="203">
        <v>1</v>
      </c>
      <c r="J48" s="203">
        <v>1</v>
      </c>
      <c r="K48" s="1494">
        <v>0.69403935185185184</v>
      </c>
      <c r="L48" s="237" t="s">
        <v>228</v>
      </c>
    </row>
    <row r="49" spans="1:12" hidden="1">
      <c r="A49" s="81" t="s">
        <v>229</v>
      </c>
      <c r="B49" s="81">
        <v>3331549063</v>
      </c>
      <c r="C49" s="1497"/>
      <c r="D49" s="1497"/>
      <c r="E49" s="1497"/>
      <c r="F49" s="1497"/>
      <c r="G49" s="191">
        <v>2026.08</v>
      </c>
      <c r="H49" s="203" t="s">
        <v>220</v>
      </c>
      <c r="I49" s="83"/>
      <c r="J49" s="83"/>
      <c r="K49" s="1494"/>
      <c r="L49" s="237" t="s">
        <v>228</v>
      </c>
    </row>
    <row r="50" spans="1:12" hidden="1">
      <c r="A50" s="81" t="s">
        <v>229</v>
      </c>
      <c r="B50" s="81">
        <v>3331549019</v>
      </c>
      <c r="C50" s="81" t="s">
        <v>27</v>
      </c>
      <c r="D50" s="81">
        <v>24140314</v>
      </c>
      <c r="E50" s="81" t="s">
        <v>156</v>
      </c>
      <c r="F50" s="203" t="s">
        <v>199</v>
      </c>
      <c r="G50" s="191">
        <v>20301.080000000002</v>
      </c>
      <c r="H50" s="203" t="s">
        <v>220</v>
      </c>
      <c r="I50" s="81">
        <v>1</v>
      </c>
      <c r="J50" s="81">
        <v>1</v>
      </c>
      <c r="K50" s="200">
        <v>0.82620370370370366</v>
      </c>
      <c r="L50" s="237" t="s">
        <v>228</v>
      </c>
    </row>
    <row r="51" spans="1:12" hidden="1">
      <c r="A51" s="81" t="s">
        <v>229</v>
      </c>
      <c r="B51" s="81">
        <v>3331549073</v>
      </c>
      <c r="C51" s="81" t="s">
        <v>34</v>
      </c>
      <c r="D51" s="81">
        <v>24140315</v>
      </c>
      <c r="E51" s="81" t="s">
        <v>165</v>
      </c>
      <c r="F51" s="203" t="s">
        <v>199</v>
      </c>
      <c r="G51" s="191">
        <v>26098.657999999999</v>
      </c>
      <c r="H51" s="203" t="s">
        <v>220</v>
      </c>
      <c r="I51" s="81">
        <v>1</v>
      </c>
      <c r="J51" s="81">
        <v>1</v>
      </c>
      <c r="K51" s="200">
        <v>0.75359953703703708</v>
      </c>
      <c r="L51" s="237" t="s">
        <v>228</v>
      </c>
    </row>
    <row r="52" spans="1:12" hidden="1">
      <c r="A52" s="81" t="s">
        <v>229</v>
      </c>
      <c r="B52" s="81">
        <v>3331549101</v>
      </c>
      <c r="C52" s="81" t="s">
        <v>227</v>
      </c>
      <c r="D52" s="81">
        <v>24140316</v>
      </c>
      <c r="E52" s="81" t="s">
        <v>129</v>
      </c>
      <c r="F52" s="81" t="s">
        <v>205</v>
      </c>
      <c r="G52" s="191">
        <v>46276.201000000001</v>
      </c>
      <c r="H52" s="81" t="s">
        <v>128</v>
      </c>
      <c r="I52" s="81">
        <v>1</v>
      </c>
      <c r="J52" s="81">
        <v>1</v>
      </c>
      <c r="K52" s="200">
        <v>0.95194444444444448</v>
      </c>
      <c r="L52" s="200" t="s">
        <v>228</v>
      </c>
    </row>
    <row r="53" spans="1:12" hidden="1">
      <c r="A53" s="81" t="s">
        <v>229</v>
      </c>
      <c r="B53" s="81">
        <v>3331549149</v>
      </c>
      <c r="C53" s="81" t="s">
        <v>137</v>
      </c>
      <c r="D53" s="81">
        <v>24140318</v>
      </c>
      <c r="E53" s="81" t="s">
        <v>46</v>
      </c>
      <c r="F53" s="81" t="s">
        <v>199</v>
      </c>
      <c r="G53" s="191">
        <v>25114.95</v>
      </c>
      <c r="H53" s="81" t="s">
        <v>220</v>
      </c>
      <c r="I53" s="81">
        <v>1</v>
      </c>
      <c r="J53" s="81">
        <v>1</v>
      </c>
      <c r="K53" s="200">
        <v>0.76285879629629627</v>
      </c>
      <c r="L53" s="237" t="s">
        <v>232</v>
      </c>
    </row>
    <row r="54" spans="1:12" s="108" customFormat="1" hidden="1">
      <c r="A54" s="81" t="s">
        <v>229</v>
      </c>
      <c r="B54" s="81">
        <v>3331549158</v>
      </c>
      <c r="C54" s="81" t="s">
        <v>27</v>
      </c>
      <c r="D54" s="81">
        <v>24140319</v>
      </c>
      <c r="E54" s="81" t="s">
        <v>46</v>
      </c>
      <c r="F54" s="81" t="s">
        <v>199</v>
      </c>
      <c r="G54" s="191">
        <v>22543.454000000002</v>
      </c>
      <c r="H54" s="81" t="s">
        <v>220</v>
      </c>
      <c r="I54" s="81">
        <v>1</v>
      </c>
      <c r="J54" s="81">
        <v>1</v>
      </c>
      <c r="K54" s="237">
        <v>0.93285879629629631</v>
      </c>
      <c r="L54" s="200" t="s">
        <v>228</v>
      </c>
    </row>
    <row r="55" spans="1:12" hidden="1">
      <c r="A55" s="81" t="s">
        <v>229</v>
      </c>
      <c r="B55" s="81">
        <v>3331549164</v>
      </c>
      <c r="C55" s="81" t="s">
        <v>27</v>
      </c>
      <c r="D55" s="81">
        <v>24140321</v>
      </c>
      <c r="E55" s="81" t="s">
        <v>46</v>
      </c>
      <c r="F55" s="81" t="s">
        <v>199</v>
      </c>
      <c r="G55" s="191">
        <v>27921.53</v>
      </c>
      <c r="H55" s="81" t="s">
        <v>220</v>
      </c>
      <c r="I55" s="81">
        <v>1</v>
      </c>
      <c r="J55" s="81">
        <v>1</v>
      </c>
      <c r="K55" s="237">
        <v>0.86071759259259262</v>
      </c>
      <c r="L55" s="200" t="s">
        <v>228</v>
      </c>
    </row>
    <row r="56" spans="1:12" s="261" customFormat="1" hidden="1">
      <c r="A56" s="81" t="s">
        <v>229</v>
      </c>
      <c r="B56" s="81">
        <v>3331549168</v>
      </c>
      <c r="C56" s="81" t="s">
        <v>34</v>
      </c>
      <c r="D56" s="81">
        <v>24140323</v>
      </c>
      <c r="E56" s="81" t="s">
        <v>48</v>
      </c>
      <c r="F56" s="81" t="s">
        <v>199</v>
      </c>
      <c r="G56" s="191">
        <v>30009.3</v>
      </c>
      <c r="H56" s="81" t="s">
        <v>220</v>
      </c>
      <c r="I56" s="81">
        <v>1</v>
      </c>
      <c r="J56" s="81">
        <v>1</v>
      </c>
      <c r="K56" s="237">
        <v>0.78456018518518522</v>
      </c>
      <c r="L56" s="237">
        <v>8.3333333333333329E-2</v>
      </c>
    </row>
    <row r="57" spans="1:12" hidden="1">
      <c r="A57" s="203" t="s">
        <v>229</v>
      </c>
      <c r="B57" s="203">
        <v>3331549173</v>
      </c>
      <c r="C57" s="203" t="s">
        <v>34</v>
      </c>
      <c r="D57" s="203">
        <v>24140324</v>
      </c>
      <c r="E57" s="203" t="s">
        <v>48</v>
      </c>
      <c r="F57" s="203" t="s">
        <v>199</v>
      </c>
      <c r="G57" s="332">
        <v>25702.875</v>
      </c>
      <c r="H57" s="203" t="s">
        <v>220</v>
      </c>
      <c r="I57" s="203">
        <v>1</v>
      </c>
      <c r="J57" s="203">
        <v>1</v>
      </c>
      <c r="K57" s="200">
        <v>0.81268518518518518</v>
      </c>
      <c r="L57" s="200" t="s">
        <v>228</v>
      </c>
    </row>
    <row r="58" spans="1:12" hidden="1">
      <c r="A58" s="81" t="s">
        <v>233</v>
      </c>
      <c r="B58" s="82">
        <v>3331548968</v>
      </c>
      <c r="C58" s="80" t="s">
        <v>11</v>
      </c>
      <c r="D58" s="80">
        <v>24140309</v>
      </c>
      <c r="E58" s="81" t="s">
        <v>226</v>
      </c>
      <c r="F58" s="81" t="s">
        <v>203</v>
      </c>
      <c r="G58" s="191">
        <v>32961.589999999997</v>
      </c>
      <c r="H58" s="191" t="s">
        <v>128</v>
      </c>
      <c r="I58" s="81">
        <v>1</v>
      </c>
      <c r="J58" s="81">
        <v>1</v>
      </c>
      <c r="K58" s="200" t="str">
        <f>IFERROR(VLOOKUP(B58,'IN OUT'!F:G,2,FALSE), "BELUM MASUK")</f>
        <v>BELUM MASUK</v>
      </c>
      <c r="L58" s="200" t="s">
        <v>228</v>
      </c>
    </row>
    <row r="59" spans="1:12" hidden="1">
      <c r="A59" s="81" t="s">
        <v>233</v>
      </c>
      <c r="B59" s="82">
        <v>3331548969</v>
      </c>
      <c r="C59" s="80" t="s">
        <v>206</v>
      </c>
      <c r="D59" s="80">
        <v>24140310</v>
      </c>
      <c r="E59" s="81" t="s">
        <v>226</v>
      </c>
      <c r="F59" s="81" t="s">
        <v>203</v>
      </c>
      <c r="G59" s="191">
        <v>34967.553999999996</v>
      </c>
      <c r="H59" s="191" t="s">
        <v>128</v>
      </c>
      <c r="I59" s="81">
        <v>1</v>
      </c>
      <c r="J59" s="81">
        <v>0</v>
      </c>
      <c r="K59" s="200" t="str">
        <f>IFERROR(VLOOKUP(B59,'IN OUT'!F:G,2,FALSE), "BELUM MASUK")</f>
        <v>BELUM MASUK</v>
      </c>
      <c r="L59" s="200" t="s">
        <v>228</v>
      </c>
    </row>
    <row r="60" spans="1:12" hidden="1">
      <c r="A60" s="81" t="s">
        <v>233</v>
      </c>
      <c r="B60" s="82">
        <v>3331547878</v>
      </c>
      <c r="C60" s="80" t="s">
        <v>206</v>
      </c>
      <c r="D60" s="80">
        <v>24140311</v>
      </c>
      <c r="E60" s="81" t="s">
        <v>130</v>
      </c>
      <c r="F60" s="81" t="s">
        <v>203</v>
      </c>
      <c r="G60" s="191">
        <v>42299.445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2" hidden="1">
      <c r="A61" s="81" t="s">
        <v>233</v>
      </c>
      <c r="B61" s="82">
        <v>3331549001</v>
      </c>
      <c r="C61" s="80" t="s">
        <v>206</v>
      </c>
      <c r="D61" s="80">
        <v>24140312</v>
      </c>
      <c r="E61" s="81" t="s">
        <v>129</v>
      </c>
      <c r="F61" s="81" t="s">
        <v>205</v>
      </c>
      <c r="G61" s="191">
        <v>40818.074999999997</v>
      </c>
      <c r="H61" s="191" t="s">
        <v>128</v>
      </c>
      <c r="I61" s="81">
        <v>1</v>
      </c>
      <c r="J61" s="81">
        <v>0</v>
      </c>
      <c r="K61" s="200">
        <v>0.20208333333333334</v>
      </c>
      <c r="L61" s="200" t="s">
        <v>228</v>
      </c>
    </row>
    <row r="62" spans="1:12" s="44" customFormat="1">
      <c r="A62" s="81" t="s">
        <v>234</v>
      </c>
      <c r="B62" s="81">
        <v>3331548968</v>
      </c>
      <c r="C62" s="80" t="s">
        <v>11</v>
      </c>
      <c r="D62" s="80">
        <v>24140309</v>
      </c>
      <c r="E62" s="81" t="s">
        <v>226</v>
      </c>
      <c r="F62" s="81" t="s">
        <v>203</v>
      </c>
      <c r="G62" s="191">
        <v>32961.589999999997</v>
      </c>
      <c r="H62" s="191" t="s">
        <v>128</v>
      </c>
      <c r="I62" s="81">
        <v>1</v>
      </c>
      <c r="J62" s="81">
        <v>1</v>
      </c>
      <c r="K62" s="272" t="s">
        <v>204</v>
      </c>
      <c r="L62" s="305" t="str">
        <f>IFERROR(VLOOKUP(B62,'IN OUT'!F:H,3,FALSE), "BELUM KELUAR")</f>
        <v>BELUM KELUAR</v>
      </c>
    </row>
    <row r="63" spans="1:12" s="35" customFormat="1">
      <c r="A63" s="82" t="s">
        <v>234</v>
      </c>
      <c r="B63" s="82">
        <v>3331548969</v>
      </c>
      <c r="C63" s="114" t="s">
        <v>206</v>
      </c>
      <c r="D63" s="114">
        <v>24140310</v>
      </c>
      <c r="E63" s="82" t="s">
        <v>226</v>
      </c>
      <c r="F63" s="82" t="s">
        <v>203</v>
      </c>
      <c r="G63" s="219">
        <v>34967.553999999996</v>
      </c>
      <c r="H63" s="219" t="s">
        <v>128</v>
      </c>
      <c r="I63" s="82">
        <v>1</v>
      </c>
      <c r="J63" s="82">
        <v>1</v>
      </c>
      <c r="K63" s="272" t="s">
        <v>204</v>
      </c>
      <c r="L63" s="200"/>
    </row>
    <row r="64" spans="1:12" s="44" customFormat="1">
      <c r="A64" s="81" t="s">
        <v>234</v>
      </c>
      <c r="B64" s="81">
        <v>3331547878</v>
      </c>
      <c r="C64" s="80" t="s">
        <v>206</v>
      </c>
      <c r="D64" s="80">
        <v>24140311</v>
      </c>
      <c r="E64" s="81" t="s">
        <v>235</v>
      </c>
      <c r="F64" s="81" t="s">
        <v>203</v>
      </c>
      <c r="G64" s="191">
        <v>42299.445</v>
      </c>
      <c r="H64" s="191" t="s">
        <v>128</v>
      </c>
      <c r="I64" s="81">
        <v>1</v>
      </c>
      <c r="J64" s="81">
        <v>1</v>
      </c>
      <c r="K64" s="272" t="s">
        <v>204</v>
      </c>
      <c r="L64" s="305">
        <v>0.68541666666666667</v>
      </c>
    </row>
    <row r="65" spans="1:13" s="44" customFormat="1">
      <c r="A65" s="81" t="s">
        <v>234</v>
      </c>
      <c r="B65" s="81">
        <v>3331549001</v>
      </c>
      <c r="C65" s="80" t="s">
        <v>206</v>
      </c>
      <c r="D65" s="80">
        <v>24140312</v>
      </c>
      <c r="E65" s="81" t="s">
        <v>236</v>
      </c>
      <c r="F65" s="81" t="s">
        <v>205</v>
      </c>
      <c r="G65" s="191">
        <v>40818.074999999997</v>
      </c>
      <c r="H65" s="191" t="s">
        <v>128</v>
      </c>
      <c r="I65" s="203">
        <v>1</v>
      </c>
      <c r="J65" s="203">
        <v>1</v>
      </c>
      <c r="K65" s="272" t="s">
        <v>204</v>
      </c>
      <c r="L65" s="305"/>
    </row>
    <row r="66" spans="1:13" s="44" customFormat="1">
      <c r="A66" s="114" t="s">
        <v>237</v>
      </c>
      <c r="B66" s="81">
        <v>3331549196</v>
      </c>
      <c r="C66" s="81" t="s">
        <v>27</v>
      </c>
      <c r="D66" s="81">
        <v>24140326</v>
      </c>
      <c r="E66" s="81" t="s">
        <v>219</v>
      </c>
      <c r="F66" s="81" t="s">
        <v>199</v>
      </c>
      <c r="G66" s="191">
        <v>25376.35</v>
      </c>
      <c r="H66" s="240" t="s">
        <v>200</v>
      </c>
      <c r="I66" s="81">
        <v>1</v>
      </c>
      <c r="J66" s="81">
        <v>1</v>
      </c>
      <c r="K66" s="272" t="s">
        <v>204</v>
      </c>
      <c r="L66" s="305"/>
    </row>
    <row r="67" spans="1:13" s="297" customFormat="1">
      <c r="A67" s="114" t="s">
        <v>237</v>
      </c>
      <c r="B67" s="114">
        <v>3331548636</v>
      </c>
      <c r="C67" s="114" t="s">
        <v>27</v>
      </c>
      <c r="D67" s="114">
        <v>24140327</v>
      </c>
      <c r="E67" s="270" t="s">
        <v>235</v>
      </c>
      <c r="F67" s="114" t="s">
        <v>203</v>
      </c>
      <c r="G67" s="270">
        <v>42872.294999999998</v>
      </c>
      <c r="H67" s="271" t="s">
        <v>128</v>
      </c>
      <c r="I67" s="114">
        <v>1</v>
      </c>
      <c r="J67" s="114">
        <v>1</v>
      </c>
      <c r="K67" s="272" t="s">
        <v>204</v>
      </c>
      <c r="L67" s="273"/>
    </row>
    <row r="68" spans="1:13" s="35" customFormat="1">
      <c r="A68" s="114" t="s">
        <v>237</v>
      </c>
      <c r="B68" s="82">
        <v>3331549287</v>
      </c>
      <c r="C68" s="82" t="s">
        <v>175</v>
      </c>
      <c r="D68" s="82">
        <v>24140328</v>
      </c>
      <c r="E68" s="82" t="s">
        <v>236</v>
      </c>
      <c r="F68" s="82" t="s">
        <v>205</v>
      </c>
      <c r="G68" s="219">
        <v>47802.824999999997</v>
      </c>
      <c r="H68" s="252" t="s">
        <v>128</v>
      </c>
      <c r="I68" s="115">
        <v>1</v>
      </c>
      <c r="J68" s="115">
        <v>1</v>
      </c>
      <c r="K68" s="272" t="s">
        <v>204</v>
      </c>
      <c r="L68" s="200"/>
    </row>
    <row r="69" spans="1:13" s="35" customFormat="1">
      <c r="A69" s="114" t="s">
        <v>237</v>
      </c>
      <c r="B69" s="81">
        <v>3331549288</v>
      </c>
      <c r="C69" s="81" t="s">
        <v>27</v>
      </c>
      <c r="D69" s="81">
        <v>24140329</v>
      </c>
      <c r="E69" s="81" t="s">
        <v>239</v>
      </c>
      <c r="F69" s="81" t="s">
        <v>199</v>
      </c>
      <c r="G69" s="191">
        <v>24670.74</v>
      </c>
      <c r="H69" s="81" t="s">
        <v>200</v>
      </c>
      <c r="I69" s="81">
        <v>1</v>
      </c>
      <c r="J69" s="81">
        <v>1</v>
      </c>
      <c r="K69" s="272" t="s">
        <v>204</v>
      </c>
      <c r="L69" s="305">
        <v>0.65427083333333336</v>
      </c>
      <c r="M69" s="44"/>
    </row>
    <row r="70" spans="1:13" s="35" customFormat="1">
      <c r="A70" s="114" t="s">
        <v>237</v>
      </c>
      <c r="B70" s="81">
        <v>3331549290</v>
      </c>
      <c r="C70" s="81" t="s">
        <v>27</v>
      </c>
      <c r="D70" s="81">
        <v>24140330</v>
      </c>
      <c r="E70" s="81" t="s">
        <v>239</v>
      </c>
      <c r="F70" s="81" t="s">
        <v>199</v>
      </c>
      <c r="G70" s="191">
        <v>25234.544999999998</v>
      </c>
      <c r="H70" s="81" t="s">
        <v>200</v>
      </c>
      <c r="I70" s="81">
        <v>1</v>
      </c>
      <c r="J70" s="81">
        <v>1</v>
      </c>
      <c r="K70" s="272" t="s">
        <v>204</v>
      </c>
      <c r="L70" s="305">
        <v>0.72499999999999998</v>
      </c>
      <c r="M70" s="44"/>
    </row>
    <row r="71" spans="1:13" s="35" customFormat="1">
      <c r="A71" s="114" t="s">
        <v>237</v>
      </c>
      <c r="B71" s="82">
        <v>3331549303</v>
      </c>
      <c r="C71" s="82" t="s">
        <v>27</v>
      </c>
      <c r="D71" s="82">
        <v>24140335</v>
      </c>
      <c r="E71" s="82" t="s">
        <v>226</v>
      </c>
      <c r="F71" s="82" t="s">
        <v>203</v>
      </c>
      <c r="G71" s="219">
        <v>31377.14</v>
      </c>
      <c r="H71" s="82" t="s">
        <v>128</v>
      </c>
      <c r="I71" s="82">
        <v>1</v>
      </c>
      <c r="J71" s="82">
        <v>1</v>
      </c>
      <c r="K71" s="272" t="s">
        <v>204</v>
      </c>
      <c r="L71" s="200"/>
    </row>
    <row r="72" spans="1:13" s="44" customFormat="1">
      <c r="A72" s="114" t="s">
        <v>237</v>
      </c>
      <c r="B72" s="82">
        <v>3331549302</v>
      </c>
      <c r="C72" s="82" t="s">
        <v>152</v>
      </c>
      <c r="D72" s="82">
        <v>24140334</v>
      </c>
      <c r="E72" s="82" t="s">
        <v>226</v>
      </c>
      <c r="F72" s="82" t="s">
        <v>203</v>
      </c>
      <c r="G72" s="219">
        <v>33582.292000000001</v>
      </c>
      <c r="H72" s="82" t="s">
        <v>128</v>
      </c>
      <c r="I72" s="81">
        <v>1</v>
      </c>
      <c r="J72" s="81">
        <v>1</v>
      </c>
      <c r="K72" s="272" t="s">
        <v>204</v>
      </c>
      <c r="L72" s="200"/>
    </row>
    <row r="73" spans="1:13" s="44" customFormat="1">
      <c r="A73" s="114" t="s">
        <v>237</v>
      </c>
      <c r="B73" s="82">
        <v>3331549306</v>
      </c>
      <c r="C73" s="82" t="s">
        <v>206</v>
      </c>
      <c r="D73" s="82">
        <v>24140338</v>
      </c>
      <c r="E73" s="82" t="s">
        <v>224</v>
      </c>
      <c r="F73" s="82" t="s">
        <v>203</v>
      </c>
      <c r="G73" s="219">
        <v>32448.53</v>
      </c>
      <c r="H73" s="82" t="s">
        <v>128</v>
      </c>
      <c r="I73" s="81">
        <v>1</v>
      </c>
      <c r="J73" s="81">
        <v>1</v>
      </c>
      <c r="K73" s="272" t="s">
        <v>204</v>
      </c>
      <c r="L73" s="200"/>
    </row>
    <row r="74" spans="1:13" s="44" customFormat="1">
      <c r="A74" s="114" t="s">
        <v>237</v>
      </c>
      <c r="B74" s="82">
        <v>3331549308</v>
      </c>
      <c r="C74" s="82" t="s">
        <v>206</v>
      </c>
      <c r="D74" s="82">
        <v>24140336</v>
      </c>
      <c r="E74" s="82" t="s">
        <v>224</v>
      </c>
      <c r="F74" s="82" t="s">
        <v>203</v>
      </c>
      <c r="G74" s="219">
        <v>30972.727999999999</v>
      </c>
      <c r="H74" s="82" t="s">
        <v>128</v>
      </c>
      <c r="I74" s="81">
        <v>1</v>
      </c>
      <c r="J74" s="203">
        <v>1</v>
      </c>
      <c r="K74" s="272" t="s">
        <v>204</v>
      </c>
      <c r="L74" s="200"/>
    </row>
    <row r="75" spans="1:13" s="44" customFormat="1">
      <c r="A75" s="114" t="s">
        <v>237</v>
      </c>
      <c r="B75" s="82">
        <v>3331549310</v>
      </c>
      <c r="C75" s="82" t="s">
        <v>206</v>
      </c>
      <c r="D75" s="82">
        <v>24140337</v>
      </c>
      <c r="E75" s="82" t="s">
        <v>224</v>
      </c>
      <c r="F75" s="82" t="s">
        <v>203</v>
      </c>
      <c r="G75" s="219">
        <v>31570.292000000001</v>
      </c>
      <c r="H75" s="82" t="s">
        <v>128</v>
      </c>
      <c r="I75" s="240">
        <v>1</v>
      </c>
      <c r="J75" s="203">
        <v>1</v>
      </c>
      <c r="K75" s="272" t="s">
        <v>204</v>
      </c>
      <c r="L75" s="200"/>
    </row>
    <row r="76" spans="1:13" s="44" customFormat="1">
      <c r="A76" s="114" t="s">
        <v>237</v>
      </c>
      <c r="B76" s="240">
        <v>3331549284</v>
      </c>
      <c r="C76" s="1497" t="s">
        <v>27</v>
      </c>
      <c r="D76" s="1497">
        <v>24140339</v>
      </c>
      <c r="E76" s="81" t="s">
        <v>240</v>
      </c>
      <c r="F76" s="81" t="s">
        <v>199</v>
      </c>
      <c r="G76" s="191">
        <v>4889.3249999999998</v>
      </c>
      <c r="H76" s="81" t="s">
        <v>200</v>
      </c>
      <c r="I76" s="240">
        <v>1</v>
      </c>
      <c r="J76" s="81">
        <v>1</v>
      </c>
      <c r="K76" s="272" t="s">
        <v>204</v>
      </c>
      <c r="L76" s="337"/>
    </row>
    <row r="77" spans="1:13" s="44" customFormat="1">
      <c r="A77" s="114" t="s">
        <v>237</v>
      </c>
      <c r="B77" s="240">
        <v>3331549286</v>
      </c>
      <c r="C77" s="1498"/>
      <c r="D77" s="1498"/>
      <c r="E77" s="81" t="s">
        <v>240</v>
      </c>
      <c r="F77" s="81"/>
      <c r="G77" s="191">
        <v>20213.564999999999</v>
      </c>
      <c r="H77" s="81"/>
      <c r="I77" s="240"/>
      <c r="J77" s="81"/>
      <c r="K77" s="272"/>
      <c r="L77" s="337"/>
    </row>
    <row r="78" spans="1:13" s="44" customFormat="1">
      <c r="A78" s="114" t="s">
        <v>237</v>
      </c>
      <c r="B78" s="81">
        <v>3331549314</v>
      </c>
      <c r="C78" s="124" t="s">
        <v>34</v>
      </c>
      <c r="D78" s="81">
        <v>24140340</v>
      </c>
      <c r="E78" s="81" t="s">
        <v>240</v>
      </c>
      <c r="F78" s="81" t="s">
        <v>199</v>
      </c>
      <c r="G78" s="191">
        <v>24895.86</v>
      </c>
      <c r="H78" s="81" t="s">
        <v>200</v>
      </c>
      <c r="I78" s="240">
        <v>1</v>
      </c>
      <c r="J78" s="124">
        <v>1</v>
      </c>
      <c r="K78" s="272" t="s">
        <v>204</v>
      </c>
      <c r="L78" s="339"/>
      <c r="M78" s="44" t="s">
        <v>251</v>
      </c>
    </row>
    <row r="79" spans="1:13" s="44" customFormat="1">
      <c r="A79" s="114" t="s">
        <v>237</v>
      </c>
      <c r="B79" s="81">
        <v>3331549316</v>
      </c>
      <c r="C79" s="81" t="s">
        <v>34</v>
      </c>
      <c r="D79" s="81">
        <v>24140341</v>
      </c>
      <c r="E79" s="81" t="s">
        <v>240</v>
      </c>
      <c r="F79" s="81" t="s">
        <v>199</v>
      </c>
      <c r="G79" s="191">
        <v>24557.174999999999</v>
      </c>
      <c r="H79" s="81" t="s">
        <v>200</v>
      </c>
      <c r="I79" s="240">
        <v>1</v>
      </c>
      <c r="J79" s="81">
        <v>1</v>
      </c>
      <c r="K79" s="272" t="s">
        <v>204</v>
      </c>
      <c r="L79" s="305"/>
      <c r="M79" s="44" t="s">
        <v>252</v>
      </c>
    </row>
    <row r="80" spans="1:13" s="44" customFormat="1">
      <c r="A80" s="114" t="s">
        <v>237</v>
      </c>
      <c r="B80" s="81">
        <v>3331549319</v>
      </c>
      <c r="C80" s="81" t="s">
        <v>34</v>
      </c>
      <c r="D80" s="81">
        <v>24140342</v>
      </c>
      <c r="E80" s="81" t="s">
        <v>240</v>
      </c>
      <c r="F80" s="81" t="s">
        <v>199</v>
      </c>
      <c r="G80" s="191">
        <v>24780.285</v>
      </c>
      <c r="H80" s="81" t="s">
        <v>200</v>
      </c>
      <c r="I80" s="240">
        <v>1</v>
      </c>
      <c r="J80" s="81">
        <v>1</v>
      </c>
      <c r="K80" s="272" t="s">
        <v>204</v>
      </c>
      <c r="L80" s="305"/>
      <c r="M80" s="44" t="s">
        <v>251</v>
      </c>
    </row>
    <row r="81" spans="1:12" s="44" customFormat="1">
      <c r="A81" s="114" t="s">
        <v>237</v>
      </c>
      <c r="B81" s="82">
        <v>3331549321</v>
      </c>
      <c r="C81" s="82" t="s">
        <v>152</v>
      </c>
      <c r="D81" s="82">
        <v>24140343</v>
      </c>
      <c r="E81" s="82" t="s">
        <v>242</v>
      </c>
      <c r="F81" s="82" t="s">
        <v>199</v>
      </c>
      <c r="G81" s="219">
        <v>24602.400000000001</v>
      </c>
      <c r="H81" s="82" t="s">
        <v>200</v>
      </c>
      <c r="I81" s="240">
        <v>1</v>
      </c>
      <c r="J81" s="81">
        <v>1</v>
      </c>
      <c r="K81" s="272" t="s">
        <v>204</v>
      </c>
      <c r="L81" s="200"/>
    </row>
    <row r="82" spans="1:12" s="44" customFormat="1">
      <c r="A82" s="114" t="s">
        <v>237</v>
      </c>
      <c r="B82" s="82">
        <v>3331549324</v>
      </c>
      <c r="C82" s="82" t="s">
        <v>152</v>
      </c>
      <c r="D82" s="82">
        <v>24140344</v>
      </c>
      <c r="E82" s="82" t="s">
        <v>242</v>
      </c>
      <c r="F82" s="82" t="s">
        <v>199</v>
      </c>
      <c r="G82" s="219">
        <v>25388.31</v>
      </c>
      <c r="H82" s="82" t="s">
        <v>200</v>
      </c>
      <c r="I82" s="240">
        <v>1</v>
      </c>
      <c r="J82" s="81">
        <v>1</v>
      </c>
      <c r="K82" s="272" t="s">
        <v>204</v>
      </c>
      <c r="L82" s="200"/>
    </row>
    <row r="83" spans="1:12" s="44" customFormat="1">
      <c r="A83" s="114" t="s">
        <v>237</v>
      </c>
      <c r="B83" s="82">
        <v>3331549327</v>
      </c>
      <c r="C83" s="82" t="s">
        <v>34</v>
      </c>
      <c r="D83" s="82">
        <v>24140346</v>
      </c>
      <c r="E83" s="82" t="s">
        <v>243</v>
      </c>
      <c r="F83" s="82" t="s">
        <v>199</v>
      </c>
      <c r="G83" s="219">
        <v>26166.06</v>
      </c>
      <c r="H83" s="82" t="s">
        <v>200</v>
      </c>
      <c r="I83" s="240">
        <v>1</v>
      </c>
      <c r="J83" s="81">
        <v>1</v>
      </c>
      <c r="K83" s="272" t="s">
        <v>204</v>
      </c>
      <c r="L83" s="200"/>
    </row>
    <row r="84" spans="1:12" s="44" customFormat="1">
      <c r="A84" s="114" t="s">
        <v>237</v>
      </c>
      <c r="B84" s="82">
        <v>3331549363</v>
      </c>
      <c r="C84" s="82" t="s">
        <v>175</v>
      </c>
      <c r="D84" s="82">
        <v>24140350</v>
      </c>
      <c r="E84" s="82" t="s">
        <v>253</v>
      </c>
      <c r="F84" s="82" t="s">
        <v>205</v>
      </c>
      <c r="G84" s="219">
        <v>44167.74</v>
      </c>
      <c r="H84" s="82" t="s">
        <v>128</v>
      </c>
      <c r="I84" s="240">
        <v>1</v>
      </c>
      <c r="J84" s="81">
        <v>1</v>
      </c>
      <c r="K84" s="272" t="s">
        <v>204</v>
      </c>
      <c r="L84" s="200"/>
    </row>
    <row r="85" spans="1:12" s="44" customFormat="1">
      <c r="A85" s="114" t="s">
        <v>237</v>
      </c>
      <c r="B85" s="82">
        <v>3331549372</v>
      </c>
      <c r="C85" s="1499" t="s">
        <v>58</v>
      </c>
      <c r="D85" s="1501">
        <v>24140347</v>
      </c>
      <c r="E85" s="82" t="s">
        <v>121</v>
      </c>
      <c r="F85" s="82" t="s">
        <v>199</v>
      </c>
      <c r="G85" s="219">
        <v>19610.964</v>
      </c>
      <c r="H85" s="82" t="s">
        <v>200</v>
      </c>
      <c r="I85" s="240">
        <v>1</v>
      </c>
      <c r="J85" s="81">
        <v>1</v>
      </c>
      <c r="K85" s="272" t="s">
        <v>204</v>
      </c>
      <c r="L85" s="200"/>
    </row>
    <row r="86" spans="1:12" s="44" customFormat="1">
      <c r="A86" s="114" t="s">
        <v>237</v>
      </c>
      <c r="B86" s="82">
        <v>3331548970</v>
      </c>
      <c r="C86" s="1500"/>
      <c r="D86" s="1502"/>
      <c r="E86" s="82" t="s">
        <v>121</v>
      </c>
      <c r="F86" s="82"/>
      <c r="G86" s="219">
        <v>6192.9359999999997</v>
      </c>
      <c r="H86" s="82"/>
      <c r="I86" s="240"/>
      <c r="J86" s="81"/>
      <c r="K86" s="272"/>
      <c r="L86" s="200"/>
    </row>
    <row r="87" spans="1:12" s="44" customFormat="1">
      <c r="A87" s="114" t="s">
        <v>237</v>
      </c>
      <c r="B87" s="82">
        <v>3331549376</v>
      </c>
      <c r="C87" s="82" t="s">
        <v>34</v>
      </c>
      <c r="D87" s="82">
        <v>24140348</v>
      </c>
      <c r="E87" s="82" t="s">
        <v>239</v>
      </c>
      <c r="F87" s="82" t="s">
        <v>199</v>
      </c>
      <c r="G87" s="219">
        <v>24456.675999999999</v>
      </c>
      <c r="H87" s="82" t="s">
        <v>200</v>
      </c>
      <c r="I87" s="240">
        <v>1</v>
      </c>
      <c r="J87" s="81">
        <v>1</v>
      </c>
      <c r="K87" s="272" t="s">
        <v>204</v>
      </c>
      <c r="L87" s="200"/>
    </row>
    <row r="88" spans="1:12">
      <c r="A88" s="114" t="s">
        <v>237</v>
      </c>
      <c r="B88" s="82">
        <v>3331549384</v>
      </c>
      <c r="C88" s="82" t="s">
        <v>27</v>
      </c>
      <c r="D88" s="82">
        <v>24140349</v>
      </c>
      <c r="E88" s="82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72" t="s">
        <v>204</v>
      </c>
      <c r="L88" s="200"/>
    </row>
    <row r="89" spans="1:12">
      <c r="A89" s="114" t="s">
        <v>237</v>
      </c>
      <c r="B89" s="82">
        <v>3331549385</v>
      </c>
      <c r="C89" s="82" t="s">
        <v>34</v>
      </c>
      <c r="D89" s="82">
        <v>24140351</v>
      </c>
      <c r="E89" s="82" t="s">
        <v>239</v>
      </c>
      <c r="F89" s="82" t="s">
        <v>199</v>
      </c>
      <c r="G89" s="219">
        <v>24783.300999999999</v>
      </c>
      <c r="H89" s="82" t="s">
        <v>200</v>
      </c>
      <c r="I89" s="240">
        <v>1</v>
      </c>
      <c r="J89" s="81">
        <v>1</v>
      </c>
      <c r="K89" s="272" t="s">
        <v>204</v>
      </c>
      <c r="L89" s="200"/>
    </row>
    <row r="90" spans="1:12">
      <c r="A90" s="114" t="s">
        <v>237</v>
      </c>
      <c r="B90" s="82">
        <v>3331549326</v>
      </c>
      <c r="C90" s="82" t="s">
        <v>34</v>
      </c>
      <c r="D90" s="82">
        <v>24140354</v>
      </c>
      <c r="E90" s="82" t="s">
        <v>242</v>
      </c>
      <c r="F90" s="82" t="s">
        <v>199</v>
      </c>
      <c r="G90" s="219">
        <v>25056.441999999999</v>
      </c>
      <c r="H90" s="82" t="s">
        <v>200</v>
      </c>
      <c r="I90" s="240">
        <v>1</v>
      </c>
      <c r="J90" s="81">
        <v>1</v>
      </c>
      <c r="K90" s="272" t="s">
        <v>204</v>
      </c>
      <c r="L90" s="242"/>
    </row>
    <row r="91" spans="1:12">
      <c r="A91" s="114" t="s">
        <v>237</v>
      </c>
      <c r="B91" s="82">
        <v>3331549396</v>
      </c>
      <c r="C91" s="82" t="s">
        <v>206</v>
      </c>
      <c r="D91" s="82">
        <v>24140352</v>
      </c>
      <c r="E91" s="82" t="s">
        <v>224</v>
      </c>
      <c r="F91" s="82" t="s">
        <v>203</v>
      </c>
      <c r="G91" s="219">
        <v>32096.429</v>
      </c>
      <c r="H91" s="82" t="s">
        <v>128</v>
      </c>
      <c r="I91" s="240">
        <v>1</v>
      </c>
      <c r="J91" s="81">
        <v>1</v>
      </c>
      <c r="K91" s="272" t="s">
        <v>204</v>
      </c>
      <c r="L91" s="242"/>
    </row>
    <row r="92" spans="1:12" s="108" customFormat="1">
      <c r="A92" s="114" t="s">
        <v>237</v>
      </c>
      <c r="B92" s="82">
        <v>3331549402</v>
      </c>
      <c r="C92" s="82" t="s">
        <v>206</v>
      </c>
      <c r="D92" s="82">
        <v>24140353</v>
      </c>
      <c r="E92" s="82" t="s">
        <v>224</v>
      </c>
      <c r="F92" s="82" t="s">
        <v>203</v>
      </c>
      <c r="G92" s="219">
        <v>30923.434000000001</v>
      </c>
      <c r="H92" s="82" t="s">
        <v>128</v>
      </c>
      <c r="I92" s="240">
        <v>1</v>
      </c>
      <c r="J92" s="81">
        <v>1</v>
      </c>
      <c r="K92" s="272" t="s">
        <v>204</v>
      </c>
      <c r="L92" s="242"/>
    </row>
    <row r="93" spans="1:12">
      <c r="A93" s="114" t="s">
        <v>237</v>
      </c>
      <c r="B93" s="82">
        <v>3331549410</v>
      </c>
      <c r="C93" s="82" t="s">
        <v>27</v>
      </c>
      <c r="D93" s="82">
        <v>24140355</v>
      </c>
      <c r="E93" s="82" t="s">
        <v>224</v>
      </c>
      <c r="F93" s="82" t="s">
        <v>203</v>
      </c>
      <c r="G93" s="219">
        <v>35458.482000000004</v>
      </c>
      <c r="H93" s="82" t="s">
        <v>128</v>
      </c>
      <c r="I93" s="240">
        <v>1</v>
      </c>
      <c r="J93" s="81">
        <v>1</v>
      </c>
      <c r="K93" s="272" t="s">
        <v>204</v>
      </c>
      <c r="L93" s="242"/>
    </row>
    <row r="94" spans="1:12">
      <c r="A94" s="114" t="s">
        <v>237</v>
      </c>
      <c r="B94" s="82">
        <v>3331549412</v>
      </c>
      <c r="C94" s="82" t="s">
        <v>206</v>
      </c>
      <c r="D94" s="82">
        <v>24140356</v>
      </c>
      <c r="E94" s="82" t="s">
        <v>226</v>
      </c>
      <c r="F94" s="82" t="s">
        <v>203</v>
      </c>
      <c r="G94" s="219">
        <v>29603.562000000002</v>
      </c>
      <c r="H94" s="82" t="s">
        <v>128</v>
      </c>
      <c r="I94" s="240">
        <v>1</v>
      </c>
      <c r="J94" s="81">
        <v>1</v>
      </c>
      <c r="K94" s="272" t="s">
        <v>204</v>
      </c>
      <c r="L94" s="242"/>
    </row>
    <row r="95" spans="1:12">
      <c r="A95" s="114" t="s">
        <v>237</v>
      </c>
      <c r="B95" s="82">
        <v>3331549414</v>
      </c>
      <c r="C95" s="82" t="s">
        <v>34</v>
      </c>
      <c r="D95" s="82">
        <v>24140357</v>
      </c>
      <c r="E95" s="82" t="s">
        <v>150</v>
      </c>
      <c r="F95" s="82" t="s">
        <v>199</v>
      </c>
      <c r="G95" s="219">
        <v>24978.98</v>
      </c>
      <c r="H95" s="82" t="s">
        <v>200</v>
      </c>
      <c r="I95" s="240">
        <v>1</v>
      </c>
      <c r="J95" s="81">
        <v>1</v>
      </c>
      <c r="K95" s="272" t="s">
        <v>204</v>
      </c>
      <c r="L95" s="242"/>
    </row>
    <row r="96" spans="1:12" s="108" customFormat="1">
      <c r="A96" s="114" t="s">
        <v>237</v>
      </c>
      <c r="B96" s="82">
        <v>3331549424</v>
      </c>
      <c r="C96" s="82" t="s">
        <v>11</v>
      </c>
      <c r="D96" s="82">
        <v>24140358</v>
      </c>
      <c r="E96" s="82" t="s">
        <v>226</v>
      </c>
      <c r="F96" s="82" t="s">
        <v>203</v>
      </c>
      <c r="G96" s="219">
        <v>34762.33</v>
      </c>
      <c r="H96" s="82" t="s">
        <v>128</v>
      </c>
      <c r="I96" s="240">
        <v>1</v>
      </c>
      <c r="J96" s="81">
        <v>1</v>
      </c>
      <c r="K96" s="272" t="s">
        <v>204</v>
      </c>
      <c r="L96" s="242"/>
    </row>
    <row r="97" spans="1:12" s="108" customFormat="1">
      <c r="A97" s="114" t="s">
        <v>237</v>
      </c>
      <c r="B97" s="82">
        <v>3331549426</v>
      </c>
      <c r="C97" s="82" t="s">
        <v>11</v>
      </c>
      <c r="D97" s="82">
        <v>24140359</v>
      </c>
      <c r="E97" s="82" t="s">
        <v>226</v>
      </c>
      <c r="F97" s="82" t="s">
        <v>203</v>
      </c>
      <c r="G97" s="219">
        <v>37289.904999999999</v>
      </c>
      <c r="H97" s="82" t="s">
        <v>128</v>
      </c>
      <c r="I97" s="240">
        <v>1</v>
      </c>
      <c r="J97" s="81">
        <v>1</v>
      </c>
      <c r="K97" s="272" t="s">
        <v>204</v>
      </c>
      <c r="L97" s="242"/>
    </row>
    <row r="98" spans="1:12">
      <c r="A98" s="82" t="s">
        <v>237</v>
      </c>
      <c r="B98" s="82">
        <v>3331549281</v>
      </c>
      <c r="C98" s="1499" t="s">
        <v>34</v>
      </c>
      <c r="D98" s="1499">
        <v>24140360</v>
      </c>
      <c r="E98" s="82" t="s">
        <v>156</v>
      </c>
      <c r="F98" s="82" t="s">
        <v>199</v>
      </c>
      <c r="G98" s="219">
        <v>12645.42</v>
      </c>
      <c r="H98" s="82" t="s">
        <v>200</v>
      </c>
      <c r="I98" s="240">
        <v>1</v>
      </c>
      <c r="J98" s="81">
        <v>1</v>
      </c>
      <c r="K98" s="272" t="s">
        <v>204</v>
      </c>
      <c r="L98" s="242"/>
    </row>
    <row r="99" spans="1:12">
      <c r="A99" s="82" t="s">
        <v>237</v>
      </c>
      <c r="B99" s="203">
        <v>3331549422</v>
      </c>
      <c r="C99" s="1503"/>
      <c r="D99" s="1503"/>
      <c r="E99" s="217" t="s">
        <v>156</v>
      </c>
      <c r="F99" s="217"/>
      <c r="G99" s="340">
        <v>7319.6559999999999</v>
      </c>
      <c r="H99" s="217"/>
      <c r="I99" s="334"/>
      <c r="J99" s="203"/>
      <c r="K99" s="272"/>
      <c r="L99" s="241"/>
    </row>
    <row r="100" spans="1:12">
      <c r="A100" s="82" t="s">
        <v>237</v>
      </c>
      <c r="B100" s="81">
        <v>3331549444</v>
      </c>
      <c r="C100" s="114" t="s">
        <v>34</v>
      </c>
      <c r="D100" s="114">
        <v>24140361</v>
      </c>
      <c r="E100" s="82" t="s">
        <v>254</v>
      </c>
      <c r="F100" s="82" t="s">
        <v>199</v>
      </c>
      <c r="G100" s="191">
        <v>27136.85</v>
      </c>
      <c r="H100" s="82" t="s">
        <v>200</v>
      </c>
      <c r="I100" s="81">
        <v>1</v>
      </c>
      <c r="J100" s="81">
        <v>1</v>
      </c>
      <c r="K100" s="272" t="s">
        <v>204</v>
      </c>
      <c r="L100" s="237"/>
    </row>
    <row r="101" spans="1:12">
      <c r="A101" s="82" t="s">
        <v>237</v>
      </c>
      <c r="B101" s="81">
        <v>3331549452</v>
      </c>
      <c r="C101" s="114" t="s">
        <v>27</v>
      </c>
      <c r="D101" s="114">
        <v>24140362</v>
      </c>
      <c r="E101" s="82" t="s">
        <v>254</v>
      </c>
      <c r="F101" s="82" t="s">
        <v>199</v>
      </c>
      <c r="G101" s="191">
        <v>26148.957999999999</v>
      </c>
      <c r="H101" s="82" t="s">
        <v>200</v>
      </c>
      <c r="I101" s="81">
        <v>1</v>
      </c>
      <c r="J101" s="81">
        <v>1</v>
      </c>
      <c r="K101" s="272" t="s">
        <v>204</v>
      </c>
      <c r="L101" s="237"/>
    </row>
    <row r="102" spans="1:12">
      <c r="A102" s="82" t="s">
        <v>237</v>
      </c>
      <c r="B102" s="81">
        <v>3331549459</v>
      </c>
      <c r="C102" s="114" t="s">
        <v>34</v>
      </c>
      <c r="D102" s="114">
        <v>24140363</v>
      </c>
      <c r="E102" s="82" t="s">
        <v>156</v>
      </c>
      <c r="F102" s="82" t="s">
        <v>199</v>
      </c>
      <c r="G102" s="191">
        <v>22621.921999999999</v>
      </c>
      <c r="H102" s="82" t="s">
        <v>200</v>
      </c>
      <c r="I102" s="81">
        <v>1</v>
      </c>
      <c r="J102" s="81">
        <v>1</v>
      </c>
      <c r="K102" s="272" t="s">
        <v>204</v>
      </c>
      <c r="L102" s="237"/>
    </row>
    <row r="103" spans="1:12">
      <c r="A103" s="82" t="s">
        <v>237</v>
      </c>
      <c r="B103" s="81">
        <v>3331549460</v>
      </c>
      <c r="C103" s="114" t="s">
        <v>34</v>
      </c>
      <c r="D103" s="114">
        <v>24140364</v>
      </c>
      <c r="E103" s="82" t="s">
        <v>156</v>
      </c>
      <c r="F103" s="82" t="s">
        <v>199</v>
      </c>
      <c r="G103" s="191">
        <v>22926.741000000002</v>
      </c>
      <c r="H103" s="82" t="s">
        <v>200</v>
      </c>
      <c r="I103" s="81">
        <v>1</v>
      </c>
      <c r="J103" s="81">
        <v>1</v>
      </c>
      <c r="K103" s="272" t="s">
        <v>204</v>
      </c>
      <c r="L103" s="237"/>
    </row>
    <row r="104" spans="1:12">
      <c r="A104" s="82" t="s">
        <v>237</v>
      </c>
      <c r="B104" s="81">
        <v>3331549461</v>
      </c>
      <c r="C104" s="114" t="s">
        <v>11</v>
      </c>
      <c r="D104" s="114">
        <v>24140365</v>
      </c>
      <c r="E104" s="82" t="s">
        <v>156</v>
      </c>
      <c r="F104" s="82" t="s">
        <v>199</v>
      </c>
      <c r="G104" s="191">
        <v>22926.74</v>
      </c>
      <c r="H104" s="82" t="s">
        <v>200</v>
      </c>
      <c r="I104" s="81">
        <v>1</v>
      </c>
      <c r="J104" s="81">
        <v>1</v>
      </c>
      <c r="K104" s="272" t="s">
        <v>204</v>
      </c>
      <c r="L104" s="237"/>
    </row>
    <row r="105" spans="1:12">
      <c r="A105" s="82" t="s">
        <v>237</v>
      </c>
      <c r="B105" s="81">
        <v>3331549462</v>
      </c>
      <c r="C105" s="114" t="s">
        <v>11</v>
      </c>
      <c r="D105" s="114">
        <v>24140366</v>
      </c>
      <c r="E105" s="82" t="s">
        <v>156</v>
      </c>
      <c r="F105" s="82" t="s">
        <v>199</v>
      </c>
      <c r="G105" s="191">
        <v>24087.664000000001</v>
      </c>
      <c r="H105" s="82" t="s">
        <v>200</v>
      </c>
      <c r="I105" s="81">
        <v>1</v>
      </c>
      <c r="J105" s="81">
        <v>1</v>
      </c>
      <c r="K105" s="272" t="s">
        <v>204</v>
      </c>
      <c r="L105" s="237"/>
    </row>
    <row r="106" spans="1:12">
      <c r="A106" s="82" t="s">
        <v>237</v>
      </c>
      <c r="B106" s="81">
        <v>3331549464</v>
      </c>
      <c r="C106" s="114" t="s">
        <v>27</v>
      </c>
      <c r="D106" s="114">
        <v>24140367</v>
      </c>
      <c r="E106" s="82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72" t="s">
        <v>204</v>
      </c>
      <c r="L106" s="237"/>
    </row>
    <row r="107" spans="1:12">
      <c r="A107" s="82" t="s">
        <v>237</v>
      </c>
      <c r="B107" s="81">
        <v>3331549466</v>
      </c>
      <c r="C107" s="114" t="s">
        <v>27</v>
      </c>
      <c r="D107" s="114">
        <v>24140368</v>
      </c>
      <c r="E107" s="82" t="s">
        <v>156</v>
      </c>
      <c r="F107" s="82" t="s">
        <v>199</v>
      </c>
      <c r="G107" s="191">
        <v>24476.987000000001</v>
      </c>
      <c r="H107" s="82" t="s">
        <v>200</v>
      </c>
      <c r="I107" s="81">
        <v>1</v>
      </c>
      <c r="J107" s="81">
        <v>1</v>
      </c>
      <c r="K107" s="272" t="s">
        <v>204</v>
      </c>
      <c r="L107" s="237"/>
    </row>
    <row r="108" spans="1:12">
      <c r="A108" s="82" t="s">
        <v>237</v>
      </c>
      <c r="B108" s="81">
        <v>3331549474</v>
      </c>
      <c r="C108" s="114" t="s">
        <v>11</v>
      </c>
      <c r="D108" s="114">
        <v>24140369</v>
      </c>
      <c r="E108" s="82" t="s">
        <v>156</v>
      </c>
      <c r="F108" s="82" t="s">
        <v>199</v>
      </c>
      <c r="G108" s="191">
        <v>23567.562000000002</v>
      </c>
      <c r="H108" s="82" t="s">
        <v>200</v>
      </c>
      <c r="I108" s="81">
        <v>1</v>
      </c>
      <c r="J108" s="81">
        <v>1</v>
      </c>
      <c r="K108" s="272" t="s">
        <v>204</v>
      </c>
      <c r="L108" s="237"/>
    </row>
    <row r="109" spans="1:12" s="44" customFormat="1" hidden="1">
      <c r="A109" s="106" t="s">
        <v>255</v>
      </c>
      <c r="B109" s="105">
        <v>3331546342</v>
      </c>
      <c r="C109" s="104" t="s">
        <v>27</v>
      </c>
      <c r="D109" s="104">
        <v>24140370</v>
      </c>
      <c r="E109" s="106" t="s">
        <v>159</v>
      </c>
      <c r="F109" s="106" t="s">
        <v>199</v>
      </c>
      <c r="G109" s="209">
        <v>21905.65</v>
      </c>
      <c r="H109" s="106" t="s">
        <v>200</v>
      </c>
      <c r="I109" s="105">
        <v>1</v>
      </c>
      <c r="J109" s="105">
        <v>1</v>
      </c>
      <c r="K109" s="208" t="str">
        <f>IFERROR(VLOOKUP(B109,'IN OUT'!F:G,2,FALSE),"BELUM MASUK")</f>
        <v>BELUM MASUK</v>
      </c>
      <c r="L109" s="233"/>
    </row>
    <row r="110" spans="1:12" s="44" customFormat="1" hidden="1">
      <c r="A110" s="106" t="s">
        <v>255</v>
      </c>
      <c r="B110" s="105">
        <v>3331549975</v>
      </c>
      <c r="C110" s="104" t="s">
        <v>27</v>
      </c>
      <c r="D110" s="104">
        <v>24140371</v>
      </c>
      <c r="E110" s="106" t="s">
        <v>159</v>
      </c>
      <c r="F110" s="106" t="s">
        <v>199</v>
      </c>
      <c r="G110" s="209">
        <v>25459.848000000002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33"/>
    </row>
    <row r="111" spans="1:12" s="44" customFormat="1" hidden="1">
      <c r="A111" s="82" t="s">
        <v>255</v>
      </c>
      <c r="B111" s="81">
        <v>3331549977</v>
      </c>
      <c r="C111" s="114" t="s">
        <v>27</v>
      </c>
      <c r="D111" s="114">
        <v>24140373</v>
      </c>
      <c r="E111" s="82" t="s">
        <v>160</v>
      </c>
      <c r="F111" s="82" t="s">
        <v>199</v>
      </c>
      <c r="G111" s="191">
        <v>20211.545999999998</v>
      </c>
      <c r="H111" s="82" t="s">
        <v>200</v>
      </c>
      <c r="I111" s="81">
        <v>1</v>
      </c>
      <c r="J111" s="81">
        <v>1</v>
      </c>
      <c r="K111" s="200" t="str">
        <f>IFERROR(VLOOKUP(B111,'IN OUT'!F:G,2,FALSE),"BELUM MASUK")</f>
        <v>BELUM MASUK</v>
      </c>
      <c r="L111" s="237"/>
    </row>
    <row r="112" spans="1:12" s="44" customFormat="1" hidden="1">
      <c r="A112" s="106" t="s">
        <v>255</v>
      </c>
      <c r="B112" s="105">
        <v>3331550011</v>
      </c>
      <c r="C112" s="1488" t="s">
        <v>34</v>
      </c>
      <c r="D112" s="104">
        <v>24140374</v>
      </c>
      <c r="E112" s="106" t="s">
        <v>12</v>
      </c>
      <c r="F112" s="106" t="s">
        <v>199</v>
      </c>
      <c r="G112" s="209">
        <f>14734.882+9658.05</f>
        <v>24392.932000000001</v>
      </c>
      <c r="H112" s="106" t="s">
        <v>200</v>
      </c>
      <c r="I112" s="105">
        <v>1</v>
      </c>
      <c r="J112" s="105">
        <v>1</v>
      </c>
      <c r="K112" s="208">
        <f>IFERROR(VLOOKUP(B112,'IN OUT'!F:G,2,FALSE),"BELUM MASUK")</f>
        <v>45910.499490740738</v>
      </c>
      <c r="L112" s="233"/>
    </row>
    <row r="113" spans="1:12" s="44" customFormat="1" hidden="1">
      <c r="A113" s="106" t="s">
        <v>255</v>
      </c>
      <c r="B113" s="105">
        <v>3331550021</v>
      </c>
      <c r="C113" s="1490"/>
      <c r="D113" s="104" t="s">
        <v>256</v>
      </c>
      <c r="E113" s="106" t="s">
        <v>256</v>
      </c>
      <c r="F113" s="106" t="s">
        <v>256</v>
      </c>
      <c r="G113" s="209" t="s">
        <v>256</v>
      </c>
      <c r="H113" s="106" t="s">
        <v>256</v>
      </c>
      <c r="I113" s="105" t="s">
        <v>256</v>
      </c>
      <c r="J113" s="105" t="s">
        <v>256</v>
      </c>
      <c r="K113" s="208" t="s">
        <v>256</v>
      </c>
      <c r="L113" s="233"/>
    </row>
    <row r="114" spans="1:12" s="44" customFormat="1" hidden="1">
      <c r="A114" s="106" t="s">
        <v>255</v>
      </c>
      <c r="B114" s="105">
        <v>3331549994</v>
      </c>
      <c r="C114" s="104" t="s">
        <v>34</v>
      </c>
      <c r="D114" s="104">
        <v>24140375</v>
      </c>
      <c r="E114" s="106" t="s">
        <v>257</v>
      </c>
      <c r="F114" s="106" t="s">
        <v>199</v>
      </c>
      <c r="G114" s="209">
        <v>24733.05</v>
      </c>
      <c r="H114" s="106" t="s">
        <v>200</v>
      </c>
      <c r="I114" s="105">
        <v>1</v>
      </c>
      <c r="J114" s="105">
        <v>1</v>
      </c>
      <c r="K114" s="208" t="str">
        <f>IFERROR(VLOOKUP(B114,'IN OUT'!F:G,2,FALSE),"BELUM MASUK")</f>
        <v>BELUM MASUK</v>
      </c>
      <c r="L114" s="233"/>
    </row>
    <row r="115" spans="1:12" s="44" customFormat="1" hidden="1">
      <c r="A115" s="106" t="s">
        <v>255</v>
      </c>
      <c r="B115" s="105">
        <v>3331550027</v>
      </c>
      <c r="C115" s="104" t="s">
        <v>34</v>
      </c>
      <c r="D115" s="104">
        <v>24140376</v>
      </c>
      <c r="E115" s="106" t="s">
        <v>70</v>
      </c>
      <c r="F115" s="106" t="s">
        <v>199</v>
      </c>
      <c r="G115" s="209">
        <v>25510.531999999999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/>
    </row>
    <row r="116" spans="1:12" s="44" customFormat="1" hidden="1">
      <c r="A116" s="106" t="s">
        <v>255</v>
      </c>
      <c r="B116" s="105">
        <v>3331549991</v>
      </c>
      <c r="C116" s="104" t="s">
        <v>34</v>
      </c>
      <c r="D116" s="104">
        <v>24140377</v>
      </c>
      <c r="E116" s="106" t="s">
        <v>156</v>
      </c>
      <c r="F116" s="106" t="s">
        <v>199</v>
      </c>
      <c r="G116" s="209">
        <v>23266.768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/>
    </row>
    <row r="117" spans="1:12" s="44" customFormat="1" hidden="1">
      <c r="A117" s="106" t="s">
        <v>255</v>
      </c>
      <c r="B117" s="105">
        <v>3331549998</v>
      </c>
      <c r="C117" s="104" t="s">
        <v>34</v>
      </c>
      <c r="D117" s="104">
        <v>24140378</v>
      </c>
      <c r="E117" s="106" t="s">
        <v>156</v>
      </c>
      <c r="F117" s="106" t="s">
        <v>199</v>
      </c>
      <c r="G117" s="209">
        <v>24756.653999999999</v>
      </c>
      <c r="H117" s="106" t="s">
        <v>200</v>
      </c>
      <c r="I117" s="105">
        <v>1</v>
      </c>
      <c r="J117" s="105">
        <v>1</v>
      </c>
      <c r="K117" s="208">
        <v>0.61319444444444449</v>
      </c>
      <c r="L117" s="233"/>
    </row>
    <row r="118" spans="1:12" s="44" customFormat="1" hidden="1">
      <c r="A118" s="106" t="s">
        <v>255</v>
      </c>
      <c r="B118" s="105">
        <v>3331550008</v>
      </c>
      <c r="C118" s="104" t="s">
        <v>34</v>
      </c>
      <c r="D118" s="104">
        <v>24140379</v>
      </c>
      <c r="E118" s="106" t="s">
        <v>156</v>
      </c>
      <c r="F118" s="106" t="s">
        <v>199</v>
      </c>
      <c r="G118" s="209">
        <v>24045.412</v>
      </c>
      <c r="H118" s="106" t="s">
        <v>200</v>
      </c>
      <c r="I118" s="105">
        <v>1</v>
      </c>
      <c r="J118" s="105">
        <v>1</v>
      </c>
      <c r="K118" s="208">
        <v>5.6250000000000001E-2</v>
      </c>
      <c r="L118" s="233"/>
    </row>
    <row r="119" spans="1:12" hidden="1">
      <c r="A119" s="82" t="s">
        <v>255</v>
      </c>
      <c r="B119" s="81">
        <v>3331550023</v>
      </c>
      <c r="C119" s="114" t="s">
        <v>34</v>
      </c>
      <c r="D119" s="114">
        <v>24140380</v>
      </c>
      <c r="E119" s="82" t="s">
        <v>156</v>
      </c>
      <c r="F119" s="82" t="s">
        <v>199</v>
      </c>
      <c r="G119" s="191">
        <v>23868.356</v>
      </c>
      <c r="H119" s="82" t="s">
        <v>200</v>
      </c>
      <c r="I119" s="81">
        <v>1</v>
      </c>
      <c r="J119" s="81">
        <v>1</v>
      </c>
      <c r="K119" s="200" t="str">
        <f>IFERROR(VLOOKUP(B119,'IN OUT'!F:G,2,FALSE),"BELUM MASUK")</f>
        <v>BELUM MASUK</v>
      </c>
      <c r="L119" s="237"/>
    </row>
    <row r="120" spans="1:12" hidden="1">
      <c r="A120" s="82" t="s">
        <v>258</v>
      </c>
      <c r="B120" s="81">
        <v>3331550066</v>
      </c>
      <c r="C120" s="114" t="s">
        <v>152</v>
      </c>
      <c r="D120" s="114">
        <v>24140381</v>
      </c>
      <c r="E120" s="854" t="s">
        <v>226</v>
      </c>
      <c r="F120" s="854" t="s">
        <v>203</v>
      </c>
      <c r="G120" s="330">
        <v>32879.097999999998</v>
      </c>
      <c r="H120" s="854" t="s">
        <v>128</v>
      </c>
      <c r="I120" s="81">
        <v>1</v>
      </c>
      <c r="J120" s="81">
        <v>1</v>
      </c>
      <c r="K120" s="200" t="str">
        <f>IFERROR(VLOOKUP(B120,'IN OUT'!F:G,2,FALSE),"BELUM MASUK")</f>
        <v>BELUM MASUK</v>
      </c>
      <c r="L120" s="237"/>
    </row>
    <row r="121" spans="1:12" hidden="1">
      <c r="A121" s="82" t="s">
        <v>258</v>
      </c>
      <c r="B121" s="81">
        <v>3331550076</v>
      </c>
      <c r="C121" s="114" t="s">
        <v>11</v>
      </c>
      <c r="D121" s="114">
        <v>24140382</v>
      </c>
      <c r="E121" s="854" t="s">
        <v>259</v>
      </c>
      <c r="F121" s="854" t="s">
        <v>203</v>
      </c>
      <c r="G121" s="330">
        <v>32742.281999999999</v>
      </c>
      <c r="H121" s="854" t="s">
        <v>128</v>
      </c>
      <c r="I121" s="81">
        <v>1</v>
      </c>
      <c r="J121" s="81">
        <v>1</v>
      </c>
      <c r="K121" s="200" t="str">
        <f>IFERROR(VLOOKUP(B121,'IN OUT'!F:G,2,FALSE),"BELUM MASUK")</f>
        <v>BELUM MASUK</v>
      </c>
      <c r="L121" s="237"/>
    </row>
    <row r="122" spans="1:12" hidden="1">
      <c r="A122" s="82" t="s">
        <v>258</v>
      </c>
      <c r="B122" s="81">
        <v>3331550089</v>
      </c>
      <c r="C122" s="114"/>
      <c r="D122" s="114">
        <v>24140383</v>
      </c>
      <c r="E122" s="854" t="s">
        <v>224</v>
      </c>
      <c r="F122" s="854" t="s">
        <v>203</v>
      </c>
      <c r="G122" s="330">
        <v>30376.17</v>
      </c>
      <c r="H122" s="854" t="s">
        <v>128</v>
      </c>
      <c r="I122" s="81">
        <v>1</v>
      </c>
      <c r="J122" s="81">
        <v>0</v>
      </c>
      <c r="K122" s="200" t="str">
        <f>IFERROR(VLOOKUP(B122,'IN OUT'!F:G,2,FALSE),"BELUM MASUK")</f>
        <v>BELUM MASUK</v>
      </c>
      <c r="L122" s="237"/>
    </row>
    <row r="123" spans="1:12" hidden="1">
      <c r="A123" s="106" t="s">
        <v>255</v>
      </c>
      <c r="B123" s="105">
        <v>3331550098</v>
      </c>
      <c r="C123" s="104" t="s">
        <v>27</v>
      </c>
      <c r="D123" s="104">
        <v>24140384</v>
      </c>
      <c r="E123" s="106" t="s">
        <v>260</v>
      </c>
      <c r="F123" s="106" t="s">
        <v>199</v>
      </c>
      <c r="G123" s="209">
        <v>24514.207999999999</v>
      </c>
      <c r="H123" s="106" t="s">
        <v>200</v>
      </c>
      <c r="I123" s="105">
        <v>1</v>
      </c>
      <c r="J123" s="105">
        <v>1</v>
      </c>
      <c r="K123" s="208" t="str">
        <f>IFERROR(VLOOKUP(B123,'IN OUT'!F:G,2,FALSE),"BELUM MASUK")</f>
        <v>BELUM MASUK</v>
      </c>
      <c r="L123" s="233"/>
    </row>
    <row r="124" spans="1:12" hidden="1">
      <c r="A124" s="82" t="s">
        <v>258</v>
      </c>
      <c r="B124" s="81">
        <v>3331550100</v>
      </c>
      <c r="C124" s="114"/>
      <c r="D124" s="114">
        <v>24140385</v>
      </c>
      <c r="E124" s="854" t="s">
        <v>224</v>
      </c>
      <c r="F124" s="854" t="s">
        <v>203</v>
      </c>
      <c r="G124" s="330">
        <v>31707.108</v>
      </c>
      <c r="H124" s="854" t="s">
        <v>128</v>
      </c>
      <c r="I124" s="81">
        <v>1</v>
      </c>
      <c r="J124" s="81">
        <v>0</v>
      </c>
      <c r="K124" s="200" t="str">
        <f>IFERROR(VLOOKUP(B124,'IN OUT'!F:G,2,FALSE),"BELUM MASUK")</f>
        <v>BELUM MASUK</v>
      </c>
      <c r="L124" s="237"/>
    </row>
    <row r="125" spans="1:12" hidden="1">
      <c r="A125" s="82" t="s">
        <v>255</v>
      </c>
      <c r="B125" s="81">
        <v>3331550113</v>
      </c>
      <c r="C125" s="114" t="s">
        <v>34</v>
      </c>
      <c r="D125" s="114">
        <v>24140386</v>
      </c>
      <c r="E125" s="82" t="s">
        <v>165</v>
      </c>
      <c r="F125" s="82" t="s">
        <v>199</v>
      </c>
      <c r="G125" s="191">
        <v>23354.29</v>
      </c>
      <c r="H125" s="82" t="s">
        <v>200</v>
      </c>
      <c r="I125" s="81">
        <v>1</v>
      </c>
      <c r="J125" s="81">
        <v>1</v>
      </c>
      <c r="K125" s="200" t="str">
        <f>IFERROR(VLOOKUP(B125,'IN OUT'!F:G,2,FALSE),"BELUM MASUK")</f>
        <v>BELUM MASUK</v>
      </c>
      <c r="L125" s="237"/>
    </row>
    <row r="126" spans="1:12" hidden="1">
      <c r="A126" s="82" t="s">
        <v>255</v>
      </c>
      <c r="B126" s="81">
        <v>3331550115</v>
      </c>
      <c r="C126" s="114" t="s">
        <v>34</v>
      </c>
      <c r="D126" s="114">
        <v>24140387</v>
      </c>
      <c r="E126" s="82" t="s">
        <v>165</v>
      </c>
      <c r="F126" s="82" t="s">
        <v>199</v>
      </c>
      <c r="G126" s="191">
        <v>24256.671999999999</v>
      </c>
      <c r="H126" s="82" t="s">
        <v>200</v>
      </c>
      <c r="I126" s="81">
        <v>1</v>
      </c>
      <c r="J126" s="81">
        <v>1</v>
      </c>
      <c r="K126" s="200" t="str">
        <f>IFERROR(VLOOKUP(B126,'IN OUT'!F:G,2,FALSE),"BELUM MASUK")</f>
        <v>BELUM MASUK</v>
      </c>
      <c r="L126" s="237"/>
    </row>
    <row r="127" spans="1:12" hidden="1">
      <c r="A127" s="82" t="s">
        <v>255</v>
      </c>
      <c r="B127" s="81">
        <v>3331550116</v>
      </c>
      <c r="C127" s="114" t="s">
        <v>34</v>
      </c>
      <c r="D127" s="114">
        <v>24140388</v>
      </c>
      <c r="E127" s="82" t="s">
        <v>165</v>
      </c>
      <c r="F127" s="82" t="s">
        <v>199</v>
      </c>
      <c r="G127" s="191">
        <v>25288.828000000001</v>
      </c>
      <c r="H127" s="82" t="s">
        <v>200</v>
      </c>
      <c r="I127" s="81">
        <v>1</v>
      </c>
      <c r="J127" s="81">
        <v>1</v>
      </c>
      <c r="K127" s="200" t="str">
        <f>IFERROR(VLOOKUP(B127,'IN OUT'!F:G,2,FALSE),"BELUM MASUK")</f>
        <v>BELUM MASUK</v>
      </c>
      <c r="L127" s="237"/>
    </row>
    <row r="128" spans="1:12" hidden="1">
      <c r="A128" s="82" t="s">
        <v>255</v>
      </c>
      <c r="B128" s="81">
        <v>3331550117</v>
      </c>
      <c r="C128" s="114" t="s">
        <v>27</v>
      </c>
      <c r="D128" s="114">
        <v>24140389</v>
      </c>
      <c r="E128" s="82" t="s">
        <v>239</v>
      </c>
      <c r="F128" s="82" t="s">
        <v>199</v>
      </c>
      <c r="G128" s="191">
        <v>24257.685000000001</v>
      </c>
      <c r="H128" s="82" t="s">
        <v>200</v>
      </c>
      <c r="I128" s="81">
        <v>1</v>
      </c>
      <c r="J128" s="81">
        <v>1</v>
      </c>
      <c r="K128" s="200" t="str">
        <f>IFERROR(VLOOKUP(B128,'IN OUT'!F:G,2,FALSE),"BELUM MASUK")</f>
        <v>BELUM MASUK</v>
      </c>
      <c r="L128" s="237"/>
    </row>
    <row r="129" spans="1:12" hidden="1">
      <c r="A129" s="82" t="s">
        <v>255</v>
      </c>
      <c r="B129" s="81">
        <v>3331550130</v>
      </c>
      <c r="C129" s="114" t="s">
        <v>27</v>
      </c>
      <c r="D129" s="114">
        <v>24140390</v>
      </c>
      <c r="E129" s="82" t="s">
        <v>261</v>
      </c>
      <c r="F129" s="82" t="s">
        <v>199</v>
      </c>
      <c r="G129" s="191">
        <v>25507.13</v>
      </c>
      <c r="H129" s="82" t="s">
        <v>200</v>
      </c>
      <c r="I129" s="81">
        <v>1</v>
      </c>
      <c r="J129" s="81">
        <v>1</v>
      </c>
      <c r="K129" s="200" t="str">
        <f>IFERROR(VLOOKUP(B129,'IN OUT'!F:G,2,FALSE),"BELUM MASUK")</f>
        <v>BELUM MASUK</v>
      </c>
      <c r="L129" s="237"/>
    </row>
    <row r="130" spans="1:12">
      <c r="A130" s="82"/>
      <c r="B130" s="81"/>
      <c r="C130" s="114"/>
      <c r="D130" s="114"/>
      <c r="E130" s="82"/>
      <c r="F130" s="82"/>
      <c r="G130" s="191"/>
      <c r="H130" s="82"/>
      <c r="I130" s="81"/>
      <c r="J130" s="240"/>
      <c r="K130" s="200"/>
      <c r="L130" s="242"/>
    </row>
    <row r="131" spans="1:12">
      <c r="A131" s="82"/>
      <c r="B131" s="81"/>
      <c r="C131" s="114"/>
      <c r="D131" s="114"/>
      <c r="E131" s="82"/>
      <c r="F131" s="82"/>
      <c r="G131" s="191"/>
      <c r="H131" s="82"/>
      <c r="I131" s="81"/>
      <c r="J131" s="240"/>
      <c r="K131" s="200"/>
      <c r="L131" s="242"/>
    </row>
    <row r="132" spans="1:12">
      <c r="A132" s="82"/>
      <c r="B132" s="81"/>
      <c r="C132" s="114"/>
      <c r="D132" s="114"/>
      <c r="E132" s="82"/>
      <c r="F132" s="82"/>
      <c r="G132" s="191"/>
      <c r="H132" s="82"/>
      <c r="I132" s="81"/>
      <c r="J132" s="240"/>
      <c r="K132" s="200"/>
      <c r="L132" s="242"/>
    </row>
    <row r="133" spans="1:12">
      <c r="A133" s="81"/>
      <c r="B133" s="81"/>
      <c r="C133" s="114"/>
      <c r="D133" s="114"/>
      <c r="E133" s="82"/>
      <c r="F133" s="82"/>
      <c r="G133" s="191"/>
      <c r="H133" s="82"/>
      <c r="I133" s="81"/>
      <c r="J133" s="240"/>
      <c r="K133" s="237"/>
      <c r="L133" s="242"/>
    </row>
    <row r="134" spans="1:12">
      <c r="A134" s="300"/>
      <c r="B134" s="300"/>
      <c r="C134" s="297"/>
      <c r="D134" s="297"/>
      <c r="E134" s="301"/>
      <c r="F134" s="301"/>
      <c r="G134" s="302"/>
      <c r="H134" s="301"/>
      <c r="I134" s="300"/>
      <c r="J134" s="300"/>
      <c r="K134" s="303"/>
      <c r="L134" s="303"/>
    </row>
    <row r="136" spans="1:12">
      <c r="B136" s="236" t="s">
        <v>244</v>
      </c>
    </row>
    <row r="138" spans="1:12" ht="18">
      <c r="B138" s="251" t="s">
        <v>246</v>
      </c>
    </row>
    <row r="139" spans="1:12" ht="18">
      <c r="B139" s="251"/>
    </row>
    <row r="140" spans="1:12">
      <c r="B140" t="s">
        <v>262</v>
      </c>
    </row>
  </sheetData>
  <autoFilter ref="A10:M120" xr:uid="{0F56831D-31D8-433F-8A2D-7AD2DCA7D90A}"/>
  <mergeCells count="13">
    <mergeCell ref="C112:C113"/>
    <mergeCell ref="C76:C77"/>
    <mergeCell ref="D76:D77"/>
    <mergeCell ref="C85:C86"/>
    <mergeCell ref="D85:D86"/>
    <mergeCell ref="C98:C99"/>
    <mergeCell ref="D98:D99"/>
    <mergeCell ref="K48:K49"/>
    <mergeCell ref="E2:F2"/>
    <mergeCell ref="C48:C49"/>
    <mergeCell ref="D48:D49"/>
    <mergeCell ref="E48:E49"/>
    <mergeCell ref="F48:F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F15F-41C3-497B-9AC8-F5469CC34C5B}">
  <sheetPr filterMode="1"/>
  <dimension ref="A1:S288"/>
  <sheetViews>
    <sheetView showGridLines="0" topLeftCell="A244" zoomScale="85" zoomScaleNormal="85" workbookViewId="0">
      <selection activeCell="C267" sqref="C267"/>
    </sheetView>
  </sheetViews>
  <sheetFormatPr defaultColWidth="9.109375" defaultRowHeight="14.4"/>
  <cols>
    <col min="1" max="1" width="30.5546875" customWidth="1"/>
    <col min="2" max="2" width="31.5546875" bestFit="1" customWidth="1"/>
    <col min="3" max="3" width="15" customWidth="1"/>
    <col min="4" max="4" width="15.33203125" customWidth="1"/>
    <col min="5" max="5" width="43.88671875" style="358" customWidth="1"/>
    <col min="6" max="6" width="29" customWidth="1"/>
    <col min="7" max="7" width="19.33203125" customWidth="1"/>
    <col min="8" max="8" width="23.33203125" bestFit="1" customWidth="1"/>
    <col min="9" max="9" width="19.88671875" bestFit="1" customWidth="1"/>
    <col min="10" max="10" width="23.33203125" bestFit="1" customWidth="1"/>
    <col min="11" max="11" width="19.33203125" customWidth="1"/>
    <col min="12" max="12" width="21.6640625" hidden="1" customWidth="1"/>
    <col min="13" max="13" width="10.5546875" customWidth="1"/>
    <col min="14" max="14" width="6.5546875" customWidth="1"/>
    <col min="17" max="17" width="10.6640625" hidden="1" customWidth="1"/>
    <col min="18" max="18" width="11.88671875" hidden="1" customWidth="1"/>
    <col min="19" max="19" width="9.109375" hidden="1" customWidth="1"/>
    <col min="20" max="20" width="9.109375" customWidth="1"/>
  </cols>
  <sheetData>
    <row r="1" spans="1:19" ht="16.5" customHeight="1">
      <c r="A1" s="387" t="s">
        <v>263</v>
      </c>
      <c r="B1" s="388">
        <f ca="1">NOW()</f>
        <v>45977.42101539352</v>
      </c>
      <c r="J1" s="275"/>
      <c r="K1" s="44"/>
      <c r="L1" s="306"/>
      <c r="Q1" s="276" t="s">
        <v>27</v>
      </c>
      <c r="R1" s="294">
        <f>COUNTIF($C$110:$C$1203,"SILOG")</f>
        <v>34</v>
      </c>
      <c r="S1" s="254" t="str">
        <f>IFERROR(VLOOKUP(J1,'IN OUT'!L:M,2,FALSE), "BELUM MASUK")</f>
        <v>BELUM MASUK</v>
      </c>
    </row>
    <row r="2" spans="1:19" ht="30" customHeight="1">
      <c r="A2" s="385" t="s">
        <v>193</v>
      </c>
      <c r="B2" s="386">
        <f ca="1">TODAY()</f>
        <v>45977</v>
      </c>
      <c r="E2" s="1506" t="s">
        <v>213</v>
      </c>
      <c r="F2" s="1496"/>
      <c r="H2" s="322" t="s">
        <v>247</v>
      </c>
      <c r="I2" s="326" t="s">
        <v>195</v>
      </c>
      <c r="J2" s="322" t="s">
        <v>196</v>
      </c>
      <c r="Q2" s="276" t="s">
        <v>175</v>
      </c>
      <c r="R2" s="294">
        <f>COUNTIF($C$110:$C$1203,"SIBA")</f>
        <v>6</v>
      </c>
    </row>
    <row r="3" spans="1:19" ht="36.75" customHeight="1">
      <c r="A3" s="408" t="s">
        <v>198</v>
      </c>
      <c r="B3" s="409">
        <f>SUM(I217:I1317)</f>
        <v>43</v>
      </c>
      <c r="C3" s="400" t="s">
        <v>264</v>
      </c>
      <c r="E3" s="406" t="s">
        <v>197</v>
      </c>
      <c r="F3" s="378">
        <f ca="1">SUMIF(H217:H1223, "TRAILER", I217:I1222)</f>
        <v>11</v>
      </c>
      <c r="G3" s="343"/>
      <c r="H3" s="414" t="s">
        <v>199</v>
      </c>
      <c r="I3" s="243">
        <f>COUNTIF(F217:F1223, "JABODETABEK")</f>
        <v>34</v>
      </c>
      <c r="J3" s="318">
        <f>SUMIF(F217:F1223, "JABODETABEK", G217:G1223)</f>
        <v>914641.18400000012</v>
      </c>
      <c r="Q3" s="276" t="s">
        <v>11</v>
      </c>
      <c r="R3" s="294">
        <f>COUNTIF($C$110:$C$1203,"YUSHAR")</f>
        <v>18</v>
      </c>
    </row>
    <row r="4" spans="1:19" ht="29.25" customHeight="1">
      <c r="A4" s="410" t="s">
        <v>201</v>
      </c>
      <c r="B4" s="411">
        <f>SUM(J217:J1351)</f>
        <v>38</v>
      </c>
      <c r="E4" s="407" t="s">
        <v>200</v>
      </c>
      <c r="F4" s="380">
        <f ca="1">SUMIF(H217:H1224, "TRONTON", I217:I1223)</f>
        <v>32</v>
      </c>
      <c r="H4" s="414" t="s">
        <v>203</v>
      </c>
      <c r="I4" s="245">
        <f>COUNTIF($F$217:F1224, "JAWA TENGAH")</f>
        <v>1</v>
      </c>
      <c r="J4" s="318">
        <f>SUMIF(F217:F1224, "JAWA TENGAH", G217:G1224)</f>
        <v>30630.185999999998</v>
      </c>
      <c r="Q4" s="276" t="s">
        <v>206</v>
      </c>
      <c r="R4" s="294">
        <f>COUNTIF($C$110:$C$1203,"BRJ")</f>
        <v>10</v>
      </c>
    </row>
    <row r="5" spans="1:19" ht="23.4">
      <c r="A5" s="410" t="s">
        <v>265</v>
      </c>
      <c r="B5" s="411">
        <f>COUNTIF(K217:K1200,"MASUK")</f>
        <v>32</v>
      </c>
      <c r="C5" s="400"/>
      <c r="E5" s="406" t="s">
        <v>266</v>
      </c>
      <c r="F5" s="382">
        <f ca="1">SUBTOTAL(9,F3:F4)</f>
        <v>43</v>
      </c>
      <c r="H5" s="415" t="s">
        <v>205</v>
      </c>
      <c r="I5" s="247">
        <f>COUNTIF($F$217:F1225, "JAWA TIMUR")</f>
        <v>8</v>
      </c>
      <c r="J5" s="318">
        <f>SUMIF(F217:F1225, "JAWA TIMUR", G217:G1225)</f>
        <v>290630.10000000003</v>
      </c>
      <c r="Q5" s="282" t="s">
        <v>34</v>
      </c>
      <c r="R5" s="294">
        <f>COUNTIF($C$110:$C$1203,"ALIEF")</f>
        <v>35</v>
      </c>
    </row>
    <row r="6" spans="1:19" ht="23.4">
      <c r="A6" s="410" t="s">
        <v>207</v>
      </c>
      <c r="B6" s="411">
        <f>COUNTIF(K217:K1200,"BELUM MASUK")</f>
        <v>11</v>
      </c>
      <c r="C6" s="396"/>
      <c r="E6" s="406" t="s">
        <v>267</v>
      </c>
      <c r="F6" s="382">
        <f>G235+G258+G260+G261</f>
        <v>104713.91799999999</v>
      </c>
      <c r="H6" s="414" t="s">
        <v>208</v>
      </c>
      <c r="I6" s="249">
        <f>SUM(I3:I5)</f>
        <v>43</v>
      </c>
      <c r="J6" s="244">
        <f>SUM(J3:J5)</f>
        <v>1235901.4700000002</v>
      </c>
      <c r="K6" s="398"/>
      <c r="L6" s="308"/>
      <c r="M6" s="397"/>
      <c r="Q6" s="293" t="s">
        <v>152</v>
      </c>
      <c r="R6" s="294">
        <f>COUNTIF($C$110:$C$1203,"ELANG")</f>
        <v>4</v>
      </c>
    </row>
    <row r="7" spans="1:19" ht="27" customHeight="1">
      <c r="A7" s="412" t="s">
        <v>249</v>
      </c>
      <c r="B7" s="413">
        <f>B3-B4</f>
        <v>5</v>
      </c>
      <c r="C7" s="383" t="s">
        <v>268</v>
      </c>
      <c r="E7" s="406" t="s">
        <v>269</v>
      </c>
      <c r="F7" s="382">
        <f>G244+G245+G247</f>
        <v>108364.05600000001</v>
      </c>
      <c r="G7" s="253"/>
      <c r="H7" s="299"/>
      <c r="I7" s="281"/>
      <c r="J7" s="281"/>
      <c r="K7" s="349"/>
      <c r="L7" s="308"/>
      <c r="M7" s="397"/>
      <c r="N7" s="308"/>
      <c r="O7" s="307"/>
      <c r="Q7" s="293" t="s">
        <v>58</v>
      </c>
      <c r="R7" s="294">
        <f>COUNTIF($C$110:$C$1203,"CGL")</f>
        <v>1</v>
      </c>
    </row>
    <row r="8" spans="1:19" ht="27" customHeight="1">
      <c r="A8" s="295"/>
      <c r="B8" s="296"/>
      <c r="E8" s="406" t="s">
        <v>270</v>
      </c>
      <c r="F8" s="382">
        <f>G262+G264+G265+G266</f>
        <v>163880.41800000001</v>
      </c>
      <c r="G8" s="253"/>
      <c r="I8" s="281"/>
      <c r="J8" s="348"/>
      <c r="K8" s="307"/>
      <c r="L8" s="308"/>
      <c r="M8" s="195"/>
      <c r="Q8" t="s">
        <v>192</v>
      </c>
      <c r="R8" s="275">
        <f>SUM(R1:R7)</f>
        <v>108</v>
      </c>
    </row>
    <row r="9" spans="1:19" ht="27" customHeight="1">
      <c r="A9" s="295"/>
      <c r="B9" s="296"/>
      <c r="E9" s="361"/>
      <c r="F9" s="327"/>
      <c r="G9" s="253"/>
      <c r="I9" s="281"/>
      <c r="J9" s="348"/>
      <c r="K9" s="307"/>
      <c r="L9" s="308"/>
      <c r="M9" s="195"/>
      <c r="R9" s="275"/>
    </row>
    <row r="11" spans="1:19">
      <c r="A11" s="323" t="s">
        <v>1</v>
      </c>
      <c r="B11" s="324" t="s">
        <v>2</v>
      </c>
      <c r="C11" s="324" t="s">
        <v>3</v>
      </c>
      <c r="D11" s="324" t="s">
        <v>211</v>
      </c>
      <c r="E11" s="324" t="s">
        <v>5</v>
      </c>
      <c r="F11" s="324" t="s">
        <v>194</v>
      </c>
      <c r="G11" s="324" t="s">
        <v>212</v>
      </c>
      <c r="H11" s="325" t="s">
        <v>213</v>
      </c>
      <c r="I11" s="325" t="s">
        <v>214</v>
      </c>
      <c r="J11" s="390" t="s">
        <v>215</v>
      </c>
      <c r="K11" s="389" t="s">
        <v>216</v>
      </c>
      <c r="L11" s="391" t="s">
        <v>271</v>
      </c>
    </row>
    <row r="12" spans="1:19" hidden="1">
      <c r="A12" s="83" t="s">
        <v>218</v>
      </c>
      <c r="B12" s="81">
        <v>3331548306</v>
      </c>
      <c r="C12" s="185" t="s">
        <v>49</v>
      </c>
      <c r="D12" s="185">
        <v>24140272</v>
      </c>
      <c r="E12" s="363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124"/>
      <c r="L12" s="81"/>
    </row>
    <row r="13" spans="1:19" hidden="1">
      <c r="A13" s="83" t="s">
        <v>218</v>
      </c>
      <c r="B13" s="81">
        <v>3331548307</v>
      </c>
      <c r="C13" s="185" t="s">
        <v>58</v>
      </c>
      <c r="D13" s="185">
        <v>24140273</v>
      </c>
      <c r="E13" s="363" t="s">
        <v>219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9" hidden="1">
      <c r="A14" s="83" t="s">
        <v>218</v>
      </c>
      <c r="B14" s="81">
        <v>3331547906</v>
      </c>
      <c r="C14" s="185" t="s">
        <v>34</v>
      </c>
      <c r="D14" s="185">
        <v>24140274</v>
      </c>
      <c r="E14" s="363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9" hidden="1">
      <c r="A15" s="83" t="s">
        <v>218</v>
      </c>
      <c r="B15" s="81">
        <v>3331548297</v>
      </c>
      <c r="C15" s="185" t="s">
        <v>34</v>
      </c>
      <c r="D15" s="185">
        <v>24140275</v>
      </c>
      <c r="E15" s="363" t="s">
        <v>132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9" hidden="1">
      <c r="A16" s="83" t="s">
        <v>221</v>
      </c>
      <c r="B16" s="81">
        <v>3331548390</v>
      </c>
      <c r="C16" s="185" t="s">
        <v>34</v>
      </c>
      <c r="D16" s="185">
        <v>24140284</v>
      </c>
      <c r="E16" s="363" t="s">
        <v>154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221</v>
      </c>
      <c r="B17" s="81">
        <v>3331548324</v>
      </c>
      <c r="C17" s="185" t="s">
        <v>49</v>
      </c>
      <c r="D17" s="185">
        <v>24140281</v>
      </c>
      <c r="E17" s="363" t="s">
        <v>158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3331548346</v>
      </c>
      <c r="C18" s="185"/>
      <c r="D18" s="185"/>
      <c r="E18" s="363" t="s">
        <v>134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3331548331</v>
      </c>
      <c r="C19" s="185" t="s">
        <v>58</v>
      </c>
      <c r="D19" s="185">
        <v>24140277</v>
      </c>
      <c r="E19" s="363" t="s">
        <v>158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3331548348</v>
      </c>
      <c r="C20" s="185" t="s">
        <v>34</v>
      </c>
      <c r="D20" s="185">
        <v>24140279</v>
      </c>
      <c r="E20" s="363" t="s">
        <v>150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218</v>
      </c>
      <c r="B21" s="81">
        <v>3331548351</v>
      </c>
      <c r="C21" s="185" t="s">
        <v>27</v>
      </c>
      <c r="D21" s="185">
        <v>24140280</v>
      </c>
      <c r="E21" s="363" t="s">
        <v>222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221</v>
      </c>
      <c r="B22" s="81">
        <v>3331548298</v>
      </c>
      <c r="C22" s="185" t="s">
        <v>27</v>
      </c>
      <c r="D22" s="185">
        <v>24140282</v>
      </c>
      <c r="E22" s="363" t="s">
        <v>135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3331547489</v>
      </c>
      <c r="C23" s="185" t="s">
        <v>34</v>
      </c>
      <c r="D23" s="185">
        <v>24140283</v>
      </c>
      <c r="E23" s="363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218</v>
      </c>
      <c r="B24" s="81">
        <v>3331548380</v>
      </c>
      <c r="C24" s="185"/>
      <c r="D24" s="185"/>
      <c r="E24" s="363" t="s">
        <v>46</v>
      </c>
      <c r="F24" s="81" t="s">
        <v>199</v>
      </c>
      <c r="G24" s="191">
        <v>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3331548645</v>
      </c>
      <c r="C25" s="185" t="s">
        <v>82</v>
      </c>
      <c r="D25" s="185">
        <v>24140302</v>
      </c>
      <c r="E25" s="363" t="s">
        <v>223</v>
      </c>
      <c r="F25" s="81" t="s">
        <v>205</v>
      </c>
      <c r="G25" s="191">
        <v>26525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3331548670</v>
      </c>
      <c r="C26" s="185" t="s">
        <v>82</v>
      </c>
      <c r="D26" s="185">
        <v>24140304</v>
      </c>
      <c r="E26" s="363" t="s">
        <v>150</v>
      </c>
      <c r="F26" s="81" t="s">
        <v>199</v>
      </c>
      <c r="G26" s="191">
        <v>13000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3331548667</v>
      </c>
      <c r="C27" s="185" t="s">
        <v>82</v>
      </c>
      <c r="D27" s="185"/>
      <c r="E27" s="363" t="s">
        <v>134</v>
      </c>
      <c r="F27" s="81" t="s">
        <v>199</v>
      </c>
      <c r="G27" s="191">
        <v>11348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3331548673</v>
      </c>
      <c r="C28" s="185" t="s">
        <v>82</v>
      </c>
      <c r="D28" s="185">
        <v>24140290</v>
      </c>
      <c r="E28" s="363" t="s">
        <v>219</v>
      </c>
      <c r="F28" s="81" t="s">
        <v>199</v>
      </c>
      <c r="G28" s="191">
        <v>24763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221</v>
      </c>
      <c r="B29" s="81">
        <v>3331548675</v>
      </c>
      <c r="C29" s="185" t="s">
        <v>34</v>
      </c>
      <c r="D29" s="185">
        <v>24140291</v>
      </c>
      <c r="E29" s="363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218</v>
      </c>
      <c r="B30" s="81">
        <v>3331548333</v>
      </c>
      <c r="C30" s="185" t="s">
        <v>82</v>
      </c>
      <c r="D30" s="185">
        <v>24140295</v>
      </c>
      <c r="E30" s="363" t="s">
        <v>134</v>
      </c>
      <c r="F30" s="81" t="s">
        <v>199</v>
      </c>
      <c r="G30" s="191">
        <v>22060</v>
      </c>
      <c r="H30" s="191" t="s">
        <v>220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3331548732</v>
      </c>
      <c r="C31" s="185" t="s">
        <v>206</v>
      </c>
      <c r="D31" s="185">
        <v>24140296</v>
      </c>
      <c r="E31" s="363" t="s">
        <v>224</v>
      </c>
      <c r="F31" s="81" t="s">
        <v>203</v>
      </c>
      <c r="G31" s="191">
        <v>33872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3331548736</v>
      </c>
      <c r="C32" s="185" t="s">
        <v>206</v>
      </c>
      <c r="D32" s="185">
        <v>24140297</v>
      </c>
      <c r="E32" s="363" t="s">
        <v>224</v>
      </c>
      <c r="F32" s="81" t="s">
        <v>203</v>
      </c>
      <c r="G32" s="191">
        <v>44529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3331548741</v>
      </c>
      <c r="C33" s="185" t="s">
        <v>206</v>
      </c>
      <c r="D33" s="185">
        <v>24140298</v>
      </c>
      <c r="E33" s="363" t="s">
        <v>224</v>
      </c>
      <c r="F33" s="81" t="s">
        <v>203</v>
      </c>
      <c r="G33" s="191">
        <v>45726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3331548746</v>
      </c>
      <c r="C34" s="185" t="s">
        <v>206</v>
      </c>
      <c r="D34" s="185">
        <v>24140299</v>
      </c>
      <c r="E34" s="363" t="s">
        <v>225</v>
      </c>
      <c r="F34" s="81" t="s">
        <v>203</v>
      </c>
      <c r="G34" s="191">
        <v>37035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3331548749</v>
      </c>
      <c r="C35" s="185" t="s">
        <v>206</v>
      </c>
      <c r="D35" s="185">
        <v>24140300</v>
      </c>
      <c r="E35" s="363" t="s">
        <v>225</v>
      </c>
      <c r="F35" s="81" t="s">
        <v>203</v>
      </c>
      <c r="G35" s="191">
        <v>33812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3331548756</v>
      </c>
      <c r="C36" s="185" t="s">
        <v>175</v>
      </c>
      <c r="D36" s="185">
        <v>24140301</v>
      </c>
      <c r="E36" s="363" t="s">
        <v>225</v>
      </c>
      <c r="F36" s="81" t="s">
        <v>203</v>
      </c>
      <c r="G36" s="191">
        <v>34290</v>
      </c>
      <c r="H36" s="191" t="s">
        <v>128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3331548760</v>
      </c>
      <c r="C37" s="185" t="s">
        <v>82</v>
      </c>
      <c r="D37" s="185">
        <v>24140303</v>
      </c>
      <c r="E37" s="363" t="s">
        <v>12</v>
      </c>
      <c r="F37" s="81" t="s">
        <v>199</v>
      </c>
      <c r="G37" s="191">
        <v>13963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3" t="s">
        <v>221</v>
      </c>
      <c r="B38" s="81">
        <v>3331548761</v>
      </c>
      <c r="C38" s="185"/>
      <c r="D38" s="185"/>
      <c r="E38" s="363" t="s">
        <v>12</v>
      </c>
      <c r="F38" s="81" t="s">
        <v>199</v>
      </c>
      <c r="G38" s="191">
        <v>10480</v>
      </c>
      <c r="H38" s="191" t="s">
        <v>220</v>
      </c>
      <c r="I38" s="191">
        <v>1</v>
      </c>
      <c r="J38" s="83">
        <v>1</v>
      </c>
      <c r="K38" s="81"/>
      <c r="L38" s="81"/>
    </row>
    <row r="39" spans="1:12" hidden="1">
      <c r="A39" s="81" t="s">
        <v>221</v>
      </c>
      <c r="B39" s="82">
        <v>3331548736</v>
      </c>
      <c r="C39" s="185" t="s">
        <v>206</v>
      </c>
      <c r="D39" s="185">
        <v>24140297</v>
      </c>
      <c r="E39" s="363" t="s">
        <v>224</v>
      </c>
      <c r="F39" s="81" t="s">
        <v>203</v>
      </c>
      <c r="G39" s="191">
        <v>44529</v>
      </c>
      <c r="H39" s="191" t="s">
        <v>128</v>
      </c>
      <c r="I39" s="191">
        <v>1</v>
      </c>
      <c r="J39" s="81">
        <v>1</v>
      </c>
      <c r="K39" s="331">
        <v>0.17986111111111111</v>
      </c>
      <c r="L39" s="331">
        <v>0.44444444444444442</v>
      </c>
    </row>
    <row r="40" spans="1:12" s="27" customFormat="1" hidden="1">
      <c r="A40" s="81" t="s">
        <v>221</v>
      </c>
      <c r="B40" s="82">
        <v>3331548749</v>
      </c>
      <c r="C40" s="185" t="s">
        <v>49</v>
      </c>
      <c r="D40" s="185">
        <v>24140300</v>
      </c>
      <c r="E40" s="363" t="s">
        <v>226</v>
      </c>
      <c r="F40" s="81" t="s">
        <v>203</v>
      </c>
      <c r="G40" s="191">
        <v>35775.372000000003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>
        <v>9.0277777777777776E-2</v>
      </c>
    </row>
    <row r="41" spans="1:12" s="27" customFormat="1" hidden="1">
      <c r="A41" s="81" t="s">
        <v>221</v>
      </c>
      <c r="B41" s="82">
        <v>3331548756</v>
      </c>
      <c r="C41" s="185" t="s">
        <v>227</v>
      </c>
      <c r="D41" s="185">
        <v>24140301</v>
      </c>
      <c r="E41" s="364" t="s">
        <v>134</v>
      </c>
      <c r="F41" s="81" t="s">
        <v>203</v>
      </c>
      <c r="G41" s="191">
        <v>34495.741000000002</v>
      </c>
      <c r="H41" s="191" t="s">
        <v>128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 t="s">
        <v>228</v>
      </c>
    </row>
    <row r="42" spans="1:12" s="35" customFormat="1" hidden="1">
      <c r="A42" s="81" t="s">
        <v>229</v>
      </c>
      <c r="B42" s="81">
        <v>3331548394</v>
      </c>
      <c r="C42" s="185" t="s">
        <v>34</v>
      </c>
      <c r="D42" s="185">
        <v>24140305</v>
      </c>
      <c r="E42" s="363" t="s">
        <v>230</v>
      </c>
      <c r="F42" s="81" t="s">
        <v>199</v>
      </c>
      <c r="G42" s="191">
        <v>26626.47</v>
      </c>
      <c r="H42" s="191" t="s">
        <v>220</v>
      </c>
      <c r="I42" s="191">
        <v>1</v>
      </c>
      <c r="J42" s="191">
        <v>1</v>
      </c>
      <c r="K42" s="237" t="str">
        <f>IFERROR(VLOOKUP(B42,'IN OUT'!F:G,2,FALSE), "BELUM MASUK")</f>
        <v>BELUM MASUK</v>
      </c>
      <c r="L42" s="237">
        <v>0.84027777777777779</v>
      </c>
    </row>
    <row r="43" spans="1:12" s="35" customFormat="1" hidden="1">
      <c r="A43" s="81" t="s">
        <v>229</v>
      </c>
      <c r="B43" s="81">
        <v>3331548958</v>
      </c>
      <c r="C43" s="185" t="s">
        <v>206</v>
      </c>
      <c r="D43" s="185">
        <v>24140306</v>
      </c>
      <c r="E43" s="363" t="s">
        <v>224</v>
      </c>
      <c r="F43" s="203" t="s">
        <v>203</v>
      </c>
      <c r="G43" s="332">
        <v>42969.277999999998</v>
      </c>
      <c r="H43" s="332" t="s">
        <v>128</v>
      </c>
      <c r="I43" s="332">
        <v>1</v>
      </c>
      <c r="J43" s="332">
        <v>1</v>
      </c>
      <c r="K43" s="237" t="str">
        <f>IFERROR(VLOOKUP(B43,'IN OUT'!F:G,2,FALSE), "BELUM MASUK")</f>
        <v>BELUM MASUK</v>
      </c>
      <c r="L43" s="237" t="s">
        <v>228</v>
      </c>
    </row>
    <row r="44" spans="1:12" s="35" customFormat="1" hidden="1">
      <c r="A44" s="203" t="s">
        <v>229</v>
      </c>
      <c r="B44" s="203">
        <v>3331548967</v>
      </c>
      <c r="C44" s="333" t="s">
        <v>227</v>
      </c>
      <c r="D44" s="333">
        <v>24140307</v>
      </c>
      <c r="E44" s="365" t="s">
        <v>224</v>
      </c>
      <c r="F44" s="203" t="s">
        <v>203</v>
      </c>
      <c r="G44" s="332">
        <v>43071.89</v>
      </c>
      <c r="H44" s="332" t="s">
        <v>128</v>
      </c>
      <c r="I44" s="203">
        <v>1</v>
      </c>
      <c r="J44" s="203">
        <v>1</v>
      </c>
      <c r="K44" s="200">
        <v>0.71081018518518524</v>
      </c>
      <c r="L44" s="237">
        <v>6.25E-2</v>
      </c>
    </row>
    <row r="45" spans="1:12" s="44" customFormat="1" hidden="1">
      <c r="A45" s="81" t="s">
        <v>229</v>
      </c>
      <c r="B45" s="82">
        <v>3331548968</v>
      </c>
      <c r="C45" s="80" t="s">
        <v>11</v>
      </c>
      <c r="D45" s="80">
        <v>24140309</v>
      </c>
      <c r="E45" s="363" t="s">
        <v>226</v>
      </c>
      <c r="F45" s="81" t="s">
        <v>203</v>
      </c>
      <c r="G45" s="191">
        <v>32961.589999999997</v>
      </c>
      <c r="H45" s="191" t="s">
        <v>128</v>
      </c>
      <c r="I45" s="81">
        <v>1</v>
      </c>
      <c r="J45" s="81">
        <v>1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3331548969</v>
      </c>
      <c r="C46" s="80" t="s">
        <v>206</v>
      </c>
      <c r="D46" s="80">
        <v>24140310</v>
      </c>
      <c r="E46" s="363" t="s">
        <v>226</v>
      </c>
      <c r="F46" s="81" t="s">
        <v>203</v>
      </c>
      <c r="G46" s="191">
        <v>34967.553999999996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3331547878</v>
      </c>
      <c r="C47" s="80" t="s">
        <v>206</v>
      </c>
      <c r="D47" s="80">
        <v>24140311</v>
      </c>
      <c r="E47" s="363" t="s">
        <v>231</v>
      </c>
      <c r="F47" s="81" t="s">
        <v>203</v>
      </c>
      <c r="G47" s="191">
        <v>42299.445</v>
      </c>
      <c r="H47" s="191" t="s">
        <v>128</v>
      </c>
      <c r="I47" s="81">
        <v>1</v>
      </c>
      <c r="J47" s="81">
        <v>0</v>
      </c>
      <c r="K47" s="200" t="str">
        <f>IFERROR(VLOOKUP(B47,'IN OUT'!F:G,2,FALSE), "BELUM MASUK")</f>
        <v>BELUM MASUK</v>
      </c>
      <c r="L47" s="200" t="s">
        <v>228</v>
      </c>
    </row>
    <row r="48" spans="1:12" hidden="1">
      <c r="A48" s="81" t="s">
        <v>229</v>
      </c>
      <c r="B48" s="82">
        <v>3331549001</v>
      </c>
      <c r="C48" s="80" t="s">
        <v>206</v>
      </c>
      <c r="D48" s="80">
        <v>24140312</v>
      </c>
      <c r="E48" s="363" t="s">
        <v>173</v>
      </c>
      <c r="F48" s="81" t="s">
        <v>205</v>
      </c>
      <c r="G48" s="191">
        <v>40818.074999999997</v>
      </c>
      <c r="H48" s="191" t="s">
        <v>128</v>
      </c>
      <c r="I48" s="81">
        <v>1</v>
      </c>
      <c r="J48" s="81">
        <v>0</v>
      </c>
      <c r="K48" s="200">
        <v>0.20208333333333334</v>
      </c>
      <c r="L48" s="200" t="s">
        <v>228</v>
      </c>
    </row>
    <row r="49" spans="1:16" hidden="1">
      <c r="A49" s="203" t="s">
        <v>229</v>
      </c>
      <c r="B49" s="203">
        <v>3331549014</v>
      </c>
      <c r="C49" s="1497" t="s">
        <v>27</v>
      </c>
      <c r="D49" s="1497">
        <v>24140313</v>
      </c>
      <c r="E49" s="1508" t="s">
        <v>70</v>
      </c>
      <c r="F49" s="1497" t="s">
        <v>199</v>
      </c>
      <c r="G49" s="332">
        <v>22104.974999999999</v>
      </c>
      <c r="H49" s="203" t="s">
        <v>220</v>
      </c>
      <c r="I49" s="203">
        <v>1</v>
      </c>
      <c r="J49" s="203">
        <v>1</v>
      </c>
      <c r="K49" s="1494">
        <v>0.69403935185185184</v>
      </c>
      <c r="L49" s="237" t="s">
        <v>228</v>
      </c>
    </row>
    <row r="50" spans="1:16" hidden="1">
      <c r="A50" s="81" t="s">
        <v>229</v>
      </c>
      <c r="B50" s="81">
        <v>3331549063</v>
      </c>
      <c r="C50" s="1497"/>
      <c r="D50" s="1497"/>
      <c r="E50" s="1508"/>
      <c r="F50" s="1497"/>
      <c r="G50" s="191">
        <v>2026.08</v>
      </c>
      <c r="H50" s="203" t="s">
        <v>220</v>
      </c>
      <c r="I50" s="83"/>
      <c r="J50" s="83"/>
      <c r="K50" s="1494"/>
      <c r="L50" s="237" t="s">
        <v>228</v>
      </c>
    </row>
    <row r="51" spans="1:16" hidden="1">
      <c r="A51" s="81" t="s">
        <v>229</v>
      </c>
      <c r="B51" s="81">
        <v>3331549019</v>
      </c>
      <c r="C51" s="81" t="s">
        <v>27</v>
      </c>
      <c r="D51" s="81">
        <v>24140314</v>
      </c>
      <c r="E51" s="363" t="s">
        <v>156</v>
      </c>
      <c r="F51" s="203" t="s">
        <v>199</v>
      </c>
      <c r="G51" s="191">
        <v>20301.080000000002</v>
      </c>
      <c r="H51" s="203" t="s">
        <v>220</v>
      </c>
      <c r="I51" s="81">
        <v>1</v>
      </c>
      <c r="J51" s="81">
        <v>1</v>
      </c>
      <c r="K51" s="200">
        <v>0.82620370370370366</v>
      </c>
      <c r="L51" s="237" t="s">
        <v>228</v>
      </c>
    </row>
    <row r="52" spans="1:16" hidden="1">
      <c r="A52" s="81" t="s">
        <v>229</v>
      </c>
      <c r="B52" s="81">
        <v>3331549073</v>
      </c>
      <c r="C52" s="81" t="s">
        <v>34</v>
      </c>
      <c r="D52" s="81">
        <v>24140315</v>
      </c>
      <c r="E52" s="363" t="s">
        <v>165</v>
      </c>
      <c r="F52" s="203" t="s">
        <v>199</v>
      </c>
      <c r="G52" s="191">
        <v>26098.657999999999</v>
      </c>
      <c r="H52" s="203" t="s">
        <v>220</v>
      </c>
      <c r="I52" s="81">
        <v>1</v>
      </c>
      <c r="J52" s="81">
        <v>1</v>
      </c>
      <c r="K52" s="200">
        <v>0.75359953703703708</v>
      </c>
      <c r="L52" s="237" t="s">
        <v>228</v>
      </c>
    </row>
    <row r="53" spans="1:16" hidden="1">
      <c r="A53" s="81" t="s">
        <v>229</v>
      </c>
      <c r="B53" s="81">
        <v>3331549101</v>
      </c>
      <c r="C53" s="81" t="s">
        <v>227</v>
      </c>
      <c r="D53" s="81">
        <v>24140316</v>
      </c>
      <c r="E53" s="363" t="s">
        <v>129</v>
      </c>
      <c r="F53" s="81" t="s">
        <v>205</v>
      </c>
      <c r="G53" s="191">
        <v>46276.201000000001</v>
      </c>
      <c r="H53" s="81" t="s">
        <v>128</v>
      </c>
      <c r="I53" s="81">
        <v>1</v>
      </c>
      <c r="J53" s="81">
        <v>1</v>
      </c>
      <c r="K53" s="200">
        <v>0.95194444444444448</v>
      </c>
      <c r="L53" s="200" t="s">
        <v>228</v>
      </c>
    </row>
    <row r="54" spans="1:16" hidden="1">
      <c r="A54" s="81" t="s">
        <v>229</v>
      </c>
      <c r="B54" s="81">
        <v>3331549149</v>
      </c>
      <c r="C54" s="81" t="s">
        <v>137</v>
      </c>
      <c r="D54" s="81">
        <v>24140318</v>
      </c>
      <c r="E54" s="363" t="s">
        <v>46</v>
      </c>
      <c r="F54" s="81" t="s">
        <v>199</v>
      </c>
      <c r="G54" s="191">
        <v>25114.95</v>
      </c>
      <c r="H54" s="81" t="s">
        <v>220</v>
      </c>
      <c r="I54" s="81">
        <v>1</v>
      </c>
      <c r="J54" s="81">
        <v>1</v>
      </c>
      <c r="K54" s="200">
        <v>0.76285879629629627</v>
      </c>
      <c r="L54" s="237" t="s">
        <v>232</v>
      </c>
    </row>
    <row r="55" spans="1:16" s="108" customFormat="1" hidden="1">
      <c r="A55" s="81" t="s">
        <v>229</v>
      </c>
      <c r="B55" s="81">
        <v>3331549158</v>
      </c>
      <c r="C55" s="81" t="s">
        <v>27</v>
      </c>
      <c r="D55" s="81">
        <v>24140319</v>
      </c>
      <c r="E55" s="363" t="s">
        <v>46</v>
      </c>
      <c r="F55" s="81" t="s">
        <v>199</v>
      </c>
      <c r="G55" s="191">
        <v>22543.454000000002</v>
      </c>
      <c r="H55" s="81" t="s">
        <v>220</v>
      </c>
      <c r="I55" s="81">
        <v>1</v>
      </c>
      <c r="J55" s="81">
        <v>1</v>
      </c>
      <c r="K55" s="237">
        <v>0.93285879629629631</v>
      </c>
      <c r="L55" s="200" t="s">
        <v>228</v>
      </c>
    </row>
    <row r="56" spans="1:16" hidden="1">
      <c r="A56" s="81" t="s">
        <v>229</v>
      </c>
      <c r="B56" s="81">
        <v>3331549164</v>
      </c>
      <c r="C56" s="81" t="s">
        <v>27</v>
      </c>
      <c r="D56" s="81">
        <v>24140321</v>
      </c>
      <c r="E56" s="363" t="s">
        <v>46</v>
      </c>
      <c r="F56" s="81" t="s">
        <v>199</v>
      </c>
      <c r="G56" s="191">
        <v>27921.53</v>
      </c>
      <c r="H56" s="81" t="s">
        <v>220</v>
      </c>
      <c r="I56" s="81">
        <v>1</v>
      </c>
      <c r="J56" s="81">
        <v>1</v>
      </c>
      <c r="K56" s="237">
        <v>0.86071759259259262</v>
      </c>
      <c r="L56" s="200" t="s">
        <v>228</v>
      </c>
    </row>
    <row r="57" spans="1:16" s="261" customFormat="1" hidden="1">
      <c r="A57" s="81" t="s">
        <v>229</v>
      </c>
      <c r="B57" s="81">
        <v>3331549168</v>
      </c>
      <c r="C57" s="81" t="s">
        <v>34</v>
      </c>
      <c r="D57" s="81">
        <v>24140323</v>
      </c>
      <c r="E57" s="363" t="s">
        <v>48</v>
      </c>
      <c r="F57" s="81" t="s">
        <v>199</v>
      </c>
      <c r="G57" s="191">
        <v>30009.3</v>
      </c>
      <c r="H57" s="81" t="s">
        <v>220</v>
      </c>
      <c r="I57" s="81">
        <v>1</v>
      </c>
      <c r="J57" s="81">
        <v>1</v>
      </c>
      <c r="K57" s="237">
        <v>0.78456018518518522</v>
      </c>
      <c r="L57" s="237">
        <v>8.3333333333333329E-2</v>
      </c>
    </row>
    <row r="58" spans="1:16" hidden="1">
      <c r="A58" s="203" t="s">
        <v>229</v>
      </c>
      <c r="B58" s="203">
        <v>3331549173</v>
      </c>
      <c r="C58" s="203" t="s">
        <v>34</v>
      </c>
      <c r="D58" s="203">
        <v>24140324</v>
      </c>
      <c r="E58" s="366" t="s">
        <v>48</v>
      </c>
      <c r="F58" s="203" t="s">
        <v>199</v>
      </c>
      <c r="G58" s="332">
        <v>25702.875</v>
      </c>
      <c r="H58" s="203" t="s">
        <v>220</v>
      </c>
      <c r="I58" s="203">
        <v>1</v>
      </c>
      <c r="J58" s="203">
        <v>1</v>
      </c>
      <c r="K58" s="200">
        <v>0.81268518518518518</v>
      </c>
      <c r="L58" s="200" t="s">
        <v>228</v>
      </c>
    </row>
    <row r="59" spans="1:16" hidden="1">
      <c r="A59" s="81" t="s">
        <v>233</v>
      </c>
      <c r="B59" s="82">
        <v>3331548968</v>
      </c>
      <c r="C59" s="80" t="s">
        <v>11</v>
      </c>
      <c r="D59" s="80">
        <v>24140309</v>
      </c>
      <c r="E59" s="363" t="s">
        <v>226</v>
      </c>
      <c r="F59" s="81" t="s">
        <v>203</v>
      </c>
      <c r="G59" s="191">
        <v>32961.589999999997</v>
      </c>
      <c r="H59" s="191" t="s">
        <v>128</v>
      </c>
      <c r="I59" s="81">
        <v>1</v>
      </c>
      <c r="J59" s="81">
        <v>1</v>
      </c>
      <c r="K59" s="200" t="str">
        <f>IFERROR(VLOOKUP(B59,'IN OUT'!F:G,2,FALSE), "BELUM MASUK")</f>
        <v>BELUM MASUK</v>
      </c>
      <c r="L59" s="200" t="s">
        <v>228</v>
      </c>
    </row>
    <row r="60" spans="1:16" hidden="1">
      <c r="A60" s="81" t="s">
        <v>233</v>
      </c>
      <c r="B60" s="82">
        <v>3331548969</v>
      </c>
      <c r="C60" s="80" t="s">
        <v>206</v>
      </c>
      <c r="D60" s="80">
        <v>24140310</v>
      </c>
      <c r="E60" s="363" t="s">
        <v>226</v>
      </c>
      <c r="F60" s="81" t="s">
        <v>203</v>
      </c>
      <c r="G60" s="191">
        <v>34967.553999999996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6" hidden="1">
      <c r="A61" s="81" t="s">
        <v>233</v>
      </c>
      <c r="B61" s="82">
        <v>3331547878</v>
      </c>
      <c r="C61" s="80" t="s">
        <v>206</v>
      </c>
      <c r="D61" s="80">
        <v>24140311</v>
      </c>
      <c r="E61" s="363" t="s">
        <v>130</v>
      </c>
      <c r="F61" s="81" t="s">
        <v>203</v>
      </c>
      <c r="G61" s="191">
        <v>42299.445</v>
      </c>
      <c r="H61" s="191" t="s">
        <v>128</v>
      </c>
      <c r="I61" s="81">
        <v>1</v>
      </c>
      <c r="J61" s="81">
        <v>0</v>
      </c>
      <c r="K61" s="200" t="str">
        <f>IFERROR(VLOOKUP(B61,'IN OUT'!F:G,2,FALSE), "BELUM MASUK")</f>
        <v>BELUM MASUK</v>
      </c>
      <c r="L61" s="200" t="s">
        <v>228</v>
      </c>
    </row>
    <row r="62" spans="1:16" hidden="1">
      <c r="A62" s="81" t="s">
        <v>233</v>
      </c>
      <c r="B62" s="82">
        <v>3331549001</v>
      </c>
      <c r="C62" s="80" t="s">
        <v>206</v>
      </c>
      <c r="D62" s="80">
        <v>24140312</v>
      </c>
      <c r="E62" s="363" t="s">
        <v>129</v>
      </c>
      <c r="F62" s="81" t="s">
        <v>205</v>
      </c>
      <c r="G62" s="191">
        <v>40818.074999999997</v>
      </c>
      <c r="H62" s="191" t="s">
        <v>128</v>
      </c>
      <c r="I62" s="81">
        <v>1</v>
      </c>
      <c r="J62" s="81">
        <v>0</v>
      </c>
      <c r="K62" s="200">
        <v>0.20208333333333334</v>
      </c>
      <c r="L62" s="200" t="s">
        <v>228</v>
      </c>
    </row>
    <row r="63" spans="1:16" s="44" customFormat="1" hidden="1">
      <c r="A63" s="81" t="s">
        <v>234</v>
      </c>
      <c r="B63" s="81">
        <v>3331548968</v>
      </c>
      <c r="C63" s="80" t="s">
        <v>11</v>
      </c>
      <c r="D63" s="80">
        <v>24140309</v>
      </c>
      <c r="E63" s="363" t="s">
        <v>226</v>
      </c>
      <c r="F63" s="81" t="s">
        <v>203</v>
      </c>
      <c r="G63" s="191">
        <v>32961.589999999997</v>
      </c>
      <c r="H63" s="191" t="s">
        <v>128</v>
      </c>
      <c r="I63" s="81">
        <v>1</v>
      </c>
      <c r="J63" s="81">
        <v>1</v>
      </c>
      <c r="K63" s="305" t="str">
        <f>IFERROR(VLOOKUP(B63,'IN OUT'!F:G,2,FALSE), "BELUM MASUK")</f>
        <v>BELUM MASUK</v>
      </c>
      <c r="L63" s="305" t="str">
        <f>IFERROR(VLOOKUP(B63,'IN OUT'!F:H,3,FALSE), "BELUM KELUAR")</f>
        <v>BELUM KELUAR</v>
      </c>
    </row>
    <row r="64" spans="1:16" s="35" customFormat="1" hidden="1">
      <c r="A64" s="82" t="s">
        <v>234</v>
      </c>
      <c r="B64" s="82">
        <v>3331548969</v>
      </c>
      <c r="C64" s="114" t="s">
        <v>206</v>
      </c>
      <c r="D64" s="114">
        <v>24140310</v>
      </c>
      <c r="E64" s="364" t="s">
        <v>226</v>
      </c>
      <c r="F64" s="82" t="s">
        <v>203</v>
      </c>
      <c r="G64" s="219">
        <v>34967.553999999996</v>
      </c>
      <c r="H64" s="219" t="s">
        <v>128</v>
      </c>
      <c r="I64" s="82">
        <v>1</v>
      </c>
      <c r="J64" s="82">
        <v>1</v>
      </c>
      <c r="K64" s="200" t="str">
        <f>IFERROR(VLOOKUP(B64,'IN OUT'!F:G,2,FALSE), "BELUM MASUK")</f>
        <v>BELUM MASUK</v>
      </c>
      <c r="L64" s="200"/>
      <c r="P64" s="44"/>
    </row>
    <row r="65" spans="1:16" s="44" customFormat="1" hidden="1">
      <c r="A65" s="81" t="s">
        <v>234</v>
      </c>
      <c r="B65" s="81">
        <v>3331547878</v>
      </c>
      <c r="C65" s="80" t="s">
        <v>206</v>
      </c>
      <c r="D65" s="80">
        <v>24140311</v>
      </c>
      <c r="E65" s="363" t="s">
        <v>235</v>
      </c>
      <c r="F65" s="81" t="s">
        <v>203</v>
      </c>
      <c r="G65" s="191">
        <v>42299.445</v>
      </c>
      <c r="H65" s="191" t="s">
        <v>128</v>
      </c>
      <c r="I65" s="81">
        <v>1</v>
      </c>
      <c r="J65" s="81">
        <v>1</v>
      </c>
      <c r="K65" s="305" t="str">
        <f>IFERROR(VLOOKUP(B65,'IN OUT'!F:G,2,FALSE), "BELUM MASUK")</f>
        <v>BELUM MASUK</v>
      </c>
      <c r="L65" s="305">
        <v>0.68541666666666667</v>
      </c>
    </row>
    <row r="66" spans="1:16" s="44" customFormat="1" hidden="1">
      <c r="A66" s="81" t="s">
        <v>234</v>
      </c>
      <c r="B66" s="81">
        <v>3331549001</v>
      </c>
      <c r="C66" s="80" t="s">
        <v>206</v>
      </c>
      <c r="D66" s="80">
        <v>24140312</v>
      </c>
      <c r="E66" s="363" t="s">
        <v>236</v>
      </c>
      <c r="F66" s="81" t="s">
        <v>205</v>
      </c>
      <c r="G66" s="191">
        <v>40818.074999999997</v>
      </c>
      <c r="H66" s="191" t="s">
        <v>128</v>
      </c>
      <c r="I66" s="203">
        <v>1</v>
      </c>
      <c r="J66" s="203">
        <v>1</v>
      </c>
      <c r="K66" s="305" t="str">
        <f>IFERROR(VLOOKUP(B66,'IN OUT'!F:G,2,FALSE), "BELUM MASUK")</f>
        <v>BELUM MASUK</v>
      </c>
      <c r="L66" s="305"/>
    </row>
    <row r="67" spans="1:16" s="44" customFormat="1" hidden="1">
      <c r="A67" s="114" t="s">
        <v>237</v>
      </c>
      <c r="B67" s="81">
        <v>3331549196</v>
      </c>
      <c r="C67" s="81" t="s">
        <v>27</v>
      </c>
      <c r="D67" s="81">
        <v>24140326</v>
      </c>
      <c r="E67" s="363" t="s">
        <v>219</v>
      </c>
      <c r="F67" s="81" t="s">
        <v>199</v>
      </c>
      <c r="G67" s="191">
        <v>25376.35</v>
      </c>
      <c r="H67" s="240" t="s">
        <v>200</v>
      </c>
      <c r="I67" s="81">
        <v>1</v>
      </c>
      <c r="J67" s="81">
        <v>1</v>
      </c>
      <c r="K67" s="335" t="str">
        <f>IFERROR(VLOOKUP(B67,'IN OUT'!F:G,2,FALSE), "BELUM MASUK")</f>
        <v>BELUM MASUK</v>
      </c>
      <c r="L67" s="305"/>
    </row>
    <row r="68" spans="1:16" s="297" customFormat="1" hidden="1">
      <c r="A68" s="114" t="s">
        <v>237</v>
      </c>
      <c r="B68" s="114">
        <v>3331548636</v>
      </c>
      <c r="C68" s="114" t="s">
        <v>27</v>
      </c>
      <c r="D68" s="114">
        <v>24140327</v>
      </c>
      <c r="E68" s="367" t="s">
        <v>235</v>
      </c>
      <c r="F68" s="114" t="s">
        <v>203</v>
      </c>
      <c r="G68" s="270">
        <v>42872.294999999998</v>
      </c>
      <c r="H68" s="271" t="s">
        <v>128</v>
      </c>
      <c r="I68" s="114">
        <v>1</v>
      </c>
      <c r="J68" s="114">
        <v>1</v>
      </c>
      <c r="K68" s="272" t="s">
        <v>204</v>
      </c>
      <c r="L68" s="273"/>
      <c r="P68" s="44"/>
    </row>
    <row r="69" spans="1:16" s="35" customFormat="1" hidden="1">
      <c r="A69" s="114" t="s">
        <v>237</v>
      </c>
      <c r="B69" s="82">
        <v>3331549287</v>
      </c>
      <c r="C69" s="82" t="s">
        <v>175</v>
      </c>
      <c r="D69" s="82">
        <v>24140328</v>
      </c>
      <c r="E69" s="364" t="s">
        <v>236</v>
      </c>
      <c r="F69" s="82" t="s">
        <v>205</v>
      </c>
      <c r="G69" s="219">
        <v>47802.824999999997</v>
      </c>
      <c r="H69" s="252" t="s">
        <v>128</v>
      </c>
      <c r="I69" s="115">
        <v>1</v>
      </c>
      <c r="J69" s="115">
        <v>1</v>
      </c>
      <c r="K69" s="241" t="str">
        <f>IFERROR(VLOOKUP(B69,'IN OUT'!F:G,2,FALSE), "BELUM MASUK")</f>
        <v>BELUM MASUK</v>
      </c>
      <c r="L69" s="200"/>
      <c r="P69" s="44"/>
    </row>
    <row r="70" spans="1:16" s="35" customFormat="1" hidden="1">
      <c r="A70" s="114" t="s">
        <v>237</v>
      </c>
      <c r="B70" s="81">
        <v>3331549288</v>
      </c>
      <c r="C70" s="81" t="s">
        <v>27</v>
      </c>
      <c r="D70" s="81">
        <v>24140329</v>
      </c>
      <c r="E70" s="363" t="s">
        <v>239</v>
      </c>
      <c r="F70" s="81" t="s">
        <v>199</v>
      </c>
      <c r="G70" s="191">
        <v>24670.74</v>
      </c>
      <c r="H70" s="81" t="s">
        <v>200</v>
      </c>
      <c r="I70" s="81">
        <v>1</v>
      </c>
      <c r="J70" s="81">
        <v>1</v>
      </c>
      <c r="K70" s="335" t="str">
        <f>IFERROR(VLOOKUP(B70,'IN OUT'!F:G,2,FALSE), "BELUM MASUK")</f>
        <v>BELUM MASUK</v>
      </c>
      <c r="L70" s="305">
        <v>0.65427083333333336</v>
      </c>
      <c r="M70" s="44"/>
      <c r="P70" s="44"/>
    </row>
    <row r="71" spans="1:16" s="35" customFormat="1" hidden="1">
      <c r="A71" s="114" t="s">
        <v>237</v>
      </c>
      <c r="B71" s="81">
        <v>3331549290</v>
      </c>
      <c r="C71" s="81" t="s">
        <v>27</v>
      </c>
      <c r="D71" s="81">
        <v>24140330</v>
      </c>
      <c r="E71" s="363" t="s">
        <v>239</v>
      </c>
      <c r="F71" s="81" t="s">
        <v>199</v>
      </c>
      <c r="G71" s="191">
        <v>25234.544999999998</v>
      </c>
      <c r="H71" s="81" t="s">
        <v>200</v>
      </c>
      <c r="I71" s="81">
        <v>1</v>
      </c>
      <c r="J71" s="81">
        <v>1</v>
      </c>
      <c r="K71" s="335" t="str">
        <f>IFERROR(VLOOKUP(B71,'IN OUT'!F:G,2,FALSE), "BELUM MASUK")</f>
        <v>BELUM MASUK</v>
      </c>
      <c r="L71" s="305">
        <v>0.72499999999999998</v>
      </c>
      <c r="M71" s="44"/>
      <c r="P71" s="44"/>
    </row>
    <row r="72" spans="1:16" s="35" customFormat="1" hidden="1">
      <c r="A72" s="114" t="s">
        <v>237</v>
      </c>
      <c r="B72" s="82">
        <v>3331549303</v>
      </c>
      <c r="C72" s="82" t="s">
        <v>27</v>
      </c>
      <c r="D72" s="82">
        <v>24140335</v>
      </c>
      <c r="E72" s="364" t="s">
        <v>226</v>
      </c>
      <c r="F72" s="82" t="s">
        <v>203</v>
      </c>
      <c r="G72" s="219">
        <v>31377.14</v>
      </c>
      <c r="H72" s="82" t="s">
        <v>128</v>
      </c>
      <c r="I72" s="82">
        <v>1</v>
      </c>
      <c r="J72" s="82">
        <v>1</v>
      </c>
      <c r="K72" s="241">
        <v>0.71967592592592589</v>
      </c>
      <c r="L72" s="200"/>
      <c r="P72" s="44"/>
    </row>
    <row r="73" spans="1:16" s="44" customFormat="1" hidden="1">
      <c r="A73" s="114" t="s">
        <v>237</v>
      </c>
      <c r="B73" s="82">
        <v>3331549302</v>
      </c>
      <c r="C73" s="82" t="s">
        <v>152</v>
      </c>
      <c r="D73" s="82">
        <v>24140334</v>
      </c>
      <c r="E73" s="364" t="s">
        <v>226</v>
      </c>
      <c r="F73" s="82" t="s">
        <v>203</v>
      </c>
      <c r="G73" s="219">
        <v>33582.292000000001</v>
      </c>
      <c r="H73" s="82" t="s">
        <v>128</v>
      </c>
      <c r="I73" s="81">
        <v>1</v>
      </c>
      <c r="J73" s="81">
        <v>1</v>
      </c>
      <c r="K73" s="241" t="str">
        <f>IFERROR(VLOOKUP(B73,'IN OUT'!F:G,2,FALSE), "BELUM MASUK")</f>
        <v>BELUM MASUK</v>
      </c>
      <c r="L73" s="200"/>
    </row>
    <row r="74" spans="1:16" s="44" customFormat="1" hidden="1">
      <c r="A74" s="114" t="s">
        <v>237</v>
      </c>
      <c r="B74" s="82">
        <v>3331549306</v>
      </c>
      <c r="C74" s="82" t="s">
        <v>206</v>
      </c>
      <c r="D74" s="82">
        <v>24140338</v>
      </c>
      <c r="E74" s="364" t="s">
        <v>224</v>
      </c>
      <c r="F74" s="82" t="s">
        <v>203</v>
      </c>
      <c r="G74" s="219">
        <v>32448.53</v>
      </c>
      <c r="H74" s="82" t="s">
        <v>128</v>
      </c>
      <c r="I74" s="81">
        <v>1</v>
      </c>
      <c r="J74" s="81">
        <v>1</v>
      </c>
      <c r="K74" s="241" t="str">
        <f>IFERROR(VLOOKUP(B74,'IN OUT'!F:G,2,FALSE), "BELUM MASUK")</f>
        <v>BELUM MASUK</v>
      </c>
      <c r="L74" s="200"/>
    </row>
    <row r="75" spans="1:16" s="108" customFormat="1" hidden="1">
      <c r="A75" s="114" t="s">
        <v>237</v>
      </c>
      <c r="B75" s="82">
        <v>3331549308</v>
      </c>
      <c r="C75" s="82" t="s">
        <v>206</v>
      </c>
      <c r="D75" s="82">
        <v>24140336</v>
      </c>
      <c r="E75" s="364" t="s">
        <v>224</v>
      </c>
      <c r="F75" s="82" t="s">
        <v>203</v>
      </c>
      <c r="G75" s="219">
        <v>30972.727999999999</v>
      </c>
      <c r="H75" s="82" t="s">
        <v>128</v>
      </c>
      <c r="I75" s="81">
        <v>1</v>
      </c>
      <c r="J75" s="203">
        <v>0</v>
      </c>
      <c r="K75" s="241" t="s">
        <v>204</v>
      </c>
      <c r="L75" s="200"/>
    </row>
    <row r="76" spans="1:16" s="108" customFormat="1" hidden="1">
      <c r="A76" s="114" t="s">
        <v>237</v>
      </c>
      <c r="B76" s="82">
        <v>3331549310</v>
      </c>
      <c r="C76" s="82" t="s">
        <v>206</v>
      </c>
      <c r="D76" s="82">
        <v>24140337</v>
      </c>
      <c r="E76" s="364" t="s">
        <v>224</v>
      </c>
      <c r="F76" s="82" t="s">
        <v>203</v>
      </c>
      <c r="G76" s="219">
        <v>31570.292000000001</v>
      </c>
      <c r="H76" s="82" t="s">
        <v>128</v>
      </c>
      <c r="I76" s="240">
        <v>1</v>
      </c>
      <c r="J76" s="203">
        <v>0</v>
      </c>
      <c r="K76" s="241" t="s">
        <v>204</v>
      </c>
      <c r="L76" s="200"/>
    </row>
    <row r="77" spans="1:16" s="44" customFormat="1" hidden="1">
      <c r="A77" s="114" t="s">
        <v>237</v>
      </c>
      <c r="B77" s="240">
        <v>3331549284</v>
      </c>
      <c r="C77" s="1497" t="s">
        <v>27</v>
      </c>
      <c r="D77" s="1497">
        <v>24140339</v>
      </c>
      <c r="E77" s="363" t="s">
        <v>240</v>
      </c>
      <c r="F77" s="81" t="s">
        <v>199</v>
      </c>
      <c r="G77" s="191">
        <v>4889.3249999999998</v>
      </c>
      <c r="H77" s="81" t="s">
        <v>200</v>
      </c>
      <c r="I77" s="240">
        <v>1</v>
      </c>
      <c r="J77" s="81">
        <v>1</v>
      </c>
      <c r="K77" s="336">
        <v>45904.466736111113</v>
      </c>
      <c r="L77" s="337"/>
    </row>
    <row r="78" spans="1:16" s="44" customFormat="1" hidden="1">
      <c r="A78" s="114" t="s">
        <v>237</v>
      </c>
      <c r="B78" s="240">
        <v>3331549286</v>
      </c>
      <c r="C78" s="1498"/>
      <c r="D78" s="1498"/>
      <c r="E78" s="363" t="s">
        <v>240</v>
      </c>
      <c r="F78" s="81"/>
      <c r="G78" s="191">
        <v>20213.564999999999</v>
      </c>
      <c r="H78" s="81"/>
      <c r="I78" s="240"/>
      <c r="J78" s="81"/>
      <c r="K78" s="336"/>
      <c r="L78" s="337"/>
    </row>
    <row r="79" spans="1:16" s="44" customFormat="1" hidden="1">
      <c r="A79" s="114" t="s">
        <v>237</v>
      </c>
      <c r="B79" s="81">
        <v>3331549314</v>
      </c>
      <c r="C79" s="124" t="s">
        <v>34</v>
      </c>
      <c r="D79" s="81">
        <v>24140340</v>
      </c>
      <c r="E79" s="363" t="s">
        <v>240</v>
      </c>
      <c r="F79" s="81" t="s">
        <v>199</v>
      </c>
      <c r="G79" s="191">
        <v>24895.86</v>
      </c>
      <c r="H79" s="81" t="s">
        <v>200</v>
      </c>
      <c r="I79" s="240">
        <v>1</v>
      </c>
      <c r="J79" s="124">
        <v>1</v>
      </c>
      <c r="K79" s="338" t="str">
        <f>IFERROR(VLOOKUP(B79,'IN OUT'!F:G,2,FALSE), "BELUM MASUK")</f>
        <v>BELUM MASUK</v>
      </c>
      <c r="L79" s="339"/>
    </row>
    <row r="80" spans="1:16" s="44" customFormat="1" hidden="1">
      <c r="A80" s="114" t="s">
        <v>237</v>
      </c>
      <c r="B80" s="81">
        <v>3331549316</v>
      </c>
      <c r="C80" s="81" t="s">
        <v>34</v>
      </c>
      <c r="D80" s="81">
        <v>24140341</v>
      </c>
      <c r="E80" s="363" t="s">
        <v>240</v>
      </c>
      <c r="F80" s="81" t="s">
        <v>199</v>
      </c>
      <c r="G80" s="191">
        <v>24557.174999999999</v>
      </c>
      <c r="H80" s="81" t="s">
        <v>200</v>
      </c>
      <c r="I80" s="240">
        <v>1</v>
      </c>
      <c r="J80" s="81">
        <v>1</v>
      </c>
      <c r="K80" s="335" t="s">
        <v>204</v>
      </c>
      <c r="L80" s="305"/>
    </row>
    <row r="81" spans="1:16" s="44" customFormat="1" hidden="1">
      <c r="A81" s="114" t="s">
        <v>237</v>
      </c>
      <c r="B81" s="81">
        <v>3331549319</v>
      </c>
      <c r="C81" s="81" t="s">
        <v>34</v>
      </c>
      <c r="D81" s="81">
        <v>24140342</v>
      </c>
      <c r="E81" s="363" t="s">
        <v>240</v>
      </c>
      <c r="F81" s="81" t="s">
        <v>199</v>
      </c>
      <c r="G81" s="191">
        <v>24780.285</v>
      </c>
      <c r="H81" s="81" t="s">
        <v>200</v>
      </c>
      <c r="I81" s="240">
        <v>1</v>
      </c>
      <c r="J81" s="81">
        <v>1</v>
      </c>
      <c r="K81" s="335" t="str">
        <f>IFERROR(VLOOKUP(B81,'IN OUT'!F:G,2,FALSE), "BELUM MASUK")</f>
        <v>BELUM MASUK</v>
      </c>
      <c r="L81" s="305"/>
    </row>
    <row r="82" spans="1:16" hidden="1">
      <c r="A82" s="114" t="s">
        <v>237</v>
      </c>
      <c r="B82" s="82">
        <v>3331549321</v>
      </c>
      <c r="C82" s="82" t="s">
        <v>152</v>
      </c>
      <c r="D82" s="82">
        <v>24140343</v>
      </c>
      <c r="E82" s="364" t="s">
        <v>242</v>
      </c>
      <c r="F82" s="82" t="s">
        <v>199</v>
      </c>
      <c r="G82" s="219">
        <v>24602.400000000001</v>
      </c>
      <c r="H82" s="82" t="s">
        <v>200</v>
      </c>
      <c r="I82" s="240">
        <v>1</v>
      </c>
      <c r="J82" s="81">
        <v>1</v>
      </c>
      <c r="K82" s="241">
        <v>0.69604166666666667</v>
      </c>
      <c r="L82" s="200"/>
      <c r="P82" s="44"/>
    </row>
    <row r="83" spans="1:16" s="108" customFormat="1" hidden="1">
      <c r="A83" s="114" t="s">
        <v>237</v>
      </c>
      <c r="B83" s="82">
        <v>3331549324</v>
      </c>
      <c r="C83" s="82" t="s">
        <v>152</v>
      </c>
      <c r="D83" s="82">
        <v>24140344</v>
      </c>
      <c r="E83" s="364" t="s">
        <v>242</v>
      </c>
      <c r="F83" s="82" t="s">
        <v>199</v>
      </c>
      <c r="G83" s="219">
        <v>25388.31</v>
      </c>
      <c r="H83" s="82" t="s">
        <v>200</v>
      </c>
      <c r="I83" s="240">
        <v>1</v>
      </c>
      <c r="J83" s="81">
        <v>1</v>
      </c>
      <c r="K83" s="241" t="str">
        <f>IFERROR(VLOOKUP(B83,'IN OUT'!F:G,2,FALSE), "BELUM MASUK")</f>
        <v>BELUM MASUK</v>
      </c>
      <c r="L83" s="200"/>
      <c r="P83" s="44"/>
    </row>
    <row r="84" spans="1:16" hidden="1">
      <c r="A84" s="114" t="s">
        <v>237</v>
      </c>
      <c r="B84" s="82">
        <v>3331549327</v>
      </c>
      <c r="C84" s="82" t="s">
        <v>34</v>
      </c>
      <c r="D84" s="82">
        <v>24140346</v>
      </c>
      <c r="E84" s="364" t="s">
        <v>243</v>
      </c>
      <c r="F84" s="82" t="s">
        <v>199</v>
      </c>
      <c r="G84" s="219">
        <v>26166.06</v>
      </c>
      <c r="H84" s="82" t="s">
        <v>200</v>
      </c>
      <c r="I84" s="240">
        <v>1</v>
      </c>
      <c r="J84" s="81">
        <v>1</v>
      </c>
      <c r="K84" s="241" t="str">
        <f>IFERROR(VLOOKUP(B84,'IN OUT'!F:G,2,FALSE), "BELUM MASUK")</f>
        <v>BELUM MASUK</v>
      </c>
      <c r="L84" s="200"/>
      <c r="P84" s="44"/>
    </row>
    <row r="85" spans="1:16" s="108" customFormat="1" hidden="1">
      <c r="A85" s="114" t="s">
        <v>237</v>
      </c>
      <c r="B85" s="82">
        <v>3331549363</v>
      </c>
      <c r="C85" s="82" t="s">
        <v>175</v>
      </c>
      <c r="D85" s="82">
        <v>24140350</v>
      </c>
      <c r="E85" s="364" t="s">
        <v>253</v>
      </c>
      <c r="F85" s="82" t="s">
        <v>205</v>
      </c>
      <c r="G85" s="219">
        <v>44167.74</v>
      </c>
      <c r="H85" s="82" t="s">
        <v>128</v>
      </c>
      <c r="I85" s="240">
        <v>1</v>
      </c>
      <c r="J85" s="81">
        <v>1</v>
      </c>
      <c r="K85" s="241" t="s">
        <v>204</v>
      </c>
      <c r="L85" s="200"/>
    </row>
    <row r="86" spans="1:16" hidden="1">
      <c r="A86" s="114" t="s">
        <v>237</v>
      </c>
      <c r="B86" s="82">
        <v>3331549372</v>
      </c>
      <c r="C86" s="1499" t="s">
        <v>58</v>
      </c>
      <c r="D86" s="1501">
        <v>24140347</v>
      </c>
      <c r="E86" s="364" t="s">
        <v>121</v>
      </c>
      <c r="F86" s="82" t="s">
        <v>199</v>
      </c>
      <c r="G86" s="219">
        <v>19610.964</v>
      </c>
      <c r="H86" s="82" t="s">
        <v>200</v>
      </c>
      <c r="I86" s="240">
        <v>1</v>
      </c>
      <c r="J86" s="81">
        <v>1</v>
      </c>
      <c r="K86" s="241" t="s">
        <v>204</v>
      </c>
      <c r="L86" s="200"/>
      <c r="P86" s="44"/>
    </row>
    <row r="87" spans="1:16" hidden="1">
      <c r="A87" s="114" t="s">
        <v>237</v>
      </c>
      <c r="B87" s="82">
        <v>3331548970</v>
      </c>
      <c r="C87" s="1500"/>
      <c r="D87" s="1502"/>
      <c r="E87" s="364" t="s">
        <v>121</v>
      </c>
      <c r="F87" s="82"/>
      <c r="G87" s="219">
        <v>6192.9359999999997</v>
      </c>
      <c r="H87" s="82"/>
      <c r="I87" s="240"/>
      <c r="J87" s="81"/>
      <c r="K87" s="241" t="s">
        <v>204</v>
      </c>
      <c r="L87" s="200"/>
      <c r="P87" s="44"/>
    </row>
    <row r="88" spans="1:16" hidden="1">
      <c r="A88" s="114" t="s">
        <v>237</v>
      </c>
      <c r="B88" s="82">
        <v>3331549376</v>
      </c>
      <c r="C88" s="82" t="s">
        <v>34</v>
      </c>
      <c r="D88" s="82">
        <v>24140348</v>
      </c>
      <c r="E88" s="364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41">
        <v>0.69027777777777777</v>
      </c>
      <c r="L88" s="200"/>
      <c r="P88" s="44"/>
    </row>
    <row r="89" spans="1:16" hidden="1">
      <c r="A89" s="114" t="s">
        <v>237</v>
      </c>
      <c r="B89" s="82">
        <v>3331549384</v>
      </c>
      <c r="C89" s="82" t="s">
        <v>27</v>
      </c>
      <c r="D89" s="82">
        <v>24140349</v>
      </c>
      <c r="E89" s="364" t="s">
        <v>239</v>
      </c>
      <c r="F89" s="82" t="s">
        <v>199</v>
      </c>
      <c r="G89" s="219">
        <v>24456.675999999999</v>
      </c>
      <c r="H89" s="82" t="s">
        <v>200</v>
      </c>
      <c r="I89" s="240">
        <v>1</v>
      </c>
      <c r="J89" s="81">
        <v>1</v>
      </c>
      <c r="K89" s="241" t="s">
        <v>204</v>
      </c>
      <c r="L89" s="200"/>
      <c r="P89" s="44"/>
    </row>
    <row r="90" spans="1:16" hidden="1">
      <c r="A90" s="114" t="s">
        <v>237</v>
      </c>
      <c r="B90" s="82">
        <v>3331549385</v>
      </c>
      <c r="C90" s="82" t="s">
        <v>34</v>
      </c>
      <c r="D90" s="82">
        <v>24140351</v>
      </c>
      <c r="E90" s="364" t="s">
        <v>239</v>
      </c>
      <c r="F90" s="82" t="s">
        <v>199</v>
      </c>
      <c r="G90" s="219">
        <v>24783.300999999999</v>
      </c>
      <c r="H90" s="82" t="s">
        <v>200</v>
      </c>
      <c r="I90" s="240">
        <v>1</v>
      </c>
      <c r="J90" s="81">
        <v>1</v>
      </c>
      <c r="K90" s="241" t="s">
        <v>204</v>
      </c>
      <c r="L90" s="200"/>
      <c r="P90" s="44"/>
    </row>
    <row r="91" spans="1:16" hidden="1">
      <c r="A91" s="114" t="s">
        <v>237</v>
      </c>
      <c r="B91" s="82">
        <v>3331549326</v>
      </c>
      <c r="C91" s="82" t="s">
        <v>34</v>
      </c>
      <c r="D91" s="82">
        <v>24140354</v>
      </c>
      <c r="E91" s="364" t="s">
        <v>242</v>
      </c>
      <c r="F91" s="82" t="s">
        <v>199</v>
      </c>
      <c r="G91" s="219">
        <v>25056.441999999999</v>
      </c>
      <c r="H91" s="82" t="s">
        <v>200</v>
      </c>
      <c r="I91" s="240">
        <v>1</v>
      </c>
      <c r="J91" s="81">
        <v>1</v>
      </c>
      <c r="K91" s="241">
        <v>0.73116898148148146</v>
      </c>
      <c r="L91" s="242"/>
      <c r="P91" s="44"/>
    </row>
    <row r="92" spans="1:16" hidden="1">
      <c r="A92" s="114" t="s">
        <v>237</v>
      </c>
      <c r="B92" s="82">
        <v>3331549396</v>
      </c>
      <c r="C92" s="82" t="s">
        <v>206</v>
      </c>
      <c r="D92" s="82">
        <v>24140352</v>
      </c>
      <c r="E92" s="364" t="s">
        <v>224</v>
      </c>
      <c r="F92" s="82" t="s">
        <v>203</v>
      </c>
      <c r="G92" s="219">
        <v>32096.429</v>
      </c>
      <c r="H92" s="82" t="s">
        <v>128</v>
      </c>
      <c r="I92" s="240">
        <v>1</v>
      </c>
      <c r="J92" s="81">
        <v>0</v>
      </c>
      <c r="K92" s="241" t="s">
        <v>204</v>
      </c>
      <c r="L92" s="242"/>
      <c r="P92" s="44"/>
    </row>
    <row r="93" spans="1:16" s="108" customFormat="1" hidden="1">
      <c r="A93" s="114" t="s">
        <v>237</v>
      </c>
      <c r="B93" s="82">
        <v>3331549402</v>
      </c>
      <c r="C93" s="82" t="s">
        <v>206</v>
      </c>
      <c r="D93" s="82">
        <v>24140353</v>
      </c>
      <c r="E93" s="364" t="s">
        <v>224</v>
      </c>
      <c r="F93" s="82" t="s">
        <v>203</v>
      </c>
      <c r="G93" s="219">
        <v>30923.434000000001</v>
      </c>
      <c r="H93" s="82" t="s">
        <v>128</v>
      </c>
      <c r="I93" s="240">
        <v>1</v>
      </c>
      <c r="J93" s="81">
        <v>0</v>
      </c>
      <c r="K93" s="241" t="s">
        <v>204</v>
      </c>
      <c r="L93" s="242"/>
    </row>
    <row r="94" spans="1:16" hidden="1">
      <c r="A94" s="114" t="s">
        <v>237</v>
      </c>
      <c r="B94" s="82">
        <v>3331549410</v>
      </c>
      <c r="C94" s="82" t="s">
        <v>27</v>
      </c>
      <c r="D94" s="82">
        <v>24140355</v>
      </c>
      <c r="E94" s="364" t="s">
        <v>224</v>
      </c>
      <c r="F94" s="82" t="s">
        <v>203</v>
      </c>
      <c r="G94" s="219">
        <v>35458.482000000004</v>
      </c>
      <c r="H94" s="82" t="s">
        <v>128</v>
      </c>
      <c r="I94" s="240">
        <v>1</v>
      </c>
      <c r="J94" s="81">
        <v>0</v>
      </c>
      <c r="K94" s="241" t="s">
        <v>204</v>
      </c>
      <c r="L94" s="242"/>
      <c r="P94" s="44"/>
    </row>
    <row r="95" spans="1:16" hidden="1">
      <c r="A95" s="114" t="s">
        <v>237</v>
      </c>
      <c r="B95" s="82">
        <v>3331549412</v>
      </c>
      <c r="C95" s="82" t="s">
        <v>206</v>
      </c>
      <c r="D95" s="82">
        <v>24140356</v>
      </c>
      <c r="E95" s="364" t="s">
        <v>226</v>
      </c>
      <c r="F95" s="82" t="s">
        <v>203</v>
      </c>
      <c r="G95" s="219">
        <v>29603.562000000002</v>
      </c>
      <c r="H95" s="82" t="s">
        <v>128</v>
      </c>
      <c r="I95" s="240">
        <v>1</v>
      </c>
      <c r="J95" s="81">
        <v>0</v>
      </c>
      <c r="K95" s="241" t="s">
        <v>204</v>
      </c>
      <c r="L95" s="242"/>
      <c r="P95" s="44"/>
    </row>
    <row r="96" spans="1:16" hidden="1">
      <c r="A96" s="114" t="s">
        <v>237</v>
      </c>
      <c r="B96" s="82">
        <v>3331549414</v>
      </c>
      <c r="C96" s="82" t="s">
        <v>34</v>
      </c>
      <c r="D96" s="82">
        <v>24140357</v>
      </c>
      <c r="E96" s="364" t="s">
        <v>150</v>
      </c>
      <c r="F96" s="82" t="s">
        <v>199</v>
      </c>
      <c r="G96" s="219">
        <v>24978.98</v>
      </c>
      <c r="H96" s="82" t="s">
        <v>200</v>
      </c>
      <c r="I96" s="240">
        <v>1</v>
      </c>
      <c r="J96" s="81">
        <v>1</v>
      </c>
      <c r="K96" s="241" t="s">
        <v>204</v>
      </c>
      <c r="L96" s="242"/>
      <c r="P96" s="44"/>
    </row>
    <row r="97" spans="1:19" s="108" customFormat="1" hidden="1">
      <c r="A97" s="114" t="s">
        <v>237</v>
      </c>
      <c r="B97" s="82">
        <v>3331549424</v>
      </c>
      <c r="C97" s="82" t="s">
        <v>11</v>
      </c>
      <c r="D97" s="82">
        <v>24140358</v>
      </c>
      <c r="E97" s="364" t="s">
        <v>226</v>
      </c>
      <c r="F97" s="82" t="s">
        <v>203</v>
      </c>
      <c r="G97" s="219">
        <v>34762.33</v>
      </c>
      <c r="H97" s="82" t="s">
        <v>128</v>
      </c>
      <c r="I97" s="240">
        <v>1</v>
      </c>
      <c r="J97" s="81">
        <v>0</v>
      </c>
      <c r="K97" s="241" t="s">
        <v>204</v>
      </c>
      <c r="L97" s="242"/>
    </row>
    <row r="98" spans="1:19" s="108" customFormat="1" hidden="1">
      <c r="A98" s="114" t="s">
        <v>237</v>
      </c>
      <c r="B98" s="82">
        <v>3331549426</v>
      </c>
      <c r="C98" s="82" t="s">
        <v>11</v>
      </c>
      <c r="D98" s="82">
        <v>24140359</v>
      </c>
      <c r="E98" s="364" t="s">
        <v>226</v>
      </c>
      <c r="F98" s="82" t="s">
        <v>203</v>
      </c>
      <c r="G98" s="219">
        <v>37289.904999999999</v>
      </c>
      <c r="H98" s="82" t="s">
        <v>128</v>
      </c>
      <c r="I98" s="240">
        <v>1</v>
      </c>
      <c r="J98" s="81">
        <v>0</v>
      </c>
      <c r="K98" s="241" t="s">
        <v>204</v>
      </c>
      <c r="L98" s="242"/>
    </row>
    <row r="99" spans="1:19" hidden="1">
      <c r="A99" s="82" t="s">
        <v>237</v>
      </c>
      <c r="B99" s="82">
        <v>3331549281</v>
      </c>
      <c r="C99" s="1499" t="s">
        <v>34</v>
      </c>
      <c r="D99" s="1499">
        <v>24140360</v>
      </c>
      <c r="E99" s="364" t="s">
        <v>156</v>
      </c>
      <c r="F99" s="82" t="s">
        <v>199</v>
      </c>
      <c r="G99" s="219">
        <v>12645.42</v>
      </c>
      <c r="H99" s="82" t="s">
        <v>200</v>
      </c>
      <c r="I99" s="240">
        <v>1</v>
      </c>
      <c r="J99" s="81">
        <v>1</v>
      </c>
      <c r="K99" s="241" t="s">
        <v>204</v>
      </c>
      <c r="L99" s="242"/>
      <c r="P99" s="44"/>
    </row>
    <row r="100" spans="1:19" hidden="1">
      <c r="A100" s="82" t="s">
        <v>237</v>
      </c>
      <c r="B100" s="203">
        <v>3331549422</v>
      </c>
      <c r="C100" s="1503"/>
      <c r="D100" s="1503"/>
      <c r="E100" s="368" t="s">
        <v>156</v>
      </c>
      <c r="F100" s="217"/>
      <c r="G100" s="340">
        <v>7319.6559999999999</v>
      </c>
      <c r="H100" s="217"/>
      <c r="I100" s="334"/>
      <c r="J100" s="203"/>
      <c r="K100" s="200"/>
      <c r="L100" s="241"/>
      <c r="P100" s="44"/>
    </row>
    <row r="101" spans="1:19" hidden="1">
      <c r="A101" s="82" t="s">
        <v>237</v>
      </c>
      <c r="B101" s="81">
        <v>3331549444</v>
      </c>
      <c r="C101" s="114" t="s">
        <v>34</v>
      </c>
      <c r="D101" s="114">
        <v>24140361</v>
      </c>
      <c r="E101" s="364" t="s">
        <v>254</v>
      </c>
      <c r="F101" s="82" t="s">
        <v>199</v>
      </c>
      <c r="G101" s="191">
        <v>27136.85</v>
      </c>
      <c r="H101" s="82" t="s">
        <v>200</v>
      </c>
      <c r="I101" s="81">
        <v>1</v>
      </c>
      <c r="J101" s="81">
        <v>1</v>
      </c>
      <c r="K101" s="241" t="s">
        <v>204</v>
      </c>
      <c r="L101" s="237"/>
      <c r="P101" s="44"/>
    </row>
    <row r="102" spans="1:19" hidden="1">
      <c r="A102" s="82" t="s">
        <v>237</v>
      </c>
      <c r="B102" s="81">
        <v>3331549452</v>
      </c>
      <c r="C102" s="114" t="s">
        <v>27</v>
      </c>
      <c r="D102" s="114">
        <v>24140362</v>
      </c>
      <c r="E102" s="364" t="s">
        <v>254</v>
      </c>
      <c r="F102" s="82" t="s">
        <v>199</v>
      </c>
      <c r="G102" s="191">
        <v>26148.957999999999</v>
      </c>
      <c r="H102" s="82" t="s">
        <v>200</v>
      </c>
      <c r="I102" s="81">
        <v>1</v>
      </c>
      <c r="J102" s="81">
        <v>1</v>
      </c>
      <c r="K102" s="241" t="s">
        <v>204</v>
      </c>
      <c r="L102" s="237"/>
      <c r="P102" s="44"/>
    </row>
    <row r="103" spans="1:19" hidden="1">
      <c r="A103" s="82" t="s">
        <v>237</v>
      </c>
      <c r="B103" s="81">
        <v>3331549459</v>
      </c>
      <c r="C103" s="114" t="s">
        <v>34</v>
      </c>
      <c r="D103" s="114">
        <v>24140363</v>
      </c>
      <c r="E103" s="364" t="s">
        <v>156</v>
      </c>
      <c r="F103" s="82" t="s">
        <v>199</v>
      </c>
      <c r="G103" s="191">
        <v>22621.921999999999</v>
      </c>
      <c r="H103" s="82" t="s">
        <v>200</v>
      </c>
      <c r="I103" s="81">
        <v>1</v>
      </c>
      <c r="J103" s="81">
        <v>1</v>
      </c>
      <c r="K103" s="241" t="s">
        <v>204</v>
      </c>
      <c r="L103" s="237"/>
      <c r="P103" s="44"/>
      <c r="S103" s="254"/>
    </row>
    <row r="104" spans="1:19" hidden="1">
      <c r="A104" s="82" t="s">
        <v>237</v>
      </c>
      <c r="B104" s="81">
        <v>3331549460</v>
      </c>
      <c r="C104" s="114" t="s">
        <v>34</v>
      </c>
      <c r="D104" s="114">
        <v>24140364</v>
      </c>
      <c r="E104" s="364" t="s">
        <v>156</v>
      </c>
      <c r="F104" s="82" t="s">
        <v>199</v>
      </c>
      <c r="G104" s="191">
        <v>22926.741000000002</v>
      </c>
      <c r="H104" s="82" t="s">
        <v>200</v>
      </c>
      <c r="I104" s="81">
        <v>1</v>
      </c>
      <c r="J104" s="81">
        <v>1</v>
      </c>
      <c r="K104" s="241" t="s">
        <v>204</v>
      </c>
      <c r="L104" s="237"/>
      <c r="P104" s="44"/>
    </row>
    <row r="105" spans="1:19" hidden="1">
      <c r="A105" s="82" t="s">
        <v>237</v>
      </c>
      <c r="B105" s="81">
        <v>3331549461</v>
      </c>
      <c r="C105" s="114" t="s">
        <v>11</v>
      </c>
      <c r="D105" s="114">
        <v>24140365</v>
      </c>
      <c r="E105" s="364" t="s">
        <v>156</v>
      </c>
      <c r="F105" s="82" t="s">
        <v>199</v>
      </c>
      <c r="G105" s="191">
        <v>22926.74</v>
      </c>
      <c r="H105" s="82" t="s">
        <v>200</v>
      </c>
      <c r="I105" s="81">
        <v>1</v>
      </c>
      <c r="J105" s="81">
        <v>1</v>
      </c>
      <c r="K105" s="241" t="s">
        <v>204</v>
      </c>
      <c r="L105" s="237"/>
      <c r="P105" s="44"/>
    </row>
    <row r="106" spans="1:19" hidden="1">
      <c r="A106" s="82" t="s">
        <v>237</v>
      </c>
      <c r="B106" s="81">
        <v>3331549462</v>
      </c>
      <c r="C106" s="114" t="s">
        <v>11</v>
      </c>
      <c r="D106" s="114">
        <v>24140366</v>
      </c>
      <c r="E106" s="364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41" t="s">
        <v>204</v>
      </c>
      <c r="L106" s="237"/>
      <c r="P106" s="44"/>
    </row>
    <row r="107" spans="1:19" hidden="1">
      <c r="A107" s="82" t="s">
        <v>237</v>
      </c>
      <c r="B107" s="81">
        <v>3331549464</v>
      </c>
      <c r="C107" s="114" t="s">
        <v>27</v>
      </c>
      <c r="D107" s="114">
        <v>24140367</v>
      </c>
      <c r="E107" s="364" t="s">
        <v>156</v>
      </c>
      <c r="F107" s="82" t="s">
        <v>199</v>
      </c>
      <c r="G107" s="191">
        <v>24087.664000000001</v>
      </c>
      <c r="H107" s="82" t="s">
        <v>200</v>
      </c>
      <c r="I107" s="81">
        <v>1</v>
      </c>
      <c r="J107" s="81">
        <v>1</v>
      </c>
      <c r="K107" s="241" t="s">
        <v>204</v>
      </c>
      <c r="L107" s="237"/>
      <c r="P107" s="44"/>
    </row>
    <row r="108" spans="1:19" hidden="1">
      <c r="A108" s="82" t="s">
        <v>237</v>
      </c>
      <c r="B108" s="81">
        <v>3331549466</v>
      </c>
      <c r="C108" s="114" t="s">
        <v>27</v>
      </c>
      <c r="D108" s="114">
        <v>24140368</v>
      </c>
      <c r="E108" s="364" t="s">
        <v>156</v>
      </c>
      <c r="F108" s="82" t="s">
        <v>199</v>
      </c>
      <c r="G108" s="191">
        <v>24476.987000000001</v>
      </c>
      <c r="H108" s="82" t="s">
        <v>200</v>
      </c>
      <c r="I108" s="81">
        <v>1</v>
      </c>
      <c r="J108" s="81">
        <v>1</v>
      </c>
      <c r="K108" s="241" t="s">
        <v>204</v>
      </c>
      <c r="L108" s="237"/>
      <c r="P108" s="44"/>
    </row>
    <row r="109" spans="1:19" hidden="1">
      <c r="A109" s="82" t="s">
        <v>237</v>
      </c>
      <c r="B109" s="81">
        <v>3331549474</v>
      </c>
      <c r="C109" s="114" t="s">
        <v>11</v>
      </c>
      <c r="D109" s="114">
        <v>24140369</v>
      </c>
      <c r="E109" s="364" t="s">
        <v>156</v>
      </c>
      <c r="F109" s="82" t="s">
        <v>199</v>
      </c>
      <c r="G109" s="191">
        <v>23567.562000000002</v>
      </c>
      <c r="H109" s="82" t="s">
        <v>200</v>
      </c>
      <c r="I109" s="81">
        <v>1</v>
      </c>
      <c r="J109" s="81">
        <v>1</v>
      </c>
      <c r="K109" s="241" t="s">
        <v>204</v>
      </c>
      <c r="L109" s="237"/>
      <c r="P109" s="44"/>
    </row>
    <row r="110" spans="1:19" s="44" customFormat="1" hidden="1">
      <c r="A110" s="106" t="s">
        <v>255</v>
      </c>
      <c r="B110" s="105">
        <v>3331546342</v>
      </c>
      <c r="C110" s="104" t="s">
        <v>27</v>
      </c>
      <c r="D110" s="104">
        <v>24140370</v>
      </c>
      <c r="E110" s="369" t="s">
        <v>159</v>
      </c>
      <c r="F110" s="106" t="s">
        <v>199</v>
      </c>
      <c r="G110" s="209">
        <v>21905.65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08">
        <v>0.74444444444444446</v>
      </c>
    </row>
    <row r="111" spans="1:19" s="44" customFormat="1" hidden="1">
      <c r="A111" s="106" t="s">
        <v>255</v>
      </c>
      <c r="B111" s="105">
        <v>3331549975</v>
      </c>
      <c r="C111" s="104" t="s">
        <v>27</v>
      </c>
      <c r="D111" s="104">
        <v>24140371</v>
      </c>
      <c r="E111" s="369" t="s">
        <v>159</v>
      </c>
      <c r="F111" s="106" t="s">
        <v>199</v>
      </c>
      <c r="G111" s="209">
        <v>25459.848000000002</v>
      </c>
      <c r="H111" s="106" t="s">
        <v>200</v>
      </c>
      <c r="I111" s="105">
        <v>1</v>
      </c>
      <c r="J111" s="105">
        <v>1</v>
      </c>
      <c r="K111" s="208" t="str">
        <f>IFERROR(VLOOKUP(B111,'IN OUT'!F:G,2,FALSE),"BELUM MASUK")</f>
        <v>BELUM MASUK</v>
      </c>
      <c r="L111" s="233">
        <v>0.69236111111111109</v>
      </c>
    </row>
    <row r="112" spans="1:19" s="44" customFormat="1" hidden="1">
      <c r="A112" s="106" t="s">
        <v>255</v>
      </c>
      <c r="B112" s="105">
        <v>3331549977</v>
      </c>
      <c r="C112" s="104" t="s">
        <v>27</v>
      </c>
      <c r="D112" s="104">
        <v>24140373</v>
      </c>
      <c r="E112" s="369" t="s">
        <v>160</v>
      </c>
      <c r="F112" s="106" t="s">
        <v>199</v>
      </c>
      <c r="G112" s="209">
        <v>20211.545999999998</v>
      </c>
      <c r="H112" s="106" t="s">
        <v>200</v>
      </c>
      <c r="I112" s="105">
        <v>1</v>
      </c>
      <c r="J112" s="105">
        <v>1</v>
      </c>
      <c r="K112" s="208">
        <v>0.74791666666666667</v>
      </c>
      <c r="L112" s="233"/>
    </row>
    <row r="113" spans="1:16" s="44" customFormat="1" hidden="1">
      <c r="A113" s="106" t="s">
        <v>255</v>
      </c>
      <c r="B113" s="105">
        <v>3331550011</v>
      </c>
      <c r="C113" s="1488" t="s">
        <v>34</v>
      </c>
      <c r="D113" s="104">
        <v>24140374</v>
      </c>
      <c r="E113" s="369" t="s">
        <v>12</v>
      </c>
      <c r="F113" s="106" t="s">
        <v>199</v>
      </c>
      <c r="G113" s="209">
        <f>14734.882+9658.05</f>
        <v>24392.932000000001</v>
      </c>
      <c r="H113" s="106" t="s">
        <v>200</v>
      </c>
      <c r="I113" s="105">
        <v>1</v>
      </c>
      <c r="J113" s="105">
        <v>1</v>
      </c>
      <c r="K113" s="208">
        <f>IFERROR(VLOOKUP(B113,'IN OUT'!F:G,2,FALSE),"BELUM MASUK")</f>
        <v>45910.499490740738</v>
      </c>
      <c r="L113" s="233">
        <v>0.87986111111111109</v>
      </c>
    </row>
    <row r="114" spans="1:16" s="44" customFormat="1" hidden="1">
      <c r="A114" s="106" t="s">
        <v>255</v>
      </c>
      <c r="B114" s="105">
        <v>3331550021</v>
      </c>
      <c r="C114" s="1490"/>
      <c r="D114" s="104" t="s">
        <v>256</v>
      </c>
      <c r="E114" s="369" t="s">
        <v>256</v>
      </c>
      <c r="F114" s="106" t="s">
        <v>256</v>
      </c>
      <c r="G114" s="209" t="s">
        <v>256</v>
      </c>
      <c r="H114" s="106" t="s">
        <v>256</v>
      </c>
      <c r="I114" s="105" t="s">
        <v>256</v>
      </c>
      <c r="J114" s="105" t="s">
        <v>256</v>
      </c>
      <c r="K114" s="208" t="s">
        <v>256</v>
      </c>
      <c r="L114" s="233"/>
    </row>
    <row r="115" spans="1:16" s="44" customFormat="1" hidden="1">
      <c r="A115" s="106" t="s">
        <v>255</v>
      </c>
      <c r="B115" s="105">
        <v>3331549994</v>
      </c>
      <c r="C115" s="104" t="s">
        <v>34</v>
      </c>
      <c r="D115" s="104">
        <v>24140375</v>
      </c>
      <c r="E115" s="369" t="s">
        <v>257</v>
      </c>
      <c r="F115" s="106" t="s">
        <v>199</v>
      </c>
      <c r="G115" s="209">
        <v>24733.05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>
        <v>0.84583333333333333</v>
      </c>
    </row>
    <row r="116" spans="1:16" s="44" customFormat="1" hidden="1">
      <c r="A116" s="106" t="s">
        <v>255</v>
      </c>
      <c r="B116" s="105">
        <v>3331550027</v>
      </c>
      <c r="C116" s="104" t="s">
        <v>34</v>
      </c>
      <c r="D116" s="104">
        <v>24140376</v>
      </c>
      <c r="E116" s="369" t="s">
        <v>70</v>
      </c>
      <c r="F116" s="106" t="s">
        <v>199</v>
      </c>
      <c r="G116" s="209">
        <v>25510.531999999999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/>
    </row>
    <row r="117" spans="1:16" s="44" customFormat="1" hidden="1">
      <c r="A117" s="106" t="s">
        <v>255</v>
      </c>
      <c r="B117" s="105">
        <v>3331549991</v>
      </c>
      <c r="C117" s="104" t="s">
        <v>34</v>
      </c>
      <c r="D117" s="104">
        <v>24140377</v>
      </c>
      <c r="E117" s="369" t="s">
        <v>156</v>
      </c>
      <c r="F117" s="106" t="s">
        <v>199</v>
      </c>
      <c r="G117" s="209">
        <v>23266.768</v>
      </c>
      <c r="H117" s="106" t="s">
        <v>200</v>
      </c>
      <c r="I117" s="105">
        <v>1</v>
      </c>
      <c r="J117" s="105">
        <v>1</v>
      </c>
      <c r="K117" s="208" t="str">
        <f>IFERROR(VLOOKUP(B117,'IN OUT'!F:G,2,FALSE),"BELUM MASUK")</f>
        <v>BELUM MASUK</v>
      </c>
      <c r="L117" s="233">
        <v>0.85347222222222219</v>
      </c>
    </row>
    <row r="118" spans="1:16" s="44" customFormat="1" hidden="1">
      <c r="A118" s="106" t="s">
        <v>255</v>
      </c>
      <c r="B118" s="105">
        <v>3331549998</v>
      </c>
      <c r="C118" s="104" t="s">
        <v>34</v>
      </c>
      <c r="D118" s="104">
        <v>24140378</v>
      </c>
      <c r="E118" s="369" t="s">
        <v>156</v>
      </c>
      <c r="F118" s="106" t="s">
        <v>199</v>
      </c>
      <c r="G118" s="209">
        <v>24756.653999999999</v>
      </c>
      <c r="H118" s="106" t="s">
        <v>200</v>
      </c>
      <c r="I118" s="105">
        <v>1</v>
      </c>
      <c r="J118" s="105">
        <v>1</v>
      </c>
      <c r="K118" s="208">
        <v>0.61319444444444449</v>
      </c>
      <c r="L118" s="233">
        <v>0.92152777777777772</v>
      </c>
    </row>
    <row r="119" spans="1:16" s="44" customFormat="1" hidden="1">
      <c r="A119" s="106" t="s">
        <v>255</v>
      </c>
      <c r="B119" s="105">
        <v>3331550008</v>
      </c>
      <c r="C119" s="104" t="s">
        <v>34</v>
      </c>
      <c r="D119" s="104">
        <v>24140379</v>
      </c>
      <c r="E119" s="369" t="s">
        <v>156</v>
      </c>
      <c r="F119" s="106" t="s">
        <v>199</v>
      </c>
      <c r="G119" s="209">
        <v>24045.412</v>
      </c>
      <c r="H119" s="106" t="s">
        <v>200</v>
      </c>
      <c r="I119" s="105">
        <v>1</v>
      </c>
      <c r="J119" s="105">
        <v>1</v>
      </c>
      <c r="K119" s="208">
        <v>5.6250000000000001E-2</v>
      </c>
      <c r="L119" s="233">
        <v>0.4513888888888889</v>
      </c>
    </row>
    <row r="120" spans="1:16" hidden="1">
      <c r="A120" s="106" t="s">
        <v>255</v>
      </c>
      <c r="B120" s="105">
        <v>3331550023</v>
      </c>
      <c r="C120" s="104" t="s">
        <v>34</v>
      </c>
      <c r="D120" s="104">
        <v>24140380</v>
      </c>
      <c r="E120" s="369" t="s">
        <v>156</v>
      </c>
      <c r="F120" s="106" t="s">
        <v>199</v>
      </c>
      <c r="G120" s="209">
        <v>23868.356</v>
      </c>
      <c r="H120" s="106" t="s">
        <v>200</v>
      </c>
      <c r="I120" s="105">
        <v>1</v>
      </c>
      <c r="J120" s="105">
        <v>1</v>
      </c>
      <c r="K120" s="208">
        <v>0.7368055555555556</v>
      </c>
      <c r="L120" s="233"/>
      <c r="P120" s="44"/>
    </row>
    <row r="121" spans="1:16" hidden="1">
      <c r="A121" s="344" t="s">
        <v>272</v>
      </c>
      <c r="B121" s="105">
        <v>3331550066</v>
      </c>
      <c r="C121" s="104" t="s">
        <v>175</v>
      </c>
      <c r="D121" s="104">
        <v>24140381</v>
      </c>
      <c r="E121" s="370" t="s">
        <v>226</v>
      </c>
      <c r="F121" s="344" t="s">
        <v>203</v>
      </c>
      <c r="G121" s="345">
        <v>32879.097999999998</v>
      </c>
      <c r="H121" s="344" t="s">
        <v>128</v>
      </c>
      <c r="I121" s="105">
        <v>1</v>
      </c>
      <c r="J121" s="105">
        <v>1</v>
      </c>
      <c r="K121" s="208">
        <v>0.32083333333333336</v>
      </c>
      <c r="L121" s="233"/>
      <c r="P121" s="44"/>
    </row>
    <row r="122" spans="1:16" hidden="1">
      <c r="A122" s="106" t="s">
        <v>258</v>
      </c>
      <c r="B122" s="105">
        <v>3331550076</v>
      </c>
      <c r="C122" s="104" t="s">
        <v>273</v>
      </c>
      <c r="D122" s="104">
        <v>24140382</v>
      </c>
      <c r="E122" s="370" t="s">
        <v>259</v>
      </c>
      <c r="F122" s="344" t="s">
        <v>203</v>
      </c>
      <c r="G122" s="345">
        <v>32742.281999999999</v>
      </c>
      <c r="H122" s="344" t="s">
        <v>128</v>
      </c>
      <c r="I122" s="105">
        <v>1</v>
      </c>
      <c r="J122" s="105">
        <v>1</v>
      </c>
      <c r="K122" s="208">
        <v>0.88472222222222219</v>
      </c>
      <c r="L122" s="233"/>
      <c r="P122" s="44"/>
    </row>
    <row r="123" spans="1:16" hidden="1">
      <c r="A123" s="344" t="s">
        <v>258</v>
      </c>
      <c r="B123" s="346">
        <v>3331550089</v>
      </c>
      <c r="C123" s="347" t="s">
        <v>273</v>
      </c>
      <c r="D123" s="347">
        <v>24140383</v>
      </c>
      <c r="E123" s="370" t="s">
        <v>224</v>
      </c>
      <c r="F123" s="344" t="s">
        <v>203</v>
      </c>
      <c r="G123" s="345">
        <v>30376.17</v>
      </c>
      <c r="H123" s="344" t="s">
        <v>128</v>
      </c>
      <c r="I123" s="105">
        <v>1</v>
      </c>
      <c r="J123" s="105">
        <v>1</v>
      </c>
      <c r="K123" s="208">
        <v>0.8833333333333333</v>
      </c>
      <c r="L123" s="233"/>
      <c r="P123" s="44"/>
    </row>
    <row r="124" spans="1:16" hidden="1">
      <c r="A124" s="106" t="s">
        <v>255</v>
      </c>
      <c r="B124" s="105">
        <v>3331550098</v>
      </c>
      <c r="C124" s="104" t="s">
        <v>27</v>
      </c>
      <c r="D124" s="104">
        <v>24140384</v>
      </c>
      <c r="E124" s="369" t="s">
        <v>260</v>
      </c>
      <c r="F124" s="106" t="s">
        <v>199</v>
      </c>
      <c r="G124" s="209">
        <v>24514.207999999999</v>
      </c>
      <c r="H124" s="106" t="s">
        <v>200</v>
      </c>
      <c r="I124" s="105">
        <v>1</v>
      </c>
      <c r="J124" s="105">
        <v>1</v>
      </c>
      <c r="K124" s="208" t="str">
        <f>IFERROR(VLOOKUP(B124,'IN OUT'!F:G,2,FALSE),"BELUM MASUK")</f>
        <v>BELUM MASUK</v>
      </c>
      <c r="L124" s="233"/>
      <c r="P124" s="44"/>
    </row>
    <row r="125" spans="1:16" hidden="1">
      <c r="A125" s="344" t="s">
        <v>272</v>
      </c>
      <c r="B125" s="346">
        <v>3331550100</v>
      </c>
      <c r="C125" s="347" t="s">
        <v>175</v>
      </c>
      <c r="D125" s="347">
        <v>24140385</v>
      </c>
      <c r="E125" s="370" t="s">
        <v>224</v>
      </c>
      <c r="F125" s="344" t="s">
        <v>203</v>
      </c>
      <c r="G125" s="345">
        <v>31707.108</v>
      </c>
      <c r="H125" s="344" t="s">
        <v>128</v>
      </c>
      <c r="I125" s="105">
        <v>1</v>
      </c>
      <c r="J125" s="105">
        <v>1</v>
      </c>
      <c r="K125" s="208" t="str">
        <f>IFERROR(VLOOKUP(B125,'IN OUT'!F:G,2,FALSE),"BELUM MASUK")</f>
        <v>BELUM MASUK</v>
      </c>
      <c r="L125" s="233"/>
      <c r="P125" s="44"/>
    </row>
    <row r="126" spans="1:16" hidden="1">
      <c r="A126" s="106" t="s">
        <v>255</v>
      </c>
      <c r="B126" s="105">
        <v>3331550113</v>
      </c>
      <c r="C126" s="104" t="s">
        <v>34</v>
      </c>
      <c r="D126" s="104">
        <v>24140386</v>
      </c>
      <c r="E126" s="369" t="s">
        <v>165</v>
      </c>
      <c r="F126" s="106" t="s">
        <v>199</v>
      </c>
      <c r="G126" s="209">
        <v>23354.29</v>
      </c>
      <c r="H126" s="106" t="s">
        <v>200</v>
      </c>
      <c r="I126" s="105">
        <v>1</v>
      </c>
      <c r="J126" s="105">
        <v>1</v>
      </c>
      <c r="K126" s="208" t="str">
        <f>IFERROR(VLOOKUP(B126,'IN OUT'!F:G,2,FALSE),"BELUM MASUK")</f>
        <v>BELUM MASUK</v>
      </c>
      <c r="L126" s="233"/>
      <c r="P126" s="44"/>
    </row>
    <row r="127" spans="1:16" hidden="1">
      <c r="A127" s="106" t="s">
        <v>255</v>
      </c>
      <c r="B127" s="105">
        <v>3331550115</v>
      </c>
      <c r="C127" s="104" t="s">
        <v>34</v>
      </c>
      <c r="D127" s="104">
        <v>24140387</v>
      </c>
      <c r="E127" s="369" t="s">
        <v>165</v>
      </c>
      <c r="F127" s="106" t="s">
        <v>199</v>
      </c>
      <c r="G127" s="209">
        <v>24256.671999999999</v>
      </c>
      <c r="H127" s="106" t="s">
        <v>200</v>
      </c>
      <c r="I127" s="105">
        <v>1</v>
      </c>
      <c r="J127" s="105">
        <v>1</v>
      </c>
      <c r="K127" s="208" t="str">
        <f>IFERROR(VLOOKUP(B127,'IN OUT'!F:G,2,FALSE),"BELUM MASUK")</f>
        <v>BELUM MASUK</v>
      </c>
      <c r="L127" s="233"/>
      <c r="P127" s="44"/>
    </row>
    <row r="128" spans="1:16" hidden="1">
      <c r="A128" s="106" t="s">
        <v>255</v>
      </c>
      <c r="B128" s="105">
        <v>3331550116</v>
      </c>
      <c r="C128" s="104" t="s">
        <v>27</v>
      </c>
      <c r="D128" s="104">
        <v>24140388</v>
      </c>
      <c r="E128" s="369" t="s">
        <v>165</v>
      </c>
      <c r="F128" s="106" t="s">
        <v>199</v>
      </c>
      <c r="G128" s="209">
        <v>25288.828000000001</v>
      </c>
      <c r="H128" s="106" t="s">
        <v>200</v>
      </c>
      <c r="I128" s="105">
        <v>1</v>
      </c>
      <c r="J128" s="105">
        <v>1</v>
      </c>
      <c r="K128" s="208">
        <v>0.78125</v>
      </c>
      <c r="L128" s="233"/>
      <c r="P128" s="44"/>
    </row>
    <row r="129" spans="1:16" hidden="1">
      <c r="A129" s="106" t="s">
        <v>255</v>
      </c>
      <c r="B129" s="105">
        <v>3331550117</v>
      </c>
      <c r="C129" s="104" t="s">
        <v>27</v>
      </c>
      <c r="D129" s="104">
        <v>24140389</v>
      </c>
      <c r="E129" s="369" t="s">
        <v>239</v>
      </c>
      <c r="F129" s="106" t="s">
        <v>199</v>
      </c>
      <c r="G129" s="209">
        <v>24257.685000000001</v>
      </c>
      <c r="H129" s="106" t="s">
        <v>200</v>
      </c>
      <c r="I129" s="105">
        <v>1</v>
      </c>
      <c r="J129" s="105">
        <v>1</v>
      </c>
      <c r="K129" s="208">
        <v>0.67083333333333328</v>
      </c>
      <c r="L129" s="233">
        <v>0.93611111111111112</v>
      </c>
      <c r="P129" s="44"/>
    </row>
    <row r="130" spans="1:16" hidden="1">
      <c r="A130" s="106" t="s">
        <v>255</v>
      </c>
      <c r="B130" s="105">
        <v>3331550130</v>
      </c>
      <c r="C130" s="104" t="s">
        <v>27</v>
      </c>
      <c r="D130" s="104">
        <v>24140390</v>
      </c>
      <c r="E130" s="369" t="s">
        <v>261</v>
      </c>
      <c r="F130" s="106" t="s">
        <v>199</v>
      </c>
      <c r="G130" s="209">
        <v>25507.13</v>
      </c>
      <c r="H130" s="106" t="s">
        <v>200</v>
      </c>
      <c r="I130" s="105">
        <v>1</v>
      </c>
      <c r="J130" s="105">
        <v>1</v>
      </c>
      <c r="K130" s="208">
        <v>0.66874999999999996</v>
      </c>
      <c r="L130" s="233"/>
      <c r="P130" s="44"/>
    </row>
    <row r="131" spans="1:16" hidden="1">
      <c r="A131" s="106" t="s">
        <v>255</v>
      </c>
      <c r="B131" s="105">
        <v>3331550132</v>
      </c>
      <c r="C131" s="96" t="s">
        <v>27</v>
      </c>
      <c r="D131" s="104">
        <v>24140391</v>
      </c>
      <c r="E131" s="369" t="s">
        <v>12</v>
      </c>
      <c r="F131" s="106" t="s">
        <v>199</v>
      </c>
      <c r="G131" s="209">
        <f>10892.968+14260.049</f>
        <v>25153.017</v>
      </c>
      <c r="H131" s="106" t="s">
        <v>200</v>
      </c>
      <c r="I131" s="105">
        <v>1</v>
      </c>
      <c r="J131" s="105">
        <v>1</v>
      </c>
      <c r="K131" s="208">
        <v>0.67500000000000004</v>
      </c>
      <c r="L131" s="304"/>
      <c r="P131" s="44"/>
    </row>
    <row r="132" spans="1:16" s="44" customFormat="1" hidden="1">
      <c r="A132" s="82" t="s">
        <v>274</v>
      </c>
      <c r="B132" s="81">
        <v>3331550133</v>
      </c>
      <c r="C132" s="223" t="s">
        <v>27</v>
      </c>
      <c r="D132" s="114">
        <v>24140391</v>
      </c>
      <c r="E132" s="364" t="s">
        <v>12</v>
      </c>
      <c r="F132" s="82" t="s">
        <v>199</v>
      </c>
      <c r="G132" s="191">
        <f>10892.968+14260.049</f>
        <v>25153.017</v>
      </c>
      <c r="H132" s="82" t="s">
        <v>200</v>
      </c>
      <c r="I132" s="81">
        <v>1</v>
      </c>
      <c r="J132" s="81">
        <v>1</v>
      </c>
      <c r="K132" s="200" t="s">
        <v>207</v>
      </c>
      <c r="L132" s="242"/>
    </row>
    <row r="133" spans="1:16" hidden="1">
      <c r="A133" s="106" t="s">
        <v>255</v>
      </c>
      <c r="B133" s="105">
        <v>3331550158</v>
      </c>
      <c r="C133" s="104" t="s">
        <v>27</v>
      </c>
      <c r="D133" s="104">
        <v>24140392</v>
      </c>
      <c r="E133" s="369" t="s">
        <v>134</v>
      </c>
      <c r="F133" s="106" t="s">
        <v>199</v>
      </c>
      <c r="G133" s="209">
        <v>25590.628000000001</v>
      </c>
      <c r="H133" s="106" t="s">
        <v>200</v>
      </c>
      <c r="I133" s="105">
        <v>1</v>
      </c>
      <c r="J133" s="269">
        <v>1</v>
      </c>
      <c r="K133" s="208">
        <v>0.72083333333333333</v>
      </c>
      <c r="L133" s="304"/>
      <c r="P133" s="44"/>
    </row>
    <row r="134" spans="1:16" hidden="1">
      <c r="A134" s="106" t="s">
        <v>255</v>
      </c>
      <c r="B134" s="105">
        <v>3331550170</v>
      </c>
      <c r="C134" s="104" t="s">
        <v>27</v>
      </c>
      <c r="D134" s="104">
        <v>24140393</v>
      </c>
      <c r="E134" s="369" t="s">
        <v>134</v>
      </c>
      <c r="F134" s="106" t="s">
        <v>199</v>
      </c>
      <c r="G134" s="209">
        <v>25225.45</v>
      </c>
      <c r="H134" s="106" t="s">
        <v>200</v>
      </c>
      <c r="I134" s="105">
        <v>1</v>
      </c>
      <c r="J134" s="269">
        <v>1</v>
      </c>
      <c r="K134" s="208">
        <v>0.72638888888888886</v>
      </c>
      <c r="L134" s="304"/>
      <c r="P134" s="44"/>
    </row>
    <row r="135" spans="1:16" hidden="1">
      <c r="A135" s="106" t="s">
        <v>255</v>
      </c>
      <c r="B135" s="105">
        <v>3331550175</v>
      </c>
      <c r="C135" s="104" t="s">
        <v>27</v>
      </c>
      <c r="D135" s="106">
        <v>24140394</v>
      </c>
      <c r="E135" s="369" t="s">
        <v>134</v>
      </c>
      <c r="F135" s="106" t="s">
        <v>199</v>
      </c>
      <c r="G135" s="209">
        <v>25546.364000000001</v>
      </c>
      <c r="H135" s="106" t="s">
        <v>200</v>
      </c>
      <c r="I135" s="105">
        <v>1</v>
      </c>
      <c r="J135" s="269">
        <v>1</v>
      </c>
      <c r="K135" s="208">
        <v>0.72430555555555554</v>
      </c>
      <c r="L135" s="304"/>
      <c r="P135" s="44"/>
    </row>
    <row r="136" spans="1:16" hidden="1">
      <c r="A136" s="344" t="s">
        <v>275</v>
      </c>
      <c r="B136" s="105">
        <v>3331550066</v>
      </c>
      <c r="C136" s="104" t="s">
        <v>175</v>
      </c>
      <c r="D136" s="104">
        <v>24140381</v>
      </c>
      <c r="E136" s="370" t="s">
        <v>226</v>
      </c>
      <c r="F136" s="344" t="s">
        <v>203</v>
      </c>
      <c r="G136" s="345">
        <v>32879.097999999998</v>
      </c>
      <c r="H136" s="344" t="s">
        <v>128</v>
      </c>
      <c r="I136" s="105">
        <v>1</v>
      </c>
      <c r="J136" s="105">
        <v>1</v>
      </c>
      <c r="K136" s="208" t="s">
        <v>204</v>
      </c>
      <c r="L136" s="233" t="e">
        <f>VLOOKUP(B136,'IN OUT'!F:G,2,FALSE)</f>
        <v>#N/A</v>
      </c>
      <c r="P136" s="44"/>
    </row>
    <row r="137" spans="1:16" hidden="1">
      <c r="A137" s="344" t="s">
        <v>275</v>
      </c>
      <c r="B137" s="346">
        <v>3331550100</v>
      </c>
      <c r="C137" s="347" t="s">
        <v>175</v>
      </c>
      <c r="D137" s="347">
        <v>24140385</v>
      </c>
      <c r="E137" s="370" t="s">
        <v>224</v>
      </c>
      <c r="F137" s="344" t="s">
        <v>203</v>
      </c>
      <c r="G137" s="345">
        <v>30042.376</v>
      </c>
      <c r="H137" s="344" t="s">
        <v>128</v>
      </c>
      <c r="I137" s="105">
        <v>1</v>
      </c>
      <c r="J137" s="105">
        <v>1</v>
      </c>
      <c r="K137" s="208" t="s">
        <v>204</v>
      </c>
      <c r="L137" s="233" t="e">
        <f>VLOOKUP(B137,'IN OUT'!F:G,2,FALSE)</f>
        <v>#N/A</v>
      </c>
      <c r="P137" s="44"/>
    </row>
    <row r="138" spans="1:16" s="44" customFormat="1" hidden="1">
      <c r="A138" s="106" t="s">
        <v>276</v>
      </c>
      <c r="B138" s="105">
        <v>3331550133</v>
      </c>
      <c r="C138" s="96" t="s">
        <v>27</v>
      </c>
      <c r="D138" s="104">
        <v>24140391</v>
      </c>
      <c r="E138" s="369" t="s">
        <v>254</v>
      </c>
      <c r="F138" s="106" t="s">
        <v>199</v>
      </c>
      <c r="G138" s="209">
        <v>10892.968000000001</v>
      </c>
      <c r="H138" s="106" t="s">
        <v>200</v>
      </c>
      <c r="I138" s="105">
        <v>1</v>
      </c>
      <c r="J138" s="151">
        <v>1</v>
      </c>
      <c r="K138" s="208" t="s">
        <v>204</v>
      </c>
      <c r="L138" s="233" t="e">
        <f>VLOOKUP(B138,'IN OUT'!F:G,2,FALSE)</f>
        <v>#N/A</v>
      </c>
    </row>
    <row r="139" spans="1:16" hidden="1">
      <c r="A139" s="106" t="s">
        <v>258</v>
      </c>
      <c r="B139" s="105">
        <v>3331550368</v>
      </c>
      <c r="C139" s="1488" t="s">
        <v>206</v>
      </c>
      <c r="D139" s="1504">
        <v>24140395</v>
      </c>
      <c r="E139" s="369" t="s">
        <v>226</v>
      </c>
      <c r="F139" s="106" t="s">
        <v>203</v>
      </c>
      <c r="G139" s="209">
        <f>3772.5+28374.23</f>
        <v>32146.73</v>
      </c>
      <c r="H139" s="106" t="s">
        <v>128</v>
      </c>
      <c r="I139" s="269">
        <v>1</v>
      </c>
      <c r="J139" s="105">
        <v>1</v>
      </c>
      <c r="K139" s="233" t="s">
        <v>204</v>
      </c>
      <c r="L139" s="233" t="e">
        <f>VLOOKUP(B139,'IN OUT'!F:G,2,FALSE)</f>
        <v>#N/A</v>
      </c>
      <c r="P139" s="44"/>
    </row>
    <row r="140" spans="1:16" hidden="1">
      <c r="A140" s="106" t="s">
        <v>258</v>
      </c>
      <c r="B140" s="105">
        <v>3331550371</v>
      </c>
      <c r="C140" s="1490"/>
      <c r="D140" s="1505"/>
      <c r="E140" s="106" t="s">
        <v>256</v>
      </c>
      <c r="F140" s="106" t="s">
        <v>256</v>
      </c>
      <c r="G140" s="209" t="s">
        <v>256</v>
      </c>
      <c r="H140" s="106" t="s">
        <v>256</v>
      </c>
      <c r="I140" s="105" t="s">
        <v>256</v>
      </c>
      <c r="J140" s="356" t="s">
        <v>256</v>
      </c>
      <c r="K140" s="357" t="s">
        <v>204</v>
      </c>
      <c r="L140" s="233" t="e">
        <f>VLOOKUP(B140,'IN OUT'!F:G,2,FALSE)</f>
        <v>#N/A</v>
      </c>
      <c r="P140" s="44"/>
    </row>
    <row r="141" spans="1:16" hidden="1">
      <c r="A141" s="106" t="s">
        <v>258</v>
      </c>
      <c r="B141" s="105">
        <v>3331550377</v>
      </c>
      <c r="C141" s="104" t="s">
        <v>11</v>
      </c>
      <c r="D141" s="106">
        <v>24140396</v>
      </c>
      <c r="E141" s="369" t="s">
        <v>277</v>
      </c>
      <c r="F141" s="106" t="s">
        <v>199</v>
      </c>
      <c r="G141" s="209">
        <v>23012.25</v>
      </c>
      <c r="H141" s="106" t="s">
        <v>200</v>
      </c>
      <c r="I141" s="105">
        <v>1</v>
      </c>
      <c r="J141" s="269">
        <v>1</v>
      </c>
      <c r="K141" s="208" t="s">
        <v>204</v>
      </c>
      <c r="L141" s="233" t="e">
        <f>VLOOKUP(B141,'IN OUT'!F:G,2,FALSE)</f>
        <v>#N/A</v>
      </c>
      <c r="P141" s="44"/>
    </row>
    <row r="142" spans="1:16" hidden="1">
      <c r="A142" s="106" t="s">
        <v>258</v>
      </c>
      <c r="B142" s="105">
        <v>3331550378</v>
      </c>
      <c r="C142" s="104" t="s">
        <v>27</v>
      </c>
      <c r="D142" s="106">
        <v>24140397</v>
      </c>
      <c r="E142" s="369" t="s">
        <v>277</v>
      </c>
      <c r="F142" s="106" t="s">
        <v>199</v>
      </c>
      <c r="G142" s="209">
        <v>26513.13</v>
      </c>
      <c r="H142" s="106" t="s">
        <v>200</v>
      </c>
      <c r="I142" s="105">
        <v>1</v>
      </c>
      <c r="J142" s="269">
        <v>1</v>
      </c>
      <c r="K142" s="208" t="s">
        <v>204</v>
      </c>
      <c r="L142" s="233" t="e">
        <f>VLOOKUP(B142,'IN OUT'!F:G,2,FALSE)</f>
        <v>#N/A</v>
      </c>
      <c r="P142" s="44"/>
    </row>
    <row r="143" spans="1:16" hidden="1">
      <c r="A143" s="106" t="s">
        <v>258</v>
      </c>
      <c r="B143" s="105">
        <v>3331550379</v>
      </c>
      <c r="C143" s="104" t="s">
        <v>11</v>
      </c>
      <c r="D143" s="106">
        <v>24140398</v>
      </c>
      <c r="E143" s="369" t="s">
        <v>278</v>
      </c>
      <c r="F143" s="106" t="s">
        <v>199</v>
      </c>
      <c r="G143" s="209">
        <v>22499.19</v>
      </c>
      <c r="H143" s="106" t="s">
        <v>200</v>
      </c>
      <c r="I143" s="105">
        <v>1</v>
      </c>
      <c r="J143" s="269">
        <v>1</v>
      </c>
      <c r="K143" s="208" t="s">
        <v>204</v>
      </c>
      <c r="L143" s="233" t="e">
        <f>VLOOKUP(B143,'IN OUT'!F:G,2,FALSE)</f>
        <v>#N/A</v>
      </c>
      <c r="P143" s="44"/>
    </row>
    <row r="144" spans="1:16" hidden="1">
      <c r="A144" s="106" t="s">
        <v>258</v>
      </c>
      <c r="B144" s="105">
        <v>3331550386</v>
      </c>
      <c r="C144" s="104" t="s">
        <v>27</v>
      </c>
      <c r="D144" s="106">
        <v>24140399</v>
      </c>
      <c r="E144" s="369" t="s">
        <v>161</v>
      </c>
      <c r="F144" s="106" t="s">
        <v>199</v>
      </c>
      <c r="G144" s="209">
        <v>22282.899000000001</v>
      </c>
      <c r="H144" s="106" t="s">
        <v>200</v>
      </c>
      <c r="I144" s="105">
        <v>1</v>
      </c>
      <c r="J144" s="269">
        <v>1</v>
      </c>
      <c r="K144" s="208" t="s">
        <v>204</v>
      </c>
      <c r="L144" s="233" t="e">
        <f>VLOOKUP(B144,'IN OUT'!F:G,2,FALSE)</f>
        <v>#N/A</v>
      </c>
      <c r="P144" s="44"/>
    </row>
    <row r="145" spans="1:16" hidden="1">
      <c r="A145" s="106" t="s">
        <v>258</v>
      </c>
      <c r="B145" s="105">
        <v>3331550389</v>
      </c>
      <c r="C145" s="104" t="s">
        <v>27</v>
      </c>
      <c r="D145" s="106">
        <v>24140400</v>
      </c>
      <c r="E145" s="369" t="s">
        <v>278</v>
      </c>
      <c r="F145" s="106" t="s">
        <v>199</v>
      </c>
      <c r="G145" s="209">
        <v>24842.164000000001</v>
      </c>
      <c r="H145" s="106" t="s">
        <v>200</v>
      </c>
      <c r="I145" s="105">
        <v>1</v>
      </c>
      <c r="J145" s="269">
        <v>1</v>
      </c>
      <c r="K145" s="208" t="s">
        <v>204</v>
      </c>
      <c r="L145" s="233" t="e">
        <f>VLOOKUP(B145,'IN OUT'!F:G,2,FALSE)</f>
        <v>#N/A</v>
      </c>
      <c r="P145" s="44"/>
    </row>
    <row r="146" spans="1:16" hidden="1">
      <c r="A146" s="106" t="s">
        <v>258</v>
      </c>
      <c r="B146" s="105">
        <v>3331550390</v>
      </c>
      <c r="C146" s="104" t="s">
        <v>58</v>
      </c>
      <c r="D146" s="106">
        <v>24140401</v>
      </c>
      <c r="E146" s="369" t="s">
        <v>278</v>
      </c>
      <c r="F146" s="106" t="s">
        <v>199</v>
      </c>
      <c r="G146" s="209">
        <v>23259.725999999999</v>
      </c>
      <c r="H146" s="106" t="s">
        <v>200</v>
      </c>
      <c r="I146" s="105">
        <v>1</v>
      </c>
      <c r="J146" s="269">
        <v>1</v>
      </c>
      <c r="K146" s="208" t="s">
        <v>204</v>
      </c>
      <c r="L146" s="233" t="e">
        <f>VLOOKUP(B146,'IN OUT'!F:G,2,FALSE)</f>
        <v>#N/A</v>
      </c>
      <c r="P146" s="44"/>
    </row>
    <row r="147" spans="1:16" hidden="1">
      <c r="A147" s="106" t="s">
        <v>258</v>
      </c>
      <c r="B147" s="105">
        <v>3331550393</v>
      </c>
      <c r="C147" s="104" t="s">
        <v>11</v>
      </c>
      <c r="D147" s="106">
        <v>24140402</v>
      </c>
      <c r="E147" s="369" t="s">
        <v>278</v>
      </c>
      <c r="F147" s="106" t="s">
        <v>199</v>
      </c>
      <c r="G147" s="209">
        <v>24413.608</v>
      </c>
      <c r="H147" s="106" t="s">
        <v>200</v>
      </c>
      <c r="I147" s="105">
        <v>1</v>
      </c>
      <c r="J147" s="269">
        <v>1</v>
      </c>
      <c r="K147" s="208" t="s">
        <v>204</v>
      </c>
      <c r="L147" s="233" t="e">
        <f>VLOOKUP(B147,'IN OUT'!F:G,2,FALSE)</f>
        <v>#N/A</v>
      </c>
      <c r="P147" s="44"/>
    </row>
    <row r="148" spans="1:16" hidden="1">
      <c r="A148" s="106" t="s">
        <v>258</v>
      </c>
      <c r="B148" s="105">
        <v>3331550394</v>
      </c>
      <c r="C148" s="104" t="s">
        <v>11</v>
      </c>
      <c r="D148" s="106">
        <v>24140403</v>
      </c>
      <c r="E148" s="369" t="s">
        <v>165</v>
      </c>
      <c r="F148" s="106" t="s">
        <v>199</v>
      </c>
      <c r="G148" s="209">
        <v>23324.111000000001</v>
      </c>
      <c r="H148" s="106" t="s">
        <v>200</v>
      </c>
      <c r="I148" s="105">
        <v>1</v>
      </c>
      <c r="J148" s="269">
        <v>1</v>
      </c>
      <c r="K148" s="208" t="s">
        <v>204</v>
      </c>
      <c r="L148" s="233" t="e">
        <f>VLOOKUP(B148,'IN OUT'!F:G,2,FALSE)</f>
        <v>#N/A</v>
      </c>
      <c r="P148" s="44"/>
    </row>
    <row r="149" spans="1:16" hidden="1">
      <c r="A149" s="106" t="s">
        <v>258</v>
      </c>
      <c r="B149" s="105">
        <v>3331550396</v>
      </c>
      <c r="C149" s="104" t="s">
        <v>34</v>
      </c>
      <c r="D149" s="106">
        <v>24140404</v>
      </c>
      <c r="E149" s="369" t="s">
        <v>165</v>
      </c>
      <c r="F149" s="106" t="s">
        <v>199</v>
      </c>
      <c r="G149" s="209">
        <v>24628.893</v>
      </c>
      <c r="H149" s="106" t="s">
        <v>200</v>
      </c>
      <c r="I149" s="105">
        <v>1</v>
      </c>
      <c r="J149" s="269">
        <v>1</v>
      </c>
      <c r="K149" s="208" t="s">
        <v>204</v>
      </c>
      <c r="L149" s="233" t="e">
        <f>VLOOKUP(B149,'IN OUT'!F:G,2,FALSE)</f>
        <v>#N/A</v>
      </c>
      <c r="P149" s="44"/>
    </row>
    <row r="150" spans="1:16" hidden="1">
      <c r="A150" s="106" t="s">
        <v>258</v>
      </c>
      <c r="B150" s="105">
        <v>3331550397</v>
      </c>
      <c r="C150" s="104" t="s">
        <v>279</v>
      </c>
      <c r="D150" s="106">
        <v>24140405</v>
      </c>
      <c r="E150" s="369" t="s">
        <v>165</v>
      </c>
      <c r="F150" s="106" t="s">
        <v>199</v>
      </c>
      <c r="G150" s="209">
        <v>24370.350999999999</v>
      </c>
      <c r="H150" s="106" t="s">
        <v>200</v>
      </c>
      <c r="I150" s="105">
        <v>1</v>
      </c>
      <c r="J150" s="269">
        <v>1</v>
      </c>
      <c r="K150" s="208" t="s">
        <v>204</v>
      </c>
      <c r="L150" s="233" t="e">
        <f>VLOOKUP(B150,'IN OUT'!F:G,2,FALSE)</f>
        <v>#N/A</v>
      </c>
      <c r="P150" s="44"/>
    </row>
    <row r="151" spans="1:16" hidden="1">
      <c r="A151" s="106" t="s">
        <v>258</v>
      </c>
      <c r="B151" s="105">
        <v>3331550401</v>
      </c>
      <c r="C151" s="104" t="s">
        <v>279</v>
      </c>
      <c r="D151" s="106">
        <v>24140406</v>
      </c>
      <c r="E151" s="369" t="s">
        <v>165</v>
      </c>
      <c r="F151" s="106" t="s">
        <v>199</v>
      </c>
      <c r="G151" s="209">
        <v>24370.350999999999</v>
      </c>
      <c r="H151" s="106" t="s">
        <v>200</v>
      </c>
      <c r="I151" s="105">
        <v>1</v>
      </c>
      <c r="J151" s="269">
        <v>1</v>
      </c>
      <c r="K151" s="208" t="s">
        <v>204</v>
      </c>
      <c r="L151" s="233" t="e">
        <f>VLOOKUP(B151,'IN OUT'!F:G,2,FALSE)</f>
        <v>#N/A</v>
      </c>
      <c r="P151" s="44"/>
    </row>
    <row r="152" spans="1:16" hidden="1">
      <c r="A152" s="106" t="s">
        <v>258</v>
      </c>
      <c r="B152" s="105">
        <v>3331550406</v>
      </c>
      <c r="C152" s="104" t="s">
        <v>34</v>
      </c>
      <c r="D152" s="106">
        <v>24140407</v>
      </c>
      <c r="E152" s="369" t="s">
        <v>261</v>
      </c>
      <c r="F152" s="106" t="s">
        <v>199</v>
      </c>
      <c r="G152" s="209">
        <v>21830.201000000001</v>
      </c>
      <c r="H152" s="106" t="s">
        <v>200</v>
      </c>
      <c r="I152" s="105">
        <v>1</v>
      </c>
      <c r="J152" s="269">
        <v>1</v>
      </c>
      <c r="K152" s="208" t="s">
        <v>204</v>
      </c>
      <c r="L152" s="242"/>
      <c r="P152" s="44"/>
    </row>
    <row r="153" spans="1:16" hidden="1">
      <c r="A153" s="106" t="s">
        <v>258</v>
      </c>
      <c r="B153" s="105">
        <v>3331550409</v>
      </c>
      <c r="C153" s="104" t="s">
        <v>34</v>
      </c>
      <c r="D153" s="106">
        <v>24140408</v>
      </c>
      <c r="E153" s="369" t="s">
        <v>261</v>
      </c>
      <c r="F153" s="106" t="s">
        <v>199</v>
      </c>
      <c r="G153" s="209">
        <v>25468.901999999998</v>
      </c>
      <c r="H153" s="106" t="s">
        <v>200</v>
      </c>
      <c r="I153" s="105">
        <v>1</v>
      </c>
      <c r="J153" s="269">
        <v>1</v>
      </c>
      <c r="K153" s="208" t="s">
        <v>204</v>
      </c>
      <c r="L153" s="242"/>
      <c r="P153" s="44"/>
    </row>
    <row r="154" spans="1:16" hidden="1">
      <c r="A154" s="106" t="s">
        <v>258</v>
      </c>
      <c r="B154" s="105">
        <v>3331550412</v>
      </c>
      <c r="C154" s="104" t="s">
        <v>34</v>
      </c>
      <c r="D154" s="106">
        <v>24140409</v>
      </c>
      <c r="E154" s="369" t="s">
        <v>240</v>
      </c>
      <c r="F154" s="106" t="s">
        <v>199</v>
      </c>
      <c r="G154" s="209">
        <v>24323.01</v>
      </c>
      <c r="H154" s="106" t="s">
        <v>200</v>
      </c>
      <c r="I154" s="105">
        <v>1</v>
      </c>
      <c r="J154" s="105">
        <v>1</v>
      </c>
      <c r="K154" s="208" t="s">
        <v>204</v>
      </c>
      <c r="L154" s="242"/>
      <c r="P154" s="44"/>
    </row>
    <row r="155" spans="1:16" hidden="1">
      <c r="A155" s="106" t="s">
        <v>258</v>
      </c>
      <c r="B155" s="105">
        <v>3331550413</v>
      </c>
      <c r="C155" s="104" t="s">
        <v>34</v>
      </c>
      <c r="D155" s="106">
        <v>24140410</v>
      </c>
      <c r="E155" s="369" t="s">
        <v>132</v>
      </c>
      <c r="F155" s="106" t="s">
        <v>199</v>
      </c>
      <c r="G155" s="209">
        <v>23925.698</v>
      </c>
      <c r="H155" s="106" t="s">
        <v>200</v>
      </c>
      <c r="I155" s="105">
        <v>1</v>
      </c>
      <c r="J155" s="105">
        <v>1</v>
      </c>
      <c r="K155" s="208" t="s">
        <v>204</v>
      </c>
      <c r="L155" s="242"/>
      <c r="P155" s="44"/>
    </row>
    <row r="156" spans="1:16" hidden="1">
      <c r="A156" s="106" t="s">
        <v>258</v>
      </c>
      <c r="B156" s="105">
        <v>3331550421</v>
      </c>
      <c r="C156" s="104" t="s">
        <v>34</v>
      </c>
      <c r="D156" s="106">
        <v>24140411</v>
      </c>
      <c r="E156" s="369" t="s">
        <v>240</v>
      </c>
      <c r="F156" s="106" t="s">
        <v>199</v>
      </c>
      <c r="G156" s="209">
        <v>27210.375</v>
      </c>
      <c r="H156" s="106" t="s">
        <v>200</v>
      </c>
      <c r="I156" s="105">
        <v>1</v>
      </c>
      <c r="J156" s="105">
        <v>1</v>
      </c>
      <c r="K156" s="208" t="s">
        <v>280</v>
      </c>
      <c r="L156" s="242"/>
      <c r="P156" s="44"/>
    </row>
    <row r="157" spans="1:16" s="108" customFormat="1" hidden="1">
      <c r="A157" s="106" t="s">
        <v>258</v>
      </c>
      <c r="B157" s="105">
        <v>3331550428</v>
      </c>
      <c r="C157" s="104" t="s">
        <v>206</v>
      </c>
      <c r="D157" s="106">
        <v>24140412</v>
      </c>
      <c r="E157" s="369" t="s">
        <v>224</v>
      </c>
      <c r="F157" s="106" t="s">
        <v>203</v>
      </c>
      <c r="G157" s="209">
        <v>31397.26</v>
      </c>
      <c r="H157" s="106" t="s">
        <v>128</v>
      </c>
      <c r="I157" s="105">
        <v>1</v>
      </c>
      <c r="J157" s="269">
        <v>1</v>
      </c>
      <c r="K157" s="208" t="s">
        <v>204</v>
      </c>
      <c r="L157" s="304"/>
    </row>
    <row r="158" spans="1:16" hidden="1">
      <c r="A158" s="106" t="s">
        <v>258</v>
      </c>
      <c r="B158" s="105">
        <v>3331550429</v>
      </c>
      <c r="C158" s="104" t="s">
        <v>34</v>
      </c>
      <c r="D158" s="106">
        <v>24140413</v>
      </c>
      <c r="E158" s="369" t="s">
        <v>131</v>
      </c>
      <c r="F158" s="106" t="s">
        <v>199</v>
      </c>
      <c r="G158" s="209">
        <v>24717.42</v>
      </c>
      <c r="H158" s="106" t="s">
        <v>200</v>
      </c>
      <c r="I158" s="105">
        <v>1</v>
      </c>
      <c r="J158" s="269">
        <v>1</v>
      </c>
      <c r="K158" s="208" t="s">
        <v>204</v>
      </c>
      <c r="L158" s="242"/>
      <c r="P158" s="44"/>
    </row>
    <row r="159" spans="1:16" hidden="1">
      <c r="A159" s="106" t="s">
        <v>258</v>
      </c>
      <c r="B159" s="105">
        <v>3331550430</v>
      </c>
      <c r="C159" s="1488" t="s">
        <v>27</v>
      </c>
      <c r="D159" s="1504">
        <v>24140416</v>
      </c>
      <c r="E159" s="369" t="s">
        <v>281</v>
      </c>
      <c r="F159" s="106" t="s">
        <v>199</v>
      </c>
      <c r="G159" s="209">
        <f>5231.2+18676.391</f>
        <v>23907.591</v>
      </c>
      <c r="H159" s="106" t="s">
        <v>200</v>
      </c>
      <c r="I159" s="105">
        <v>1</v>
      </c>
      <c r="J159" s="269">
        <v>1</v>
      </c>
      <c r="K159" s="208" t="s">
        <v>280</v>
      </c>
      <c r="L159" s="242"/>
      <c r="P159" s="44"/>
    </row>
    <row r="160" spans="1:16" hidden="1">
      <c r="A160" s="106" t="s">
        <v>258</v>
      </c>
      <c r="B160" s="105">
        <v>3331550445</v>
      </c>
      <c r="C160" s="1490"/>
      <c r="D160" s="1505"/>
      <c r="E160" s="106" t="s">
        <v>256</v>
      </c>
      <c r="F160" s="106" t="s">
        <v>256</v>
      </c>
      <c r="G160" s="209" t="s">
        <v>256</v>
      </c>
      <c r="H160" s="106" t="s">
        <v>256</v>
      </c>
      <c r="I160" s="105" t="s">
        <v>256</v>
      </c>
      <c r="J160" s="269" t="s">
        <v>256</v>
      </c>
      <c r="K160" s="208" t="s">
        <v>204</v>
      </c>
      <c r="L160" s="242"/>
      <c r="P160" s="44"/>
    </row>
    <row r="161" spans="1:16" hidden="1">
      <c r="A161" s="106" t="s">
        <v>258</v>
      </c>
      <c r="B161" s="105">
        <v>3331550444</v>
      </c>
      <c r="C161" s="104" t="s">
        <v>34</v>
      </c>
      <c r="D161" s="106">
        <v>24140418</v>
      </c>
      <c r="E161" s="369" t="s">
        <v>281</v>
      </c>
      <c r="F161" s="106" t="s">
        <v>199</v>
      </c>
      <c r="G161" s="209">
        <v>23681.24</v>
      </c>
      <c r="H161" s="106" t="s">
        <v>200</v>
      </c>
      <c r="I161" s="105">
        <v>1</v>
      </c>
      <c r="J161" s="269">
        <v>1</v>
      </c>
      <c r="K161" s="208" t="s">
        <v>280</v>
      </c>
      <c r="L161" s="242"/>
      <c r="P161" s="44"/>
    </row>
    <row r="162" spans="1:16" hidden="1">
      <c r="A162" s="106" t="s">
        <v>258</v>
      </c>
      <c r="B162" s="105">
        <v>3331550448</v>
      </c>
      <c r="C162" s="104" t="s">
        <v>11</v>
      </c>
      <c r="D162" s="106">
        <v>24140414</v>
      </c>
      <c r="E162" s="369" t="s">
        <v>253</v>
      </c>
      <c r="F162" s="106" t="s">
        <v>205</v>
      </c>
      <c r="G162" s="209">
        <v>46736.52</v>
      </c>
      <c r="H162" s="106" t="s">
        <v>128</v>
      </c>
      <c r="I162" s="105">
        <v>1</v>
      </c>
      <c r="J162" s="269">
        <v>1</v>
      </c>
      <c r="K162" s="208" t="s">
        <v>280</v>
      </c>
      <c r="L162" s="242"/>
      <c r="P162" s="44"/>
    </row>
    <row r="163" spans="1:16" hidden="1">
      <c r="A163" s="106" t="s">
        <v>258</v>
      </c>
      <c r="B163" s="105">
        <v>3331550451</v>
      </c>
      <c r="C163" s="104" t="s">
        <v>282</v>
      </c>
      <c r="D163" s="106">
        <v>24140415</v>
      </c>
      <c r="E163" s="369" t="s">
        <v>226</v>
      </c>
      <c r="F163" s="106" t="s">
        <v>203</v>
      </c>
      <c r="G163" s="209">
        <v>34209.03</v>
      </c>
      <c r="H163" s="106" t="s">
        <v>128</v>
      </c>
      <c r="I163" s="105">
        <v>1</v>
      </c>
      <c r="J163" s="269">
        <v>1</v>
      </c>
      <c r="K163" s="208" t="s">
        <v>204</v>
      </c>
      <c r="L163" s="242"/>
      <c r="P163" s="44"/>
    </row>
    <row r="164" spans="1:16" hidden="1">
      <c r="A164" s="106" t="s">
        <v>258</v>
      </c>
      <c r="B164" s="105">
        <v>3331550455</v>
      </c>
      <c r="C164" s="104" t="s">
        <v>27</v>
      </c>
      <c r="D164" s="106">
        <v>24140417</v>
      </c>
      <c r="E164" s="369" t="s">
        <v>219</v>
      </c>
      <c r="F164" s="106" t="s">
        <v>199</v>
      </c>
      <c r="G164" s="209">
        <v>25933.673999999999</v>
      </c>
      <c r="H164" s="106" t="s">
        <v>200</v>
      </c>
      <c r="I164" s="105">
        <v>1</v>
      </c>
      <c r="J164" s="269">
        <v>1</v>
      </c>
      <c r="K164" s="208" t="s">
        <v>204</v>
      </c>
      <c r="L164" s="242"/>
      <c r="P164" s="44"/>
    </row>
    <row r="165" spans="1:16" hidden="1">
      <c r="A165" s="106" t="s">
        <v>258</v>
      </c>
      <c r="B165" s="105">
        <v>3331550489</v>
      </c>
      <c r="C165" s="104" t="s">
        <v>282</v>
      </c>
      <c r="D165" s="106">
        <v>24140419</v>
      </c>
      <c r="E165" s="369" t="s">
        <v>226</v>
      </c>
      <c r="F165" s="106" t="s">
        <v>203</v>
      </c>
      <c r="G165" s="209">
        <v>33228.18</v>
      </c>
      <c r="H165" s="106" t="s">
        <v>128</v>
      </c>
      <c r="I165" s="105">
        <v>1</v>
      </c>
      <c r="J165" s="269">
        <v>1</v>
      </c>
      <c r="K165" s="208" t="s">
        <v>204</v>
      </c>
      <c r="L165" s="242"/>
      <c r="P165" s="44"/>
    </row>
    <row r="166" spans="1:16" hidden="1">
      <c r="A166" s="106" t="s">
        <v>258</v>
      </c>
      <c r="B166" s="105">
        <v>3331550492</v>
      </c>
      <c r="C166" s="104" t="s">
        <v>34</v>
      </c>
      <c r="D166" s="106">
        <v>24140420</v>
      </c>
      <c r="E166" s="369" t="s">
        <v>165</v>
      </c>
      <c r="F166" s="106" t="s">
        <v>199</v>
      </c>
      <c r="G166" s="209">
        <v>23955.878000000001</v>
      </c>
      <c r="H166" s="106" t="s">
        <v>200</v>
      </c>
      <c r="I166" s="105">
        <v>1</v>
      </c>
      <c r="J166" s="269">
        <v>1</v>
      </c>
      <c r="K166" s="208" t="s">
        <v>204</v>
      </c>
      <c r="L166" s="242"/>
      <c r="P166" s="44"/>
    </row>
    <row r="167" spans="1:16" hidden="1">
      <c r="A167" s="106" t="s">
        <v>258</v>
      </c>
      <c r="B167" s="105">
        <v>3331550504</v>
      </c>
      <c r="C167" s="104" t="s">
        <v>175</v>
      </c>
      <c r="D167" s="106">
        <v>24140421</v>
      </c>
      <c r="E167" s="369" t="s">
        <v>173</v>
      </c>
      <c r="F167" s="106" t="s">
        <v>205</v>
      </c>
      <c r="G167" s="209">
        <v>46570.695</v>
      </c>
      <c r="H167" s="106" t="s">
        <v>128</v>
      </c>
      <c r="I167" s="105">
        <v>1</v>
      </c>
      <c r="J167" s="269">
        <v>1</v>
      </c>
      <c r="K167" s="208" t="s">
        <v>204</v>
      </c>
      <c r="L167" s="242"/>
      <c r="P167" s="44"/>
    </row>
    <row r="168" spans="1:16" hidden="1">
      <c r="A168" s="106" t="s">
        <v>258</v>
      </c>
      <c r="B168" s="105">
        <v>3331550414</v>
      </c>
      <c r="C168" s="1488" t="s">
        <v>11</v>
      </c>
      <c r="D168" s="1488">
        <v>24140423</v>
      </c>
      <c r="E168" s="369" t="s">
        <v>12</v>
      </c>
      <c r="F168" s="106" t="s">
        <v>199</v>
      </c>
      <c r="G168" s="209">
        <v>25681</v>
      </c>
      <c r="H168" s="106" t="s">
        <v>200</v>
      </c>
      <c r="I168" s="105">
        <v>1</v>
      </c>
      <c r="J168" s="269">
        <v>1</v>
      </c>
      <c r="K168" s="208" t="s">
        <v>204</v>
      </c>
      <c r="L168" s="242"/>
      <c r="P168" s="44"/>
    </row>
    <row r="169" spans="1:16" hidden="1">
      <c r="A169" s="106" t="s">
        <v>258</v>
      </c>
      <c r="B169" s="105">
        <v>3331550461</v>
      </c>
      <c r="C169" s="1489"/>
      <c r="D169" s="1489"/>
      <c r="E169" s="369" t="s">
        <v>12</v>
      </c>
      <c r="F169" s="374" t="s">
        <v>256</v>
      </c>
      <c r="G169" s="209" t="s">
        <v>256</v>
      </c>
      <c r="H169" s="106" t="s">
        <v>256</v>
      </c>
      <c r="I169" s="105" t="s">
        <v>256</v>
      </c>
      <c r="J169" s="269" t="s">
        <v>256</v>
      </c>
      <c r="K169" s="208" t="s">
        <v>204</v>
      </c>
      <c r="L169" s="242"/>
      <c r="P169" s="44"/>
    </row>
    <row r="170" spans="1:16" hidden="1">
      <c r="A170" s="106" t="s">
        <v>258</v>
      </c>
      <c r="B170" s="105">
        <v>3331550465</v>
      </c>
      <c r="C170" s="1490"/>
      <c r="D170" s="1490"/>
      <c r="E170" s="369" t="s">
        <v>12</v>
      </c>
      <c r="F170" s="106" t="s">
        <v>256</v>
      </c>
      <c r="G170" s="209" t="s">
        <v>256</v>
      </c>
      <c r="H170" s="106" t="s">
        <v>256</v>
      </c>
      <c r="I170" s="105" t="s">
        <v>256</v>
      </c>
      <c r="J170" s="269" t="s">
        <v>256</v>
      </c>
      <c r="K170" s="208" t="s">
        <v>204</v>
      </c>
      <c r="L170" s="242"/>
      <c r="P170" s="44"/>
    </row>
    <row r="171" spans="1:16" hidden="1">
      <c r="A171" s="106" t="s">
        <v>258</v>
      </c>
      <c r="B171" s="105">
        <v>3331550508</v>
      </c>
      <c r="C171" s="104" t="s">
        <v>11</v>
      </c>
      <c r="D171" s="104">
        <v>24140422</v>
      </c>
      <c r="E171" s="369" t="s">
        <v>129</v>
      </c>
      <c r="F171" s="106" t="s">
        <v>205</v>
      </c>
      <c r="G171" s="209">
        <v>46674.21</v>
      </c>
      <c r="H171" s="106" t="s">
        <v>128</v>
      </c>
      <c r="I171" s="105">
        <v>1</v>
      </c>
      <c r="J171" s="269">
        <v>1</v>
      </c>
      <c r="K171" s="208" t="s">
        <v>280</v>
      </c>
      <c r="L171" s="242"/>
      <c r="P171" s="44"/>
    </row>
    <row r="172" spans="1:16" hidden="1">
      <c r="A172" s="106" t="s">
        <v>258</v>
      </c>
      <c r="B172" s="105">
        <v>3331550522</v>
      </c>
      <c r="C172" s="104" t="s">
        <v>206</v>
      </c>
      <c r="D172" s="104">
        <v>24140424</v>
      </c>
      <c r="E172" s="369" t="s">
        <v>226</v>
      </c>
      <c r="F172" s="106" t="s">
        <v>203</v>
      </c>
      <c r="G172" s="209">
        <v>33701</v>
      </c>
      <c r="H172" s="106" t="s">
        <v>128</v>
      </c>
      <c r="I172" s="105">
        <v>1</v>
      </c>
      <c r="J172" s="269">
        <v>1</v>
      </c>
      <c r="K172" s="208" t="s">
        <v>280</v>
      </c>
      <c r="L172" s="242"/>
      <c r="P172" s="44"/>
    </row>
    <row r="173" spans="1:16" hidden="1">
      <c r="A173" s="106" t="s">
        <v>258</v>
      </c>
      <c r="B173" s="105">
        <v>3331550557</v>
      </c>
      <c r="C173" s="104" t="s">
        <v>206</v>
      </c>
      <c r="D173" s="104">
        <v>24140426</v>
      </c>
      <c r="E173" s="369" t="s">
        <v>283</v>
      </c>
      <c r="F173" s="106" t="s">
        <v>203</v>
      </c>
      <c r="G173" s="209">
        <v>34304.601000000002</v>
      </c>
      <c r="H173" s="106" t="s">
        <v>128</v>
      </c>
      <c r="I173" s="105">
        <v>1</v>
      </c>
      <c r="J173" s="269">
        <v>1</v>
      </c>
      <c r="K173" s="208" t="s">
        <v>204</v>
      </c>
      <c r="L173" s="242"/>
      <c r="P173" s="44"/>
    </row>
    <row r="174" spans="1:16" hidden="1">
      <c r="A174" s="106" t="s">
        <v>258</v>
      </c>
      <c r="B174" s="105">
        <v>3331550562</v>
      </c>
      <c r="C174" s="104" t="s">
        <v>146</v>
      </c>
      <c r="D174" s="104">
        <v>24140425</v>
      </c>
      <c r="E174" s="369" t="s">
        <v>284</v>
      </c>
      <c r="F174" s="106" t="s">
        <v>199</v>
      </c>
      <c r="G174" s="209">
        <v>26864.223999999998</v>
      </c>
      <c r="H174" s="106" t="s">
        <v>200</v>
      </c>
      <c r="I174" s="105">
        <v>1</v>
      </c>
      <c r="J174" s="269">
        <v>1</v>
      </c>
      <c r="K174" s="208" t="s">
        <v>204</v>
      </c>
      <c r="L174" s="241"/>
      <c r="P174" s="44"/>
    </row>
    <row r="175" spans="1:16" hidden="1">
      <c r="A175" s="106" t="s">
        <v>285</v>
      </c>
      <c r="B175" s="105">
        <v>3331550428</v>
      </c>
      <c r="C175" s="104" t="s">
        <v>206</v>
      </c>
      <c r="D175" s="106">
        <v>24140412</v>
      </c>
      <c r="E175" s="106" t="s">
        <v>224</v>
      </c>
      <c r="F175" s="106" t="s">
        <v>203</v>
      </c>
      <c r="G175" s="209">
        <v>31397.26</v>
      </c>
      <c r="H175" s="106" t="s">
        <v>128</v>
      </c>
      <c r="I175" s="105">
        <v>1</v>
      </c>
      <c r="J175" s="269">
        <v>1</v>
      </c>
      <c r="K175" s="233" t="s">
        <v>204</v>
      </c>
      <c r="L175" s="392">
        <f>VLOOKUP(B175,'IN OUT'!F:G,2,FALSE)</f>
        <v>45910.581585648149</v>
      </c>
      <c r="O175" s="44"/>
      <c r="P175" s="44"/>
    </row>
    <row r="176" spans="1:16" hidden="1">
      <c r="A176" s="106" t="s">
        <v>285</v>
      </c>
      <c r="B176" s="105">
        <v>3331550557</v>
      </c>
      <c r="C176" s="104" t="s">
        <v>206</v>
      </c>
      <c r="D176" s="104">
        <v>24140426</v>
      </c>
      <c r="E176" s="106" t="s">
        <v>224</v>
      </c>
      <c r="F176" s="106" t="s">
        <v>203</v>
      </c>
      <c r="G176" s="209">
        <v>34304.601000000002</v>
      </c>
      <c r="H176" s="106" t="s">
        <v>128</v>
      </c>
      <c r="I176" s="105">
        <v>1</v>
      </c>
      <c r="J176" s="269">
        <v>1</v>
      </c>
      <c r="K176" s="233" t="s">
        <v>204</v>
      </c>
      <c r="L176" s="392">
        <f>VLOOKUP(B176,'IN OUT'!F:G,2,FALSE)</f>
        <v>45910.316712962966</v>
      </c>
      <c r="M176" s="44"/>
      <c r="N176" s="44"/>
      <c r="O176" s="44"/>
      <c r="P176" s="44"/>
    </row>
    <row r="177" spans="1:16" hidden="1">
      <c r="A177" s="106" t="s">
        <v>285</v>
      </c>
      <c r="B177" s="105">
        <v>3331550508</v>
      </c>
      <c r="C177" s="104" t="s">
        <v>11</v>
      </c>
      <c r="D177" s="104">
        <v>24140422</v>
      </c>
      <c r="E177" s="106" t="s">
        <v>173</v>
      </c>
      <c r="F177" s="106" t="s">
        <v>205</v>
      </c>
      <c r="G177" s="209">
        <v>46674.21</v>
      </c>
      <c r="H177" s="106" t="s">
        <v>128</v>
      </c>
      <c r="I177" s="105">
        <v>1</v>
      </c>
      <c r="J177" s="269">
        <v>1</v>
      </c>
      <c r="K177" s="233" t="s">
        <v>204</v>
      </c>
      <c r="L177" s="392" t="e">
        <f>VLOOKUP(B177,'IN OUT'!F:G,2,FALSE)</f>
        <v>#N/A</v>
      </c>
      <c r="M177" s="44"/>
      <c r="N177" s="44"/>
      <c r="O177" s="44"/>
      <c r="P177" s="44"/>
    </row>
    <row r="178" spans="1:16" hidden="1">
      <c r="A178" s="106" t="s">
        <v>286</v>
      </c>
      <c r="B178" s="105">
        <v>3331550703</v>
      </c>
      <c r="C178" s="104" t="s">
        <v>287</v>
      </c>
      <c r="D178" s="106">
        <v>24140427</v>
      </c>
      <c r="E178" s="106" t="s">
        <v>131</v>
      </c>
      <c r="F178" s="106" t="s">
        <v>199</v>
      </c>
      <c r="G178" s="209">
        <v>24873.352999999999</v>
      </c>
      <c r="H178" s="106" t="s">
        <v>200</v>
      </c>
      <c r="I178" s="105">
        <v>1</v>
      </c>
      <c r="J178" s="269">
        <v>1</v>
      </c>
      <c r="K178" s="233" t="s">
        <v>204</v>
      </c>
      <c r="L178" s="392">
        <f>VLOOKUP(B178,'IN OUT'!F:G,2,FALSE)</f>
        <v>45910.499490740738</v>
      </c>
      <c r="O178" s="44"/>
      <c r="P178" s="44"/>
    </row>
    <row r="179" spans="1:16" hidden="1">
      <c r="A179" s="106" t="s">
        <v>286</v>
      </c>
      <c r="B179" s="105">
        <v>3331550704</v>
      </c>
      <c r="C179" s="104" t="s">
        <v>287</v>
      </c>
      <c r="D179" s="106">
        <v>24140428</v>
      </c>
      <c r="E179" s="106" t="s">
        <v>131</v>
      </c>
      <c r="F179" s="106" t="s">
        <v>199</v>
      </c>
      <c r="G179" s="209">
        <v>24647.001</v>
      </c>
      <c r="H179" s="106" t="s">
        <v>200</v>
      </c>
      <c r="I179" s="105">
        <v>1</v>
      </c>
      <c r="J179" s="269">
        <v>1</v>
      </c>
      <c r="K179" s="233" t="s">
        <v>204</v>
      </c>
      <c r="L179" s="392">
        <f>VLOOKUP(B179,'IN OUT'!F:G,2,FALSE)</f>
        <v>45910.501469907409</v>
      </c>
      <c r="O179" s="44"/>
      <c r="P179" s="44"/>
    </row>
    <row r="180" spans="1:16" hidden="1">
      <c r="A180" s="106" t="s">
        <v>286</v>
      </c>
      <c r="B180" s="105">
        <v>3331550705</v>
      </c>
      <c r="C180" s="104" t="s">
        <v>287</v>
      </c>
      <c r="D180" s="106">
        <v>24140429</v>
      </c>
      <c r="E180" s="106" t="s">
        <v>132</v>
      </c>
      <c r="F180" s="106" t="s">
        <v>199</v>
      </c>
      <c r="G180" s="209">
        <v>25194.266</v>
      </c>
      <c r="H180" s="106" t="s">
        <v>200</v>
      </c>
      <c r="I180" s="105">
        <v>1</v>
      </c>
      <c r="J180" s="269">
        <v>1</v>
      </c>
      <c r="K180" s="233" t="s">
        <v>204</v>
      </c>
      <c r="L180" s="392" t="e">
        <f>VLOOKUP(B180,'IN OUT'!F:G,2,FALSE)</f>
        <v>#N/A</v>
      </c>
      <c r="O180" s="44"/>
      <c r="P180" s="44"/>
    </row>
    <row r="181" spans="1:16" hidden="1">
      <c r="A181" s="106" t="s">
        <v>286</v>
      </c>
      <c r="B181" s="105">
        <v>3331550708</v>
      </c>
      <c r="C181" s="104" t="s">
        <v>287</v>
      </c>
      <c r="D181" s="106">
        <v>24140430</v>
      </c>
      <c r="E181" s="106" t="s">
        <v>135</v>
      </c>
      <c r="F181" s="106" t="s">
        <v>199</v>
      </c>
      <c r="G181" s="209">
        <v>22091.760999999999</v>
      </c>
      <c r="H181" s="106" t="s">
        <v>200</v>
      </c>
      <c r="I181" s="105">
        <v>1</v>
      </c>
      <c r="J181" s="269">
        <v>1</v>
      </c>
      <c r="K181" s="233" t="s">
        <v>204</v>
      </c>
      <c r="L181" s="392">
        <f>VLOOKUP(B181,'IN OUT'!F:G,2,FALSE)</f>
        <v>45910.458356481482</v>
      </c>
      <c r="O181" s="44"/>
      <c r="P181" s="44"/>
    </row>
    <row r="182" spans="1:16" hidden="1">
      <c r="A182" s="106" t="s">
        <v>286</v>
      </c>
      <c r="B182" s="105">
        <v>3331550709</v>
      </c>
      <c r="C182" s="104" t="s">
        <v>287</v>
      </c>
      <c r="D182" s="106">
        <v>24140431</v>
      </c>
      <c r="E182" s="106" t="s">
        <v>135</v>
      </c>
      <c r="F182" s="106" t="s">
        <v>199</v>
      </c>
      <c r="G182" s="209">
        <v>22896.563999999998</v>
      </c>
      <c r="H182" s="106" t="s">
        <v>200</v>
      </c>
      <c r="I182" s="105">
        <v>1</v>
      </c>
      <c r="J182" s="269">
        <v>1</v>
      </c>
      <c r="K182" s="233" t="s">
        <v>204</v>
      </c>
      <c r="L182" s="392">
        <f>VLOOKUP(B182,'IN OUT'!F:G,2,FALSE)</f>
        <v>45910.467916666668</v>
      </c>
      <c r="O182" s="44"/>
      <c r="P182" s="44"/>
    </row>
    <row r="183" spans="1:16" hidden="1">
      <c r="A183" s="106" t="s">
        <v>286</v>
      </c>
      <c r="B183" s="105">
        <v>3331550710</v>
      </c>
      <c r="C183" s="104" t="s">
        <v>287</v>
      </c>
      <c r="D183" s="106">
        <v>24140432</v>
      </c>
      <c r="E183" s="106" t="s">
        <v>132</v>
      </c>
      <c r="F183" s="106" t="s">
        <v>199</v>
      </c>
      <c r="G183" s="209">
        <v>23054.501</v>
      </c>
      <c r="H183" s="106" t="s">
        <v>200</v>
      </c>
      <c r="I183" s="105">
        <v>1</v>
      </c>
      <c r="J183" s="269">
        <v>1</v>
      </c>
      <c r="K183" s="233" t="s">
        <v>204</v>
      </c>
      <c r="L183" s="392">
        <f>VLOOKUP(B183,'IN OUT'!F:G,2,FALSE)</f>
        <v>45910.49795138889</v>
      </c>
      <c r="O183" s="44"/>
      <c r="P183" s="44"/>
    </row>
    <row r="184" spans="1:16" hidden="1">
      <c r="A184" s="106" t="s">
        <v>286</v>
      </c>
      <c r="B184" s="105">
        <v>3331550712</v>
      </c>
      <c r="C184" s="104" t="s">
        <v>287</v>
      </c>
      <c r="D184" s="106">
        <v>24140433</v>
      </c>
      <c r="E184" s="106" t="s">
        <v>277</v>
      </c>
      <c r="F184" s="106" t="s">
        <v>199</v>
      </c>
      <c r="G184" s="209">
        <v>21764.81</v>
      </c>
      <c r="H184" s="106" t="s">
        <v>200</v>
      </c>
      <c r="I184" s="105">
        <v>1</v>
      </c>
      <c r="J184" s="269">
        <v>1</v>
      </c>
      <c r="K184" s="233" t="s">
        <v>204</v>
      </c>
      <c r="L184" s="392">
        <f>VLOOKUP(B184,'IN OUT'!F:G,2,FALSE)</f>
        <v>45910.490972222222</v>
      </c>
      <c r="O184" s="44"/>
      <c r="P184" s="44"/>
    </row>
    <row r="185" spans="1:16" hidden="1">
      <c r="A185" s="106" t="s">
        <v>286</v>
      </c>
      <c r="B185" s="105">
        <v>3331550715</v>
      </c>
      <c r="C185" s="104" t="s">
        <v>117</v>
      </c>
      <c r="D185" s="106">
        <v>24140434</v>
      </c>
      <c r="E185" s="106" t="s">
        <v>277</v>
      </c>
      <c r="F185" s="106" t="s">
        <v>199</v>
      </c>
      <c r="G185" s="209">
        <v>21030.43</v>
      </c>
      <c r="H185" s="106" t="s">
        <v>200</v>
      </c>
      <c r="I185" s="105">
        <v>1</v>
      </c>
      <c r="J185" s="269">
        <v>1</v>
      </c>
      <c r="K185" s="233" t="s">
        <v>204</v>
      </c>
      <c r="L185" s="392" t="e">
        <f>VLOOKUP(B185,'IN OUT'!F:G,2,FALSE)</f>
        <v>#N/A</v>
      </c>
      <c r="O185" s="44"/>
      <c r="P185" s="44"/>
    </row>
    <row r="186" spans="1:16" hidden="1">
      <c r="A186" s="106" t="s">
        <v>286</v>
      </c>
      <c r="B186" s="105">
        <v>3331550720</v>
      </c>
      <c r="C186" s="104" t="s">
        <v>34</v>
      </c>
      <c r="D186" s="106">
        <v>24140435</v>
      </c>
      <c r="E186" s="106" t="s">
        <v>156</v>
      </c>
      <c r="F186" s="106" t="s">
        <v>199</v>
      </c>
      <c r="G186" s="209">
        <v>24898.5</v>
      </c>
      <c r="H186" s="106" t="s">
        <v>200</v>
      </c>
      <c r="I186" s="105">
        <v>1</v>
      </c>
      <c r="J186" s="269">
        <v>1</v>
      </c>
      <c r="K186" s="233" t="s">
        <v>204</v>
      </c>
      <c r="L186" s="392" t="e">
        <f>VLOOKUP(B186,'IN OUT'!F:G,2,FALSE)</f>
        <v>#N/A</v>
      </c>
      <c r="O186" s="44"/>
      <c r="P186" s="44"/>
    </row>
    <row r="187" spans="1:16" hidden="1">
      <c r="A187" s="106" t="s">
        <v>286</v>
      </c>
      <c r="B187" s="105">
        <v>3331550726</v>
      </c>
      <c r="C187" s="104" t="s">
        <v>287</v>
      </c>
      <c r="D187" s="106">
        <v>24140436</v>
      </c>
      <c r="E187" s="106" t="s">
        <v>156</v>
      </c>
      <c r="F187" s="106" t="s">
        <v>199</v>
      </c>
      <c r="G187" s="209">
        <v>22922.716</v>
      </c>
      <c r="H187" s="106" t="s">
        <v>200</v>
      </c>
      <c r="I187" s="105">
        <v>1</v>
      </c>
      <c r="J187" s="269">
        <v>1</v>
      </c>
      <c r="K187" s="233" t="s">
        <v>204</v>
      </c>
      <c r="L187" s="392">
        <f>VLOOKUP(B187,'IN OUT'!F:G,2,FALSE)</f>
        <v>45910.493564814817</v>
      </c>
      <c r="O187" s="44"/>
      <c r="P187" s="44"/>
    </row>
    <row r="188" spans="1:16" s="44" customFormat="1" hidden="1">
      <c r="A188" s="106" t="s">
        <v>286</v>
      </c>
      <c r="B188" s="105">
        <v>3331550722</v>
      </c>
      <c r="C188" s="1488" t="s">
        <v>27</v>
      </c>
      <c r="D188" s="1504">
        <v>24140437</v>
      </c>
      <c r="E188" s="106" t="s">
        <v>156</v>
      </c>
      <c r="F188" s="106" t="s">
        <v>199</v>
      </c>
      <c r="G188" s="209">
        <f>12751.05+12529.73</f>
        <v>25280.78</v>
      </c>
      <c r="H188" s="106" t="s">
        <v>200</v>
      </c>
      <c r="I188" s="105">
        <v>1</v>
      </c>
      <c r="J188" s="269">
        <v>1</v>
      </c>
      <c r="K188" s="233" t="s">
        <v>204</v>
      </c>
      <c r="L188" s="392" t="e">
        <f>VLOOKUP(B188,'IN OUT'!F:G,2,FALSE)</f>
        <v>#N/A</v>
      </c>
    </row>
    <row r="189" spans="1:16" s="44" customFormat="1" hidden="1">
      <c r="A189" s="106" t="s">
        <v>286</v>
      </c>
      <c r="B189" s="105">
        <v>3331550725</v>
      </c>
      <c r="C189" s="1490"/>
      <c r="D189" s="1505"/>
      <c r="E189" s="106" t="s">
        <v>256</v>
      </c>
      <c r="F189" s="106" t="s">
        <v>256</v>
      </c>
      <c r="G189" s="209" t="s">
        <v>256</v>
      </c>
      <c r="H189" s="106" t="s">
        <v>256</v>
      </c>
      <c r="I189" s="105" t="s">
        <v>256</v>
      </c>
      <c r="J189" s="269" t="s">
        <v>256</v>
      </c>
      <c r="K189" s="233" t="s">
        <v>256</v>
      </c>
      <c r="L189" s="392" t="e">
        <f>VLOOKUP(B189,'IN OUT'!F:G,2,FALSE)</f>
        <v>#N/A</v>
      </c>
    </row>
    <row r="190" spans="1:16" s="44" customFormat="1" hidden="1">
      <c r="A190" s="106" t="s">
        <v>286</v>
      </c>
      <c r="B190" s="105">
        <v>3331550727</v>
      </c>
      <c r="C190" s="104" t="s">
        <v>287</v>
      </c>
      <c r="D190" s="104">
        <v>24140438</v>
      </c>
      <c r="E190" s="106" t="s">
        <v>219</v>
      </c>
      <c r="F190" s="106" t="s">
        <v>199</v>
      </c>
      <c r="G190" s="209">
        <v>25425.645</v>
      </c>
      <c r="H190" s="106" t="s">
        <v>200</v>
      </c>
      <c r="I190" s="105">
        <v>1</v>
      </c>
      <c r="J190" s="269">
        <v>1</v>
      </c>
      <c r="K190" s="233" t="s">
        <v>280</v>
      </c>
      <c r="L190" s="392" t="e">
        <f>VLOOKUP(B190,'IN OUT'!F:G,2,FALSE)</f>
        <v>#N/A</v>
      </c>
    </row>
    <row r="191" spans="1:16" s="44" customFormat="1" hidden="1">
      <c r="A191" s="106" t="s">
        <v>286</v>
      </c>
      <c r="B191" s="105">
        <v>3331550730</v>
      </c>
      <c r="C191" s="104" t="s">
        <v>287</v>
      </c>
      <c r="D191" s="104">
        <v>24140439</v>
      </c>
      <c r="E191" s="106" t="s">
        <v>150</v>
      </c>
      <c r="F191" s="106" t="s">
        <v>199</v>
      </c>
      <c r="G191" s="209">
        <v>23475.01</v>
      </c>
      <c r="H191" s="106" t="s">
        <v>200</v>
      </c>
      <c r="I191" s="105">
        <v>1</v>
      </c>
      <c r="J191" s="269">
        <v>1</v>
      </c>
      <c r="K191" s="233" t="s">
        <v>280</v>
      </c>
      <c r="L191" s="392" t="e">
        <f>VLOOKUP(B191,'IN OUT'!F:G,2,FALSE)</f>
        <v>#N/A</v>
      </c>
    </row>
    <row r="192" spans="1:16" s="44" customFormat="1" hidden="1">
      <c r="A192" s="106" t="s">
        <v>286</v>
      </c>
      <c r="B192" s="105">
        <v>3331550733</v>
      </c>
      <c r="C192" s="104" t="s">
        <v>287</v>
      </c>
      <c r="D192" s="104">
        <v>24140440</v>
      </c>
      <c r="E192" s="106" t="s">
        <v>150</v>
      </c>
      <c r="F192" s="106" t="s">
        <v>199</v>
      </c>
      <c r="G192" s="209">
        <v>23475.01</v>
      </c>
      <c r="H192" s="106" t="s">
        <v>200</v>
      </c>
      <c r="I192" s="105">
        <v>1</v>
      </c>
      <c r="J192" s="269">
        <v>1</v>
      </c>
      <c r="K192" s="233" t="s">
        <v>204</v>
      </c>
      <c r="L192" s="392">
        <f>VLOOKUP(B192,'IN OUT'!F:G,2,FALSE)</f>
        <v>45910.575787037036</v>
      </c>
    </row>
    <row r="193" spans="1:12" s="44" customFormat="1" hidden="1">
      <c r="A193" s="106" t="s">
        <v>286</v>
      </c>
      <c r="B193" s="105">
        <v>3331549283</v>
      </c>
      <c r="C193" s="1488" t="s">
        <v>117</v>
      </c>
      <c r="D193" s="1488">
        <v>24140447</v>
      </c>
      <c r="E193" s="1504" t="s">
        <v>150</v>
      </c>
      <c r="F193" s="106" t="s">
        <v>199</v>
      </c>
      <c r="G193" s="209">
        <f>18042.61+5209.068</f>
        <v>23251.678</v>
      </c>
      <c r="H193" s="106" t="s">
        <v>200</v>
      </c>
      <c r="I193" s="105">
        <v>1</v>
      </c>
      <c r="J193" s="269">
        <v>1</v>
      </c>
      <c r="K193" s="233" t="s">
        <v>204</v>
      </c>
      <c r="L193" s="392" t="e">
        <f>VLOOKUP(B193,'IN OUT'!F:G,2,FALSE)</f>
        <v>#N/A</v>
      </c>
    </row>
    <row r="194" spans="1:12" s="44" customFormat="1" hidden="1">
      <c r="A194" s="106" t="s">
        <v>256</v>
      </c>
      <c r="B194" s="105">
        <v>3331550735</v>
      </c>
      <c r="C194" s="1490"/>
      <c r="D194" s="1490"/>
      <c r="E194" s="1505"/>
      <c r="F194" s="106" t="s">
        <v>256</v>
      </c>
      <c r="G194" s="209" t="s">
        <v>256</v>
      </c>
      <c r="H194" s="106" t="s">
        <v>256</v>
      </c>
      <c r="I194" s="105" t="s">
        <v>256</v>
      </c>
      <c r="J194" s="269" t="s">
        <v>256</v>
      </c>
      <c r="K194" s="233" t="s">
        <v>204</v>
      </c>
      <c r="L194" s="392" t="e">
        <f>VLOOKUP(B194,'IN OUT'!F:G,2,FALSE)</f>
        <v>#N/A</v>
      </c>
    </row>
    <row r="195" spans="1:12" s="44" customFormat="1" hidden="1">
      <c r="A195" s="106" t="s">
        <v>286</v>
      </c>
      <c r="B195" s="105">
        <v>3331550741</v>
      </c>
      <c r="C195" s="104" t="s">
        <v>287</v>
      </c>
      <c r="D195" s="104">
        <v>24140448</v>
      </c>
      <c r="E195" s="106" t="s">
        <v>150</v>
      </c>
      <c r="F195" s="106" t="s">
        <v>199</v>
      </c>
      <c r="G195" s="209">
        <v>26587.574000000001</v>
      </c>
      <c r="H195" s="106" t="s">
        <v>200</v>
      </c>
      <c r="I195" s="105">
        <v>1</v>
      </c>
      <c r="J195" s="269">
        <v>1</v>
      </c>
      <c r="K195" s="233" t="s">
        <v>204</v>
      </c>
      <c r="L195" s="392" t="e">
        <f>VLOOKUP(B195,'IN OUT'!F:G,2,FALSE)</f>
        <v>#N/A</v>
      </c>
    </row>
    <row r="196" spans="1:12" s="44" customFormat="1" hidden="1">
      <c r="A196" s="106" t="s">
        <v>286</v>
      </c>
      <c r="B196" s="105">
        <v>3331549282</v>
      </c>
      <c r="C196" s="1488" t="s">
        <v>27</v>
      </c>
      <c r="D196" s="1488">
        <v>24140441</v>
      </c>
      <c r="E196" s="106" t="s">
        <v>150</v>
      </c>
      <c r="F196" s="106" t="s">
        <v>199</v>
      </c>
      <c r="G196" s="209">
        <f>22234.612+3873.1</f>
        <v>26107.712</v>
      </c>
      <c r="H196" s="106" t="s">
        <v>200</v>
      </c>
      <c r="I196" s="105">
        <v>1</v>
      </c>
      <c r="J196" s="269">
        <v>1</v>
      </c>
      <c r="K196" s="233" t="s">
        <v>204</v>
      </c>
      <c r="L196" s="393" t="e">
        <f>VLOOKUP(B196,'IN OUT'!F:G,2,FALSE)</f>
        <v>#N/A</v>
      </c>
    </row>
    <row r="197" spans="1:12" s="44" customFormat="1" hidden="1">
      <c r="A197" s="106" t="s">
        <v>286</v>
      </c>
      <c r="B197" s="105">
        <v>3331550751</v>
      </c>
      <c r="C197" s="1490"/>
      <c r="D197" s="1490"/>
      <c r="E197" s="106" t="s">
        <v>150</v>
      </c>
      <c r="F197" s="106" t="s">
        <v>199</v>
      </c>
      <c r="G197" s="209"/>
      <c r="H197" s="106" t="s">
        <v>256</v>
      </c>
      <c r="I197" s="105" t="s">
        <v>256</v>
      </c>
      <c r="J197" s="269" t="s">
        <v>256</v>
      </c>
      <c r="K197" s="233" t="s">
        <v>204</v>
      </c>
      <c r="L197" s="393" t="e">
        <f>VLOOKUP(B197,'IN OUT'!F:G,2,FALSE)</f>
        <v>#N/A</v>
      </c>
    </row>
    <row r="198" spans="1:12" s="44" customFormat="1" hidden="1">
      <c r="A198" s="106" t="s">
        <v>286</v>
      </c>
      <c r="B198" s="105">
        <v>3331550772</v>
      </c>
      <c r="C198" s="394" t="s">
        <v>11</v>
      </c>
      <c r="D198" s="394">
        <v>24140443</v>
      </c>
      <c r="E198" s="100" t="s">
        <v>281</v>
      </c>
      <c r="F198" s="106" t="s">
        <v>199</v>
      </c>
      <c r="G198" s="209">
        <v>23495.13</v>
      </c>
      <c r="H198" s="106" t="s">
        <v>200</v>
      </c>
      <c r="I198" s="105">
        <v>1</v>
      </c>
      <c r="J198" s="269">
        <v>1</v>
      </c>
      <c r="K198" s="233" t="s">
        <v>204</v>
      </c>
      <c r="L198" s="392">
        <f>VLOOKUP(B198,'IN OUT'!F:G,2,FALSE)</f>
        <v>45910.644456018519</v>
      </c>
    </row>
    <row r="199" spans="1:12" s="44" customFormat="1" hidden="1">
      <c r="A199" s="106" t="s">
        <v>286</v>
      </c>
      <c r="B199" s="106">
        <v>3331550776</v>
      </c>
      <c r="C199" s="104" t="s">
        <v>27</v>
      </c>
      <c r="D199" s="104">
        <v>24140446</v>
      </c>
      <c r="E199" s="106" t="s">
        <v>281</v>
      </c>
      <c r="F199" s="106" t="s">
        <v>199</v>
      </c>
      <c r="G199" s="209">
        <v>25934.024000000001</v>
      </c>
      <c r="H199" s="106" t="s">
        <v>200</v>
      </c>
      <c r="I199" s="105">
        <v>1</v>
      </c>
      <c r="J199" s="269">
        <v>1</v>
      </c>
      <c r="K199" s="233" t="s">
        <v>204</v>
      </c>
      <c r="L199" s="392" t="e">
        <f>VLOOKUP(B199,'IN OUT'!F:G,2,FALSE)</f>
        <v>#N/A</v>
      </c>
    </row>
    <row r="200" spans="1:12" s="44" customFormat="1" hidden="1">
      <c r="A200" s="106" t="s">
        <v>286</v>
      </c>
      <c r="B200" s="105">
        <v>3331550792</v>
      </c>
      <c r="C200" s="104" t="s">
        <v>27</v>
      </c>
      <c r="D200" s="104">
        <v>24140445</v>
      </c>
      <c r="E200" s="106" t="s">
        <v>243</v>
      </c>
      <c r="F200" s="106" t="s">
        <v>199</v>
      </c>
      <c r="G200" s="209">
        <f>1782+21010.311</f>
        <v>22792.311000000002</v>
      </c>
      <c r="H200" s="106" t="s">
        <v>200</v>
      </c>
      <c r="I200" s="105">
        <v>1</v>
      </c>
      <c r="J200" s="269">
        <v>1</v>
      </c>
      <c r="K200" s="233" t="s">
        <v>204</v>
      </c>
      <c r="L200" s="392" t="e">
        <f>VLOOKUP(B200,'IN OUT'!F:G,2,FALSE)</f>
        <v>#N/A</v>
      </c>
    </row>
    <row r="201" spans="1:12" s="44" customFormat="1" hidden="1">
      <c r="A201" s="106" t="s">
        <v>256</v>
      </c>
      <c r="B201" s="105">
        <v>3331550796</v>
      </c>
      <c r="C201" s="104" t="s">
        <v>256</v>
      </c>
      <c r="D201" s="104" t="s">
        <v>256</v>
      </c>
      <c r="E201" s="106" t="s">
        <v>256</v>
      </c>
      <c r="F201" s="106" t="s">
        <v>256</v>
      </c>
      <c r="G201" s="209" t="s">
        <v>256</v>
      </c>
      <c r="H201" s="106" t="s">
        <v>256</v>
      </c>
      <c r="I201" s="105" t="s">
        <v>256</v>
      </c>
      <c r="J201" s="269" t="s">
        <v>256</v>
      </c>
      <c r="K201" s="233" t="s">
        <v>256</v>
      </c>
      <c r="L201" s="392" t="e">
        <f>VLOOKUP(B201,'IN OUT'!F:G,2,FALSE)</f>
        <v>#N/A</v>
      </c>
    </row>
    <row r="202" spans="1:12" s="44" customFormat="1" hidden="1">
      <c r="A202" s="106" t="s">
        <v>286</v>
      </c>
      <c r="B202" s="105">
        <v>3331550812</v>
      </c>
      <c r="C202" s="104" t="s">
        <v>34</v>
      </c>
      <c r="D202" s="104">
        <v>24140444</v>
      </c>
      <c r="E202" s="106" t="s">
        <v>240</v>
      </c>
      <c r="F202" s="106" t="s">
        <v>199</v>
      </c>
      <c r="G202" s="209">
        <v>24848.625</v>
      </c>
      <c r="H202" s="106" t="s">
        <v>200</v>
      </c>
      <c r="I202" s="105">
        <v>1</v>
      </c>
      <c r="J202" s="269">
        <v>1</v>
      </c>
      <c r="K202" s="233" t="s">
        <v>204</v>
      </c>
      <c r="L202" s="392" t="e">
        <f>VLOOKUP(B202,'IN OUT'!F:G,2,FALSE)</f>
        <v>#N/A</v>
      </c>
    </row>
    <row r="203" spans="1:12" s="44" customFormat="1" hidden="1">
      <c r="A203" s="106" t="s">
        <v>286</v>
      </c>
      <c r="B203" s="105">
        <v>3331550813</v>
      </c>
      <c r="C203" s="104" t="s">
        <v>27</v>
      </c>
      <c r="D203" s="104">
        <v>24140449</v>
      </c>
      <c r="E203" s="106" t="s">
        <v>240</v>
      </c>
      <c r="F203" s="106" t="s">
        <v>199</v>
      </c>
      <c r="G203" s="209">
        <v>25602.374</v>
      </c>
      <c r="H203" s="106" t="s">
        <v>200</v>
      </c>
      <c r="I203" s="105">
        <v>1</v>
      </c>
      <c r="J203" s="269">
        <v>1</v>
      </c>
      <c r="K203" s="233" t="s">
        <v>204</v>
      </c>
      <c r="L203" s="392" t="e">
        <f>VLOOKUP(B203,'IN OUT'!F:G,2,FALSE)</f>
        <v>#N/A</v>
      </c>
    </row>
    <row r="204" spans="1:12" s="44" customFormat="1" hidden="1">
      <c r="A204" s="106" t="s">
        <v>288</v>
      </c>
      <c r="B204" s="105">
        <v>3331550899</v>
      </c>
      <c r="C204" s="104" t="s">
        <v>287</v>
      </c>
      <c r="D204" s="104">
        <v>24140450</v>
      </c>
      <c r="E204" s="106" t="s">
        <v>289</v>
      </c>
      <c r="F204" s="106" t="s">
        <v>205</v>
      </c>
      <c r="G204" s="209">
        <v>22658.137999999999</v>
      </c>
      <c r="H204" s="106" t="s">
        <v>200</v>
      </c>
      <c r="I204" s="105">
        <v>1</v>
      </c>
      <c r="J204" s="269">
        <v>1</v>
      </c>
      <c r="K204" s="233" t="s">
        <v>204</v>
      </c>
      <c r="L204" s="392" t="e">
        <f>VLOOKUP(B204,'IN OUT'!F:G,2,FALSE)</f>
        <v>#N/A</v>
      </c>
    </row>
    <row r="205" spans="1:12" s="44" customFormat="1" hidden="1">
      <c r="A205" s="106" t="s">
        <v>288</v>
      </c>
      <c r="B205" s="105">
        <v>3331550900</v>
      </c>
      <c r="C205" s="104" t="s">
        <v>175</v>
      </c>
      <c r="D205" s="104">
        <v>24140451</v>
      </c>
      <c r="E205" s="106" t="s">
        <v>253</v>
      </c>
      <c r="F205" s="106" t="s">
        <v>205</v>
      </c>
      <c r="G205" s="209">
        <v>37751.78</v>
      </c>
      <c r="H205" s="106" t="s">
        <v>128</v>
      </c>
      <c r="I205" s="105">
        <v>1</v>
      </c>
      <c r="J205" s="269">
        <v>1</v>
      </c>
      <c r="K205" s="233" t="s">
        <v>204</v>
      </c>
      <c r="L205" s="392" t="e">
        <f>VLOOKUP(B205,'IN OUT'!F:G,2,FALSE)</f>
        <v>#N/A</v>
      </c>
    </row>
    <row r="206" spans="1:12" s="44" customFormat="1" hidden="1">
      <c r="A206" s="106" t="s">
        <v>288</v>
      </c>
      <c r="B206" s="105">
        <v>3331550903</v>
      </c>
      <c r="C206" s="96" t="s">
        <v>287</v>
      </c>
      <c r="D206" s="96">
        <v>24140452</v>
      </c>
      <c r="E206" s="98" t="s">
        <v>289</v>
      </c>
      <c r="F206" s="106" t="s">
        <v>205</v>
      </c>
      <c r="G206" s="209">
        <v>22383.5</v>
      </c>
      <c r="H206" s="106" t="s">
        <v>200</v>
      </c>
      <c r="I206" s="105">
        <v>1</v>
      </c>
      <c r="J206" s="269">
        <v>1</v>
      </c>
      <c r="K206" s="233" t="s">
        <v>204</v>
      </c>
      <c r="L206" s="392" t="e">
        <f>VLOOKUP(B206,'IN OUT'!F:G,2,FALSE)</f>
        <v>#N/A</v>
      </c>
    </row>
    <row r="207" spans="1:12" s="44" customFormat="1" hidden="1">
      <c r="A207" s="82" t="s">
        <v>288</v>
      </c>
      <c r="B207" s="240">
        <v>3331550911</v>
      </c>
      <c r="C207" s="114" t="s">
        <v>287</v>
      </c>
      <c r="D207" s="114">
        <v>24140454</v>
      </c>
      <c r="E207" s="114" t="s">
        <v>289</v>
      </c>
      <c r="F207" s="395" t="s">
        <v>205</v>
      </c>
      <c r="G207" s="191">
        <f>5866.992+19107.964</f>
        <v>24974.955999999998</v>
      </c>
      <c r="H207" s="82" t="s">
        <v>200</v>
      </c>
      <c r="I207" s="81">
        <v>1</v>
      </c>
      <c r="J207" s="240">
        <v>1</v>
      </c>
      <c r="K207" s="237" t="s">
        <v>207</v>
      </c>
      <c r="L207" s="242"/>
    </row>
    <row r="208" spans="1:12" s="44" customFormat="1" hidden="1">
      <c r="A208" s="82" t="s">
        <v>288</v>
      </c>
      <c r="B208" s="240">
        <v>3331550927</v>
      </c>
      <c r="C208" s="114"/>
      <c r="D208" s="114"/>
      <c r="E208" s="114"/>
      <c r="F208" s="395" t="s">
        <v>256</v>
      </c>
      <c r="G208" s="191" t="s">
        <v>256</v>
      </c>
      <c r="H208" s="82" t="s">
        <v>256</v>
      </c>
      <c r="I208" s="384" t="s">
        <v>256</v>
      </c>
      <c r="J208" s="240" t="s">
        <v>256</v>
      </c>
      <c r="K208" s="237" t="s">
        <v>256</v>
      </c>
      <c r="L208" s="242"/>
    </row>
    <row r="209" spans="1:12" s="44" customFormat="1" hidden="1">
      <c r="A209" s="106" t="s">
        <v>286</v>
      </c>
      <c r="B209" s="105">
        <v>3331550943</v>
      </c>
      <c r="C209" s="172" t="s">
        <v>27</v>
      </c>
      <c r="D209" s="172">
        <v>24140453</v>
      </c>
      <c r="E209" s="97" t="s">
        <v>290</v>
      </c>
      <c r="F209" s="106" t="s">
        <v>199</v>
      </c>
      <c r="G209" s="209">
        <v>25909.53</v>
      </c>
      <c r="H209" s="106" t="s">
        <v>200</v>
      </c>
      <c r="I209" s="105">
        <v>1</v>
      </c>
      <c r="J209" s="269">
        <v>1</v>
      </c>
      <c r="K209" s="233" t="s">
        <v>204</v>
      </c>
      <c r="L209" s="242"/>
    </row>
    <row r="210" spans="1:12" s="44" customFormat="1" hidden="1">
      <c r="A210" s="106" t="s">
        <v>286</v>
      </c>
      <c r="B210" s="105">
        <v>3331550951</v>
      </c>
      <c r="C210" s="104" t="s">
        <v>34</v>
      </c>
      <c r="D210" s="104">
        <v>24140456</v>
      </c>
      <c r="E210" s="106" t="s">
        <v>290</v>
      </c>
      <c r="F210" s="106" t="s">
        <v>199</v>
      </c>
      <c r="G210" s="209">
        <f>11055+13602.126</f>
        <v>24657.126</v>
      </c>
      <c r="H210" s="106" t="s">
        <v>200</v>
      </c>
      <c r="I210" s="105">
        <v>1</v>
      </c>
      <c r="J210" s="269">
        <v>1</v>
      </c>
      <c r="K210" s="233" t="s">
        <v>204</v>
      </c>
      <c r="L210" s="242"/>
    </row>
    <row r="211" spans="1:12" s="44" customFormat="1" hidden="1">
      <c r="A211" s="106" t="s">
        <v>256</v>
      </c>
      <c r="B211" s="105">
        <v>3331550955</v>
      </c>
      <c r="C211" s="104" t="s">
        <v>256</v>
      </c>
      <c r="D211" s="104" t="s">
        <v>256</v>
      </c>
      <c r="E211" s="106" t="s">
        <v>256</v>
      </c>
      <c r="F211" s="106" t="s">
        <v>256</v>
      </c>
      <c r="G211" s="209" t="s">
        <v>256</v>
      </c>
      <c r="H211" s="106" t="s">
        <v>256</v>
      </c>
      <c r="I211" s="105" t="s">
        <v>256</v>
      </c>
      <c r="J211" s="269" t="s">
        <v>256</v>
      </c>
      <c r="K211" s="233" t="s">
        <v>204</v>
      </c>
      <c r="L211" s="242"/>
    </row>
    <row r="212" spans="1:12" s="44" customFormat="1" hidden="1">
      <c r="A212" s="106" t="s">
        <v>286</v>
      </c>
      <c r="B212" s="105">
        <v>3331550962</v>
      </c>
      <c r="C212" s="1488" t="s">
        <v>34</v>
      </c>
      <c r="D212" s="1488">
        <v>24140457</v>
      </c>
      <c r="E212" s="106" t="s">
        <v>46</v>
      </c>
      <c r="F212" s="106" t="s">
        <v>199</v>
      </c>
      <c r="G212" s="209">
        <f>5673.84+17914.125</f>
        <v>23587.965</v>
      </c>
      <c r="H212" s="106" t="s">
        <v>200</v>
      </c>
      <c r="I212" s="105">
        <v>1</v>
      </c>
      <c r="J212" s="269">
        <v>1</v>
      </c>
      <c r="K212" s="233" t="s">
        <v>280</v>
      </c>
      <c r="L212" s="242"/>
    </row>
    <row r="213" spans="1:12" s="44" customFormat="1" hidden="1">
      <c r="A213" s="106" t="s">
        <v>286</v>
      </c>
      <c r="B213" s="105">
        <v>3331550963</v>
      </c>
      <c r="C213" s="1490"/>
      <c r="D213" s="1490"/>
      <c r="E213" s="106" t="s">
        <v>256</v>
      </c>
      <c r="F213" s="106" t="s">
        <v>256</v>
      </c>
      <c r="G213" s="209" t="s">
        <v>256</v>
      </c>
      <c r="H213" s="106" t="s">
        <v>256</v>
      </c>
      <c r="I213" s="105" t="s">
        <v>256</v>
      </c>
      <c r="J213" s="269" t="s">
        <v>256</v>
      </c>
      <c r="K213" s="233" t="s">
        <v>256</v>
      </c>
      <c r="L213" s="242"/>
    </row>
    <row r="214" spans="1:12" s="44" customFormat="1" hidden="1">
      <c r="A214" s="106" t="s">
        <v>286</v>
      </c>
      <c r="B214" s="105">
        <v>3331550965</v>
      </c>
      <c r="C214" s="104" t="s">
        <v>34</v>
      </c>
      <c r="D214" s="104">
        <v>24140458</v>
      </c>
      <c r="E214" s="106" t="s">
        <v>46</v>
      </c>
      <c r="F214" s="106" t="s">
        <v>199</v>
      </c>
      <c r="G214" s="209">
        <v>25612.760999999999</v>
      </c>
      <c r="H214" s="106" t="s">
        <v>200</v>
      </c>
      <c r="I214" s="105">
        <v>1</v>
      </c>
      <c r="J214" s="269">
        <v>1</v>
      </c>
      <c r="K214" s="233" t="s">
        <v>204</v>
      </c>
      <c r="L214" s="242"/>
    </row>
    <row r="215" spans="1:12" s="44" customFormat="1" hidden="1">
      <c r="A215" s="106" t="s">
        <v>291</v>
      </c>
      <c r="B215" s="105">
        <v>3331550966</v>
      </c>
      <c r="C215" s="1488" t="s">
        <v>34</v>
      </c>
      <c r="D215" s="1488">
        <v>24140459</v>
      </c>
      <c r="E215" s="1504" t="s">
        <v>36</v>
      </c>
      <c r="F215" s="106" t="s">
        <v>199</v>
      </c>
      <c r="G215" s="209">
        <f>10496.986+12361.5</f>
        <v>22858.486000000001</v>
      </c>
      <c r="H215" s="106" t="s">
        <v>200</v>
      </c>
      <c r="I215" s="105">
        <v>1</v>
      </c>
      <c r="J215" s="269">
        <v>1</v>
      </c>
      <c r="K215" s="233" t="s">
        <v>204</v>
      </c>
      <c r="L215" s="304"/>
    </row>
    <row r="216" spans="1:12" s="44" customFormat="1" hidden="1">
      <c r="A216" s="106" t="s">
        <v>291</v>
      </c>
      <c r="B216" s="105">
        <v>3331550969</v>
      </c>
      <c r="C216" s="1490"/>
      <c r="D216" s="1490"/>
      <c r="E216" s="1505"/>
      <c r="F216" s="106" t="s">
        <v>256</v>
      </c>
      <c r="G216" s="209" t="s">
        <v>256</v>
      </c>
      <c r="H216" s="106" t="s">
        <v>256</v>
      </c>
      <c r="I216" s="105" t="s">
        <v>256</v>
      </c>
      <c r="J216" s="269" t="s">
        <v>256</v>
      </c>
      <c r="K216" s="233" t="s">
        <v>256</v>
      </c>
      <c r="L216" s="304"/>
    </row>
    <row r="217" spans="1:12" s="44" customFormat="1">
      <c r="A217" s="416" t="s">
        <v>292</v>
      </c>
      <c r="B217" s="105">
        <v>3331550792</v>
      </c>
      <c r="C217" s="172" t="s">
        <v>27</v>
      </c>
      <c r="D217" s="172">
        <v>24140445</v>
      </c>
      <c r="E217" s="97" t="s">
        <v>243</v>
      </c>
      <c r="F217" s="106" t="s">
        <v>199</v>
      </c>
      <c r="G217" s="209">
        <f>1782+22685.302</f>
        <v>24467.302</v>
      </c>
      <c r="H217" s="106" t="str">
        <f>IF(G217&gt;28000,"TRAILER","TRONTON")</f>
        <v>TRONTON</v>
      </c>
      <c r="I217" s="105">
        <v>1</v>
      </c>
      <c r="J217" s="269">
        <v>1</v>
      </c>
      <c r="K217" s="233" t="s">
        <v>204</v>
      </c>
      <c r="L217" s="242"/>
    </row>
    <row r="218" spans="1:12" s="44" customFormat="1">
      <c r="A218" s="106" t="s">
        <v>256</v>
      </c>
      <c r="B218" s="105">
        <v>3331550796</v>
      </c>
      <c r="C218" s="104" t="s">
        <v>256</v>
      </c>
      <c r="D218" s="104" t="s">
        <v>256</v>
      </c>
      <c r="E218" s="106" t="s">
        <v>256</v>
      </c>
      <c r="F218" s="106" t="s">
        <v>256</v>
      </c>
      <c r="G218" s="209" t="s">
        <v>256</v>
      </c>
      <c r="H218" s="106" t="s">
        <v>256</v>
      </c>
      <c r="I218" s="105" t="s">
        <v>256</v>
      </c>
      <c r="J218" s="269" t="s">
        <v>256</v>
      </c>
      <c r="K218" s="233" t="s">
        <v>256</v>
      </c>
      <c r="L218" s="242"/>
    </row>
    <row r="219" spans="1:12" s="44" customFormat="1">
      <c r="A219" s="416" t="s">
        <v>292</v>
      </c>
      <c r="B219" s="105">
        <v>3331550903</v>
      </c>
      <c r="C219" s="104" t="s">
        <v>287</v>
      </c>
      <c r="D219" s="104">
        <v>24140452</v>
      </c>
      <c r="E219" s="106" t="s">
        <v>289</v>
      </c>
      <c r="F219" s="106" t="s">
        <v>205</v>
      </c>
      <c r="G219" s="209">
        <v>22383.5</v>
      </c>
      <c r="H219" s="106" t="str">
        <f t="shared" ref="H219:H243" si="0">IF(G219&gt;28000,"TRAILER","TRONTON")</f>
        <v>TRONTON</v>
      </c>
      <c r="I219" s="105">
        <v>1</v>
      </c>
      <c r="J219" s="269">
        <v>1</v>
      </c>
      <c r="K219" s="233" t="s">
        <v>204</v>
      </c>
      <c r="L219" s="242"/>
    </row>
    <row r="220" spans="1:12" s="44" customFormat="1">
      <c r="A220" s="416" t="s">
        <v>292</v>
      </c>
      <c r="B220" s="105">
        <v>3331550965</v>
      </c>
      <c r="C220" s="104" t="s">
        <v>34</v>
      </c>
      <c r="D220" s="104">
        <v>24140458</v>
      </c>
      <c r="E220" s="106" t="s">
        <v>242</v>
      </c>
      <c r="F220" s="106" t="s">
        <v>199</v>
      </c>
      <c r="G220" s="209">
        <v>24345.201000000001</v>
      </c>
      <c r="H220" s="106" t="str">
        <f t="shared" si="0"/>
        <v>TRONTON</v>
      </c>
      <c r="I220" s="105">
        <v>1</v>
      </c>
      <c r="J220" s="269">
        <v>1</v>
      </c>
      <c r="K220" s="233" t="s">
        <v>204</v>
      </c>
      <c r="L220" s="242"/>
    </row>
    <row r="221" spans="1:12" s="44" customFormat="1">
      <c r="A221" s="416" t="s">
        <v>292</v>
      </c>
      <c r="B221" s="105">
        <v>3331550966</v>
      </c>
      <c r="C221" s="104" t="s">
        <v>34</v>
      </c>
      <c r="D221" s="104">
        <v>24140459</v>
      </c>
      <c r="E221" s="106" t="s">
        <v>36</v>
      </c>
      <c r="F221" s="106" t="s">
        <v>199</v>
      </c>
      <c r="G221" s="209">
        <f>10496.986+12361.5</f>
        <v>22858.486000000001</v>
      </c>
      <c r="H221" s="106" t="str">
        <f t="shared" si="0"/>
        <v>TRONTON</v>
      </c>
      <c r="I221" s="105">
        <v>1</v>
      </c>
      <c r="J221" s="269">
        <v>1</v>
      </c>
      <c r="K221" s="233" t="s">
        <v>204</v>
      </c>
      <c r="L221" s="242"/>
    </row>
    <row r="222" spans="1:12" s="44" customFormat="1">
      <c r="A222" s="106" t="s">
        <v>256</v>
      </c>
      <c r="B222" s="105">
        <v>3331550969</v>
      </c>
      <c r="C222" s="104" t="s">
        <v>256</v>
      </c>
      <c r="D222" s="104" t="s">
        <v>256</v>
      </c>
      <c r="E222" s="106" t="s">
        <v>256</v>
      </c>
      <c r="F222" s="106" t="s">
        <v>256</v>
      </c>
      <c r="G222" s="209" t="s">
        <v>256</v>
      </c>
      <c r="H222" s="106" t="s">
        <v>256</v>
      </c>
      <c r="I222" s="105" t="s">
        <v>256</v>
      </c>
      <c r="J222" s="269" t="s">
        <v>256</v>
      </c>
      <c r="K222" s="233" t="s">
        <v>256</v>
      </c>
      <c r="L222" s="242"/>
    </row>
    <row r="223" spans="1:12" s="44" customFormat="1">
      <c r="A223" s="106" t="s">
        <v>292</v>
      </c>
      <c r="B223" s="269">
        <v>3331550951</v>
      </c>
      <c r="C223" s="104" t="s">
        <v>34</v>
      </c>
      <c r="D223" s="402">
        <v>24140456</v>
      </c>
      <c r="E223" s="106" t="s">
        <v>293</v>
      </c>
      <c r="F223" s="106" t="s">
        <v>199</v>
      </c>
      <c r="G223" s="209">
        <f>10270+13360.5</f>
        <v>23630.5</v>
      </c>
      <c r="H223" s="106" t="str">
        <f t="shared" si="0"/>
        <v>TRONTON</v>
      </c>
      <c r="I223" s="105">
        <v>1</v>
      </c>
      <c r="J223" s="269">
        <v>1</v>
      </c>
      <c r="K223" s="233" t="s">
        <v>204</v>
      </c>
      <c r="L223" s="242"/>
    </row>
    <row r="224" spans="1:12" s="44" customFormat="1">
      <c r="A224" s="106" t="s">
        <v>256</v>
      </c>
      <c r="B224" s="269">
        <v>3331550955</v>
      </c>
      <c r="C224" s="104" t="s">
        <v>256</v>
      </c>
      <c r="D224" s="104" t="s">
        <v>256</v>
      </c>
      <c r="E224" s="106" t="s">
        <v>256</v>
      </c>
      <c r="F224" s="399" t="s">
        <v>256</v>
      </c>
      <c r="G224" s="209" t="s">
        <v>256</v>
      </c>
      <c r="H224" s="106" t="s">
        <v>256</v>
      </c>
      <c r="I224" s="105" t="s">
        <v>256</v>
      </c>
      <c r="J224" s="269" t="s">
        <v>256</v>
      </c>
      <c r="K224" s="233" t="s">
        <v>256</v>
      </c>
      <c r="L224" s="242"/>
    </row>
    <row r="225" spans="1:12" s="44" customFormat="1">
      <c r="A225" s="106" t="s">
        <v>294</v>
      </c>
      <c r="B225" s="269">
        <v>3331550911</v>
      </c>
      <c r="C225" s="104" t="s">
        <v>287</v>
      </c>
      <c r="D225" s="104">
        <v>24140454</v>
      </c>
      <c r="E225" s="104" t="s">
        <v>289</v>
      </c>
      <c r="F225" s="399" t="s">
        <v>205</v>
      </c>
      <c r="G225" s="209">
        <f>5866.992+19107.964</f>
        <v>24974.955999999998</v>
      </c>
      <c r="H225" s="106" t="str">
        <f t="shared" si="0"/>
        <v>TRONTON</v>
      </c>
      <c r="I225" s="105">
        <v>1</v>
      </c>
      <c r="J225" s="269">
        <v>1</v>
      </c>
      <c r="K225" s="233" t="s">
        <v>204</v>
      </c>
      <c r="L225" s="242"/>
    </row>
    <row r="226" spans="1:12" s="44" customFormat="1">
      <c r="A226" s="106" t="s">
        <v>256</v>
      </c>
      <c r="B226" s="269">
        <v>3331550927</v>
      </c>
      <c r="C226" s="104" t="s">
        <v>256</v>
      </c>
      <c r="D226" s="104" t="s">
        <v>256</v>
      </c>
      <c r="E226" s="104" t="s">
        <v>256</v>
      </c>
      <c r="F226" s="399" t="s">
        <v>256</v>
      </c>
      <c r="G226" s="209" t="s">
        <v>256</v>
      </c>
      <c r="H226" s="106" t="s">
        <v>256</v>
      </c>
      <c r="I226" s="401" t="s">
        <v>256</v>
      </c>
      <c r="J226" s="269" t="s">
        <v>256</v>
      </c>
      <c r="K226" s="233" t="s">
        <v>256</v>
      </c>
      <c r="L226" s="242"/>
    </row>
    <row r="227" spans="1:12" s="44" customFormat="1">
      <c r="A227" s="106" t="s">
        <v>294</v>
      </c>
      <c r="B227" s="105">
        <v>3331549976</v>
      </c>
      <c r="C227" s="104" t="s">
        <v>27</v>
      </c>
      <c r="D227" s="104">
        <v>24140460</v>
      </c>
      <c r="E227" s="106" t="s">
        <v>121</v>
      </c>
      <c r="F227" s="106" t="s">
        <v>199</v>
      </c>
      <c r="G227" s="209">
        <v>25330.828000000001</v>
      </c>
      <c r="H227" s="106" t="str">
        <f t="shared" si="0"/>
        <v>TRONTON</v>
      </c>
      <c r="I227" s="105">
        <v>1</v>
      </c>
      <c r="J227" s="269">
        <v>1</v>
      </c>
      <c r="K227" s="233" t="s">
        <v>204</v>
      </c>
      <c r="L227" s="242"/>
    </row>
    <row r="228" spans="1:12" s="44" customFormat="1">
      <c r="A228" s="106" t="s">
        <v>294</v>
      </c>
      <c r="B228" s="105">
        <v>3331551112</v>
      </c>
      <c r="C228" s="104" t="s">
        <v>27</v>
      </c>
      <c r="D228" s="104">
        <v>24140461</v>
      </c>
      <c r="E228" s="106" t="s">
        <v>295</v>
      </c>
      <c r="F228" s="106" t="s">
        <v>199</v>
      </c>
      <c r="G228" s="209">
        <v>26376.313999999998</v>
      </c>
      <c r="H228" s="106" t="str">
        <f t="shared" si="0"/>
        <v>TRONTON</v>
      </c>
      <c r="I228" s="105">
        <v>1</v>
      </c>
      <c r="J228" s="269">
        <v>1</v>
      </c>
      <c r="K228" s="233" t="s">
        <v>204</v>
      </c>
      <c r="L228" s="242"/>
    </row>
    <row r="229" spans="1:12" s="44" customFormat="1">
      <c r="A229" s="106" t="s">
        <v>294</v>
      </c>
      <c r="B229" s="105">
        <v>3331551114</v>
      </c>
      <c r="C229" s="104" t="s">
        <v>27</v>
      </c>
      <c r="D229" s="104">
        <v>24140462</v>
      </c>
      <c r="E229" s="106" t="s">
        <v>158</v>
      </c>
      <c r="F229" s="106" t="s">
        <v>199</v>
      </c>
      <c r="G229" s="209">
        <v>27009.088</v>
      </c>
      <c r="H229" s="106" t="str">
        <f t="shared" si="0"/>
        <v>TRONTON</v>
      </c>
      <c r="I229" s="105">
        <v>1</v>
      </c>
      <c r="J229" s="269">
        <v>1</v>
      </c>
      <c r="K229" s="233" t="s">
        <v>204</v>
      </c>
      <c r="L229" s="242"/>
    </row>
    <row r="230" spans="1:12" s="44" customFormat="1">
      <c r="A230" s="106" t="s">
        <v>294</v>
      </c>
      <c r="B230" s="105">
        <v>3331551115</v>
      </c>
      <c r="C230" s="104" t="s">
        <v>27</v>
      </c>
      <c r="D230" s="104">
        <v>24140463</v>
      </c>
      <c r="E230" s="106" t="s">
        <v>158</v>
      </c>
      <c r="F230" s="106" t="s">
        <v>199</v>
      </c>
      <c r="G230" s="209">
        <v>27524.16</v>
      </c>
      <c r="H230" s="106" t="str">
        <f t="shared" si="0"/>
        <v>TRONTON</v>
      </c>
      <c r="I230" s="105">
        <v>1</v>
      </c>
      <c r="J230" s="269">
        <v>1</v>
      </c>
      <c r="K230" s="233" t="s">
        <v>204</v>
      </c>
      <c r="L230" s="242"/>
    </row>
    <row r="231" spans="1:12" s="44" customFormat="1">
      <c r="A231" s="106" t="s">
        <v>294</v>
      </c>
      <c r="B231" s="105">
        <v>3331551116</v>
      </c>
      <c r="C231" s="104" t="s">
        <v>27</v>
      </c>
      <c r="D231" s="104">
        <v>24140464</v>
      </c>
      <c r="E231" s="106" t="s">
        <v>158</v>
      </c>
      <c r="F231" s="106" t="s">
        <v>199</v>
      </c>
      <c r="G231" s="209">
        <v>27493.98</v>
      </c>
      <c r="H231" s="106" t="str">
        <f t="shared" si="0"/>
        <v>TRONTON</v>
      </c>
      <c r="I231" s="105">
        <v>1</v>
      </c>
      <c r="J231" s="269">
        <v>1</v>
      </c>
      <c r="K231" s="233" t="s">
        <v>204</v>
      </c>
      <c r="L231" s="242"/>
    </row>
    <row r="232" spans="1:12" s="44" customFormat="1">
      <c r="A232" s="106" t="s">
        <v>294</v>
      </c>
      <c r="B232" s="105">
        <v>3331551117</v>
      </c>
      <c r="C232" s="104" t="s">
        <v>34</v>
      </c>
      <c r="D232" s="104">
        <v>24140465</v>
      </c>
      <c r="E232" s="106" t="s">
        <v>158</v>
      </c>
      <c r="F232" s="106" t="s">
        <v>199</v>
      </c>
      <c r="G232" s="209">
        <v>26251.57</v>
      </c>
      <c r="H232" s="106" t="str">
        <f t="shared" si="0"/>
        <v>TRONTON</v>
      </c>
      <c r="I232" s="105">
        <v>1</v>
      </c>
      <c r="J232" s="269">
        <v>1</v>
      </c>
      <c r="K232" s="233" t="s">
        <v>204</v>
      </c>
      <c r="L232" s="242"/>
    </row>
    <row r="233" spans="1:12" s="44" customFormat="1">
      <c r="A233" s="106" t="s">
        <v>294</v>
      </c>
      <c r="B233" s="105">
        <v>3331551121</v>
      </c>
      <c r="C233" s="104" t="s">
        <v>34</v>
      </c>
      <c r="D233" s="104">
        <v>24140466</v>
      </c>
      <c r="E233" s="106" t="s">
        <v>150</v>
      </c>
      <c r="F233" s="106" t="s">
        <v>199</v>
      </c>
      <c r="G233" s="209">
        <v>26319.977999999999</v>
      </c>
      <c r="H233" s="106" t="str">
        <f t="shared" si="0"/>
        <v>TRONTON</v>
      </c>
      <c r="I233" s="105">
        <v>1</v>
      </c>
      <c r="J233" s="269">
        <v>1</v>
      </c>
      <c r="K233" s="233" t="s">
        <v>204</v>
      </c>
      <c r="L233" s="242"/>
    </row>
    <row r="234" spans="1:12" s="44" customFormat="1">
      <c r="A234" s="106" t="s">
        <v>294</v>
      </c>
      <c r="B234" s="105">
        <v>3331551122</v>
      </c>
      <c r="C234" s="104" t="s">
        <v>11</v>
      </c>
      <c r="D234" s="104">
        <v>24140467</v>
      </c>
      <c r="E234" s="106" t="s">
        <v>150</v>
      </c>
      <c r="F234" s="106" t="s">
        <v>199</v>
      </c>
      <c r="G234" s="209">
        <v>26578.017</v>
      </c>
      <c r="H234" s="106" t="str">
        <f t="shared" si="0"/>
        <v>TRONTON</v>
      </c>
      <c r="I234" s="105">
        <v>1</v>
      </c>
      <c r="J234" s="269">
        <v>1</v>
      </c>
      <c r="K234" s="233" t="s">
        <v>204</v>
      </c>
      <c r="L234" s="242"/>
    </row>
    <row r="235" spans="1:12" s="44" customFormat="1">
      <c r="A235" s="82" t="s">
        <v>292</v>
      </c>
      <c r="B235" s="81">
        <v>3331551124</v>
      </c>
      <c r="C235" s="114" t="s">
        <v>11</v>
      </c>
      <c r="D235" s="114">
        <v>24140469</v>
      </c>
      <c r="E235" s="82" t="s">
        <v>150</v>
      </c>
      <c r="F235" s="82" t="s">
        <v>199</v>
      </c>
      <c r="G235" s="191">
        <v>26578.017</v>
      </c>
      <c r="H235" s="82" t="str">
        <f t="shared" si="0"/>
        <v>TRONTON</v>
      </c>
      <c r="I235" s="81">
        <v>1</v>
      </c>
      <c r="J235" s="240">
        <v>1</v>
      </c>
      <c r="K235" s="237" t="s">
        <v>207</v>
      </c>
      <c r="L235" s="242"/>
    </row>
    <row r="236" spans="1:12" s="44" customFormat="1">
      <c r="A236" s="106" t="s">
        <v>294</v>
      </c>
      <c r="B236" s="105">
        <v>3331551126</v>
      </c>
      <c r="C236" s="104" t="s">
        <v>11</v>
      </c>
      <c r="D236" s="104">
        <v>24140470</v>
      </c>
      <c r="E236" s="106" t="s">
        <v>150</v>
      </c>
      <c r="F236" s="106" t="s">
        <v>199</v>
      </c>
      <c r="G236" s="209">
        <v>27008.081999999999</v>
      </c>
      <c r="H236" s="106" t="str">
        <f t="shared" si="0"/>
        <v>TRONTON</v>
      </c>
      <c r="I236" s="105">
        <v>1</v>
      </c>
      <c r="J236" s="269">
        <v>1</v>
      </c>
      <c r="K236" s="233" t="s">
        <v>204</v>
      </c>
      <c r="L236" s="242"/>
    </row>
    <row r="237" spans="1:12" s="44" customFormat="1">
      <c r="A237" s="106" t="s">
        <v>294</v>
      </c>
      <c r="B237" s="105">
        <v>3331551119</v>
      </c>
      <c r="C237" s="104" t="s">
        <v>27</v>
      </c>
      <c r="D237" s="104">
        <v>24140471</v>
      </c>
      <c r="E237" s="106" t="s">
        <v>160</v>
      </c>
      <c r="F237" s="106" t="s">
        <v>199</v>
      </c>
      <c r="G237" s="209">
        <v>25185.21</v>
      </c>
      <c r="H237" s="106" t="str">
        <f t="shared" si="0"/>
        <v>TRONTON</v>
      </c>
      <c r="I237" s="105">
        <v>1</v>
      </c>
      <c r="J237" s="269">
        <v>1</v>
      </c>
      <c r="K237" s="233" t="s">
        <v>204</v>
      </c>
      <c r="L237" s="242"/>
    </row>
    <row r="238" spans="1:12" s="44" customFormat="1">
      <c r="A238" s="106" t="s">
        <v>294</v>
      </c>
      <c r="B238" s="105">
        <v>3331551130</v>
      </c>
      <c r="C238" s="104" t="s">
        <v>11</v>
      </c>
      <c r="D238" s="104">
        <v>24140468</v>
      </c>
      <c r="E238" s="106" t="s">
        <v>296</v>
      </c>
      <c r="F238" s="106" t="s">
        <v>199</v>
      </c>
      <c r="G238" s="209">
        <v>27618.744999999999</v>
      </c>
      <c r="H238" s="106" t="str">
        <f t="shared" si="0"/>
        <v>TRONTON</v>
      </c>
      <c r="I238" s="105">
        <v>1</v>
      </c>
      <c r="J238" s="269">
        <v>1</v>
      </c>
      <c r="K238" s="233" t="s">
        <v>204</v>
      </c>
      <c r="L238" s="242"/>
    </row>
    <row r="239" spans="1:12" s="44" customFormat="1">
      <c r="A239" s="106" t="s">
        <v>294</v>
      </c>
      <c r="B239" s="105">
        <v>3331551161</v>
      </c>
      <c r="C239" s="104" t="s">
        <v>34</v>
      </c>
      <c r="D239" s="104">
        <v>24140472</v>
      </c>
      <c r="E239" s="106" t="s">
        <v>242</v>
      </c>
      <c r="F239" s="106" t="s">
        <v>199</v>
      </c>
      <c r="G239" s="209">
        <v>26745.514999999999</v>
      </c>
      <c r="H239" s="106" t="str">
        <f t="shared" si="0"/>
        <v>TRONTON</v>
      </c>
      <c r="I239" s="105">
        <v>1</v>
      </c>
      <c r="J239" s="269">
        <v>1</v>
      </c>
      <c r="K239" s="233" t="s">
        <v>204</v>
      </c>
      <c r="L239" s="242"/>
    </row>
    <row r="240" spans="1:12" s="44" customFormat="1">
      <c r="A240" s="106" t="s">
        <v>294</v>
      </c>
      <c r="B240" s="105">
        <v>3331551164</v>
      </c>
      <c r="C240" s="104" t="s">
        <v>27</v>
      </c>
      <c r="D240" s="104">
        <v>24140473</v>
      </c>
      <c r="E240" s="106" t="s">
        <v>293</v>
      </c>
      <c r="F240" s="106" t="s">
        <v>199</v>
      </c>
      <c r="G240" s="209">
        <v>26447.143</v>
      </c>
      <c r="H240" s="106" t="str">
        <f t="shared" si="0"/>
        <v>TRONTON</v>
      </c>
      <c r="I240" s="105">
        <v>1</v>
      </c>
      <c r="J240" s="269">
        <v>1</v>
      </c>
      <c r="K240" s="233" t="s">
        <v>204</v>
      </c>
      <c r="L240" s="242"/>
    </row>
    <row r="241" spans="1:19" s="44" customFormat="1">
      <c r="A241" s="106" t="s">
        <v>294</v>
      </c>
      <c r="B241" s="105">
        <v>3331551165</v>
      </c>
      <c r="C241" s="104" t="s">
        <v>34</v>
      </c>
      <c r="D241" s="104">
        <v>24140476</v>
      </c>
      <c r="E241" s="106" t="s">
        <v>293</v>
      </c>
      <c r="F241" s="106" t="s">
        <v>199</v>
      </c>
      <c r="G241" s="209">
        <v>26711.02</v>
      </c>
      <c r="H241" s="106" t="str">
        <f t="shared" si="0"/>
        <v>TRONTON</v>
      </c>
      <c r="I241" s="105">
        <v>1</v>
      </c>
      <c r="J241" s="269">
        <v>1</v>
      </c>
      <c r="K241" s="233" t="s">
        <v>204</v>
      </c>
      <c r="L241" s="242"/>
    </row>
    <row r="242" spans="1:19" s="108" customFormat="1">
      <c r="A242" s="106" t="s">
        <v>294</v>
      </c>
      <c r="B242" s="105">
        <v>3331551166</v>
      </c>
      <c r="C242" s="104" t="s">
        <v>117</v>
      </c>
      <c r="D242" s="104">
        <v>24140475</v>
      </c>
      <c r="E242" s="106" t="s">
        <v>161</v>
      </c>
      <c r="F242" s="106" t="s">
        <v>199</v>
      </c>
      <c r="G242" s="209">
        <v>22539.43</v>
      </c>
      <c r="H242" s="106" t="str">
        <f t="shared" si="0"/>
        <v>TRONTON</v>
      </c>
      <c r="I242" s="105">
        <v>1</v>
      </c>
      <c r="J242" s="269">
        <v>1</v>
      </c>
      <c r="K242" s="233" t="s">
        <v>204</v>
      </c>
      <c r="L242" s="242"/>
      <c r="Q242" s="44"/>
      <c r="R242" s="44"/>
      <c r="S242" s="44"/>
    </row>
    <row r="243" spans="1:19" s="108" customFormat="1">
      <c r="A243" s="106" t="s">
        <v>294</v>
      </c>
      <c r="B243" s="105">
        <v>3331551175</v>
      </c>
      <c r="C243" s="104" t="s">
        <v>206</v>
      </c>
      <c r="D243" s="104">
        <v>24140474</v>
      </c>
      <c r="E243" s="106" t="s">
        <v>297</v>
      </c>
      <c r="F243" s="106" t="s">
        <v>199</v>
      </c>
      <c r="G243" s="209">
        <v>36770.557999999997</v>
      </c>
      <c r="H243" s="106" t="str">
        <f t="shared" si="0"/>
        <v>TRAILER</v>
      </c>
      <c r="I243" s="105">
        <v>1</v>
      </c>
      <c r="J243" s="269">
        <v>1</v>
      </c>
      <c r="K243" s="233" t="s">
        <v>204</v>
      </c>
      <c r="L243" s="242"/>
      <c r="Q243" s="44"/>
      <c r="R243" s="44"/>
      <c r="S243" s="44"/>
    </row>
    <row r="244" spans="1:19" s="44" customFormat="1">
      <c r="A244" s="82" t="s">
        <v>298</v>
      </c>
      <c r="B244" s="81">
        <v>3331551177</v>
      </c>
      <c r="C244" s="114" t="s">
        <v>206</v>
      </c>
      <c r="D244" s="114">
        <v>24140477</v>
      </c>
      <c r="E244" s="82" t="s">
        <v>297</v>
      </c>
      <c r="F244" s="82" t="s">
        <v>199</v>
      </c>
      <c r="G244" s="191">
        <v>36297.485999999997</v>
      </c>
      <c r="H244" s="82" t="str">
        <f>IF(G244&gt;28000,"TRAILER","TRONTON")</f>
        <v>TRAILER</v>
      </c>
      <c r="I244" s="81">
        <v>1</v>
      </c>
      <c r="J244" s="240">
        <v>1</v>
      </c>
      <c r="K244" s="237" t="s">
        <v>207</v>
      </c>
      <c r="L244" s="242"/>
    </row>
    <row r="245" spans="1:19" s="44" customFormat="1">
      <c r="A245" s="82" t="s">
        <v>298</v>
      </c>
      <c r="B245" s="81">
        <v>3331551181</v>
      </c>
      <c r="C245" s="114" t="s">
        <v>206</v>
      </c>
      <c r="D245" s="114">
        <v>24140479</v>
      </c>
      <c r="E245" s="82" t="s">
        <v>297</v>
      </c>
      <c r="F245" s="82" t="s">
        <v>199</v>
      </c>
      <c r="G245" s="191">
        <f>9471.49+25738.51</f>
        <v>35210</v>
      </c>
      <c r="H245" s="82" t="str">
        <f>IF(G245&gt;28000,"TRAILER","TRONTON")</f>
        <v>TRAILER</v>
      </c>
      <c r="I245" s="81">
        <v>1</v>
      </c>
      <c r="J245" s="240">
        <v>1</v>
      </c>
      <c r="K245" s="237" t="s">
        <v>207</v>
      </c>
      <c r="L245" s="242"/>
    </row>
    <row r="246" spans="1:19" s="44" customFormat="1">
      <c r="A246" s="82" t="s">
        <v>256</v>
      </c>
      <c r="B246" s="81">
        <v>3331551215</v>
      </c>
      <c r="C246" s="114" t="s">
        <v>256</v>
      </c>
      <c r="D246" s="114" t="s">
        <v>256</v>
      </c>
      <c r="E246" s="82" t="s">
        <v>256</v>
      </c>
      <c r="F246" s="82" t="s">
        <v>256</v>
      </c>
      <c r="G246" s="191" t="s">
        <v>256</v>
      </c>
      <c r="H246" s="82" t="s">
        <v>256</v>
      </c>
      <c r="I246" s="81" t="s">
        <v>256</v>
      </c>
      <c r="J246" s="240" t="s">
        <v>256</v>
      </c>
      <c r="K246" s="237" t="s">
        <v>256</v>
      </c>
      <c r="L246" s="242"/>
    </row>
    <row r="247" spans="1:19" s="44" customFormat="1">
      <c r="A247" s="82" t="s">
        <v>298</v>
      </c>
      <c r="B247" s="81">
        <v>3331551212</v>
      </c>
      <c r="C247" s="114" t="s">
        <v>206</v>
      </c>
      <c r="D247" s="114">
        <v>24140480</v>
      </c>
      <c r="E247" s="82" t="s">
        <v>297</v>
      </c>
      <c r="F247" s="82" t="s">
        <v>199</v>
      </c>
      <c r="G247" s="191">
        <v>36856.57</v>
      </c>
      <c r="H247" s="82" t="str">
        <f>IF(G247&gt;28000,"TRAILER","TRONTON")</f>
        <v>TRAILER</v>
      </c>
      <c r="I247" s="81">
        <v>1</v>
      </c>
      <c r="J247" s="240">
        <v>1</v>
      </c>
      <c r="K247" s="237" t="s">
        <v>207</v>
      </c>
      <c r="L247" s="242"/>
    </row>
    <row r="248" spans="1:19" s="44" customFormat="1">
      <c r="A248" s="106" t="s">
        <v>294</v>
      </c>
      <c r="B248" s="105">
        <v>3331551239</v>
      </c>
      <c r="C248" s="104" t="s">
        <v>11</v>
      </c>
      <c r="D248" s="104">
        <v>24140483</v>
      </c>
      <c r="E248" s="106" t="s">
        <v>150</v>
      </c>
      <c r="F248" s="106" t="s">
        <v>199</v>
      </c>
      <c r="G248" s="209">
        <v>26405.991000000002</v>
      </c>
      <c r="H248" s="106" t="str">
        <f>IF(G248&gt;28000,"TRAILER","TRONTON")</f>
        <v>TRONTON</v>
      </c>
      <c r="I248" s="105">
        <v>1</v>
      </c>
      <c r="J248" s="269">
        <v>1</v>
      </c>
      <c r="K248" s="233" t="s">
        <v>204</v>
      </c>
      <c r="L248" s="242"/>
    </row>
    <row r="249" spans="1:19" s="44" customFormat="1">
      <c r="A249" s="106" t="s">
        <v>299</v>
      </c>
      <c r="B249" s="105">
        <v>3331550794</v>
      </c>
      <c r="C249" s="104" t="s">
        <v>152</v>
      </c>
      <c r="D249" s="104">
        <v>24140481</v>
      </c>
      <c r="E249" s="106" t="s">
        <v>226</v>
      </c>
      <c r="F249" s="106" t="s">
        <v>203</v>
      </c>
      <c r="G249" s="209">
        <f>1685.051+28945.135</f>
        <v>30630.185999999998</v>
      </c>
      <c r="H249" s="106" t="str">
        <f>IF(G249&gt;28000,"TRAILER","TRONTON")</f>
        <v>TRAILER</v>
      </c>
      <c r="I249" s="105">
        <v>1</v>
      </c>
      <c r="J249" s="269">
        <v>1</v>
      </c>
      <c r="K249" s="233" t="s">
        <v>204</v>
      </c>
      <c r="L249" s="242"/>
    </row>
    <row r="250" spans="1:19" s="44" customFormat="1">
      <c r="A250" s="106" t="s">
        <v>256</v>
      </c>
      <c r="B250" s="105">
        <v>3331550858</v>
      </c>
      <c r="C250" s="104" t="s">
        <v>256</v>
      </c>
      <c r="D250" s="104" t="s">
        <v>256</v>
      </c>
      <c r="E250" s="106" t="s">
        <v>256</v>
      </c>
      <c r="F250" s="106" t="s">
        <v>256</v>
      </c>
      <c r="G250" s="209" t="s">
        <v>256</v>
      </c>
      <c r="H250" s="106" t="s">
        <v>256</v>
      </c>
      <c r="I250" s="105" t="s">
        <v>256</v>
      </c>
      <c r="J250" s="269" t="s">
        <v>256</v>
      </c>
      <c r="K250" s="233" t="s">
        <v>256</v>
      </c>
      <c r="L250" s="242"/>
    </row>
    <row r="251" spans="1:19" s="44" customFormat="1">
      <c r="A251" s="106" t="s">
        <v>294</v>
      </c>
      <c r="B251" s="105">
        <v>3331551190</v>
      </c>
      <c r="C251" s="104" t="s">
        <v>34</v>
      </c>
      <c r="D251" s="104">
        <v>24140484</v>
      </c>
      <c r="E251" s="106" t="s">
        <v>300</v>
      </c>
      <c r="F251" s="106" t="s">
        <v>199</v>
      </c>
      <c r="G251" s="209">
        <v>19195.486000000001</v>
      </c>
      <c r="H251" s="106" t="str">
        <f t="shared" ref="H251:H256" si="1">IF(G251&gt;28000,"TRAILER","TRONTON")</f>
        <v>TRONTON</v>
      </c>
      <c r="I251" s="105">
        <v>1</v>
      </c>
      <c r="J251" s="269">
        <v>1</v>
      </c>
      <c r="K251" s="233" t="s">
        <v>204</v>
      </c>
      <c r="L251" s="242"/>
    </row>
    <row r="252" spans="1:19" s="44" customFormat="1">
      <c r="A252" s="106" t="s">
        <v>294</v>
      </c>
      <c r="B252" s="105">
        <v>3331551258</v>
      </c>
      <c r="C252" s="104" t="s">
        <v>34</v>
      </c>
      <c r="D252" s="104">
        <v>24140485</v>
      </c>
      <c r="E252" s="106" t="s">
        <v>301</v>
      </c>
      <c r="F252" s="106" t="s">
        <v>199</v>
      </c>
      <c r="G252" s="209">
        <v>26852.352999999999</v>
      </c>
      <c r="H252" s="106" t="str">
        <f t="shared" si="1"/>
        <v>TRONTON</v>
      </c>
      <c r="I252" s="105">
        <v>1</v>
      </c>
      <c r="J252" s="269">
        <v>1</v>
      </c>
      <c r="K252" s="233" t="s">
        <v>204</v>
      </c>
      <c r="L252" s="242"/>
    </row>
    <row r="253" spans="1:19" s="44" customFormat="1">
      <c r="A253" s="106" t="s">
        <v>294</v>
      </c>
      <c r="B253" s="105">
        <v>3331551260</v>
      </c>
      <c r="C253" s="104" t="s">
        <v>11</v>
      </c>
      <c r="D253" s="104">
        <v>24140482</v>
      </c>
      <c r="E253" s="106" t="s">
        <v>301</v>
      </c>
      <c r="F253" s="106" t="s">
        <v>199</v>
      </c>
      <c r="G253" s="209">
        <v>25430.432000000001</v>
      </c>
      <c r="H253" s="106" t="str">
        <f t="shared" si="1"/>
        <v>TRONTON</v>
      </c>
      <c r="I253" s="105">
        <v>1</v>
      </c>
      <c r="J253" s="269">
        <v>1</v>
      </c>
      <c r="K253" s="233" t="s">
        <v>204</v>
      </c>
      <c r="L253" s="242"/>
    </row>
    <row r="254" spans="1:19" s="44" customFormat="1">
      <c r="A254" s="106" t="s">
        <v>294</v>
      </c>
      <c r="B254" s="105">
        <v>3331551272</v>
      </c>
      <c r="C254" s="104" t="s">
        <v>152</v>
      </c>
      <c r="D254" s="104">
        <v>24140486</v>
      </c>
      <c r="E254" s="106" t="s">
        <v>302</v>
      </c>
      <c r="F254" s="106" t="s">
        <v>199</v>
      </c>
      <c r="G254" s="209">
        <v>26080.55</v>
      </c>
      <c r="H254" s="106" t="str">
        <f t="shared" si="1"/>
        <v>TRONTON</v>
      </c>
      <c r="I254" s="105">
        <v>1</v>
      </c>
      <c r="J254" s="269">
        <v>1</v>
      </c>
      <c r="K254" s="233" t="s">
        <v>204</v>
      </c>
      <c r="L254" s="242"/>
    </row>
    <row r="255" spans="1:19" s="44" customFormat="1">
      <c r="A255" s="106" t="s">
        <v>294</v>
      </c>
      <c r="B255" s="105">
        <v>3331551276</v>
      </c>
      <c r="C255" s="104" t="s">
        <v>34</v>
      </c>
      <c r="D255" s="104">
        <v>24140487</v>
      </c>
      <c r="E255" s="106" t="s">
        <v>302</v>
      </c>
      <c r="F255" s="106" t="s">
        <v>199</v>
      </c>
      <c r="G255" s="209">
        <v>24498.615000000002</v>
      </c>
      <c r="H255" s="106" t="str">
        <f t="shared" si="1"/>
        <v>TRONTON</v>
      </c>
      <c r="I255" s="105">
        <v>1</v>
      </c>
      <c r="J255" s="269">
        <v>1</v>
      </c>
      <c r="K255" s="233" t="s">
        <v>280</v>
      </c>
      <c r="L255" s="242"/>
    </row>
    <row r="256" spans="1:19" s="44" customFormat="1">
      <c r="A256" s="106" t="s">
        <v>294</v>
      </c>
      <c r="B256" s="105">
        <v>3331551277</v>
      </c>
      <c r="C256" s="1488" t="s">
        <v>287</v>
      </c>
      <c r="D256" s="1488">
        <v>24140488</v>
      </c>
      <c r="E256" s="106" t="s">
        <v>119</v>
      </c>
      <c r="F256" s="106" t="s">
        <v>199</v>
      </c>
      <c r="G256" s="209">
        <f>8902.346+16986.31</f>
        <v>25888.656000000003</v>
      </c>
      <c r="H256" s="106" t="str">
        <f t="shared" si="1"/>
        <v>TRONTON</v>
      </c>
      <c r="I256" s="105">
        <v>1</v>
      </c>
      <c r="J256" s="269">
        <v>1</v>
      </c>
      <c r="K256" s="233" t="s">
        <v>204</v>
      </c>
      <c r="L256" s="242"/>
    </row>
    <row r="257" spans="1:12" s="44" customFormat="1">
      <c r="A257" s="106" t="s">
        <v>294</v>
      </c>
      <c r="B257" s="105">
        <v>3331551281</v>
      </c>
      <c r="C257" s="1490"/>
      <c r="D257" s="1490"/>
      <c r="E257" s="106" t="s">
        <v>256</v>
      </c>
      <c r="F257" s="106" t="s">
        <v>256</v>
      </c>
      <c r="G257" s="209"/>
      <c r="H257" s="106" t="s">
        <v>256</v>
      </c>
      <c r="I257" s="105" t="s">
        <v>256</v>
      </c>
      <c r="J257" s="269" t="s">
        <v>256</v>
      </c>
      <c r="K257" s="233" t="s">
        <v>207</v>
      </c>
      <c r="L257" s="242"/>
    </row>
    <row r="258" spans="1:12" s="44" customFormat="1">
      <c r="A258" s="82" t="s">
        <v>292</v>
      </c>
      <c r="B258" s="81">
        <v>3331551283</v>
      </c>
      <c r="C258" s="114" t="s">
        <v>11</v>
      </c>
      <c r="D258" s="114">
        <v>24140489</v>
      </c>
      <c r="E258" s="82" t="s">
        <v>119</v>
      </c>
      <c r="F258" s="82" t="s">
        <v>199</v>
      </c>
      <c r="G258" s="191">
        <v>24431.213</v>
      </c>
      <c r="H258" s="82" t="str">
        <f t="shared" ref="H258:H266" si="2">IF(G258&gt;28000,"TRAILER","TRONTON")</f>
        <v>TRONTON</v>
      </c>
      <c r="I258" s="81">
        <v>1</v>
      </c>
      <c r="J258" s="240">
        <v>0</v>
      </c>
      <c r="K258" s="237" t="s">
        <v>207</v>
      </c>
      <c r="L258" s="242"/>
    </row>
    <row r="259" spans="1:12" s="44" customFormat="1">
      <c r="A259" s="106" t="s">
        <v>299</v>
      </c>
      <c r="B259" s="105">
        <v>3331551286</v>
      </c>
      <c r="C259" s="104" t="s">
        <v>11</v>
      </c>
      <c r="D259" s="104">
        <v>24140490</v>
      </c>
      <c r="E259" s="106" t="s">
        <v>173</v>
      </c>
      <c r="F259" s="106" t="s">
        <v>205</v>
      </c>
      <c r="G259" s="209">
        <v>36678.981</v>
      </c>
      <c r="H259" s="106" t="str">
        <f t="shared" si="2"/>
        <v>TRAILER</v>
      </c>
      <c r="I259" s="105">
        <v>1</v>
      </c>
      <c r="J259" s="269">
        <v>1</v>
      </c>
      <c r="K259" s="233" t="s">
        <v>204</v>
      </c>
      <c r="L259" s="242"/>
    </row>
    <row r="260" spans="1:12" s="44" customFormat="1">
      <c r="A260" s="106" t="s">
        <v>292</v>
      </c>
      <c r="B260" s="105">
        <v>3331551327</v>
      </c>
      <c r="C260" s="104" t="s">
        <v>27</v>
      </c>
      <c r="D260" s="104">
        <v>24140493</v>
      </c>
      <c r="E260" s="106" t="s">
        <v>254</v>
      </c>
      <c r="F260" s="106" t="s">
        <v>199</v>
      </c>
      <c r="G260" s="209">
        <v>26852.344000000001</v>
      </c>
      <c r="H260" s="106" t="str">
        <f t="shared" si="2"/>
        <v>TRONTON</v>
      </c>
      <c r="I260" s="105">
        <v>1</v>
      </c>
      <c r="J260" s="269">
        <v>1</v>
      </c>
      <c r="K260" s="233" t="s">
        <v>204</v>
      </c>
      <c r="L260" s="242"/>
    </row>
    <row r="261" spans="1:12" s="44" customFormat="1">
      <c r="A261" s="82" t="s">
        <v>292</v>
      </c>
      <c r="B261" s="81">
        <v>3331551329</v>
      </c>
      <c r="C261" s="114"/>
      <c r="D261" s="114">
        <v>24140494</v>
      </c>
      <c r="E261" s="82" t="s">
        <v>254</v>
      </c>
      <c r="F261" s="82" t="s">
        <v>199</v>
      </c>
      <c r="G261" s="191">
        <v>26852.344000000001</v>
      </c>
      <c r="H261" s="82" t="str">
        <f t="shared" si="2"/>
        <v>TRONTON</v>
      </c>
      <c r="I261" s="81">
        <v>1</v>
      </c>
      <c r="J261" s="240">
        <v>0</v>
      </c>
      <c r="K261" s="237" t="s">
        <v>207</v>
      </c>
      <c r="L261" s="242"/>
    </row>
    <row r="262" spans="1:12" s="44" customFormat="1">
      <c r="A262" s="82" t="s">
        <v>299</v>
      </c>
      <c r="B262" s="81">
        <v>3331551328</v>
      </c>
      <c r="C262" s="114"/>
      <c r="D262" s="114">
        <v>24140497</v>
      </c>
      <c r="E262" s="82" t="s">
        <v>303</v>
      </c>
      <c r="F262" s="82" t="s">
        <v>205</v>
      </c>
      <c r="G262" s="191">
        <v>39334.6</v>
      </c>
      <c r="H262" s="82" t="str">
        <f t="shared" si="2"/>
        <v>TRAILER</v>
      </c>
      <c r="I262" s="81">
        <v>1</v>
      </c>
      <c r="J262" s="240">
        <v>0</v>
      </c>
      <c r="K262" s="237" t="s">
        <v>207</v>
      </c>
      <c r="L262" s="242"/>
    </row>
    <row r="263" spans="1:12" s="44" customFormat="1">
      <c r="A263" s="106" t="s">
        <v>299</v>
      </c>
      <c r="B263" s="105">
        <v>3331551334</v>
      </c>
      <c r="C263" s="104" t="s">
        <v>11</v>
      </c>
      <c r="D263" s="104">
        <v>24140495</v>
      </c>
      <c r="E263" s="106" t="s">
        <v>303</v>
      </c>
      <c r="F263" s="106" t="s">
        <v>205</v>
      </c>
      <c r="G263" s="209">
        <v>42712.245000000003</v>
      </c>
      <c r="H263" s="106" t="str">
        <f t="shared" si="2"/>
        <v>TRAILER</v>
      </c>
      <c r="I263" s="105">
        <v>1</v>
      </c>
      <c r="J263" s="269">
        <v>1</v>
      </c>
      <c r="K263" s="233" t="s">
        <v>204</v>
      </c>
      <c r="L263" s="242"/>
    </row>
    <row r="264" spans="1:12" s="44" customFormat="1">
      <c r="A264" s="82" t="s">
        <v>299</v>
      </c>
      <c r="B264" s="81">
        <v>3331551336</v>
      </c>
      <c r="C264" s="114"/>
      <c r="D264" s="114">
        <v>24140496</v>
      </c>
      <c r="E264" s="82" t="s">
        <v>303</v>
      </c>
      <c r="F264" s="82" t="s">
        <v>205</v>
      </c>
      <c r="G264" s="191">
        <v>39334.6</v>
      </c>
      <c r="H264" s="82" t="str">
        <f t="shared" si="2"/>
        <v>TRAILER</v>
      </c>
      <c r="I264" s="81">
        <v>1</v>
      </c>
      <c r="J264" s="240">
        <v>0</v>
      </c>
      <c r="K264" s="237" t="s">
        <v>207</v>
      </c>
      <c r="L264" s="242"/>
    </row>
    <row r="265" spans="1:12" s="44" customFormat="1">
      <c r="A265" s="82" t="s">
        <v>299</v>
      </c>
      <c r="B265" s="81">
        <v>3331551337</v>
      </c>
      <c r="C265" s="114" t="s">
        <v>27</v>
      </c>
      <c r="D265" s="114">
        <v>24140496</v>
      </c>
      <c r="E265" s="82" t="s">
        <v>303</v>
      </c>
      <c r="F265" s="82" t="s">
        <v>205</v>
      </c>
      <c r="G265" s="191">
        <v>43909.887999999999</v>
      </c>
      <c r="H265" s="82" t="str">
        <f t="shared" si="2"/>
        <v>TRAILER</v>
      </c>
      <c r="I265" s="81">
        <v>1</v>
      </c>
      <c r="J265" s="240">
        <v>1</v>
      </c>
      <c r="K265" s="237" t="s">
        <v>207</v>
      </c>
      <c r="L265" s="242"/>
    </row>
    <row r="266" spans="1:12" s="44" customFormat="1">
      <c r="A266" s="82" t="s">
        <v>299</v>
      </c>
      <c r="B266" s="81">
        <v>3331551338</v>
      </c>
      <c r="C266" s="114"/>
      <c r="D266" s="114"/>
      <c r="E266" s="82" t="s">
        <v>303</v>
      </c>
      <c r="F266" s="82" t="s">
        <v>205</v>
      </c>
      <c r="G266" s="191">
        <v>41301.33</v>
      </c>
      <c r="H266" s="82" t="str">
        <f t="shared" si="2"/>
        <v>TRAILER</v>
      </c>
      <c r="I266" s="81">
        <v>1</v>
      </c>
      <c r="J266" s="240">
        <v>0</v>
      </c>
      <c r="K266" s="237" t="s">
        <v>207</v>
      </c>
      <c r="L266" s="242"/>
    </row>
    <row r="267" spans="1:12" s="44" customFormat="1">
      <c r="A267" s="81"/>
      <c r="B267" s="81"/>
      <c r="C267" s="80"/>
      <c r="D267" s="80"/>
      <c r="E267" s="81"/>
      <c r="F267" s="81"/>
      <c r="G267" s="191"/>
      <c r="H267" s="81"/>
      <c r="I267" s="81"/>
      <c r="J267" s="240"/>
      <c r="K267" s="337"/>
    </row>
    <row r="268" spans="1:12" s="44" customFormat="1">
      <c r="A268" s="81"/>
      <c r="B268" s="81"/>
      <c r="C268" s="80"/>
      <c r="D268" s="80"/>
      <c r="E268" s="81"/>
      <c r="F268" s="81"/>
      <c r="G268" s="191"/>
      <c r="H268" s="81"/>
      <c r="I268" s="81"/>
      <c r="J268" s="240"/>
      <c r="K268" s="337"/>
    </row>
    <row r="269" spans="1:12" s="44" customFormat="1">
      <c r="A269" s="81"/>
      <c r="B269" s="81"/>
      <c r="C269" s="80"/>
      <c r="D269" s="80"/>
      <c r="E269" s="81"/>
      <c r="F269" s="81"/>
      <c r="G269" s="191"/>
      <c r="H269" s="81"/>
      <c r="I269" s="81"/>
      <c r="J269" s="240"/>
      <c r="K269" s="337"/>
    </row>
    <row r="270" spans="1:12" s="44" customFormat="1">
      <c r="A270" s="81"/>
      <c r="B270" s="81"/>
      <c r="C270" s="80"/>
      <c r="D270" s="80"/>
      <c r="E270" s="81"/>
      <c r="F270" s="81"/>
      <c r="G270" s="191"/>
      <c r="H270" s="81"/>
      <c r="I270" s="81"/>
      <c r="J270" s="240"/>
      <c r="K270" s="337"/>
    </row>
    <row r="271" spans="1:12" s="44" customFormat="1">
      <c r="A271" s="81"/>
      <c r="B271" s="81"/>
      <c r="C271" s="80"/>
      <c r="D271" s="80"/>
      <c r="E271" s="81"/>
      <c r="F271" s="81"/>
      <c r="G271" s="191"/>
      <c r="H271" s="81"/>
      <c r="I271" s="81"/>
      <c r="J271" s="240"/>
      <c r="K271" s="337"/>
    </row>
    <row r="272" spans="1:12" s="44" customFormat="1">
      <c r="A272" s="81"/>
      <c r="B272" s="81"/>
      <c r="C272" s="80"/>
      <c r="D272" s="80"/>
      <c r="E272" s="81"/>
      <c r="F272" s="81"/>
      <c r="G272" s="191"/>
      <c r="H272" s="81"/>
      <c r="I272" s="81"/>
      <c r="J272" s="240"/>
      <c r="K272" s="337"/>
    </row>
    <row r="273" spans="1:16" s="44" customFormat="1">
      <c r="A273" s="81"/>
      <c r="B273" s="81"/>
      <c r="C273" s="80"/>
      <c r="D273" s="80"/>
      <c r="E273" s="81"/>
      <c r="F273" s="81"/>
      <c r="G273" s="191"/>
      <c r="H273" s="81"/>
      <c r="I273" s="81"/>
      <c r="J273" s="240"/>
      <c r="K273" s="337"/>
    </row>
    <row r="274" spans="1:16" s="44" customFormat="1">
      <c r="A274" s="81"/>
      <c r="B274" s="81"/>
      <c r="C274" s="80"/>
      <c r="D274" s="80"/>
      <c r="E274" s="81"/>
      <c r="F274" s="81"/>
      <c r="G274" s="191"/>
      <c r="H274" s="81"/>
      <c r="I274" s="81"/>
      <c r="J274" s="240"/>
      <c r="K274" s="337"/>
    </row>
    <row r="275" spans="1:16" s="44" customFormat="1">
      <c r="A275" s="81"/>
      <c r="B275" s="81"/>
      <c r="C275" s="80"/>
      <c r="D275" s="80"/>
      <c r="E275" s="81"/>
      <c r="F275" s="81"/>
      <c r="G275" s="191"/>
      <c r="H275" s="81"/>
      <c r="I275" s="81"/>
      <c r="J275" s="240"/>
      <c r="K275" s="337"/>
    </row>
    <row r="276" spans="1:16" s="44" customFormat="1">
      <c r="A276" s="81"/>
      <c r="B276" s="81"/>
      <c r="C276" s="80"/>
      <c r="D276" s="80"/>
      <c r="E276" s="81"/>
      <c r="F276" s="81"/>
      <c r="G276" s="191"/>
      <c r="H276" s="81"/>
      <c r="I276" s="81"/>
      <c r="J276" s="240"/>
      <c r="K276" s="337"/>
    </row>
    <row r="277" spans="1:16" s="44" customFormat="1">
      <c r="A277" s="82"/>
      <c r="B277" s="81"/>
      <c r="C277" s="114"/>
      <c r="D277" s="114"/>
      <c r="E277" s="82"/>
      <c r="F277" s="82"/>
      <c r="G277" s="191"/>
      <c r="H277" s="82"/>
      <c r="I277" s="81"/>
      <c r="J277" s="240"/>
      <c r="K277" s="237"/>
      <c r="L277" s="242"/>
    </row>
    <row r="278" spans="1:16" s="44" customFormat="1">
      <c r="A278" s="82"/>
      <c r="B278" s="81"/>
      <c r="C278" s="114"/>
      <c r="D278" s="114"/>
      <c r="E278" s="82"/>
      <c r="F278" s="82"/>
      <c r="G278" s="191"/>
      <c r="H278" s="82"/>
      <c r="I278" s="81"/>
      <c r="J278" s="240"/>
      <c r="K278" s="237"/>
      <c r="L278" s="242"/>
    </row>
    <row r="279" spans="1:16" s="44" customFormat="1">
      <c r="A279" s="82"/>
      <c r="B279" s="81"/>
      <c r="C279" s="114"/>
      <c r="D279" s="114"/>
      <c r="E279" s="82"/>
      <c r="F279" s="82"/>
      <c r="G279" s="191"/>
      <c r="H279" s="82"/>
      <c r="I279" s="81"/>
      <c r="J279" s="240"/>
      <c r="K279" s="237"/>
      <c r="L279" s="242"/>
    </row>
    <row r="280" spans="1:16" s="44" customFormat="1">
      <c r="A280" s="81"/>
      <c r="B280" s="81"/>
      <c r="C280" s="114"/>
      <c r="D280" s="114"/>
      <c r="E280" s="364"/>
      <c r="F280" s="82"/>
      <c r="G280" s="191"/>
      <c r="H280" s="82"/>
      <c r="I280" s="81"/>
      <c r="J280" s="240"/>
      <c r="K280" s="237"/>
      <c r="L280" s="242"/>
    </row>
    <row r="281" spans="1:16">
      <c r="A281" s="300"/>
      <c r="B281" s="300"/>
      <c r="C281" s="297"/>
      <c r="D281" s="297"/>
      <c r="E281" s="371"/>
      <c r="F281" s="301"/>
      <c r="G281" s="302"/>
      <c r="H281" s="301"/>
      <c r="I281" s="300"/>
      <c r="J281" s="300"/>
      <c r="K281" s="303"/>
      <c r="L281" s="303"/>
      <c r="P281" s="44"/>
    </row>
    <row r="283" spans="1:16">
      <c r="B283" s="236" t="s">
        <v>244</v>
      </c>
    </row>
    <row r="284" spans="1:16" ht="25.8">
      <c r="A284" s="44"/>
      <c r="B284" s="251" t="s">
        <v>304</v>
      </c>
      <c r="F284" s="1506" t="s">
        <v>305</v>
      </c>
      <c r="G284" s="1507"/>
      <c r="I284" s="373"/>
    </row>
    <row r="285" spans="1:16" ht="23.4">
      <c r="B285" s="251"/>
      <c r="F285" s="372" t="s">
        <v>197</v>
      </c>
      <c r="G285" s="381">
        <f ca="1">SUMIF(H277:H1378, "TRAILER", I277:I1377)</f>
        <v>0</v>
      </c>
    </row>
    <row r="286" spans="1:16" ht="23.4">
      <c r="F286" s="379" t="s">
        <v>200</v>
      </c>
      <c r="G286" s="381">
        <f ca="1">SUMIF(H277:H1379,"TRONTON",I277:I1378)</f>
        <v>0</v>
      </c>
    </row>
    <row r="287" spans="1:16" ht="23.4">
      <c r="F287" s="377" t="s">
        <v>266</v>
      </c>
      <c r="G287" s="382">
        <f ca="1">SUM(G285:G286)</f>
        <v>0</v>
      </c>
    </row>
    <row r="288" spans="1:16" ht="36">
      <c r="F288" s="404" t="s">
        <v>306</v>
      </c>
      <c r="G288" s="382">
        <v>11</v>
      </c>
    </row>
  </sheetData>
  <autoFilter ref="A11:L266" xr:uid="{0F56831D-31D8-433F-8A2D-7AD2DCA7D90A}">
    <filterColumn colId="0">
      <filters>
        <filter val="11.09.2025"/>
        <filter val="11.09.2025 CR OVER"/>
        <filter val="11.09.2025 NEXT DAY"/>
      </filters>
    </filterColumn>
    <filterColumn colId="1">
      <colorFilter dxfId="821"/>
    </filterColumn>
  </autoFilter>
  <mergeCells count="34">
    <mergeCell ref="K49:K50"/>
    <mergeCell ref="E2:F2"/>
    <mergeCell ref="C49:C50"/>
    <mergeCell ref="D49:D50"/>
    <mergeCell ref="E49:E50"/>
    <mergeCell ref="F49:F50"/>
    <mergeCell ref="C77:C78"/>
    <mergeCell ref="D77:D78"/>
    <mergeCell ref="C86:C87"/>
    <mergeCell ref="D86:D87"/>
    <mergeCell ref="C99:C100"/>
    <mergeCell ref="D99:D100"/>
    <mergeCell ref="C168:C170"/>
    <mergeCell ref="D168:D170"/>
    <mergeCell ref="C188:C189"/>
    <mergeCell ref="D188:D189"/>
    <mergeCell ref="C193:C194"/>
    <mergeCell ref="D193:D194"/>
    <mergeCell ref="C113:C114"/>
    <mergeCell ref="C139:C140"/>
    <mergeCell ref="D139:D140"/>
    <mergeCell ref="C159:C160"/>
    <mergeCell ref="D159:D160"/>
    <mergeCell ref="E193:E194"/>
    <mergeCell ref="F284:G284"/>
    <mergeCell ref="C212:C213"/>
    <mergeCell ref="D212:D213"/>
    <mergeCell ref="C215:C216"/>
    <mergeCell ref="D215:D216"/>
    <mergeCell ref="E215:E216"/>
    <mergeCell ref="C256:C257"/>
    <mergeCell ref="D256:D257"/>
    <mergeCell ref="C196:C197"/>
    <mergeCell ref="D196:D1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831D-31D8-433F-8A2D-7AD2DCA7D90A}">
  <dimension ref="A1:S107"/>
  <sheetViews>
    <sheetView showGridLines="0" topLeftCell="E86" zoomScale="85" zoomScaleNormal="85" workbookViewId="0">
      <selection activeCell="L18" sqref="L1:M1048576"/>
    </sheetView>
  </sheetViews>
  <sheetFormatPr defaultColWidth="9.109375" defaultRowHeight="14.4"/>
  <cols>
    <col min="1" max="1" width="37.109375" customWidth="1"/>
    <col min="2" max="2" width="25.33203125" customWidth="1"/>
    <col min="3" max="3" width="17" customWidth="1"/>
    <col min="4" max="4" width="26.88671875" customWidth="1"/>
    <col min="5" max="5" width="45.5546875" style="358" bestFit="1" customWidth="1"/>
    <col min="6" max="6" width="29" customWidth="1"/>
    <col min="7" max="7" width="17.109375" customWidth="1"/>
    <col min="8" max="8" width="29.44140625" customWidth="1"/>
    <col min="9" max="9" width="20.109375" customWidth="1"/>
    <col min="10" max="10" width="23.33203125" bestFit="1" customWidth="1"/>
    <col min="11" max="11" width="17" customWidth="1"/>
    <col min="12" max="12" width="10.5546875" customWidth="1"/>
    <col min="13" max="13" width="6.5546875" customWidth="1"/>
    <col min="16" max="16" width="10.6640625" hidden="1" customWidth="1"/>
    <col min="17" max="17" width="11.88671875" hidden="1" customWidth="1"/>
    <col min="18" max="18" width="9.109375" hidden="1" customWidth="1"/>
    <col min="19" max="19" width="9.109375" customWidth="1"/>
  </cols>
  <sheetData>
    <row r="1" spans="1:19" ht="31.5" customHeight="1">
      <c r="A1" s="1513" t="s">
        <v>307</v>
      </c>
      <c r="B1" s="1515">
        <f ca="1">TODAY()</f>
        <v>45977</v>
      </c>
      <c r="D1" s="419" t="s">
        <v>308</v>
      </c>
      <c r="E1" s="1511" t="s">
        <v>309</v>
      </c>
      <c r="F1" s="1512"/>
      <c r="H1" s="421" t="s">
        <v>308</v>
      </c>
      <c r="I1" s="1509" t="s">
        <v>310</v>
      </c>
      <c r="J1" s="1510"/>
      <c r="K1" s="444" t="s">
        <v>311</v>
      </c>
      <c r="P1" s="276" t="s">
        <v>27</v>
      </c>
      <c r="Q1" s="294">
        <f>COUNTIF($C$20:$C$1019,"SILOG")</f>
        <v>16</v>
      </c>
      <c r="R1" s="254" t="str">
        <f>IFERROR(VLOOKUP(J1,'IN OUT'!L:M,2,FALSE), "BELUM MASUK")</f>
        <v>BELUM MASUK</v>
      </c>
    </row>
    <row r="2" spans="1:19" ht="30" customHeight="1">
      <c r="A2" s="1514"/>
      <c r="B2" s="1516"/>
      <c r="D2" s="419" t="s">
        <v>247</v>
      </c>
      <c r="E2" s="419" t="s">
        <v>195</v>
      </c>
      <c r="F2" s="322" t="s">
        <v>196</v>
      </c>
      <c r="H2" s="426" t="s">
        <v>247</v>
      </c>
      <c r="I2" s="417" t="s">
        <v>195</v>
      </c>
      <c r="J2" s="418" t="s">
        <v>196</v>
      </c>
      <c r="P2" s="276" t="s">
        <v>175</v>
      </c>
      <c r="Q2" s="294">
        <f>COUNTIF($C$20:$C$1019,"SIBA")</f>
        <v>0</v>
      </c>
    </row>
    <row r="3" spans="1:19" ht="36.75" customHeight="1">
      <c r="A3" s="433" t="s">
        <v>307</v>
      </c>
      <c r="B3" s="427">
        <f>SUM(I20:I1133)</f>
        <v>71</v>
      </c>
      <c r="C3" s="405"/>
      <c r="D3" s="353" t="s">
        <v>199</v>
      </c>
      <c r="E3" s="420">
        <f>COUNTIF(F20:F1039,"JABODETABEK")</f>
        <v>31</v>
      </c>
      <c r="F3" s="318">
        <f>SUMIF(F20:F1039, "JABODETABEK", G20:G1039)</f>
        <v>814089.505</v>
      </c>
      <c r="G3" s="343"/>
      <c r="H3" s="424" t="s">
        <v>199</v>
      </c>
      <c r="I3" s="425" cm="1">
        <f t="array" ref="I3">SUMPRODUCT(--(RIGHT(F30:F1036,20)="JABODETABEK NEXT DAY"))</f>
        <v>18</v>
      </c>
      <c r="J3" s="423">
        <f>SUMIF(F32:F1039, "JABODETABEK NEXT DAY", G32:G1039)</f>
        <v>467459.55099999998</v>
      </c>
      <c r="P3" s="276" t="s">
        <v>11</v>
      </c>
      <c r="Q3" s="294">
        <f>COUNTIF($C$20:$C$1019,"YUSHAR")</f>
        <v>6</v>
      </c>
    </row>
    <row r="4" spans="1:19" ht="29.25" customHeight="1">
      <c r="A4" s="432" t="s">
        <v>201</v>
      </c>
      <c r="B4" s="434">
        <f>SUM(J20:J1167)</f>
        <v>70</v>
      </c>
      <c r="D4" s="353" t="s">
        <v>203</v>
      </c>
      <c r="E4" s="245">
        <f>COUNTIF(F20:F1040, "JAWA TENGAH")</f>
        <v>0</v>
      </c>
      <c r="F4" s="318">
        <f>SUMIF(F20:F1040, "JAWA TENGAH", G20:G1040)</f>
        <v>0</v>
      </c>
      <c r="H4" s="354" t="s">
        <v>203</v>
      </c>
      <c r="I4" s="425" cm="1">
        <f t="array" ref="I4">SUMPRODUCT(--(RIGHT(F31:F1037,20)="JAWA TENGAH NEXT DAY"))</f>
        <v>1</v>
      </c>
      <c r="J4" s="423">
        <f>SUMIF(F32:F1040, "JAWA TENGAH NEXT DAY", G32:G1040)</f>
        <v>24487.83</v>
      </c>
      <c r="P4" s="276" t="s">
        <v>206</v>
      </c>
      <c r="Q4" s="294">
        <f>COUNTIF($C$20:$C$1019,"BRJ")</f>
        <v>3</v>
      </c>
    </row>
    <row r="5" spans="1:19" ht="33.6">
      <c r="A5" s="351" t="s">
        <v>265</v>
      </c>
      <c r="B5" s="315">
        <f>COUNTIF(K20:K1016,"MASUK")</f>
        <v>76</v>
      </c>
      <c r="C5" s="400"/>
      <c r="D5" s="439" t="s">
        <v>205</v>
      </c>
      <c r="E5" s="247">
        <f>COUNTIF(F20:F1041, "JAWA TIMUR")</f>
        <v>6</v>
      </c>
      <c r="F5" s="318">
        <f>SUMIF(F20:F1041, "JAWA TIMUR", G20:G1041)</f>
        <v>235419.41800000001</v>
      </c>
      <c r="H5" s="353" t="s">
        <v>205</v>
      </c>
      <c r="I5" s="245" cm="1">
        <f t="array" ref="I5">SUMPRODUCT(--(RIGHT(F32:F1038,20)="JAWA TIMUR NEXT DAY"))</f>
        <v>11</v>
      </c>
      <c r="J5" s="423">
        <f>SUMIF(F32:F1041, "JAWA TIMUR NEXT DAY", G32:G1041)</f>
        <v>432320.15000000008</v>
      </c>
      <c r="P5" s="282" t="s">
        <v>34</v>
      </c>
      <c r="Q5" s="294">
        <f>COUNTIF($C$20:$C$1019,"ALIEF")</f>
        <v>15</v>
      </c>
    </row>
    <row r="6" spans="1:19" ht="33.6">
      <c r="A6" s="351" t="s">
        <v>207</v>
      </c>
      <c r="B6" s="315">
        <f>COUNTIF(K20:K1016,"BELUM MASUK")</f>
        <v>0</v>
      </c>
      <c r="C6" s="396"/>
      <c r="D6" s="424" t="s">
        <v>312</v>
      </c>
      <c r="E6" s="438">
        <f>SUM(E3:E5)</f>
        <v>37</v>
      </c>
      <c r="F6" s="244">
        <f>SUM(F3:F5)</f>
        <v>1049508.923</v>
      </c>
      <c r="H6" s="353" t="s">
        <v>313</v>
      </c>
      <c r="I6" s="431">
        <f>SUM(I3:I5)</f>
        <v>30</v>
      </c>
      <c r="J6" s="244">
        <f>SUM(J3:J5)</f>
        <v>924267.53100000008</v>
      </c>
      <c r="K6" s="398"/>
      <c r="L6" s="397"/>
      <c r="P6" s="293" t="s">
        <v>152</v>
      </c>
      <c r="Q6" s="294">
        <f>COUNTIF($C$20:$C$1019,"ELANG")</f>
        <v>1</v>
      </c>
    </row>
    <row r="7" spans="1:19" ht="27" customHeight="1">
      <c r="A7" s="352" t="s">
        <v>249</v>
      </c>
      <c r="B7" s="314">
        <f>(B3-B4)-I10</f>
        <v>-3</v>
      </c>
      <c r="C7" s="251"/>
      <c r="E7" s="361"/>
      <c r="F7" s="327"/>
      <c r="G7" s="253"/>
      <c r="K7" s="349"/>
      <c r="L7" s="397"/>
      <c r="M7" s="308"/>
      <c r="N7" s="307"/>
      <c r="P7" s="293" t="s">
        <v>58</v>
      </c>
      <c r="Q7" s="294">
        <f>COUNTIF($C$20:$C$1019,"CGL")</f>
        <v>0</v>
      </c>
    </row>
    <row r="8" spans="1:19" ht="27" customHeight="1">
      <c r="A8" s="295"/>
      <c r="B8" s="296"/>
      <c r="D8" s="403" t="s">
        <v>308</v>
      </c>
      <c r="E8" s="1509" t="s">
        <v>314</v>
      </c>
      <c r="F8" s="1510"/>
      <c r="G8" s="253"/>
      <c r="H8" s="421" t="s">
        <v>308</v>
      </c>
      <c r="I8" s="1509" t="s">
        <v>315</v>
      </c>
      <c r="J8" s="1510"/>
      <c r="K8" s="307"/>
      <c r="L8" s="195"/>
      <c r="P8" t="s">
        <v>192</v>
      </c>
      <c r="Q8" s="275">
        <f>SUM(Q1:Q7)</f>
        <v>41</v>
      </c>
    </row>
    <row r="9" spans="1:19" ht="27" customHeight="1">
      <c r="A9" s="1495" t="s">
        <v>316</v>
      </c>
      <c r="B9" s="1496"/>
      <c r="D9" s="322" t="s">
        <v>247</v>
      </c>
      <c r="E9" s="417" t="s">
        <v>195</v>
      </c>
      <c r="F9" s="418" t="s">
        <v>196</v>
      </c>
      <c r="G9" s="253"/>
      <c r="H9" s="426" t="s">
        <v>247</v>
      </c>
      <c r="I9" s="417" t="s">
        <v>195</v>
      </c>
      <c r="J9" s="441" t="s">
        <v>196</v>
      </c>
      <c r="K9" s="307"/>
      <c r="L9" s="195"/>
      <c r="Q9" s="275"/>
    </row>
    <row r="10" spans="1:19" ht="27" customHeight="1">
      <c r="A10" s="377" t="s">
        <v>197</v>
      </c>
      <c r="B10" s="378">
        <f ca="1">SUMIF($H$20:$H$1039, "TRAILER", $I$20:$I$1038)</f>
        <v>21</v>
      </c>
      <c r="D10" s="353" t="s">
        <v>199</v>
      </c>
      <c r="E10" s="243">
        <f>COUNTIF(F82:F1046,"JABODETABEK")</f>
        <v>7</v>
      </c>
      <c r="F10" s="318">
        <f>SUMIF(F83:F1046,"JABODETABEK", G83:G1046)</f>
        <v>155115.595</v>
      </c>
      <c r="G10" s="253"/>
      <c r="H10" s="440" t="s">
        <v>317</v>
      </c>
      <c r="I10" s="249">
        <f>COUNTIF(F20:F1041,"INTERISLAND")</f>
        <v>4</v>
      </c>
      <c r="J10" s="244">
        <f>SUMIF(F20:F1041,"INTERISLAND ",G20:G1041)</f>
        <v>0</v>
      </c>
      <c r="K10" s="307"/>
      <c r="L10" s="195"/>
      <c r="Q10" s="275"/>
    </row>
    <row r="11" spans="1:19" ht="27" customHeight="1">
      <c r="A11" s="430" t="s">
        <v>200</v>
      </c>
      <c r="B11" s="380">
        <f ca="1">SUMIF($H$20:$H$1040, "TRONTON", $I$20:$I$1039)</f>
        <v>46</v>
      </c>
      <c r="D11" s="353" t="s">
        <v>203</v>
      </c>
      <c r="E11" s="243">
        <f>COUNTIF(F83:F1047,"JAWA TENGAH")</f>
        <v>0</v>
      </c>
      <c r="F11" s="318">
        <f>SUMIF(F83:F1047, "JAWA TENGAH", G83:G1047)</f>
        <v>0</v>
      </c>
      <c r="G11" s="253"/>
      <c r="H11" s="44"/>
      <c r="I11" s="442"/>
      <c r="J11" s="443"/>
      <c r="K11" s="307"/>
      <c r="L11" s="195"/>
      <c r="Q11" s="275"/>
    </row>
    <row r="12" spans="1:19" ht="27" customHeight="1">
      <c r="A12" s="430" t="s">
        <v>318</v>
      </c>
      <c r="B12" s="380">
        <v>4</v>
      </c>
      <c r="D12" s="354" t="s">
        <v>319</v>
      </c>
      <c r="E12" s="243">
        <f>COUNTIF(F83:F1048, "JAWA TIMUR NEXT DAY")</f>
        <v>2</v>
      </c>
      <c r="F12" s="318">
        <f>SUMIF(F83:F1048, "JAWA TIMUR NEXT DAY", G83:G1048)</f>
        <v>71699.366000000009</v>
      </c>
      <c r="G12" s="253"/>
      <c r="H12" s="1517" t="s">
        <v>320</v>
      </c>
      <c r="I12" s="1518"/>
      <c r="J12" s="1519"/>
      <c r="K12" s="307"/>
      <c r="L12" s="195"/>
      <c r="Q12" s="275"/>
      <c r="S12">
        <f>29+29+4</f>
        <v>62</v>
      </c>
    </row>
    <row r="13" spans="1:19" ht="27" customHeight="1">
      <c r="A13" s="428" t="s">
        <v>321</v>
      </c>
      <c r="B13" s="429">
        <f>$G$20+$G$25+$G$26+$G$27</f>
        <v>104713.91799999999</v>
      </c>
      <c r="D13" s="353" t="s">
        <v>322</v>
      </c>
      <c r="E13" s="249">
        <f>SUM(E10:E12)</f>
        <v>9</v>
      </c>
      <c r="F13" s="244">
        <f>SUM(F10:F12)</f>
        <v>226814.96100000001</v>
      </c>
      <c r="G13" s="253"/>
      <c r="H13" s="426" t="s">
        <v>247</v>
      </c>
      <c r="I13" s="417" t="s">
        <v>323</v>
      </c>
      <c r="J13" s="441" t="s">
        <v>324</v>
      </c>
      <c r="K13" s="307"/>
      <c r="L13" s="195"/>
      <c r="Q13" s="275"/>
    </row>
    <row r="14" spans="1:19" ht="27" customHeight="1">
      <c r="A14" s="428" t="s">
        <v>325</v>
      </c>
      <c r="B14" s="429">
        <v>4</v>
      </c>
      <c r="E14" s="361"/>
      <c r="F14" s="327"/>
      <c r="G14" s="253"/>
      <c r="H14" s="440" t="s">
        <v>326</v>
      </c>
      <c r="I14" s="249">
        <f>COUNTIF(F24:F1045,"INTERISLAND")</f>
        <v>4</v>
      </c>
      <c r="J14" s="244">
        <f>SUMIF(F24:F1045,"INTERISLAND ",G24:G1045)</f>
        <v>0</v>
      </c>
      <c r="K14" s="307"/>
      <c r="L14" s="195"/>
      <c r="Q14" s="275"/>
    </row>
    <row r="15" spans="1:19" ht="27" customHeight="1">
      <c r="A15" s="428" t="s">
        <v>327</v>
      </c>
      <c r="B15" s="429">
        <v>3</v>
      </c>
      <c r="D15" s="435" t="s">
        <v>328</v>
      </c>
      <c r="E15" s="437">
        <f>E6+I6+I10</f>
        <v>71</v>
      </c>
      <c r="F15" s="327"/>
      <c r="G15" s="253"/>
      <c r="H15" s="440" t="s">
        <v>329</v>
      </c>
      <c r="I15" s="249">
        <f>COUNTIF(F25:F1046,"INTERISLAND")</f>
        <v>4</v>
      </c>
      <c r="J15" s="244">
        <f>SUMIF(F25:F1046,"INTERISLAND ",G25:G1046)</f>
        <v>0</v>
      </c>
      <c r="K15" s="307"/>
      <c r="L15" s="195"/>
      <c r="Q15" s="275"/>
    </row>
    <row r="16" spans="1:19" ht="27" customHeight="1">
      <c r="A16" s="428" t="s">
        <v>330</v>
      </c>
      <c r="B16" s="429">
        <v>4</v>
      </c>
      <c r="D16" s="435" t="s">
        <v>331</v>
      </c>
      <c r="E16" s="436">
        <f>F6+J6</f>
        <v>1973776.4539999999</v>
      </c>
      <c r="F16" s="327"/>
      <c r="G16" s="253"/>
      <c r="H16" s="440" t="s">
        <v>332</v>
      </c>
      <c r="I16" s="249">
        <f>COUNTIF(F26:F1047,"INTERISLAND")</f>
        <v>4</v>
      </c>
      <c r="J16" s="244">
        <f>SUMIF(F26:F1047,"INTERISLAND ",G26:G1047)</f>
        <v>0</v>
      </c>
      <c r="K16" s="307"/>
      <c r="L16" s="195"/>
      <c r="Q16" s="275"/>
    </row>
    <row r="17" spans="1:18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8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8" s="44" customFormat="1" ht="15.6">
      <c r="A20" s="457" t="s">
        <v>334</v>
      </c>
      <c r="B20" s="458">
        <v>3331551124</v>
      </c>
      <c r="C20" s="459" t="s">
        <v>11</v>
      </c>
      <c r="D20" s="459">
        <v>24140469</v>
      </c>
      <c r="E20" s="460" t="s">
        <v>150</v>
      </c>
      <c r="F20" s="460" t="s">
        <v>199</v>
      </c>
      <c r="G20" s="461">
        <v>26578.017</v>
      </c>
      <c r="H20" s="460" t="str">
        <f t="shared" ref="H20" si="0">IF(G20&gt;28000,"TRAILER","TRONTON")</f>
        <v>TRONTON</v>
      </c>
      <c r="I20" s="460">
        <v>1</v>
      </c>
      <c r="J20" s="462">
        <v>1</v>
      </c>
      <c r="K20" s="463" t="s">
        <v>204</v>
      </c>
    </row>
    <row r="21" spans="1:18" s="44" customFormat="1" ht="15.6">
      <c r="A21" s="457" t="s">
        <v>298</v>
      </c>
      <c r="B21" s="458">
        <v>3331551177</v>
      </c>
      <c r="C21" s="459" t="s">
        <v>206</v>
      </c>
      <c r="D21" s="459">
        <v>24140477</v>
      </c>
      <c r="E21" s="460" t="s">
        <v>297</v>
      </c>
      <c r="F21" s="460" t="s">
        <v>199</v>
      </c>
      <c r="G21" s="461">
        <v>36297.485999999997</v>
      </c>
      <c r="H21" s="460" t="str">
        <f>IF(G21&gt;28000,"TRAILER","TRONTON")</f>
        <v>TRAILER</v>
      </c>
      <c r="I21" s="460">
        <v>1</v>
      </c>
      <c r="J21" s="462">
        <v>1</v>
      </c>
      <c r="K21" s="463" t="s">
        <v>204</v>
      </c>
    </row>
    <row r="22" spans="1:18" s="44" customFormat="1" ht="15.6">
      <c r="A22" s="457" t="s">
        <v>298</v>
      </c>
      <c r="B22" s="458">
        <v>3331551181</v>
      </c>
      <c r="C22" s="459" t="s">
        <v>206</v>
      </c>
      <c r="D22" s="459">
        <v>24140479</v>
      </c>
      <c r="E22" s="460" t="s">
        <v>297</v>
      </c>
      <c r="F22" s="460" t="s">
        <v>199</v>
      </c>
      <c r="G22" s="461">
        <f>9471.49+25738.51</f>
        <v>35210</v>
      </c>
      <c r="H22" s="460" t="str">
        <f>IF(G22&gt;28000,"TRAILER","TRONTON")</f>
        <v>TRAILER</v>
      </c>
      <c r="I22" s="460">
        <v>1</v>
      </c>
      <c r="J22" s="462">
        <v>1</v>
      </c>
      <c r="K22" s="463" t="s">
        <v>204</v>
      </c>
    </row>
    <row r="23" spans="1:18" s="44" customFormat="1" ht="15.6">
      <c r="A23" s="457" t="s">
        <v>256</v>
      </c>
      <c r="B23" s="458">
        <v>3331551215</v>
      </c>
      <c r="C23" s="459" t="s">
        <v>256</v>
      </c>
      <c r="D23" s="459" t="s">
        <v>256</v>
      </c>
      <c r="E23" s="460" t="s">
        <v>256</v>
      </c>
      <c r="F23" s="460" t="s">
        <v>256</v>
      </c>
      <c r="G23" s="461" t="s">
        <v>256</v>
      </c>
      <c r="H23" s="460" t="s">
        <v>256</v>
      </c>
      <c r="I23" s="460" t="s">
        <v>256</v>
      </c>
      <c r="J23" s="462" t="s">
        <v>256</v>
      </c>
      <c r="K23" s="463" t="s">
        <v>204</v>
      </c>
    </row>
    <row r="24" spans="1:18" s="44" customFormat="1" ht="15.6">
      <c r="A24" s="457" t="s">
        <v>298</v>
      </c>
      <c r="B24" s="458">
        <v>3331551212</v>
      </c>
      <c r="C24" s="459" t="s">
        <v>206</v>
      </c>
      <c r="D24" s="459">
        <v>24140480</v>
      </c>
      <c r="E24" s="460" t="s">
        <v>297</v>
      </c>
      <c r="F24" s="460" t="s">
        <v>199</v>
      </c>
      <c r="G24" s="461">
        <v>36856.57</v>
      </c>
      <c r="H24" s="460" t="str">
        <f t="shared" ref="H24:H31" si="1">IF(G24&gt;28000,"TRAILER","TRONTON")</f>
        <v>TRAILER</v>
      </c>
      <c r="I24" s="460">
        <v>1</v>
      </c>
      <c r="J24" s="462">
        <v>1</v>
      </c>
      <c r="K24" s="463" t="s">
        <v>204</v>
      </c>
    </row>
    <row r="25" spans="1:18" s="108" customFormat="1" ht="15.6">
      <c r="A25" s="457" t="s">
        <v>334</v>
      </c>
      <c r="B25" s="458">
        <v>3331551283</v>
      </c>
      <c r="C25" s="459" t="s">
        <v>11</v>
      </c>
      <c r="D25" s="459">
        <v>24140489</v>
      </c>
      <c r="E25" s="460" t="s">
        <v>119</v>
      </c>
      <c r="F25" s="460" t="s">
        <v>199</v>
      </c>
      <c r="G25" s="461">
        <v>24431.213</v>
      </c>
      <c r="H25" s="460" t="str">
        <f t="shared" si="1"/>
        <v>TRONTON</v>
      </c>
      <c r="I25" s="460">
        <v>1</v>
      </c>
      <c r="J25" s="462">
        <v>0</v>
      </c>
      <c r="K25" s="463" t="s">
        <v>204</v>
      </c>
      <c r="P25" s="44"/>
      <c r="Q25" s="44"/>
      <c r="R25" s="44"/>
    </row>
    <row r="26" spans="1:18" s="44" customFormat="1" ht="15.6">
      <c r="A26" s="457" t="s">
        <v>334</v>
      </c>
      <c r="B26" s="458">
        <v>3331551327</v>
      </c>
      <c r="C26" s="459" t="s">
        <v>27</v>
      </c>
      <c r="D26" s="459">
        <v>24140493</v>
      </c>
      <c r="E26" s="460" t="s">
        <v>254</v>
      </c>
      <c r="F26" s="460" t="s">
        <v>199</v>
      </c>
      <c r="G26" s="461">
        <v>26852.344000000001</v>
      </c>
      <c r="H26" s="460" t="str">
        <f t="shared" si="1"/>
        <v>TRONTON</v>
      </c>
      <c r="I26" s="460">
        <v>1</v>
      </c>
      <c r="J26" s="462">
        <v>1</v>
      </c>
      <c r="K26" s="463" t="s">
        <v>204</v>
      </c>
    </row>
    <row r="27" spans="1:18" s="108" customFormat="1" ht="15.6">
      <c r="A27" s="457" t="s">
        <v>334</v>
      </c>
      <c r="B27" s="458">
        <v>3331551329</v>
      </c>
      <c r="C27" s="460" t="s">
        <v>287</v>
      </c>
      <c r="D27" s="459">
        <v>24140494</v>
      </c>
      <c r="E27" s="460" t="s">
        <v>254</v>
      </c>
      <c r="F27" s="460" t="s">
        <v>199</v>
      </c>
      <c r="G27" s="461">
        <v>26852.344000000001</v>
      </c>
      <c r="H27" s="460" t="str">
        <f t="shared" si="1"/>
        <v>TRONTON</v>
      </c>
      <c r="I27" s="460">
        <v>1</v>
      </c>
      <c r="J27" s="462">
        <v>1</v>
      </c>
      <c r="K27" s="463" t="s">
        <v>204</v>
      </c>
      <c r="P27" s="44"/>
      <c r="Q27" s="44"/>
      <c r="R27" s="44"/>
    </row>
    <row r="28" spans="1:18" s="108" customFormat="1" ht="15.6">
      <c r="A28" s="457" t="s">
        <v>335</v>
      </c>
      <c r="B28" s="458">
        <v>3331551328</v>
      </c>
      <c r="C28" s="459" t="s">
        <v>27</v>
      </c>
      <c r="D28" s="459">
        <v>24140497</v>
      </c>
      <c r="E28" s="460" t="s">
        <v>303</v>
      </c>
      <c r="F28" s="460" t="s">
        <v>205</v>
      </c>
      <c r="G28" s="461">
        <v>39334.6</v>
      </c>
      <c r="H28" s="460" t="str">
        <f t="shared" si="1"/>
        <v>TRAILER</v>
      </c>
      <c r="I28" s="460">
        <v>1</v>
      </c>
      <c r="J28" s="462">
        <v>1</v>
      </c>
      <c r="K28" s="463" t="s">
        <v>204</v>
      </c>
      <c r="P28" s="44"/>
      <c r="Q28" s="44"/>
      <c r="R28" s="44"/>
    </row>
    <row r="29" spans="1:18" s="44" customFormat="1" ht="15.6">
      <c r="A29" s="457" t="s">
        <v>335</v>
      </c>
      <c r="B29" s="458">
        <v>3331551336</v>
      </c>
      <c r="C29" s="459" t="s">
        <v>336</v>
      </c>
      <c r="D29" s="459">
        <v>24140496</v>
      </c>
      <c r="E29" s="460" t="s">
        <v>303</v>
      </c>
      <c r="F29" s="460" t="s">
        <v>205</v>
      </c>
      <c r="G29" s="461">
        <v>39334.6</v>
      </c>
      <c r="H29" s="460" t="str">
        <f t="shared" si="1"/>
        <v>TRAILER</v>
      </c>
      <c r="I29" s="460">
        <v>1</v>
      </c>
      <c r="J29" s="462">
        <v>1</v>
      </c>
      <c r="K29" s="463" t="s">
        <v>204</v>
      </c>
    </row>
    <row r="30" spans="1:18" s="44" customFormat="1" ht="15.6">
      <c r="A30" s="457" t="s">
        <v>335</v>
      </c>
      <c r="B30" s="460">
        <v>3331551337</v>
      </c>
      <c r="C30" s="459" t="s">
        <v>27</v>
      </c>
      <c r="D30" s="459">
        <v>24140498</v>
      </c>
      <c r="E30" s="460" t="s">
        <v>303</v>
      </c>
      <c r="F30" s="460" t="s">
        <v>205</v>
      </c>
      <c r="G30" s="461">
        <v>43909.887999999999</v>
      </c>
      <c r="H30" s="460" t="str">
        <f t="shared" si="1"/>
        <v>TRAILER</v>
      </c>
      <c r="I30" s="460">
        <v>1</v>
      </c>
      <c r="J30" s="462">
        <v>1</v>
      </c>
      <c r="K30" s="463" t="s">
        <v>204</v>
      </c>
    </row>
    <row r="31" spans="1:18" s="44" customFormat="1" ht="15.6">
      <c r="A31" s="464" t="s">
        <v>335</v>
      </c>
      <c r="B31" s="458">
        <v>3331551338</v>
      </c>
      <c r="C31" s="465" t="s">
        <v>336</v>
      </c>
      <c r="D31" s="465">
        <v>24140499</v>
      </c>
      <c r="E31" s="458" t="s">
        <v>303</v>
      </c>
      <c r="F31" s="458" t="s">
        <v>205</v>
      </c>
      <c r="G31" s="466">
        <v>41301.33</v>
      </c>
      <c r="H31" s="458" t="str">
        <f t="shared" si="1"/>
        <v>TRAILER</v>
      </c>
      <c r="I31" s="458">
        <v>1</v>
      </c>
      <c r="J31" s="467">
        <v>1</v>
      </c>
      <c r="K31" s="468" t="s">
        <v>204</v>
      </c>
    </row>
    <row r="32" spans="1:18" s="44" customFormat="1" ht="15.6">
      <c r="A32" s="464" t="s">
        <v>337</v>
      </c>
      <c r="B32" s="458">
        <v>3331551476</v>
      </c>
      <c r="C32" s="465" t="s">
        <v>336</v>
      </c>
      <c r="D32" s="465">
        <v>24140560</v>
      </c>
      <c r="E32" s="458" t="s">
        <v>303</v>
      </c>
      <c r="F32" s="458" t="s">
        <v>338</v>
      </c>
      <c r="G32" s="466">
        <v>39953.038999999997</v>
      </c>
      <c r="H32" s="458" t="str">
        <f t="shared" ref="H32:H52" si="2">IF(G32&gt;28000,"TRAILER","TRONTON")</f>
        <v>TRAILER</v>
      </c>
      <c r="I32" s="458">
        <v>1</v>
      </c>
      <c r="J32" s="467">
        <v>1</v>
      </c>
      <c r="K32" s="468" t="s">
        <v>204</v>
      </c>
    </row>
    <row r="33" spans="1:18" s="44" customFormat="1" ht="15.6">
      <c r="A33" s="464" t="s">
        <v>337</v>
      </c>
      <c r="B33" s="458">
        <v>3331551479</v>
      </c>
      <c r="C33" s="465" t="s">
        <v>336</v>
      </c>
      <c r="D33" s="465">
        <v>24140561</v>
      </c>
      <c r="E33" s="458" t="s">
        <v>303</v>
      </c>
      <c r="F33" s="458" t="s">
        <v>338</v>
      </c>
      <c r="G33" s="466">
        <v>39910.033000000003</v>
      </c>
      <c r="H33" s="458" t="str">
        <f t="shared" si="2"/>
        <v>TRAILER</v>
      </c>
      <c r="I33" s="458">
        <v>1</v>
      </c>
      <c r="J33" s="467">
        <v>1</v>
      </c>
      <c r="K33" s="468" t="s">
        <v>204</v>
      </c>
    </row>
    <row r="34" spans="1:18" s="44" customFormat="1" ht="15.6">
      <c r="A34" s="464" t="s">
        <v>339</v>
      </c>
      <c r="B34" s="458">
        <v>3331551481</v>
      </c>
      <c r="C34" s="465" t="s">
        <v>336</v>
      </c>
      <c r="D34" s="465">
        <v>24140562</v>
      </c>
      <c r="E34" s="458" t="s">
        <v>303</v>
      </c>
      <c r="F34" s="458" t="s">
        <v>338</v>
      </c>
      <c r="G34" s="466">
        <v>39135.915000000001</v>
      </c>
      <c r="H34" s="458" t="str">
        <f t="shared" si="2"/>
        <v>TRAILER</v>
      </c>
      <c r="I34" s="458">
        <v>1</v>
      </c>
      <c r="J34" s="467">
        <v>1</v>
      </c>
      <c r="K34" s="468" t="s">
        <v>204</v>
      </c>
    </row>
    <row r="35" spans="1:18" s="108" customFormat="1" ht="15.6">
      <c r="A35" s="464" t="s">
        <v>339</v>
      </c>
      <c r="B35" s="458">
        <v>3331551485</v>
      </c>
      <c r="C35" s="465" t="s">
        <v>336</v>
      </c>
      <c r="D35" s="465">
        <v>24140563</v>
      </c>
      <c r="E35" s="458" t="s">
        <v>303</v>
      </c>
      <c r="F35" s="458" t="s">
        <v>338</v>
      </c>
      <c r="G35" s="466">
        <v>39135.915000000001</v>
      </c>
      <c r="H35" s="458" t="str">
        <f t="shared" si="2"/>
        <v>TRAILER</v>
      </c>
      <c r="I35" s="458">
        <v>1</v>
      </c>
      <c r="J35" s="467">
        <v>1</v>
      </c>
      <c r="K35" s="468" t="s">
        <v>204</v>
      </c>
    </row>
    <row r="36" spans="1:18" s="108" customFormat="1" ht="15.6">
      <c r="A36" s="464" t="s">
        <v>339</v>
      </c>
      <c r="B36" s="458">
        <v>3331551488</v>
      </c>
      <c r="C36" s="465" t="s">
        <v>336</v>
      </c>
      <c r="D36" s="465">
        <v>24140564</v>
      </c>
      <c r="E36" s="458" t="s">
        <v>303</v>
      </c>
      <c r="F36" s="458" t="s">
        <v>338</v>
      </c>
      <c r="G36" s="466">
        <v>39135.915000000001</v>
      </c>
      <c r="H36" s="458" t="str">
        <f t="shared" si="2"/>
        <v>TRAILER</v>
      </c>
      <c r="I36" s="458">
        <v>1</v>
      </c>
      <c r="J36" s="467">
        <v>1</v>
      </c>
      <c r="K36" s="468" t="s">
        <v>204</v>
      </c>
    </row>
    <row r="37" spans="1:18" s="108" customFormat="1" ht="15.6">
      <c r="A37" s="464" t="s">
        <v>337</v>
      </c>
      <c r="B37" s="458">
        <v>3331551681</v>
      </c>
      <c r="C37" s="465" t="s">
        <v>336</v>
      </c>
      <c r="D37" s="465">
        <v>24140565</v>
      </c>
      <c r="E37" s="458" t="s">
        <v>303</v>
      </c>
      <c r="F37" s="458" t="s">
        <v>338</v>
      </c>
      <c r="G37" s="466">
        <v>39996.044999999998</v>
      </c>
      <c r="H37" s="458" t="str">
        <f>IF(G37&gt;28000,"TRAILER","TRONTON")</f>
        <v>TRAILER</v>
      </c>
      <c r="I37" s="458">
        <v>1</v>
      </c>
      <c r="J37" s="467">
        <v>1</v>
      </c>
      <c r="K37" s="468" t="s">
        <v>204</v>
      </c>
    </row>
    <row r="38" spans="1:18" s="44" customFormat="1" ht="15.6">
      <c r="A38" s="464" t="s">
        <v>337</v>
      </c>
      <c r="B38" s="458">
        <v>3331551698</v>
      </c>
      <c r="C38" s="465" t="s">
        <v>336</v>
      </c>
      <c r="D38" s="465">
        <v>24140566</v>
      </c>
      <c r="E38" s="458" t="s">
        <v>303</v>
      </c>
      <c r="F38" s="458" t="s">
        <v>338</v>
      </c>
      <c r="G38" s="466">
        <v>39719.394999999997</v>
      </c>
      <c r="H38" s="458" t="str">
        <f>IF(G38&gt;28000,"TRAILER","TRONTON")</f>
        <v>TRAILER</v>
      </c>
      <c r="I38" s="458">
        <v>1</v>
      </c>
      <c r="J38" s="467">
        <v>1</v>
      </c>
      <c r="K38" s="468" t="s">
        <v>204</v>
      </c>
    </row>
    <row r="39" spans="1:18" s="108" customFormat="1" ht="15.6">
      <c r="A39" s="464" t="s">
        <v>337</v>
      </c>
      <c r="B39" s="458">
        <v>3331551701</v>
      </c>
      <c r="C39" s="465" t="s">
        <v>336</v>
      </c>
      <c r="D39" s="465">
        <v>24140567</v>
      </c>
      <c r="E39" s="458" t="s">
        <v>303</v>
      </c>
      <c r="F39" s="458" t="s">
        <v>338</v>
      </c>
      <c r="G39" s="466">
        <v>41301.33</v>
      </c>
      <c r="H39" s="458" t="str">
        <f>IF(G39&gt;28000,"TRAILER","TRONTON")</f>
        <v>TRAILER</v>
      </c>
      <c r="I39" s="458">
        <v>1</v>
      </c>
      <c r="J39" s="467">
        <v>1</v>
      </c>
      <c r="K39" s="468" t="s">
        <v>204</v>
      </c>
    </row>
    <row r="40" spans="1:18" s="108" customFormat="1" ht="15.6">
      <c r="A40" s="464" t="s">
        <v>337</v>
      </c>
      <c r="B40" s="458">
        <v>3331551480</v>
      </c>
      <c r="C40" s="465" t="s">
        <v>34</v>
      </c>
      <c r="D40" s="465">
        <v>24140509</v>
      </c>
      <c r="E40" s="458" t="s">
        <v>156</v>
      </c>
      <c r="F40" s="458" t="s">
        <v>340</v>
      </c>
      <c r="G40" s="466">
        <v>23872.38</v>
      </c>
      <c r="H40" s="458" t="str">
        <f t="shared" si="2"/>
        <v>TRONTON</v>
      </c>
      <c r="I40" s="458">
        <v>1</v>
      </c>
      <c r="J40" s="467">
        <v>1</v>
      </c>
      <c r="K40" s="468" t="s">
        <v>204</v>
      </c>
      <c r="P40" s="44"/>
      <c r="Q40" s="44"/>
      <c r="R40" s="44"/>
    </row>
    <row r="41" spans="1:18" s="108" customFormat="1" ht="15.6">
      <c r="A41" s="464" t="s">
        <v>337</v>
      </c>
      <c r="B41" s="458">
        <v>3331551490</v>
      </c>
      <c r="C41" s="465" t="s">
        <v>34</v>
      </c>
      <c r="D41" s="465">
        <v>24140517</v>
      </c>
      <c r="E41" s="458" t="s">
        <v>156</v>
      </c>
      <c r="F41" s="458" t="s">
        <v>340</v>
      </c>
      <c r="G41" s="466">
        <v>25160.061000000002</v>
      </c>
      <c r="H41" s="458" t="str">
        <f t="shared" si="2"/>
        <v>TRONTON</v>
      </c>
      <c r="I41" s="458">
        <v>1</v>
      </c>
      <c r="J41" s="467">
        <v>1</v>
      </c>
      <c r="K41" s="468" t="s">
        <v>204</v>
      </c>
      <c r="P41" s="44"/>
      <c r="Q41" s="44"/>
      <c r="R41" s="44"/>
    </row>
    <row r="42" spans="1:18" s="108" customFormat="1" ht="15.6">
      <c r="A42" s="464" t="s">
        <v>337</v>
      </c>
      <c r="B42" s="458">
        <v>3331551496</v>
      </c>
      <c r="C42" s="465" t="s">
        <v>152</v>
      </c>
      <c r="D42" s="465">
        <v>24140520</v>
      </c>
      <c r="E42" s="458" t="s">
        <v>156</v>
      </c>
      <c r="F42" s="458" t="s">
        <v>340</v>
      </c>
      <c r="G42" s="466">
        <v>24124.885999999999</v>
      </c>
      <c r="H42" s="458" t="str">
        <f t="shared" si="2"/>
        <v>TRONTON</v>
      </c>
      <c r="I42" s="458">
        <v>1</v>
      </c>
      <c r="J42" s="467">
        <v>1</v>
      </c>
      <c r="K42" s="468" t="s">
        <v>204</v>
      </c>
      <c r="P42" s="44"/>
      <c r="Q42" s="44"/>
      <c r="R42" s="44"/>
    </row>
    <row r="43" spans="1:18" s="108" customFormat="1" ht="15.6">
      <c r="A43" s="464" t="s">
        <v>337</v>
      </c>
      <c r="B43" s="458">
        <v>3331551502</v>
      </c>
      <c r="C43" s="465" t="s">
        <v>287</v>
      </c>
      <c r="D43" s="465">
        <v>24140521</v>
      </c>
      <c r="E43" s="458" t="s">
        <v>156</v>
      </c>
      <c r="F43" s="458" t="s">
        <v>340</v>
      </c>
      <c r="G43" s="466">
        <v>25205.330999999998</v>
      </c>
      <c r="H43" s="458" t="str">
        <f t="shared" si="2"/>
        <v>TRONTON</v>
      </c>
      <c r="I43" s="458">
        <v>1</v>
      </c>
      <c r="J43" s="467">
        <v>1</v>
      </c>
      <c r="K43" s="468" t="s">
        <v>204</v>
      </c>
      <c r="P43" s="44"/>
      <c r="Q43" s="44"/>
      <c r="R43" s="44"/>
    </row>
    <row r="44" spans="1:18" s="44" customFormat="1" ht="15.6">
      <c r="A44" s="464" t="s">
        <v>341</v>
      </c>
      <c r="B44" s="458">
        <v>3331551461</v>
      </c>
      <c r="C44" s="465" t="s">
        <v>11</v>
      </c>
      <c r="D44" s="465">
        <v>24140505</v>
      </c>
      <c r="E44" s="458" t="s">
        <v>156</v>
      </c>
      <c r="F44" s="458" t="s">
        <v>199</v>
      </c>
      <c r="G44" s="466">
        <v>25821.002</v>
      </c>
      <c r="H44" s="458" t="str">
        <f t="shared" si="2"/>
        <v>TRONTON</v>
      </c>
      <c r="I44" s="458">
        <v>1</v>
      </c>
      <c r="J44" s="467">
        <v>1</v>
      </c>
      <c r="K44" s="468" t="s">
        <v>204</v>
      </c>
    </row>
    <row r="45" spans="1:18" s="108" customFormat="1" ht="15.6">
      <c r="A45" s="464" t="s">
        <v>341</v>
      </c>
      <c r="B45" s="458">
        <v>3331551463</v>
      </c>
      <c r="C45" s="465" t="s">
        <v>34</v>
      </c>
      <c r="D45" s="465">
        <v>24140506</v>
      </c>
      <c r="E45" s="458" t="s">
        <v>156</v>
      </c>
      <c r="F45" s="458" t="s">
        <v>199</v>
      </c>
      <c r="G45" s="466">
        <v>25825.026000000002</v>
      </c>
      <c r="H45" s="458" t="str">
        <f t="shared" si="2"/>
        <v>TRONTON</v>
      </c>
      <c r="I45" s="458">
        <v>1</v>
      </c>
      <c r="J45" s="467">
        <v>1</v>
      </c>
      <c r="K45" s="468" t="s">
        <v>204</v>
      </c>
      <c r="P45" s="44"/>
      <c r="Q45" s="44"/>
      <c r="R45" s="44"/>
    </row>
    <row r="46" spans="1:18" s="44" customFormat="1" ht="15.6">
      <c r="A46" s="464" t="s">
        <v>341</v>
      </c>
      <c r="B46" s="458">
        <v>3331551471</v>
      </c>
      <c r="C46" s="465" t="s">
        <v>34</v>
      </c>
      <c r="D46" s="465">
        <v>24140507</v>
      </c>
      <c r="E46" s="458" t="s">
        <v>156</v>
      </c>
      <c r="F46" s="458" t="s">
        <v>199</v>
      </c>
      <c r="G46" s="466">
        <v>24005.17</v>
      </c>
      <c r="H46" s="458" t="str">
        <f t="shared" si="2"/>
        <v>TRONTON</v>
      </c>
      <c r="I46" s="458">
        <v>1</v>
      </c>
      <c r="J46" s="467">
        <v>1</v>
      </c>
      <c r="K46" s="468" t="s">
        <v>204</v>
      </c>
    </row>
    <row r="47" spans="1:18" s="44" customFormat="1" ht="15.6">
      <c r="A47" s="464" t="s">
        <v>341</v>
      </c>
      <c r="B47" s="458">
        <v>3331551475</v>
      </c>
      <c r="C47" s="465" t="s">
        <v>34</v>
      </c>
      <c r="D47" s="465">
        <v>24140508</v>
      </c>
      <c r="E47" s="458" t="s">
        <v>156</v>
      </c>
      <c r="F47" s="458" t="s">
        <v>199</v>
      </c>
      <c r="G47" s="466">
        <v>22634.999</v>
      </c>
      <c r="H47" s="458" t="str">
        <f t="shared" si="2"/>
        <v>TRONTON</v>
      </c>
      <c r="I47" s="458">
        <v>1</v>
      </c>
      <c r="J47" s="467">
        <v>1</v>
      </c>
      <c r="K47" s="468" t="s">
        <v>204</v>
      </c>
    </row>
    <row r="48" spans="1:18" s="108" customFormat="1" ht="15.6">
      <c r="A48" s="464" t="s">
        <v>337</v>
      </c>
      <c r="B48" s="458">
        <v>3331551662</v>
      </c>
      <c r="C48" s="465" t="s">
        <v>342</v>
      </c>
      <c r="D48" s="465">
        <v>24140518</v>
      </c>
      <c r="E48" s="458" t="s">
        <v>343</v>
      </c>
      <c r="F48" s="458" t="s">
        <v>344</v>
      </c>
      <c r="G48" s="466">
        <v>24487.83</v>
      </c>
      <c r="H48" s="458" t="str">
        <f>IF(G48&gt;28000,"TRAILER","TRONTON")</f>
        <v>TRONTON</v>
      </c>
      <c r="I48" s="458">
        <v>1</v>
      </c>
      <c r="J48" s="467">
        <v>1</v>
      </c>
      <c r="K48" s="468" t="s">
        <v>204</v>
      </c>
      <c r="P48" s="44"/>
      <c r="Q48" s="44"/>
      <c r="R48" s="44"/>
    </row>
    <row r="49" spans="1:18" s="108" customFormat="1" ht="15.6">
      <c r="A49" s="464" t="s">
        <v>341</v>
      </c>
      <c r="B49" s="458">
        <v>3331551477</v>
      </c>
      <c r="C49" s="465" t="s">
        <v>34</v>
      </c>
      <c r="D49" s="465">
        <v>24140503</v>
      </c>
      <c r="E49" s="458" t="s">
        <v>160</v>
      </c>
      <c r="F49" s="458" t="s">
        <v>199</v>
      </c>
      <c r="G49" s="466">
        <v>26596.628000000001</v>
      </c>
      <c r="H49" s="458" t="str">
        <f t="shared" si="2"/>
        <v>TRONTON</v>
      </c>
      <c r="I49" s="458">
        <v>1</v>
      </c>
      <c r="J49" s="467">
        <v>1</v>
      </c>
      <c r="K49" s="468" t="s">
        <v>204</v>
      </c>
      <c r="P49" s="44"/>
      <c r="Q49" s="44"/>
      <c r="R49" s="44"/>
    </row>
    <row r="50" spans="1:18" s="108" customFormat="1" ht="15.6">
      <c r="A50" s="464" t="s">
        <v>337</v>
      </c>
      <c r="B50" s="458">
        <v>3331551489</v>
      </c>
      <c r="C50" s="465" t="s">
        <v>27</v>
      </c>
      <c r="D50" s="465">
        <v>24140519</v>
      </c>
      <c r="E50" s="458" t="s">
        <v>160</v>
      </c>
      <c r="F50" s="458" t="s">
        <v>340</v>
      </c>
      <c r="G50" s="466">
        <v>27057.377</v>
      </c>
      <c r="H50" s="458" t="str">
        <f t="shared" si="2"/>
        <v>TRONTON</v>
      </c>
      <c r="I50" s="458">
        <v>1</v>
      </c>
      <c r="J50" s="467">
        <v>1</v>
      </c>
      <c r="K50" s="468" t="s">
        <v>204</v>
      </c>
      <c r="P50" s="44"/>
      <c r="Q50" s="44"/>
      <c r="R50" s="44"/>
    </row>
    <row r="51" spans="1:18" s="108" customFormat="1" ht="15.6">
      <c r="A51" s="464" t="s">
        <v>341</v>
      </c>
      <c r="B51" s="458">
        <v>3331551506</v>
      </c>
      <c r="C51" s="465" t="s">
        <v>34</v>
      </c>
      <c r="D51" s="465">
        <v>24140523</v>
      </c>
      <c r="E51" s="458" t="s">
        <v>150</v>
      </c>
      <c r="F51" s="458" t="s">
        <v>199</v>
      </c>
      <c r="G51" s="466">
        <v>25079.579000000002</v>
      </c>
      <c r="H51" s="458" t="str">
        <f t="shared" si="2"/>
        <v>TRONTON</v>
      </c>
      <c r="I51" s="458">
        <v>1</v>
      </c>
      <c r="J51" s="467">
        <v>1</v>
      </c>
      <c r="K51" s="468" t="s">
        <v>204</v>
      </c>
      <c r="P51" s="44"/>
      <c r="Q51" s="44"/>
      <c r="R51" s="44"/>
    </row>
    <row r="52" spans="1:18" s="108" customFormat="1" ht="15.6">
      <c r="A52" s="464" t="s">
        <v>337</v>
      </c>
      <c r="B52" s="458">
        <v>3331551510</v>
      </c>
      <c r="C52" s="465" t="s">
        <v>287</v>
      </c>
      <c r="D52" s="469">
        <v>24140524</v>
      </c>
      <c r="E52" s="458" t="s">
        <v>150</v>
      </c>
      <c r="F52" s="458" t="s">
        <v>340</v>
      </c>
      <c r="G52" s="466">
        <v>27310.888999999999</v>
      </c>
      <c r="H52" s="458" t="str">
        <f t="shared" si="2"/>
        <v>TRONTON</v>
      </c>
      <c r="I52" s="458">
        <v>1</v>
      </c>
      <c r="J52" s="467">
        <v>1</v>
      </c>
      <c r="K52" s="468" t="s">
        <v>204</v>
      </c>
      <c r="P52" s="44"/>
      <c r="Q52" s="44"/>
      <c r="R52" s="44"/>
    </row>
    <row r="53" spans="1:18" s="44" customFormat="1" ht="15.6">
      <c r="A53" s="464" t="s">
        <v>337</v>
      </c>
      <c r="B53" s="458">
        <v>3331551514</v>
      </c>
      <c r="C53" s="470" t="s">
        <v>287</v>
      </c>
      <c r="D53" s="465">
        <v>24140534</v>
      </c>
      <c r="E53" s="464" t="s">
        <v>150</v>
      </c>
      <c r="F53" s="458" t="s">
        <v>340</v>
      </c>
      <c r="G53" s="466">
        <v>27954.727999999999</v>
      </c>
      <c r="H53" s="458" t="str">
        <f t="shared" ref="H53:H71" si="3">IF(G53&gt;28000,"TRAILER","TRONTON")</f>
        <v>TRONTON</v>
      </c>
      <c r="I53" s="458">
        <v>1</v>
      </c>
      <c r="J53" s="467">
        <v>1</v>
      </c>
      <c r="K53" s="468" t="s">
        <v>204</v>
      </c>
    </row>
    <row r="54" spans="1:18" s="44" customFormat="1" ht="15.6">
      <c r="A54" s="464" t="s">
        <v>337</v>
      </c>
      <c r="B54" s="458">
        <v>3331551517</v>
      </c>
      <c r="C54" s="470" t="s">
        <v>27</v>
      </c>
      <c r="D54" s="465">
        <v>24140535</v>
      </c>
      <c r="E54" s="464" t="s">
        <v>150</v>
      </c>
      <c r="F54" s="458" t="s">
        <v>340</v>
      </c>
      <c r="G54" s="466">
        <v>26321.99</v>
      </c>
      <c r="H54" s="458" t="str">
        <f t="shared" si="3"/>
        <v>TRONTON</v>
      </c>
      <c r="I54" s="458">
        <v>1</v>
      </c>
      <c r="J54" s="467">
        <v>1</v>
      </c>
      <c r="K54" s="468" t="s">
        <v>204</v>
      </c>
    </row>
    <row r="55" spans="1:18" s="108" customFormat="1" ht="15.6">
      <c r="A55" s="464" t="s">
        <v>337</v>
      </c>
      <c r="B55" s="458">
        <v>3331551524</v>
      </c>
      <c r="C55" s="470" t="s">
        <v>27</v>
      </c>
      <c r="D55" s="465">
        <v>24140536</v>
      </c>
      <c r="E55" s="464" t="s">
        <v>150</v>
      </c>
      <c r="F55" s="458" t="s">
        <v>340</v>
      </c>
      <c r="G55" s="466">
        <v>27524.16</v>
      </c>
      <c r="H55" s="458" t="str">
        <f t="shared" si="3"/>
        <v>TRONTON</v>
      </c>
      <c r="I55" s="458">
        <v>1</v>
      </c>
      <c r="J55" s="467">
        <v>1</v>
      </c>
      <c r="K55" s="468" t="s">
        <v>204</v>
      </c>
      <c r="P55" s="44"/>
      <c r="Q55" s="44"/>
      <c r="R55" s="44"/>
    </row>
    <row r="56" spans="1:18" s="108" customFormat="1" ht="15.6">
      <c r="A56" s="464" t="s">
        <v>341</v>
      </c>
      <c r="B56" s="458">
        <v>3331551531</v>
      </c>
      <c r="C56" s="470" t="s">
        <v>11</v>
      </c>
      <c r="D56" s="465">
        <v>24140537</v>
      </c>
      <c r="E56" s="464" t="s">
        <v>150</v>
      </c>
      <c r="F56" s="458" t="s">
        <v>199</v>
      </c>
      <c r="G56" s="466">
        <v>25910.536</v>
      </c>
      <c r="H56" s="458" t="str">
        <f t="shared" si="3"/>
        <v>TRONTON</v>
      </c>
      <c r="I56" s="458">
        <v>1</v>
      </c>
      <c r="J56" s="467">
        <v>1</v>
      </c>
      <c r="K56" s="468" t="s">
        <v>204</v>
      </c>
      <c r="P56" s="44"/>
      <c r="Q56" s="44"/>
      <c r="R56" s="44"/>
    </row>
    <row r="57" spans="1:18" s="108" customFormat="1" ht="15.6">
      <c r="A57" s="464" t="s">
        <v>337</v>
      </c>
      <c r="B57" s="458">
        <v>3331551532</v>
      </c>
      <c r="C57" s="470" t="s">
        <v>27</v>
      </c>
      <c r="D57" s="465">
        <v>24140538</v>
      </c>
      <c r="E57" s="464" t="s">
        <v>150</v>
      </c>
      <c r="F57" s="458" t="s">
        <v>340</v>
      </c>
      <c r="G57" s="466">
        <v>28002.011999999999</v>
      </c>
      <c r="H57" s="458" t="str">
        <f t="shared" si="3"/>
        <v>TRAILER</v>
      </c>
      <c r="I57" s="458">
        <v>1</v>
      </c>
      <c r="J57" s="467">
        <v>1</v>
      </c>
      <c r="K57" s="468" t="s">
        <v>204</v>
      </c>
      <c r="P57" s="44"/>
      <c r="Q57" s="44"/>
      <c r="R57" s="44"/>
    </row>
    <row r="58" spans="1:18" s="108" customFormat="1" ht="15.6">
      <c r="A58" s="464" t="s">
        <v>341</v>
      </c>
      <c r="B58" s="458">
        <v>3331551535</v>
      </c>
      <c r="C58" s="470" t="s">
        <v>27</v>
      </c>
      <c r="D58" s="465">
        <v>24140539</v>
      </c>
      <c r="E58" s="464" t="s">
        <v>150</v>
      </c>
      <c r="F58" s="458" t="s">
        <v>199</v>
      </c>
      <c r="G58" s="466">
        <v>25825.026000000002</v>
      </c>
      <c r="H58" s="458" t="str">
        <f t="shared" si="3"/>
        <v>TRONTON</v>
      </c>
      <c r="I58" s="458">
        <v>1</v>
      </c>
      <c r="J58" s="467">
        <v>1</v>
      </c>
      <c r="K58" s="468" t="s">
        <v>204</v>
      </c>
      <c r="P58" s="44"/>
      <c r="Q58" s="44"/>
      <c r="R58" s="44"/>
    </row>
    <row r="59" spans="1:18" s="108" customFormat="1" ht="15.6">
      <c r="A59" s="464" t="s">
        <v>341</v>
      </c>
      <c r="B59" s="458">
        <v>3331551539</v>
      </c>
      <c r="C59" s="470" t="s">
        <v>287</v>
      </c>
      <c r="D59" s="465">
        <v>24140540</v>
      </c>
      <c r="E59" s="464" t="s">
        <v>150</v>
      </c>
      <c r="F59" s="458" t="s">
        <v>199</v>
      </c>
      <c r="G59" s="466">
        <v>24677.18</v>
      </c>
      <c r="H59" s="458" t="str">
        <f t="shared" si="3"/>
        <v>TRONTON</v>
      </c>
      <c r="I59" s="458">
        <v>1</v>
      </c>
      <c r="J59" s="467">
        <v>1</v>
      </c>
      <c r="K59" s="468" t="s">
        <v>204</v>
      </c>
      <c r="P59" s="44"/>
      <c r="Q59" s="44"/>
      <c r="R59" s="44"/>
    </row>
    <row r="60" spans="1:18" s="108" customFormat="1" ht="15.6">
      <c r="A60" s="464" t="s">
        <v>339</v>
      </c>
      <c r="B60" s="458">
        <v>3331551582</v>
      </c>
      <c r="C60" s="470" t="s">
        <v>287</v>
      </c>
      <c r="D60" s="471">
        <v>24140542</v>
      </c>
      <c r="E60" s="464" t="s">
        <v>150</v>
      </c>
      <c r="F60" s="458" t="s">
        <v>340</v>
      </c>
      <c r="G60" s="466">
        <v>26709.3</v>
      </c>
      <c r="H60" s="458" t="str">
        <f t="shared" si="3"/>
        <v>TRONTON</v>
      </c>
      <c r="I60" s="458">
        <v>1</v>
      </c>
      <c r="J60" s="467">
        <v>1</v>
      </c>
      <c r="K60" s="468" t="s">
        <v>204</v>
      </c>
    </row>
    <row r="61" spans="1:18" s="44" customFormat="1" ht="15.6">
      <c r="A61" s="464" t="s">
        <v>339</v>
      </c>
      <c r="B61" s="458">
        <v>3331551591</v>
      </c>
      <c r="C61" s="470" t="s">
        <v>287</v>
      </c>
      <c r="D61" s="471">
        <v>24140543</v>
      </c>
      <c r="E61" s="464" t="s">
        <v>150</v>
      </c>
      <c r="F61" s="458" t="s">
        <v>340</v>
      </c>
      <c r="G61" s="466">
        <v>27146.91</v>
      </c>
      <c r="H61" s="458" t="str">
        <f t="shared" si="3"/>
        <v>TRONTON</v>
      </c>
      <c r="I61" s="458">
        <v>1</v>
      </c>
      <c r="J61" s="467">
        <v>1</v>
      </c>
      <c r="K61" s="468" t="s">
        <v>204</v>
      </c>
    </row>
    <row r="62" spans="1:18" s="44" customFormat="1" ht="15.6">
      <c r="A62" s="464" t="s">
        <v>339</v>
      </c>
      <c r="B62" s="458">
        <v>3331551599</v>
      </c>
      <c r="C62" s="470" t="s">
        <v>34</v>
      </c>
      <c r="D62" s="471">
        <v>24140544</v>
      </c>
      <c r="E62" s="464" t="s">
        <v>150</v>
      </c>
      <c r="F62" s="458" t="s">
        <v>340</v>
      </c>
      <c r="G62" s="466">
        <v>25849.17</v>
      </c>
      <c r="H62" s="458" t="str">
        <f t="shared" si="3"/>
        <v>TRONTON</v>
      </c>
      <c r="I62" s="458">
        <v>1</v>
      </c>
      <c r="J62" s="467">
        <v>1</v>
      </c>
      <c r="K62" s="468" t="s">
        <v>204</v>
      </c>
    </row>
    <row r="63" spans="1:18" s="108" customFormat="1" ht="15.6">
      <c r="A63" s="464" t="s">
        <v>339</v>
      </c>
      <c r="B63" s="458">
        <v>3331551616</v>
      </c>
      <c r="C63" s="470" t="s">
        <v>287</v>
      </c>
      <c r="D63" s="471">
        <v>24140545</v>
      </c>
      <c r="E63" s="464" t="s">
        <v>150</v>
      </c>
      <c r="F63" s="458" t="s">
        <v>340</v>
      </c>
      <c r="G63" s="466">
        <v>26279.738000000001</v>
      </c>
      <c r="H63" s="458" t="str">
        <f t="shared" si="3"/>
        <v>TRONTON</v>
      </c>
      <c r="I63" s="458">
        <v>1</v>
      </c>
      <c r="J63" s="467">
        <v>1</v>
      </c>
      <c r="K63" s="468" t="s">
        <v>204</v>
      </c>
      <c r="P63" s="44"/>
      <c r="Q63" s="44"/>
      <c r="R63" s="44"/>
    </row>
    <row r="64" spans="1:18" s="44" customFormat="1" ht="15.6">
      <c r="A64" s="464" t="s">
        <v>339</v>
      </c>
      <c r="B64" s="458">
        <v>3331551627</v>
      </c>
      <c r="C64" s="470" t="s">
        <v>287</v>
      </c>
      <c r="D64" s="471">
        <v>24140554</v>
      </c>
      <c r="E64" s="464" t="s">
        <v>150</v>
      </c>
      <c r="F64" s="458" t="s">
        <v>340</v>
      </c>
      <c r="G64" s="466">
        <v>26492.004000000001</v>
      </c>
      <c r="H64" s="458" t="str">
        <f t="shared" si="3"/>
        <v>TRONTON</v>
      </c>
      <c r="I64" s="458">
        <v>1</v>
      </c>
      <c r="J64" s="467">
        <v>1</v>
      </c>
      <c r="K64" s="468" t="s">
        <v>204</v>
      </c>
    </row>
    <row r="65" spans="1:19" s="108" customFormat="1" ht="15.6">
      <c r="A65" s="464" t="s">
        <v>345</v>
      </c>
      <c r="B65" s="458">
        <v>3331551509</v>
      </c>
      <c r="C65" s="465" t="s">
        <v>27</v>
      </c>
      <c r="D65" s="471">
        <v>24140525</v>
      </c>
      <c r="E65" s="458" t="s">
        <v>346</v>
      </c>
      <c r="F65" s="458" t="s">
        <v>338</v>
      </c>
      <c r="G65" s="466">
        <v>42333.197</v>
      </c>
      <c r="H65" s="458" t="str">
        <f t="shared" ref="H65:H66" si="4">IF(G65&gt;28000,"TRAILER","TRONTON")</f>
        <v>TRAILER</v>
      </c>
      <c r="I65" s="458">
        <v>1</v>
      </c>
      <c r="J65" s="467">
        <v>1</v>
      </c>
      <c r="K65" s="468" t="s">
        <v>204</v>
      </c>
      <c r="P65" s="44"/>
      <c r="Q65" s="44"/>
      <c r="R65" s="44"/>
    </row>
    <row r="66" spans="1:19" s="44" customFormat="1" ht="15.6">
      <c r="A66" s="464" t="s">
        <v>347</v>
      </c>
      <c r="B66" s="458">
        <v>3331551515</v>
      </c>
      <c r="C66" s="465" t="s">
        <v>34</v>
      </c>
      <c r="D66" s="465">
        <v>24140526</v>
      </c>
      <c r="E66" s="458" t="s">
        <v>156</v>
      </c>
      <c r="F66" s="458" t="s">
        <v>199</v>
      </c>
      <c r="G66" s="466">
        <v>24415.62</v>
      </c>
      <c r="H66" s="458" t="str">
        <f t="shared" si="4"/>
        <v>TRONTON</v>
      </c>
      <c r="I66" s="458">
        <v>1</v>
      </c>
      <c r="J66" s="467">
        <v>1</v>
      </c>
      <c r="K66" s="468" t="s">
        <v>204</v>
      </c>
      <c r="S66" s="44" t="s">
        <v>348</v>
      </c>
    </row>
    <row r="67" spans="1:19" s="108" customFormat="1" ht="15.6">
      <c r="A67" s="464" t="s">
        <v>347</v>
      </c>
      <c r="B67" s="458">
        <v>3331551518</v>
      </c>
      <c r="C67" s="465" t="s">
        <v>34</v>
      </c>
      <c r="D67" s="465">
        <v>24140528</v>
      </c>
      <c r="E67" s="458" t="s">
        <v>156</v>
      </c>
      <c r="F67" s="458" t="s">
        <v>199</v>
      </c>
      <c r="G67" s="466">
        <v>24631.91</v>
      </c>
      <c r="H67" s="458" t="str">
        <f>IF(G67&gt;28000,"TRAILER","TRONTON")</f>
        <v>TRONTON</v>
      </c>
      <c r="I67" s="458">
        <v>1</v>
      </c>
      <c r="J67" s="467">
        <v>1</v>
      </c>
      <c r="K67" s="468" t="s">
        <v>204</v>
      </c>
      <c r="P67" s="44"/>
      <c r="Q67" s="44"/>
      <c r="R67" s="44"/>
    </row>
    <row r="68" spans="1:19" s="108" customFormat="1" ht="15.6">
      <c r="A68" s="464" t="s">
        <v>347</v>
      </c>
      <c r="B68" s="458">
        <v>3331551530</v>
      </c>
      <c r="C68" s="465" t="s">
        <v>34</v>
      </c>
      <c r="D68" s="465">
        <v>24140529</v>
      </c>
      <c r="E68" s="458" t="s">
        <v>156</v>
      </c>
      <c r="F68" s="458" t="s">
        <v>199</v>
      </c>
      <c r="G68" s="466">
        <v>24685.228999999999</v>
      </c>
      <c r="H68" s="458" t="str">
        <f t="shared" si="3"/>
        <v>TRONTON</v>
      </c>
      <c r="I68" s="458">
        <v>1</v>
      </c>
      <c r="J68" s="467">
        <v>1</v>
      </c>
      <c r="K68" s="468" t="s">
        <v>204</v>
      </c>
      <c r="P68" s="44"/>
      <c r="Q68" s="44"/>
      <c r="R68" s="44"/>
    </row>
    <row r="69" spans="1:19" s="44" customFormat="1" ht="15.6">
      <c r="A69" s="464" t="s">
        <v>341</v>
      </c>
      <c r="B69" s="458">
        <v>3331551526</v>
      </c>
      <c r="C69" s="465" t="s">
        <v>34</v>
      </c>
      <c r="D69" s="465">
        <v>24140530</v>
      </c>
      <c r="E69" s="458" t="s">
        <v>254</v>
      </c>
      <c r="F69" s="458" t="s">
        <v>199</v>
      </c>
      <c r="G69" s="466">
        <v>25913.552</v>
      </c>
      <c r="H69" s="458" t="str">
        <f t="shared" si="3"/>
        <v>TRONTON</v>
      </c>
      <c r="I69" s="458">
        <v>1</v>
      </c>
      <c r="J69" s="467">
        <v>1</v>
      </c>
      <c r="K69" s="468" t="s">
        <v>204</v>
      </c>
      <c r="O69" s="44">
        <f>22+36</f>
        <v>58</v>
      </c>
    </row>
    <row r="70" spans="1:19" s="108" customFormat="1" ht="15.6">
      <c r="A70" s="464" t="s">
        <v>341</v>
      </c>
      <c r="B70" s="458">
        <v>3331551534</v>
      </c>
      <c r="C70" s="465" t="s">
        <v>287</v>
      </c>
      <c r="D70" s="465">
        <v>24140531</v>
      </c>
      <c r="E70" s="458" t="s">
        <v>254</v>
      </c>
      <c r="F70" s="458" t="s">
        <v>199</v>
      </c>
      <c r="G70" s="466">
        <v>24214.226999999999</v>
      </c>
      <c r="H70" s="458" t="str">
        <f t="shared" si="3"/>
        <v>TRONTON</v>
      </c>
      <c r="I70" s="458">
        <v>1</v>
      </c>
      <c r="J70" s="467">
        <v>1</v>
      </c>
      <c r="K70" s="468" t="s">
        <v>204</v>
      </c>
      <c r="P70" s="44"/>
      <c r="Q70" s="44"/>
      <c r="R70" s="44"/>
    </row>
    <row r="71" spans="1:19" s="108" customFormat="1" ht="15.6">
      <c r="A71" s="464" t="s">
        <v>349</v>
      </c>
      <c r="B71" s="458">
        <v>3331551536</v>
      </c>
      <c r="C71" s="465" t="s">
        <v>287</v>
      </c>
      <c r="D71" s="465">
        <v>24140532</v>
      </c>
      <c r="E71" s="458" t="s">
        <v>254</v>
      </c>
      <c r="F71" s="458" t="s">
        <v>199</v>
      </c>
      <c r="G71" s="466">
        <v>23884.458999999999</v>
      </c>
      <c r="H71" s="458" t="str">
        <f t="shared" si="3"/>
        <v>TRONTON</v>
      </c>
      <c r="I71" s="458">
        <v>1</v>
      </c>
      <c r="J71" s="467">
        <v>1</v>
      </c>
      <c r="K71" s="468" t="s">
        <v>204</v>
      </c>
      <c r="P71" s="44"/>
      <c r="Q71" s="44"/>
      <c r="R71" s="44"/>
    </row>
    <row r="72" spans="1:19" s="108" customFormat="1" ht="15.6">
      <c r="A72" s="464" t="s">
        <v>347</v>
      </c>
      <c r="B72" s="458">
        <v>3331551538</v>
      </c>
      <c r="C72" s="465" t="s">
        <v>34</v>
      </c>
      <c r="D72" s="465">
        <v>24140533</v>
      </c>
      <c r="E72" s="458" t="s">
        <v>156</v>
      </c>
      <c r="F72" s="458" t="s">
        <v>199</v>
      </c>
      <c r="G72" s="466">
        <v>24857.255000000001</v>
      </c>
      <c r="H72" s="458" t="str">
        <f>IF(G72&gt;28000,"TRAILER","TRONTON")</f>
        <v>TRONTON</v>
      </c>
      <c r="I72" s="458">
        <v>1</v>
      </c>
      <c r="J72" s="467">
        <v>1</v>
      </c>
      <c r="K72" s="468" t="s">
        <v>204</v>
      </c>
      <c r="P72" s="44"/>
      <c r="Q72" s="44"/>
      <c r="R72" s="44"/>
    </row>
    <row r="73" spans="1:19" s="108" customFormat="1" ht="15.6">
      <c r="A73" s="464" t="s">
        <v>350</v>
      </c>
      <c r="B73" s="458">
        <v>3331551565</v>
      </c>
      <c r="C73" s="465" t="s">
        <v>351</v>
      </c>
      <c r="D73" s="469">
        <v>24140546</v>
      </c>
      <c r="E73" s="469" t="s">
        <v>352</v>
      </c>
      <c r="F73" s="458" t="s">
        <v>353</v>
      </c>
      <c r="G73" s="466">
        <f>8978.55+10752.128+7534.374</f>
        <v>27265.052</v>
      </c>
      <c r="H73" s="458" t="s">
        <v>318</v>
      </c>
      <c r="I73" s="458">
        <v>1</v>
      </c>
      <c r="J73" s="467">
        <v>1</v>
      </c>
      <c r="K73" s="468" t="s">
        <v>204</v>
      </c>
    </row>
    <row r="74" spans="1:19" s="108" customFormat="1" ht="15.6">
      <c r="A74" s="464" t="s">
        <v>350</v>
      </c>
      <c r="B74" s="458">
        <v>3331551589</v>
      </c>
      <c r="C74" s="465" t="s">
        <v>351</v>
      </c>
      <c r="D74" s="469">
        <v>24140546</v>
      </c>
      <c r="E74" s="479"/>
      <c r="F74" s="458" t="s">
        <v>256</v>
      </c>
      <c r="G74" s="466" t="s">
        <v>256</v>
      </c>
      <c r="H74" s="458" t="s">
        <v>256</v>
      </c>
      <c r="I74" s="458" t="s">
        <v>256</v>
      </c>
      <c r="J74" s="467" t="s">
        <v>256</v>
      </c>
      <c r="K74" s="468" t="s">
        <v>204</v>
      </c>
    </row>
    <row r="75" spans="1:19" s="108" customFormat="1" ht="15.6">
      <c r="A75" s="464" t="s">
        <v>350</v>
      </c>
      <c r="B75" s="458">
        <v>3331551577</v>
      </c>
      <c r="C75" s="465" t="s">
        <v>351</v>
      </c>
      <c r="D75" s="469">
        <v>24140546</v>
      </c>
      <c r="E75" s="471"/>
      <c r="F75" s="458" t="s">
        <v>256</v>
      </c>
      <c r="G75" s="466" t="s">
        <v>256</v>
      </c>
      <c r="H75" s="458" t="s">
        <v>256</v>
      </c>
      <c r="I75" s="458" t="s">
        <v>256</v>
      </c>
      <c r="J75" s="467" t="s">
        <v>256</v>
      </c>
      <c r="K75" s="468" t="s">
        <v>204</v>
      </c>
    </row>
    <row r="76" spans="1:19" s="108" customFormat="1" ht="15.6">
      <c r="A76" s="464" t="s">
        <v>350</v>
      </c>
      <c r="B76" s="458">
        <v>3331551569</v>
      </c>
      <c r="C76" s="465" t="s">
        <v>351</v>
      </c>
      <c r="D76" s="465">
        <v>24140547</v>
      </c>
      <c r="E76" s="458" t="s">
        <v>354</v>
      </c>
      <c r="F76" s="458" t="s">
        <v>353</v>
      </c>
      <c r="G76" s="466">
        <v>27363.200000000001</v>
      </c>
      <c r="H76" s="458" t="s">
        <v>318</v>
      </c>
      <c r="I76" s="458">
        <v>1</v>
      </c>
      <c r="J76" s="467">
        <v>1</v>
      </c>
      <c r="K76" s="468" t="s">
        <v>204</v>
      </c>
    </row>
    <row r="77" spans="1:19" s="108" customFormat="1" ht="15.6">
      <c r="A77" s="464" t="s">
        <v>355</v>
      </c>
      <c r="B77" s="458">
        <v>3331551574</v>
      </c>
      <c r="C77" s="465" t="s">
        <v>351</v>
      </c>
      <c r="D77" s="465">
        <v>24140549</v>
      </c>
      <c r="E77" s="458" t="s">
        <v>354</v>
      </c>
      <c r="F77" s="458" t="s">
        <v>353</v>
      </c>
      <c r="G77" s="466">
        <f>2078.448+23942.8</f>
        <v>26021.248</v>
      </c>
      <c r="H77" s="458" t="s">
        <v>318</v>
      </c>
      <c r="I77" s="458">
        <v>1</v>
      </c>
      <c r="J77" s="467">
        <v>1</v>
      </c>
      <c r="K77" s="468" t="s">
        <v>204</v>
      </c>
    </row>
    <row r="78" spans="1:19" s="108" customFormat="1" ht="15.6">
      <c r="A78" s="464" t="s">
        <v>350</v>
      </c>
      <c r="B78" s="458">
        <v>3331551595</v>
      </c>
      <c r="C78" s="465" t="s">
        <v>351</v>
      </c>
      <c r="D78" s="465" t="s">
        <v>256</v>
      </c>
      <c r="E78" s="458" t="s">
        <v>256</v>
      </c>
      <c r="F78" s="458" t="s">
        <v>256</v>
      </c>
      <c r="G78" s="466" t="s">
        <v>256</v>
      </c>
      <c r="H78" s="458" t="s">
        <v>256</v>
      </c>
      <c r="I78" s="458" t="s">
        <v>256</v>
      </c>
      <c r="J78" s="467" t="s">
        <v>256</v>
      </c>
      <c r="K78" s="468" t="s">
        <v>204</v>
      </c>
    </row>
    <row r="79" spans="1:19" s="108" customFormat="1" ht="15.6">
      <c r="A79" s="464" t="s">
        <v>350</v>
      </c>
      <c r="B79" s="458">
        <v>3331551590</v>
      </c>
      <c r="C79" s="465" t="s">
        <v>351</v>
      </c>
      <c r="D79" s="465">
        <v>24140550</v>
      </c>
      <c r="E79" s="458" t="s">
        <v>356</v>
      </c>
      <c r="F79" s="458" t="s">
        <v>353</v>
      </c>
      <c r="G79" s="466">
        <v>25980.6</v>
      </c>
      <c r="H79" s="458" t="s">
        <v>318</v>
      </c>
      <c r="I79" s="458">
        <v>1</v>
      </c>
      <c r="J79" s="467">
        <v>1</v>
      </c>
      <c r="K79" s="468" t="s">
        <v>204</v>
      </c>
    </row>
    <row r="80" spans="1:19" s="108" customFormat="1" ht="15.6">
      <c r="A80" s="464" t="s">
        <v>347</v>
      </c>
      <c r="B80" s="458">
        <v>3331551491</v>
      </c>
      <c r="C80" s="465" t="s">
        <v>27</v>
      </c>
      <c r="D80" s="465">
        <v>24140541</v>
      </c>
      <c r="E80" s="458" t="s">
        <v>121</v>
      </c>
      <c r="F80" s="458" t="s">
        <v>199</v>
      </c>
      <c r="G80" s="466">
        <f>19530.765+7786.44</f>
        <v>27317.204999999998</v>
      </c>
      <c r="H80" s="458" t="str">
        <f>IF(G80&gt;28000,"TRAILER","TRONTON")</f>
        <v>TRONTON</v>
      </c>
      <c r="I80" s="458">
        <v>1</v>
      </c>
      <c r="J80" s="467">
        <v>1</v>
      </c>
      <c r="K80" s="468" t="s">
        <v>204</v>
      </c>
      <c r="P80" s="44"/>
      <c r="Q80" s="44"/>
      <c r="R80" s="44"/>
    </row>
    <row r="81" spans="1:11" s="44" customFormat="1" ht="15.6">
      <c r="A81" s="464" t="s">
        <v>347</v>
      </c>
      <c r="B81" s="458">
        <v>3331551541</v>
      </c>
      <c r="C81" s="465" t="s">
        <v>256</v>
      </c>
      <c r="D81" s="465" t="s">
        <v>256</v>
      </c>
      <c r="E81" s="458" t="s">
        <v>256</v>
      </c>
      <c r="F81" s="458" t="s">
        <v>256</v>
      </c>
      <c r="G81" s="466" t="s">
        <v>256</v>
      </c>
      <c r="H81" s="458" t="s">
        <v>256</v>
      </c>
      <c r="I81" s="458" t="s">
        <v>256</v>
      </c>
      <c r="J81" s="467" t="s">
        <v>256</v>
      </c>
      <c r="K81" s="468" t="s">
        <v>204</v>
      </c>
    </row>
    <row r="82" spans="1:11" s="108" customFormat="1" ht="15.6">
      <c r="A82" s="860" t="s">
        <v>349</v>
      </c>
      <c r="B82" s="861">
        <v>3331551588</v>
      </c>
      <c r="C82" s="862" t="s">
        <v>34</v>
      </c>
      <c r="D82" s="862">
        <v>24140553</v>
      </c>
      <c r="E82" s="861" t="s">
        <v>357</v>
      </c>
      <c r="F82" s="861" t="s">
        <v>199</v>
      </c>
      <c r="G82" s="863">
        <v>19601.332999999999</v>
      </c>
      <c r="H82" s="458" t="str">
        <f>IF(G82&gt;28000,"TRAILER","TRONTON")</f>
        <v>TRONTON</v>
      </c>
      <c r="I82" s="458">
        <v>1</v>
      </c>
      <c r="J82" s="467">
        <v>1</v>
      </c>
      <c r="K82" s="468" t="s">
        <v>204</v>
      </c>
    </row>
    <row r="83" spans="1:11" s="44" customFormat="1" ht="15.6">
      <c r="A83" s="860" t="s">
        <v>341</v>
      </c>
      <c r="B83" s="861">
        <v>3331551641</v>
      </c>
      <c r="C83" s="862" t="s">
        <v>27</v>
      </c>
      <c r="D83" s="862">
        <v>24140556</v>
      </c>
      <c r="E83" s="861" t="s">
        <v>257</v>
      </c>
      <c r="F83" s="861" t="s">
        <v>199</v>
      </c>
      <c r="G83" s="863">
        <v>25153.149000000001</v>
      </c>
      <c r="H83" s="458" t="str">
        <f>IF(G83&gt;28000,"TRAILER","TRONTON")</f>
        <v>TRONTON</v>
      </c>
      <c r="I83" s="864">
        <v>1</v>
      </c>
      <c r="J83" s="865">
        <v>1</v>
      </c>
      <c r="K83" s="468" t="s">
        <v>204</v>
      </c>
    </row>
    <row r="84" spans="1:11" s="44" customFormat="1" ht="15.6">
      <c r="A84" s="860" t="s">
        <v>341</v>
      </c>
      <c r="B84" s="861">
        <v>3331551645</v>
      </c>
      <c r="C84" s="862" t="s">
        <v>27</v>
      </c>
      <c r="D84" s="862">
        <v>24140557</v>
      </c>
      <c r="E84" s="861" t="s">
        <v>257</v>
      </c>
      <c r="F84" s="861" t="s">
        <v>199</v>
      </c>
      <c r="G84" s="863">
        <v>28925.166000000001</v>
      </c>
      <c r="H84" s="458" t="str">
        <f t="shared" ref="H84:H92" si="5">IF(G84&gt;29000,"TRAILER","TRONTON")</f>
        <v>TRONTON</v>
      </c>
      <c r="I84" s="864">
        <v>1</v>
      </c>
      <c r="J84" s="865">
        <v>1</v>
      </c>
      <c r="K84" s="468" t="s">
        <v>204</v>
      </c>
    </row>
    <row r="85" spans="1:11" s="44" customFormat="1" ht="15.6">
      <c r="A85" s="866" t="s">
        <v>358</v>
      </c>
      <c r="B85" s="867">
        <v>3331551647</v>
      </c>
      <c r="C85" s="868" t="s">
        <v>359</v>
      </c>
      <c r="D85" s="868">
        <v>24140558</v>
      </c>
      <c r="E85" s="867" t="s">
        <v>129</v>
      </c>
      <c r="F85" s="867" t="s">
        <v>338</v>
      </c>
      <c r="G85" s="869">
        <v>34284.22</v>
      </c>
      <c r="H85" s="472" t="str">
        <f t="shared" si="5"/>
        <v>TRAILER</v>
      </c>
      <c r="I85" s="870">
        <v>1</v>
      </c>
      <c r="J85" s="871">
        <v>1</v>
      </c>
      <c r="K85" s="468" t="s">
        <v>204</v>
      </c>
    </row>
    <row r="86" spans="1:11" s="44" customFormat="1" ht="15.6">
      <c r="A86" s="866" t="s">
        <v>358</v>
      </c>
      <c r="B86" s="867">
        <v>3331551501</v>
      </c>
      <c r="C86" s="868" t="s">
        <v>359</v>
      </c>
      <c r="D86" s="868">
        <v>24140559</v>
      </c>
      <c r="E86" s="867" t="s">
        <v>129</v>
      </c>
      <c r="F86" s="867" t="s">
        <v>338</v>
      </c>
      <c r="G86" s="869">
        <v>37415.146000000001</v>
      </c>
      <c r="H86" s="472" t="str">
        <f t="shared" si="5"/>
        <v>TRAILER</v>
      </c>
      <c r="I86" s="870">
        <v>1</v>
      </c>
      <c r="J86" s="871">
        <v>1</v>
      </c>
      <c r="K86" s="468" t="s">
        <v>204</v>
      </c>
    </row>
    <row r="87" spans="1:11" s="108" customFormat="1" ht="15.6">
      <c r="A87" s="860" t="s">
        <v>350</v>
      </c>
      <c r="B87" s="864">
        <v>3331551594</v>
      </c>
      <c r="C87" s="862" t="s">
        <v>11</v>
      </c>
      <c r="D87" s="862">
        <v>24140551</v>
      </c>
      <c r="E87" s="861" t="s">
        <v>119</v>
      </c>
      <c r="F87" s="861" t="s">
        <v>340</v>
      </c>
      <c r="G87" s="863">
        <v>24811.473000000002</v>
      </c>
      <c r="H87" s="458" t="str">
        <f t="shared" si="5"/>
        <v>TRONTON</v>
      </c>
      <c r="I87" s="864">
        <v>1</v>
      </c>
      <c r="J87" s="865">
        <v>1</v>
      </c>
      <c r="K87" s="468" t="s">
        <v>204</v>
      </c>
    </row>
    <row r="88" spans="1:11" s="108" customFormat="1" ht="15.6">
      <c r="A88" s="860" t="s">
        <v>349</v>
      </c>
      <c r="B88" s="864">
        <v>3331551613</v>
      </c>
      <c r="C88" s="862" t="s">
        <v>34</v>
      </c>
      <c r="D88" s="862">
        <v>24140552</v>
      </c>
      <c r="E88" s="861" t="s">
        <v>119</v>
      </c>
      <c r="F88" s="861" t="s">
        <v>340</v>
      </c>
      <c r="G88" s="863">
        <v>23945.453000000001</v>
      </c>
      <c r="H88" s="458" t="str">
        <f t="shared" si="5"/>
        <v>TRONTON</v>
      </c>
      <c r="I88" s="864">
        <v>1</v>
      </c>
      <c r="J88" s="865">
        <v>1</v>
      </c>
      <c r="K88" s="468" t="s">
        <v>204</v>
      </c>
    </row>
    <row r="89" spans="1:11" s="44" customFormat="1" ht="15.6">
      <c r="A89" s="860" t="s">
        <v>349</v>
      </c>
      <c r="B89" s="864">
        <v>3331551628</v>
      </c>
      <c r="C89" s="862" t="s">
        <v>27</v>
      </c>
      <c r="D89" s="862">
        <v>24140555</v>
      </c>
      <c r="E89" s="861" t="s">
        <v>119</v>
      </c>
      <c r="F89" s="861" t="s">
        <v>340</v>
      </c>
      <c r="G89" s="863">
        <v>23691.688999999998</v>
      </c>
      <c r="H89" s="458" t="str">
        <f t="shared" si="5"/>
        <v>TRONTON</v>
      </c>
      <c r="I89" s="864">
        <v>1</v>
      </c>
      <c r="J89" s="865">
        <v>1</v>
      </c>
      <c r="K89" s="468" t="s">
        <v>204</v>
      </c>
    </row>
    <row r="90" spans="1:11" s="108" customFormat="1" ht="15.6">
      <c r="A90" s="860" t="s">
        <v>349</v>
      </c>
      <c r="B90" s="872">
        <v>3331551975</v>
      </c>
      <c r="C90" s="862" t="s">
        <v>27</v>
      </c>
      <c r="D90" s="592">
        <v>24140568</v>
      </c>
      <c r="E90" s="873" t="s">
        <v>257</v>
      </c>
      <c r="F90" s="458" t="s">
        <v>199</v>
      </c>
      <c r="G90" s="874">
        <v>25554.38</v>
      </c>
      <c r="H90" s="473" t="str">
        <f t="shared" si="5"/>
        <v>TRONTON</v>
      </c>
      <c r="I90" s="864">
        <v>1</v>
      </c>
      <c r="J90" s="865">
        <v>1</v>
      </c>
      <c r="K90" s="468" t="s">
        <v>204</v>
      </c>
    </row>
    <row r="91" spans="1:11" s="108" customFormat="1" ht="15.6">
      <c r="A91" s="875" t="s">
        <v>350</v>
      </c>
      <c r="B91" s="449">
        <v>3331551582</v>
      </c>
      <c r="C91" s="876" t="s">
        <v>360</v>
      </c>
      <c r="D91" s="449">
        <v>24140542</v>
      </c>
      <c r="E91" s="449" t="s">
        <v>134</v>
      </c>
      <c r="F91" s="474" t="s">
        <v>199</v>
      </c>
      <c r="G91" s="450">
        <v>26550</v>
      </c>
      <c r="H91" s="473" t="str">
        <f t="shared" si="5"/>
        <v>TRONTON</v>
      </c>
      <c r="I91" s="877">
        <v>1</v>
      </c>
      <c r="J91" s="865">
        <v>1</v>
      </c>
      <c r="K91" s="468" t="s">
        <v>204</v>
      </c>
    </row>
    <row r="92" spans="1:11" s="448" customFormat="1" ht="15.6">
      <c r="A92" s="878" t="s">
        <v>350</v>
      </c>
      <c r="B92" s="452">
        <v>3331551978</v>
      </c>
      <c r="C92" s="878" t="s">
        <v>27</v>
      </c>
      <c r="D92" s="452">
        <v>24140569</v>
      </c>
      <c r="E92" s="452" t="s">
        <v>257</v>
      </c>
      <c r="F92" s="475" t="s">
        <v>199</v>
      </c>
      <c r="G92" s="453">
        <v>25153.9</v>
      </c>
      <c r="H92" s="473" t="str">
        <f t="shared" si="5"/>
        <v>TRONTON</v>
      </c>
      <c r="I92" s="769">
        <v>1</v>
      </c>
      <c r="J92" s="768">
        <v>1</v>
      </c>
      <c r="K92" s="476" t="s">
        <v>204</v>
      </c>
    </row>
    <row r="93" spans="1:11" s="55" customFormat="1" ht="15.6">
      <c r="A93" s="879" t="s">
        <v>350</v>
      </c>
      <c r="B93" s="449">
        <v>3331551501</v>
      </c>
      <c r="C93" s="862" t="s">
        <v>360</v>
      </c>
      <c r="D93" s="449">
        <v>24140559</v>
      </c>
      <c r="E93" s="449" t="s">
        <v>129</v>
      </c>
      <c r="F93" s="459" t="s">
        <v>205</v>
      </c>
      <c r="G93" s="450">
        <v>37434</v>
      </c>
      <c r="H93" s="449" t="s">
        <v>128</v>
      </c>
      <c r="I93" s="449">
        <v>1</v>
      </c>
      <c r="J93" s="449">
        <v>1</v>
      </c>
      <c r="K93" s="477" t="s">
        <v>204</v>
      </c>
    </row>
    <row r="94" spans="1:11" s="55" customFormat="1" ht="15.6">
      <c r="A94" s="880" t="s">
        <v>350</v>
      </c>
      <c r="B94" s="452">
        <v>3331551647</v>
      </c>
      <c r="C94" s="592" t="s">
        <v>27</v>
      </c>
      <c r="D94" s="452">
        <v>24140558</v>
      </c>
      <c r="E94" s="452" t="s">
        <v>129</v>
      </c>
      <c r="F94" s="478" t="s">
        <v>205</v>
      </c>
      <c r="G94" s="456">
        <v>34105</v>
      </c>
      <c r="H94" s="452" t="s">
        <v>128</v>
      </c>
      <c r="I94" s="452">
        <v>1</v>
      </c>
      <c r="J94" s="452">
        <v>1</v>
      </c>
      <c r="K94" s="476" t="s">
        <v>204</v>
      </c>
    </row>
    <row r="95" spans="1:11" ht="15.6">
      <c r="A95" s="880" t="s">
        <v>350</v>
      </c>
      <c r="B95" s="452">
        <v>3331551613</v>
      </c>
      <c r="C95" s="592" t="s">
        <v>11</v>
      </c>
      <c r="D95" s="452">
        <v>24140552</v>
      </c>
      <c r="E95" s="452" t="s">
        <v>119</v>
      </c>
      <c r="F95" s="469" t="s">
        <v>199</v>
      </c>
      <c r="G95" s="456">
        <v>23779</v>
      </c>
      <c r="H95" s="473" t="str">
        <f>IF(G95&gt;29000,"TRAILER","TRONTON")</f>
        <v>TRONTON</v>
      </c>
      <c r="I95" s="452">
        <v>1</v>
      </c>
      <c r="J95" s="452">
        <v>1</v>
      </c>
      <c r="K95" s="476" t="s">
        <v>204</v>
      </c>
    </row>
    <row r="96" spans="1:11" s="44" customFormat="1">
      <c r="A96" s="115"/>
      <c r="B96" s="124"/>
      <c r="C96" s="447"/>
      <c r="D96" s="447"/>
      <c r="E96" s="115"/>
      <c r="F96" s="115"/>
      <c r="G96" s="451"/>
      <c r="H96" s="115"/>
      <c r="I96" s="124"/>
      <c r="J96" s="454"/>
      <c r="K96" s="455"/>
    </row>
    <row r="97" spans="1:15" s="44" customFormat="1">
      <c r="A97" s="81"/>
      <c r="B97" s="81"/>
      <c r="C97" s="114"/>
      <c r="D97" s="114"/>
      <c r="E97" s="364"/>
      <c r="F97" s="82"/>
      <c r="G97" s="191"/>
      <c r="H97" s="82"/>
      <c r="I97" s="81"/>
      <c r="J97" s="240"/>
      <c r="K97" s="237"/>
    </row>
    <row r="98" spans="1:15">
      <c r="A98" s="300"/>
      <c r="B98" s="300"/>
      <c r="C98" s="297"/>
      <c r="D98" s="297"/>
      <c r="E98" s="371"/>
      <c r="F98" s="301"/>
      <c r="G98" s="302"/>
      <c r="H98" s="301"/>
      <c r="I98" s="300"/>
      <c r="J98" s="300"/>
      <c r="K98" s="303"/>
      <c r="O98" s="44"/>
    </row>
    <row r="100" spans="1:15" ht="21">
      <c r="B100" s="422" t="s">
        <v>244</v>
      </c>
    </row>
    <row r="101" spans="1:15" ht="25.8">
      <c r="A101" s="44"/>
      <c r="B101" s="251" t="s">
        <v>304</v>
      </c>
      <c r="F101" s="1506" t="s">
        <v>305</v>
      </c>
      <c r="G101" s="1507"/>
      <c r="I101" s="373"/>
    </row>
    <row r="102" spans="1:15" ht="23.4">
      <c r="B102" s="251" t="s">
        <v>361</v>
      </c>
      <c r="F102" s="372" t="s">
        <v>197</v>
      </c>
      <c r="G102" s="381">
        <f ca="1">SUMIF(H32:H1194, "TRAILER", I32:I1193)</f>
        <v>14</v>
      </c>
    </row>
    <row r="103" spans="1:15" ht="23.4">
      <c r="F103" s="379" t="s">
        <v>200</v>
      </c>
      <c r="G103" s="381">
        <f ca="1">SUMIF(H32:H1195,"TRONTON",I32:I1194)</f>
        <v>42</v>
      </c>
    </row>
    <row r="104" spans="1:15" ht="23.4">
      <c r="F104" s="377" t="s">
        <v>266</v>
      </c>
      <c r="G104" s="382">
        <f ca="1">SUM(G102:G103)</f>
        <v>56</v>
      </c>
    </row>
    <row r="105" spans="1:15" ht="36">
      <c r="F105" s="404" t="s">
        <v>306</v>
      </c>
      <c r="G105" s="382">
        <v>11</v>
      </c>
    </row>
    <row r="106" spans="1:15" ht="23.4">
      <c r="F106" s="445" t="s">
        <v>362</v>
      </c>
      <c r="G106" s="446">
        <f>I10</f>
        <v>4</v>
      </c>
    </row>
    <row r="107" spans="1:15" ht="23.4">
      <c r="F107" s="445" t="s">
        <v>363</v>
      </c>
      <c r="G107" s="446">
        <f ca="1">G105+G106+G104</f>
        <v>71</v>
      </c>
    </row>
  </sheetData>
  <mergeCells count="9">
    <mergeCell ref="A9:B9"/>
    <mergeCell ref="E8:F8"/>
    <mergeCell ref="F101:G101"/>
    <mergeCell ref="E1:F1"/>
    <mergeCell ref="I1:J1"/>
    <mergeCell ref="A1:A2"/>
    <mergeCell ref="B1:B2"/>
    <mergeCell ref="I8:J8"/>
    <mergeCell ref="H12:J1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92C7-233F-4256-8C9B-51F23022C7DA}">
  <dimension ref="A1:S68"/>
  <sheetViews>
    <sheetView showGridLines="0" topLeftCell="A13" zoomScale="85" zoomScaleNormal="85" workbookViewId="0">
      <selection activeCell="A42" sqref="A42"/>
    </sheetView>
  </sheetViews>
  <sheetFormatPr defaultColWidth="9.109375" defaultRowHeight="14.4"/>
  <cols>
    <col min="1" max="1" width="37.109375" customWidth="1"/>
    <col min="2" max="2" width="25.33203125" customWidth="1"/>
    <col min="3" max="3" width="17" customWidth="1"/>
    <col min="4" max="4" width="30.109375" customWidth="1"/>
    <col min="5" max="5" width="45.5546875" style="358" bestFit="1" customWidth="1"/>
    <col min="6" max="6" width="29" customWidth="1"/>
    <col min="7" max="7" width="17.109375" customWidth="1"/>
    <col min="8" max="8" width="26.44140625" customWidth="1"/>
    <col min="9" max="9" width="20.109375" customWidth="1"/>
    <col min="10" max="10" width="23.33203125" bestFit="1" customWidth="1"/>
    <col min="11" max="11" width="17" customWidth="1"/>
    <col min="12" max="12" width="10.5546875" customWidth="1"/>
    <col min="13" max="13" width="6.5546875" customWidth="1"/>
    <col min="16" max="16" width="10.6640625" hidden="1" customWidth="1"/>
    <col min="17" max="17" width="11.88671875" hidden="1" customWidth="1"/>
    <col min="18" max="18" width="9.109375" hidden="1" customWidth="1"/>
    <col min="19" max="19" width="9.109375" customWidth="1"/>
  </cols>
  <sheetData>
    <row r="1" spans="1:19" ht="31.5" customHeight="1">
      <c r="A1" s="1513" t="s">
        <v>307</v>
      </c>
      <c r="B1" s="1515">
        <f ca="1">TODAY()</f>
        <v>45977</v>
      </c>
      <c r="D1" s="419" t="s">
        <v>308</v>
      </c>
      <c r="E1" s="1511" t="s">
        <v>309</v>
      </c>
      <c r="F1" s="1512"/>
      <c r="H1" s="421" t="s">
        <v>308</v>
      </c>
      <c r="I1" s="1509" t="s">
        <v>310</v>
      </c>
      <c r="J1" s="1510"/>
      <c r="P1" s="276" t="s">
        <v>27</v>
      </c>
      <c r="Q1" s="294">
        <f>COUNTIF($C$20:$C$980,"SILOG")</f>
        <v>14</v>
      </c>
      <c r="R1" s="254" t="str">
        <f>IFERROR(VLOOKUP(J1,'IN OUT'!L:M,2,FALSE), "BELUM MASUK")</f>
        <v>BELUM MASUK</v>
      </c>
    </row>
    <row r="2" spans="1:19" ht="30" customHeight="1">
      <c r="A2" s="1514"/>
      <c r="B2" s="1516"/>
      <c r="D2" s="419" t="s">
        <v>247</v>
      </c>
      <c r="E2" s="419" t="s">
        <v>195</v>
      </c>
      <c r="F2" s="322" t="s">
        <v>196</v>
      </c>
      <c r="H2" s="426" t="s">
        <v>247</v>
      </c>
      <c r="I2" s="417" t="s">
        <v>195</v>
      </c>
      <c r="J2" s="418" t="s">
        <v>196</v>
      </c>
      <c r="P2" s="276" t="s">
        <v>175</v>
      </c>
      <c r="Q2" s="294">
        <f>COUNTIF($C$20:$C$980,"SIBA")</f>
        <v>1</v>
      </c>
    </row>
    <row r="3" spans="1:19" ht="36.75" customHeight="1">
      <c r="A3" s="433" t="s">
        <v>307</v>
      </c>
      <c r="B3" s="427">
        <f>SUM(I20:I1094)+I10</f>
        <v>34</v>
      </c>
      <c r="C3" s="405"/>
      <c r="D3" s="353" t="s">
        <v>199</v>
      </c>
      <c r="E3" s="420">
        <f>COUNTIF(F20:F1000,"JABODETABEK")</f>
        <v>12</v>
      </c>
      <c r="F3" s="318">
        <f>SUMIF(F20:F1000, "JABODETABEK", G20:G1000)</f>
        <v>299665.23500000004</v>
      </c>
      <c r="G3" s="343"/>
      <c r="H3" s="424" t="s">
        <v>199</v>
      </c>
      <c r="I3" s="425" cm="1">
        <f t="array" ref="I3">SUMPRODUCT(--(RIGHT(F20:F997,20)="JABODETABEK NEXT DAY"))</f>
        <v>6</v>
      </c>
      <c r="J3" s="423">
        <f>SUMIF(F20:F1000, "JABODETABEK NEXT DAY", G20:G1000)</f>
        <v>153094.08600000001</v>
      </c>
      <c r="P3" s="276" t="s">
        <v>11</v>
      </c>
      <c r="Q3" s="294">
        <f>COUNTIF($C$20:$C$980,"YUSHAR")</f>
        <v>2</v>
      </c>
    </row>
    <row r="4" spans="1:19" ht="29.25" customHeight="1">
      <c r="A4" s="432" t="s">
        <v>201</v>
      </c>
      <c r="B4" s="434">
        <f>SUM(J20:J1128)</f>
        <v>28</v>
      </c>
      <c r="D4" s="353" t="s">
        <v>203</v>
      </c>
      <c r="E4" s="245">
        <f>COUNTIF(F20:F1001, "JAWA TENGAH")</f>
        <v>0</v>
      </c>
      <c r="F4" s="318">
        <f>SUMIF(F20:F1001, "JAWA TENGAH", G20:G1001)</f>
        <v>0</v>
      </c>
      <c r="H4" s="354" t="s">
        <v>203</v>
      </c>
      <c r="I4" s="425" cm="1">
        <f t="array" ref="I4">SUMPRODUCT(--(RIGHT(F34:F998,20)="JAWA TENGAH NEXT DAY"))</f>
        <v>5</v>
      </c>
      <c r="J4" s="423">
        <f>SUMIF(F34:F1001, "JAWA TENGAH NEXT DAY", G34:G1001)</f>
        <v>152164.038</v>
      </c>
      <c r="P4" s="276" t="s">
        <v>206</v>
      </c>
      <c r="Q4" s="294">
        <f>COUNTIF($C$20:$C$980,"BRJ")</f>
        <v>0</v>
      </c>
    </row>
    <row r="5" spans="1:19" ht="33.6">
      <c r="A5" s="351" t="s">
        <v>265</v>
      </c>
      <c r="B5" s="315">
        <f>COUNTIF(K20:K977,"MASUK")</f>
        <v>28</v>
      </c>
      <c r="C5" s="400"/>
      <c r="D5" s="439" t="s">
        <v>205</v>
      </c>
      <c r="E5" s="247">
        <f>COUNTIF(F20:F1002, "JAWA TIMUR")</f>
        <v>1</v>
      </c>
      <c r="F5" s="318">
        <f>SUMIF(F20:F1002, "JAWA TIMUR", G20:G1002)</f>
        <v>44089.520000000004</v>
      </c>
      <c r="H5" s="353" t="s">
        <v>205</v>
      </c>
      <c r="I5" s="245" cm="1">
        <f t="array" ref="I5">SUMPRODUCT(--(RIGHT(F34:F999,20)="JAWA TIMUR NEXT DAY"))</f>
        <v>6</v>
      </c>
      <c r="J5" s="423">
        <f>SUMIF(F34:F1002, "JAWA TIMUR NEXT DAY", G34:G1002)</f>
        <v>221715.93299999999</v>
      </c>
      <c r="P5" s="282" t="s">
        <v>34</v>
      </c>
      <c r="Q5" s="294">
        <f>COUNTIF($C$20:$C$980,"ALIEF")</f>
        <v>0</v>
      </c>
    </row>
    <row r="6" spans="1:19" ht="33.6">
      <c r="A6" s="351" t="s">
        <v>207</v>
      </c>
      <c r="B6" s="315">
        <f>COUNTIF(K20:K977,"BELUM MASUK")</f>
        <v>0</v>
      </c>
      <c r="C6" s="396"/>
      <c r="D6" s="424" t="s">
        <v>312</v>
      </c>
      <c r="E6" s="438">
        <f>SUM(E3:E5)</f>
        <v>13</v>
      </c>
      <c r="F6" s="244">
        <f>SUM(F3:F5)</f>
        <v>343754.75500000006</v>
      </c>
      <c r="H6" s="353" t="s">
        <v>313</v>
      </c>
      <c r="I6" s="431">
        <f>SUM(I3:I5)</f>
        <v>17</v>
      </c>
      <c r="J6" s="244">
        <f>SUM(J3:J5)</f>
        <v>526974.05700000003</v>
      </c>
      <c r="K6" s="398"/>
      <c r="L6" s="397"/>
      <c r="P6" s="293" t="s">
        <v>152</v>
      </c>
      <c r="Q6" s="294">
        <f>COUNTIF($C$20:$C$980,"ELANG")</f>
        <v>1</v>
      </c>
    </row>
    <row r="7" spans="1:19" ht="27" customHeight="1">
      <c r="A7" s="352" t="s">
        <v>249</v>
      </c>
      <c r="B7" s="314">
        <f>(B3-B4)-I10</f>
        <v>2</v>
      </c>
      <c r="C7" s="251" t="s">
        <v>364</v>
      </c>
      <c r="E7" s="361"/>
      <c r="F7" s="327"/>
      <c r="G7" s="253"/>
      <c r="K7" s="349"/>
      <c r="L7" s="397"/>
      <c r="M7" s="308"/>
      <c r="N7" s="307"/>
      <c r="P7" s="293" t="s">
        <v>58</v>
      </c>
      <c r="Q7" s="294">
        <f>COUNTIF($C$20:$C$980,"CGL")</f>
        <v>0</v>
      </c>
    </row>
    <row r="8" spans="1:19" ht="27" customHeight="1">
      <c r="A8" s="295"/>
      <c r="B8" s="296"/>
      <c r="D8" s="403" t="s">
        <v>308</v>
      </c>
      <c r="E8" s="1509" t="s">
        <v>314</v>
      </c>
      <c r="F8" s="1510"/>
      <c r="G8" s="253"/>
      <c r="H8" s="421" t="s">
        <v>308</v>
      </c>
      <c r="I8" s="1509" t="s">
        <v>315</v>
      </c>
      <c r="J8" s="1510"/>
      <c r="K8" s="307"/>
      <c r="L8" s="195"/>
      <c r="P8" t="s">
        <v>192</v>
      </c>
      <c r="Q8" s="275">
        <f>SUM(Q1:Q7)</f>
        <v>18</v>
      </c>
    </row>
    <row r="9" spans="1:19" ht="27" customHeight="1">
      <c r="A9" s="1495" t="s">
        <v>316</v>
      </c>
      <c r="B9" s="1496"/>
      <c r="D9" s="322" t="s">
        <v>247</v>
      </c>
      <c r="E9" s="417" t="s">
        <v>195</v>
      </c>
      <c r="F9" s="418" t="s">
        <v>196</v>
      </c>
      <c r="G9" s="253"/>
      <c r="H9" s="426" t="s">
        <v>247</v>
      </c>
      <c r="I9" s="417" t="s">
        <v>195</v>
      </c>
      <c r="J9" s="441" t="s">
        <v>196</v>
      </c>
      <c r="K9" s="307"/>
      <c r="L9" s="195"/>
      <c r="Q9" s="275"/>
    </row>
    <row r="10" spans="1:19" ht="27" customHeight="1">
      <c r="A10" s="377" t="s">
        <v>197</v>
      </c>
      <c r="B10" s="378">
        <f ca="1">SUMIF($H$20:$H$1000, "TRAILER", $I$20:$I$999)</f>
        <v>9</v>
      </c>
      <c r="D10" s="353" t="s">
        <v>199</v>
      </c>
      <c r="E10" s="243">
        <f>COUNTIF(F45:F1007,"JABODETABEK")</f>
        <v>0</v>
      </c>
      <c r="F10" s="318">
        <f>SUMIF(F114:F1007,"JABODETABEK", G34:G1007)</f>
        <v>0</v>
      </c>
      <c r="G10" s="253"/>
      <c r="H10" s="440" t="s">
        <v>317</v>
      </c>
      <c r="I10" s="249">
        <v>4</v>
      </c>
      <c r="J10" s="244">
        <f>SUMIF(F20:F1002,"INTERISLAND ",G20:G1002)</f>
        <v>0</v>
      </c>
      <c r="K10" s="307"/>
      <c r="L10" s="195"/>
      <c r="Q10" s="275"/>
    </row>
    <row r="11" spans="1:19" ht="27" customHeight="1">
      <c r="A11" s="430" t="s">
        <v>200</v>
      </c>
      <c r="B11" s="380">
        <f ca="1">SUMIF($H$20:$H$1001, "TRONTON", $I$20:$I$1000)</f>
        <v>21</v>
      </c>
      <c r="D11" s="353" t="s">
        <v>203</v>
      </c>
      <c r="E11" s="243">
        <f>COUNTIF(F45:F1008,"JAWA TENGAH")</f>
        <v>0</v>
      </c>
      <c r="F11" s="318">
        <f>SUMIF(F34:F1008, "JAWA TENGAH", G34:G1008)</f>
        <v>0</v>
      </c>
      <c r="G11" s="253"/>
      <c r="H11" s="44"/>
      <c r="I11" s="442"/>
      <c r="J11" s="443"/>
      <c r="K11" s="307"/>
      <c r="L11" s="195"/>
      <c r="Q11" s="275"/>
    </row>
    <row r="12" spans="1:19" ht="27" customHeight="1">
      <c r="A12" s="430" t="s">
        <v>365</v>
      </c>
      <c r="B12" s="380">
        <v>0</v>
      </c>
      <c r="D12" s="354" t="s">
        <v>319</v>
      </c>
      <c r="E12" s="243">
        <f>COUNTIF(F45:F1009, "JAWA TIMUR NEXT DAY")</f>
        <v>6</v>
      </c>
      <c r="F12" s="318">
        <f>SUMIF(F34:F1009, "JAWA TIMUR NEXT DAY", G34:G1009)</f>
        <v>221715.93299999999</v>
      </c>
      <c r="G12" s="253"/>
      <c r="I12" s="281"/>
      <c r="J12" s="348"/>
      <c r="K12" s="307"/>
      <c r="L12" s="195"/>
      <c r="Q12" s="275"/>
      <c r="S12">
        <f>29+29+4</f>
        <v>62</v>
      </c>
    </row>
    <row r="13" spans="1:19" ht="27" customHeight="1">
      <c r="A13" s="428" t="s">
        <v>321</v>
      </c>
      <c r="B13" s="429">
        <v>0</v>
      </c>
      <c r="D13" s="353" t="s">
        <v>322</v>
      </c>
      <c r="E13" s="249">
        <f>SUM(E10:E12)</f>
        <v>6</v>
      </c>
      <c r="F13" s="244">
        <f>SUM(F10:F12)</f>
        <v>221715.93299999999</v>
      </c>
      <c r="G13" s="253"/>
      <c r="H13" s="444"/>
      <c r="I13" s="442"/>
      <c r="J13" s="443"/>
      <c r="K13" s="307"/>
      <c r="L13" s="195"/>
      <c r="Q13" s="275"/>
    </row>
    <row r="14" spans="1:19" ht="27" customHeight="1">
      <c r="A14" s="428" t="s">
        <v>325</v>
      </c>
      <c r="B14" s="429">
        <v>0</v>
      </c>
      <c r="E14" s="361"/>
      <c r="F14" s="327"/>
      <c r="G14" s="253"/>
      <c r="K14" s="307"/>
      <c r="L14" s="195"/>
      <c r="Q14" s="275"/>
    </row>
    <row r="15" spans="1:19" ht="27" customHeight="1">
      <c r="A15" s="428" t="s">
        <v>327</v>
      </c>
      <c r="B15" s="429">
        <v>0</v>
      </c>
      <c r="D15" s="435" t="s">
        <v>328</v>
      </c>
      <c r="E15" s="437">
        <f>E6+I6+I10</f>
        <v>34</v>
      </c>
      <c r="F15" s="327"/>
      <c r="G15" s="253"/>
      <c r="I15" s="281"/>
      <c r="J15" s="348"/>
      <c r="K15" s="307"/>
      <c r="L15" s="195"/>
      <c r="Q15" s="275"/>
    </row>
    <row r="16" spans="1:19" ht="27" customHeight="1">
      <c r="A16" s="428" t="s">
        <v>330</v>
      </c>
      <c r="B16" s="429">
        <v>0</v>
      </c>
      <c r="D16" s="435" t="s">
        <v>331</v>
      </c>
      <c r="E16" s="436">
        <f>F6+J6</f>
        <v>870728.81200000015</v>
      </c>
      <c r="F16" s="327"/>
      <c r="G16" s="253"/>
      <c r="I16" s="281"/>
      <c r="J16" s="348"/>
      <c r="K16" s="307"/>
      <c r="L16" s="195"/>
      <c r="Q16" s="275"/>
    </row>
    <row r="17" spans="1:17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7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7" s="44" customFormat="1" ht="15.6">
      <c r="A20" s="880" t="s">
        <v>347</v>
      </c>
      <c r="B20" s="458">
        <v>3331552223</v>
      </c>
      <c r="C20" s="459" t="s">
        <v>27</v>
      </c>
      <c r="D20" s="459">
        <v>24140571</v>
      </c>
      <c r="E20" s="460" t="s">
        <v>219</v>
      </c>
      <c r="F20" s="460" t="s">
        <v>199</v>
      </c>
      <c r="G20" s="461">
        <v>25721.800999999999</v>
      </c>
      <c r="H20" s="460" t="str">
        <f>IF(G90&gt;28000,"TRAILER","TRONTON")</f>
        <v>TRONTON</v>
      </c>
      <c r="I20" s="460">
        <v>1</v>
      </c>
      <c r="J20" s="462">
        <v>1</v>
      </c>
      <c r="K20" s="463" t="s">
        <v>204</v>
      </c>
    </row>
    <row r="21" spans="1:17" s="44" customFormat="1" ht="15.6">
      <c r="A21" s="879" t="s">
        <v>347</v>
      </c>
      <c r="B21" s="465">
        <v>3331552226</v>
      </c>
      <c r="C21" s="459" t="s">
        <v>27</v>
      </c>
      <c r="D21" s="449">
        <v>24140572</v>
      </c>
      <c r="E21" s="449" t="s">
        <v>366</v>
      </c>
      <c r="F21" s="460" t="s">
        <v>199</v>
      </c>
      <c r="G21" s="450">
        <v>27180.108</v>
      </c>
      <c r="H21" s="460" t="str">
        <f>IF(G91&gt;28000,"TRAILER","TRONTON")</f>
        <v>TRONTON</v>
      </c>
      <c r="I21" s="459">
        <v>1</v>
      </c>
      <c r="J21" s="459">
        <v>1</v>
      </c>
      <c r="K21" s="477" t="s">
        <v>204</v>
      </c>
    </row>
    <row r="22" spans="1:17" s="44" customFormat="1" ht="15.6">
      <c r="A22" s="881" t="s">
        <v>347</v>
      </c>
      <c r="B22" s="479">
        <v>3331552227</v>
      </c>
      <c r="C22" s="459" t="s">
        <v>27</v>
      </c>
      <c r="D22" s="483">
        <v>24140573</v>
      </c>
      <c r="E22" s="449" t="s">
        <v>366</v>
      </c>
      <c r="F22" s="460" t="s">
        <v>199</v>
      </c>
      <c r="G22" s="484">
        <v>26794.056</v>
      </c>
      <c r="H22" s="460" t="str">
        <f>IF(G91&gt;28000,"TRAILER","TRONTON")</f>
        <v>TRONTON</v>
      </c>
      <c r="I22" s="460">
        <v>1</v>
      </c>
      <c r="J22" s="485">
        <v>1</v>
      </c>
      <c r="K22" s="486" t="s">
        <v>204</v>
      </c>
    </row>
    <row r="23" spans="1:17" s="44" customFormat="1" ht="15.6">
      <c r="A23" s="880" t="s">
        <v>347</v>
      </c>
      <c r="B23" s="469">
        <v>3331552233</v>
      </c>
      <c r="C23" s="459" t="s">
        <v>27</v>
      </c>
      <c r="D23" s="452">
        <v>24140574</v>
      </c>
      <c r="E23" s="452" t="s">
        <v>156</v>
      </c>
      <c r="F23" s="460" t="s">
        <v>199</v>
      </c>
      <c r="G23" s="456">
        <v>26492.004000000001</v>
      </c>
      <c r="H23" s="460" t="str">
        <f>IF(G92&gt;28000,"TRAILER","TRONTON")</f>
        <v>TRONTON</v>
      </c>
      <c r="I23" s="478">
        <v>1</v>
      </c>
      <c r="J23" s="478">
        <v>1</v>
      </c>
      <c r="K23" s="476" t="s">
        <v>204</v>
      </c>
    </row>
    <row r="24" spans="1:17" s="44" customFormat="1" ht="15.6">
      <c r="A24" s="880" t="s">
        <v>339</v>
      </c>
      <c r="B24" s="469">
        <v>3331551987</v>
      </c>
      <c r="C24" s="459" t="s">
        <v>27</v>
      </c>
      <c r="D24" s="452">
        <v>24140575</v>
      </c>
      <c r="E24" s="452" t="s">
        <v>367</v>
      </c>
      <c r="F24" s="460" t="s">
        <v>340</v>
      </c>
      <c r="G24" s="456">
        <f>20213.558+7524.88</f>
        <v>27738.438000000002</v>
      </c>
      <c r="H24" s="460" t="str">
        <f>IF(G93&gt;28000,"TRAILER","TRONTON")</f>
        <v>TRONTON</v>
      </c>
      <c r="I24" s="478">
        <v>1</v>
      </c>
      <c r="J24" s="478">
        <v>1</v>
      </c>
      <c r="K24" s="476" t="s">
        <v>204</v>
      </c>
    </row>
    <row r="25" spans="1:17" s="44" customFormat="1" ht="15.6">
      <c r="A25" s="880" t="s">
        <v>256</v>
      </c>
      <c r="B25" s="469">
        <v>3331551996</v>
      </c>
      <c r="C25" s="592" t="s">
        <v>256</v>
      </c>
      <c r="D25" s="452" t="s">
        <v>256</v>
      </c>
      <c r="E25" s="452" t="s">
        <v>256</v>
      </c>
      <c r="F25" s="460" t="s">
        <v>256</v>
      </c>
      <c r="G25" s="456" t="s">
        <v>256</v>
      </c>
      <c r="H25" s="460" t="s">
        <v>256</v>
      </c>
      <c r="I25" s="478" t="s">
        <v>256</v>
      </c>
      <c r="J25" s="478" t="s">
        <v>256</v>
      </c>
      <c r="K25" s="476" t="s">
        <v>256</v>
      </c>
    </row>
    <row r="26" spans="1:17" ht="15.6">
      <c r="A26" s="880" t="s">
        <v>339</v>
      </c>
      <c r="B26" s="469">
        <v>3331551959</v>
      </c>
      <c r="C26" s="592" t="s">
        <v>27</v>
      </c>
      <c r="D26" s="452">
        <v>24140576</v>
      </c>
      <c r="E26" s="452" t="s">
        <v>165</v>
      </c>
      <c r="F26" s="460" t="s">
        <v>340</v>
      </c>
      <c r="G26" s="456">
        <f>1240.398+20471.094</f>
        <v>21711.492000000002</v>
      </c>
      <c r="H26" s="460" t="str">
        <f>IF(G95&gt;28000,"TRAILER","TRONTON")</f>
        <v>TRONTON</v>
      </c>
      <c r="I26" s="478">
        <v>1</v>
      </c>
      <c r="J26" s="478">
        <v>1</v>
      </c>
      <c r="K26" s="476" t="s">
        <v>204</v>
      </c>
      <c r="O26" s="44"/>
    </row>
    <row r="27" spans="1:17" ht="15.6">
      <c r="A27" s="880" t="s">
        <v>256</v>
      </c>
      <c r="B27" s="469">
        <v>3331552012</v>
      </c>
      <c r="C27" s="592" t="s">
        <v>256</v>
      </c>
      <c r="D27" s="452" t="s">
        <v>256</v>
      </c>
      <c r="E27" s="452" t="s">
        <v>256</v>
      </c>
      <c r="F27" s="460" t="s">
        <v>256</v>
      </c>
      <c r="G27" s="456" t="s">
        <v>256</v>
      </c>
      <c r="H27" s="452" t="s">
        <v>256</v>
      </c>
      <c r="I27" s="478" t="s">
        <v>256</v>
      </c>
      <c r="J27" s="478" t="s">
        <v>256</v>
      </c>
      <c r="K27" s="476" t="s">
        <v>256</v>
      </c>
    </row>
    <row r="28" spans="1:17" ht="15.6">
      <c r="A28" s="880" t="s">
        <v>339</v>
      </c>
      <c r="B28" s="469">
        <v>3331552232</v>
      </c>
      <c r="C28" s="592" t="s">
        <v>27</v>
      </c>
      <c r="D28" s="592">
        <v>24140577</v>
      </c>
      <c r="E28" s="452" t="s">
        <v>165</v>
      </c>
      <c r="F28" s="460" t="s">
        <v>340</v>
      </c>
      <c r="G28" s="456">
        <f>23002.19+2666.906</f>
        <v>25669.095999999998</v>
      </c>
      <c r="H28" s="460" t="str">
        <f>IF(G97&gt;28000,"TRAILER","TRONTON")</f>
        <v>TRONTON</v>
      </c>
      <c r="I28" s="478">
        <v>1</v>
      </c>
      <c r="J28" s="478">
        <v>1</v>
      </c>
      <c r="K28" s="476" t="s">
        <v>204</v>
      </c>
    </row>
    <row r="29" spans="1:17" ht="15.6">
      <c r="A29" s="880" t="s">
        <v>256</v>
      </c>
      <c r="B29" s="469">
        <v>3331552234</v>
      </c>
      <c r="C29" s="592" t="s">
        <v>256</v>
      </c>
      <c r="D29" s="452" t="s">
        <v>256</v>
      </c>
      <c r="E29" s="452" t="s">
        <v>256</v>
      </c>
      <c r="F29" s="488" t="s">
        <v>256</v>
      </c>
      <c r="G29" s="456" t="s">
        <v>256</v>
      </c>
      <c r="H29" s="452" t="s">
        <v>256</v>
      </c>
      <c r="I29" s="478" t="s">
        <v>256</v>
      </c>
      <c r="J29" s="478" t="s">
        <v>256</v>
      </c>
      <c r="K29" s="476" t="s">
        <v>256</v>
      </c>
    </row>
    <row r="30" spans="1:17" ht="15.6">
      <c r="A30" s="880" t="s">
        <v>339</v>
      </c>
      <c r="B30" s="469">
        <v>3331551945</v>
      </c>
      <c r="C30" s="592" t="s">
        <v>27</v>
      </c>
      <c r="D30" s="452">
        <v>24140578</v>
      </c>
      <c r="E30" s="452" t="s">
        <v>165</v>
      </c>
      <c r="F30" s="460" t="s">
        <v>340</v>
      </c>
      <c r="G30" s="456">
        <v>23525.31</v>
      </c>
      <c r="H30" s="460" t="str">
        <f>IF(G99&gt;28000,"TRAILER","TRONTON")</f>
        <v>TRONTON</v>
      </c>
      <c r="I30" s="478">
        <v>1</v>
      </c>
      <c r="J30" s="478">
        <v>1</v>
      </c>
      <c r="K30" s="476" t="s">
        <v>204</v>
      </c>
    </row>
    <row r="31" spans="1:17" ht="15.6">
      <c r="A31" s="880" t="s">
        <v>339</v>
      </c>
      <c r="B31" s="469">
        <v>3331552244</v>
      </c>
      <c r="C31" s="592" t="s">
        <v>27</v>
      </c>
      <c r="D31" s="452">
        <v>24140579</v>
      </c>
      <c r="E31" s="452" t="s">
        <v>165</v>
      </c>
      <c r="F31" s="460" t="s">
        <v>340</v>
      </c>
      <c r="G31" s="456">
        <v>28645.85</v>
      </c>
      <c r="H31" s="460" t="str">
        <f t="shared" ref="H31:H34" si="0">IF(G100&gt;28000,"TRAILER","TRONTON")</f>
        <v>TRONTON</v>
      </c>
      <c r="I31" s="478">
        <v>1</v>
      </c>
      <c r="J31" s="478">
        <v>1</v>
      </c>
      <c r="K31" s="476" t="s">
        <v>204</v>
      </c>
    </row>
    <row r="32" spans="1:17" ht="15.6">
      <c r="A32" s="880" t="s">
        <v>347</v>
      </c>
      <c r="B32" s="469">
        <v>3331552240</v>
      </c>
      <c r="C32" s="592" t="s">
        <v>287</v>
      </c>
      <c r="D32" s="452">
        <v>24140580</v>
      </c>
      <c r="E32" s="452" t="s">
        <v>368</v>
      </c>
      <c r="F32" s="488" t="s">
        <v>199</v>
      </c>
      <c r="G32" s="456">
        <v>24854.774000000001</v>
      </c>
      <c r="H32" s="460" t="str">
        <f t="shared" si="0"/>
        <v>TRONTON</v>
      </c>
      <c r="I32" s="478">
        <v>1</v>
      </c>
      <c r="J32" s="478">
        <v>1</v>
      </c>
      <c r="K32" s="476" t="s">
        <v>204</v>
      </c>
    </row>
    <row r="33" spans="1:11" ht="15.6">
      <c r="A33" s="880" t="s">
        <v>347</v>
      </c>
      <c r="B33" s="469">
        <v>3331552242</v>
      </c>
      <c r="C33" s="592" t="s">
        <v>287</v>
      </c>
      <c r="D33" s="452">
        <v>24140581</v>
      </c>
      <c r="E33" s="452" t="s">
        <v>368</v>
      </c>
      <c r="F33" s="488" t="s">
        <v>199</v>
      </c>
      <c r="G33" s="456">
        <v>24032.055</v>
      </c>
      <c r="H33" s="460" t="str">
        <f t="shared" si="0"/>
        <v>TRONTON</v>
      </c>
      <c r="I33" s="478">
        <v>1</v>
      </c>
      <c r="J33" s="478">
        <v>1</v>
      </c>
      <c r="K33" s="476" t="s">
        <v>204</v>
      </c>
    </row>
    <row r="34" spans="1:11" ht="15.6">
      <c r="A34" s="879" t="s">
        <v>347</v>
      </c>
      <c r="B34" s="449">
        <v>3331552245</v>
      </c>
      <c r="C34" s="592" t="s">
        <v>287</v>
      </c>
      <c r="D34" s="449">
        <v>24140582</v>
      </c>
      <c r="E34" s="449" t="s">
        <v>368</v>
      </c>
      <c r="F34" s="488" t="s">
        <v>199</v>
      </c>
      <c r="G34" s="450">
        <f>18189.441+5375.813</f>
        <v>23565.254000000001</v>
      </c>
      <c r="H34" s="460" t="str">
        <f t="shared" si="0"/>
        <v>TRONTON</v>
      </c>
      <c r="I34" s="449">
        <v>1</v>
      </c>
      <c r="J34" s="449">
        <v>1</v>
      </c>
      <c r="K34" s="477" t="s">
        <v>204</v>
      </c>
    </row>
    <row r="35" spans="1:11" ht="15.6">
      <c r="A35" s="880" t="s">
        <v>256</v>
      </c>
      <c r="B35" s="452">
        <v>3331552249</v>
      </c>
      <c r="C35" s="592" t="s">
        <v>256</v>
      </c>
      <c r="D35" s="452" t="s">
        <v>256</v>
      </c>
      <c r="E35" s="452" t="s">
        <v>256</v>
      </c>
      <c r="F35" s="488" t="s">
        <v>256</v>
      </c>
      <c r="G35" s="456" t="s">
        <v>256</v>
      </c>
      <c r="H35" s="452" t="s">
        <v>256</v>
      </c>
      <c r="I35" s="452" t="s">
        <v>256</v>
      </c>
      <c r="J35" s="452" t="s">
        <v>256</v>
      </c>
      <c r="K35" s="476" t="s">
        <v>256</v>
      </c>
    </row>
    <row r="36" spans="1:11" ht="15.6">
      <c r="A36" s="880" t="s">
        <v>347</v>
      </c>
      <c r="B36" s="452">
        <v>3331552230</v>
      </c>
      <c r="C36" s="592" t="s">
        <v>287</v>
      </c>
      <c r="D36" s="452">
        <v>24140583</v>
      </c>
      <c r="E36" s="453" t="s">
        <v>369</v>
      </c>
      <c r="F36" s="882" t="s">
        <v>199</v>
      </c>
      <c r="G36" s="456">
        <f>2056.23+18462.113</f>
        <v>20518.343000000001</v>
      </c>
      <c r="H36" s="460" t="str">
        <f>IF(Table13[[#This Row],[TOTAL WEIGHT]]&gt;28000,"TRAILER","TRONTON")</f>
        <v>TRONTON</v>
      </c>
      <c r="I36" s="452">
        <v>1</v>
      </c>
      <c r="J36" s="452">
        <v>1</v>
      </c>
      <c r="K36" s="477" t="s">
        <v>204</v>
      </c>
    </row>
    <row r="37" spans="1:11" ht="15.6">
      <c r="A37" s="880" t="s">
        <v>256</v>
      </c>
      <c r="B37" s="452">
        <v>3331552239</v>
      </c>
      <c r="C37" s="592" t="s">
        <v>256</v>
      </c>
      <c r="D37" s="452" t="s">
        <v>256</v>
      </c>
      <c r="E37" s="452" t="s">
        <v>256</v>
      </c>
      <c r="F37" s="882" t="s">
        <v>256</v>
      </c>
      <c r="G37" s="456" t="s">
        <v>256</v>
      </c>
      <c r="H37" s="452" t="s">
        <v>256</v>
      </c>
      <c r="I37" s="452" t="s">
        <v>256</v>
      </c>
      <c r="J37" s="452" t="s">
        <v>256</v>
      </c>
      <c r="K37" s="476" t="s">
        <v>256</v>
      </c>
    </row>
    <row r="38" spans="1:11" ht="15.6">
      <c r="A38" s="880" t="s">
        <v>347</v>
      </c>
      <c r="B38" s="452">
        <v>3331552270</v>
      </c>
      <c r="C38" s="592" t="s">
        <v>27</v>
      </c>
      <c r="D38" s="452">
        <v>24140584</v>
      </c>
      <c r="E38" s="452" t="s">
        <v>156</v>
      </c>
      <c r="F38" s="882" t="s">
        <v>199</v>
      </c>
      <c r="G38" s="456">
        <v>24255.667000000001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1" ht="15.6">
      <c r="A39" s="880" t="s">
        <v>347</v>
      </c>
      <c r="B39" s="452">
        <v>3331552299</v>
      </c>
      <c r="C39" s="592" t="s">
        <v>11</v>
      </c>
      <c r="D39" s="490">
        <v>24140586</v>
      </c>
      <c r="E39" s="490" t="s">
        <v>156</v>
      </c>
      <c r="F39" s="882" t="s">
        <v>199</v>
      </c>
      <c r="G39" s="491">
        <v>25803.9</v>
      </c>
      <c r="H39" s="460" t="str">
        <f>IF(Table13[[#This Row],[TOTAL WEIGHT]]&gt;28000,"TRAILER","TRONTON")</f>
        <v>TRONTON</v>
      </c>
      <c r="I39" s="452">
        <v>1</v>
      </c>
      <c r="J39" s="452">
        <v>1</v>
      </c>
      <c r="K39" s="476" t="s">
        <v>204</v>
      </c>
    </row>
    <row r="40" spans="1:11" ht="15.6">
      <c r="A40" s="880" t="s">
        <v>347</v>
      </c>
      <c r="B40" s="452">
        <v>3331552315</v>
      </c>
      <c r="C40" s="592" t="s">
        <v>11</v>
      </c>
      <c r="D40" s="452">
        <v>24140587</v>
      </c>
      <c r="E40" s="452" t="s">
        <v>257</v>
      </c>
      <c r="F40" s="882" t="s">
        <v>199</v>
      </c>
      <c r="G40" s="456">
        <v>25945.373</v>
      </c>
      <c r="H40" s="460" t="str">
        <f>IF(Table13[[#This Row],[TOTAL WEIGHT]]&gt;28000,"TRAILER","TRONTON")</f>
        <v>TRONTON</v>
      </c>
      <c r="I40" s="452">
        <v>1</v>
      </c>
      <c r="J40" s="452">
        <v>1</v>
      </c>
      <c r="K40" s="476" t="s">
        <v>204</v>
      </c>
    </row>
    <row r="41" spans="1:11" ht="15.6">
      <c r="A41" s="880" t="s">
        <v>347</v>
      </c>
      <c r="B41" s="452">
        <v>3331552316</v>
      </c>
      <c r="C41" s="592" t="s">
        <v>117</v>
      </c>
      <c r="D41" s="452">
        <v>24140588</v>
      </c>
      <c r="E41" s="452" t="s">
        <v>257</v>
      </c>
      <c r="F41" s="882" t="s">
        <v>199</v>
      </c>
      <c r="G41" s="456">
        <v>24501.9</v>
      </c>
      <c r="H41" s="460" t="str">
        <f>IF(Table13[[#This Row],[TOTAL WEIGHT]]&gt;28000,"TRAILER","TRONTON")</f>
        <v>TRONTON</v>
      </c>
      <c r="I41" s="452">
        <v>1</v>
      </c>
      <c r="J41" s="452">
        <v>1</v>
      </c>
      <c r="K41" s="476" t="s">
        <v>204</v>
      </c>
    </row>
    <row r="42" spans="1:11" ht="15.6">
      <c r="A42" s="883" t="s">
        <v>370</v>
      </c>
      <c r="B42" s="493">
        <v>3331552321</v>
      </c>
      <c r="C42" s="884" t="s">
        <v>336</v>
      </c>
      <c r="D42" s="493">
        <v>24140589</v>
      </c>
      <c r="E42" s="493" t="s">
        <v>371</v>
      </c>
      <c r="F42" s="885" t="s">
        <v>205</v>
      </c>
      <c r="G42" s="886">
        <f>4113.595+39975.925</f>
        <v>44089.520000000004</v>
      </c>
      <c r="H42" s="494" t="str">
        <f>IF(Table13[[#This Row],[TOTAL WEIGHT]]&gt;28000,"TRAILER","TRONTON")</f>
        <v>TRAILER</v>
      </c>
      <c r="I42" s="493">
        <v>1</v>
      </c>
      <c r="J42" s="493">
        <v>1</v>
      </c>
      <c r="K42" s="495" t="s">
        <v>204</v>
      </c>
    </row>
    <row r="43" spans="1:11" ht="15.6">
      <c r="A43" s="880" t="s">
        <v>355</v>
      </c>
      <c r="B43" s="452">
        <v>3331552371</v>
      </c>
      <c r="C43" s="592" t="s">
        <v>336</v>
      </c>
      <c r="D43" s="452" t="s">
        <v>256</v>
      </c>
      <c r="E43" s="452" t="s">
        <v>256</v>
      </c>
      <c r="F43" s="882" t="s">
        <v>256</v>
      </c>
      <c r="G43" s="456" t="s">
        <v>256</v>
      </c>
      <c r="H43" s="452" t="s">
        <v>256</v>
      </c>
      <c r="I43" s="452" t="s">
        <v>256</v>
      </c>
      <c r="J43" s="452" t="s">
        <v>256</v>
      </c>
      <c r="K43" s="476" t="s">
        <v>256</v>
      </c>
    </row>
    <row r="44" spans="1:11" ht="15.6">
      <c r="A44" s="880" t="s">
        <v>372</v>
      </c>
      <c r="B44" s="452">
        <v>3331552337</v>
      </c>
      <c r="C44" s="592" t="s">
        <v>27</v>
      </c>
      <c r="D44" s="452">
        <v>24140591</v>
      </c>
      <c r="E44" s="452" t="s">
        <v>134</v>
      </c>
      <c r="F44" s="882" t="s">
        <v>340</v>
      </c>
      <c r="G44" s="456">
        <v>25803.9</v>
      </c>
      <c r="H44" s="492" t="str">
        <f>IF(Table13[[#This Row],[TOTAL WEIGHT]]&gt;28000,"TRAILER","TRONTON")</f>
        <v>TRONTON</v>
      </c>
      <c r="I44" s="452">
        <v>1</v>
      </c>
      <c r="J44" s="452">
        <v>1</v>
      </c>
      <c r="K44" s="476" t="s">
        <v>204</v>
      </c>
    </row>
    <row r="45" spans="1:11" ht="15.6">
      <c r="A45" s="880" t="s">
        <v>370</v>
      </c>
      <c r="B45" s="452">
        <v>3331552364</v>
      </c>
      <c r="C45" s="592" t="s">
        <v>336</v>
      </c>
      <c r="D45" s="452">
        <v>24140592</v>
      </c>
      <c r="E45" s="452" t="s">
        <v>303</v>
      </c>
      <c r="F45" s="882" t="s">
        <v>338</v>
      </c>
      <c r="G45" s="456">
        <v>39100.803</v>
      </c>
      <c r="H45" s="492" t="str">
        <f>IF(Table13[[#This Row],[TOTAL WEIGHT]]&gt;28000,"TRAILER","TRONTON")</f>
        <v>TRAILER</v>
      </c>
      <c r="I45" s="452">
        <v>1</v>
      </c>
      <c r="J45" s="452">
        <v>1</v>
      </c>
      <c r="K45" s="476" t="s">
        <v>204</v>
      </c>
    </row>
    <row r="46" spans="1:11" ht="15.6">
      <c r="A46" s="880" t="s">
        <v>370</v>
      </c>
      <c r="B46" s="452">
        <v>3331552368</v>
      </c>
      <c r="C46" s="592" t="s">
        <v>152</v>
      </c>
      <c r="D46" s="452">
        <v>24140593</v>
      </c>
      <c r="E46" s="452" t="s">
        <v>303</v>
      </c>
      <c r="F46" s="882" t="s">
        <v>338</v>
      </c>
      <c r="G46" s="456">
        <v>39057.502</v>
      </c>
      <c r="H46" s="492" t="str">
        <f>IF(Table13[[#This Row],[TOTAL WEIGHT]]&gt;28000,"TRAILER","TRONTON")</f>
        <v>TRAILER</v>
      </c>
      <c r="I46" s="452">
        <v>1</v>
      </c>
      <c r="J46" s="452">
        <v>1</v>
      </c>
      <c r="K46" s="476" t="s">
        <v>204</v>
      </c>
    </row>
    <row r="47" spans="1:11" ht="15.6">
      <c r="A47" s="880" t="s">
        <v>370</v>
      </c>
      <c r="B47" s="452">
        <v>3331552391</v>
      </c>
      <c r="C47" s="592" t="s">
        <v>27</v>
      </c>
      <c r="D47" s="452">
        <v>24140594</v>
      </c>
      <c r="E47" s="452" t="s">
        <v>253</v>
      </c>
      <c r="F47" s="882" t="s">
        <v>338</v>
      </c>
      <c r="G47" s="456">
        <v>33580.483999999997</v>
      </c>
      <c r="H47" s="492" t="str">
        <f>IF(Table13[[#This Row],[TOTAL WEIGHT]]&gt;28000,"TRAILER","TRONTON")</f>
        <v>TRAILER</v>
      </c>
      <c r="I47" s="452">
        <v>1</v>
      </c>
      <c r="J47" s="452">
        <v>1</v>
      </c>
      <c r="K47" s="476" t="s">
        <v>204</v>
      </c>
    </row>
    <row r="48" spans="1:11" ht="15.6">
      <c r="A48" s="880" t="s">
        <v>370</v>
      </c>
      <c r="B48" s="452">
        <v>3331552383</v>
      </c>
      <c r="C48" s="592" t="s">
        <v>336</v>
      </c>
      <c r="D48" s="452">
        <v>24140595</v>
      </c>
      <c r="E48" s="452" t="s">
        <v>303</v>
      </c>
      <c r="F48" s="882" t="s">
        <v>338</v>
      </c>
      <c r="G48" s="456">
        <v>40313.231</v>
      </c>
      <c r="H48" s="492" t="str">
        <f>IF(Table13[[#This Row],[TOTAL WEIGHT]]&gt;28000,"TRAILER","TRONTON")</f>
        <v>TRAILER</v>
      </c>
      <c r="I48" s="452">
        <v>1</v>
      </c>
      <c r="J48" s="452">
        <v>1</v>
      </c>
      <c r="K48" s="476" t="s">
        <v>204</v>
      </c>
    </row>
    <row r="49" spans="1:11" ht="15.6">
      <c r="A49" s="880" t="s">
        <v>347</v>
      </c>
      <c r="B49" s="452">
        <v>3331552402</v>
      </c>
      <c r="C49" s="592" t="s">
        <v>27</v>
      </c>
      <c r="D49" s="452">
        <v>24140596</v>
      </c>
      <c r="E49" s="452" t="s">
        <v>129</v>
      </c>
      <c r="F49" s="882" t="s">
        <v>338</v>
      </c>
      <c r="G49" s="456">
        <v>34485.887999999999</v>
      </c>
      <c r="H49" s="492" t="str">
        <f>IF(Table13[[#This Row],[TOTAL WEIGHT]]&gt;28000,"TRAILER","TRONTON")</f>
        <v>TRAILER</v>
      </c>
      <c r="I49" s="452">
        <v>1</v>
      </c>
      <c r="J49" s="452">
        <v>1</v>
      </c>
      <c r="K49" s="476" t="s">
        <v>204</v>
      </c>
    </row>
    <row r="50" spans="1:11" ht="15.6">
      <c r="A50" s="880" t="s">
        <v>347</v>
      </c>
      <c r="B50" s="452">
        <v>3331552408</v>
      </c>
      <c r="C50" s="592" t="s">
        <v>336</v>
      </c>
      <c r="D50" s="452">
        <v>24140597</v>
      </c>
      <c r="E50" s="452" t="s">
        <v>129</v>
      </c>
      <c r="F50" s="882" t="s">
        <v>338</v>
      </c>
      <c r="G50" s="456">
        <v>35178.025000000001</v>
      </c>
      <c r="H50" s="492" t="str">
        <f>IF(Table13[[#This Row],[TOTAL WEIGHT]]&gt;28000,"TRAILER","TRONTON")</f>
        <v>TRAILER</v>
      </c>
      <c r="I50" s="452">
        <v>1</v>
      </c>
      <c r="J50" s="452">
        <v>1</v>
      </c>
      <c r="K50" s="476" t="s">
        <v>204</v>
      </c>
    </row>
    <row r="51" spans="1:11" ht="15.6">
      <c r="A51" s="480" t="s">
        <v>370</v>
      </c>
      <c r="B51" s="887">
        <v>3331552405</v>
      </c>
      <c r="C51" s="480" t="s">
        <v>175</v>
      </c>
      <c r="D51" s="480">
        <v>24140598</v>
      </c>
      <c r="E51" s="888" t="s">
        <v>259</v>
      </c>
      <c r="F51" s="481" t="s">
        <v>344</v>
      </c>
      <c r="G51" s="487">
        <v>38748.857000000004</v>
      </c>
      <c r="H51" s="489" t="str">
        <f>IF(Table13[[#This Row],[TOTAL WEIGHT]]&gt;28000,"TRAILER","TRONTON")</f>
        <v>TRAILER</v>
      </c>
      <c r="I51" s="480">
        <v>1</v>
      </c>
      <c r="J51" s="480">
        <v>0</v>
      </c>
      <c r="K51" s="482" t="s">
        <v>373</v>
      </c>
    </row>
    <row r="52" spans="1:11" ht="15.6">
      <c r="A52" s="480" t="s">
        <v>370</v>
      </c>
      <c r="B52" s="887">
        <v>3331552415</v>
      </c>
      <c r="C52" s="480" t="s">
        <v>374</v>
      </c>
      <c r="D52" s="480">
        <v>24140599</v>
      </c>
      <c r="E52" s="888" t="s">
        <v>259</v>
      </c>
      <c r="F52" s="481" t="s">
        <v>344</v>
      </c>
      <c r="G52" s="487">
        <v>39092.909</v>
      </c>
      <c r="H52" s="489" t="str">
        <f>IF(Table13[[#This Row],[TOTAL WEIGHT]]&gt;28000,"TRAILER","TRONTON")</f>
        <v>TRAILER</v>
      </c>
      <c r="I52" s="480">
        <v>1</v>
      </c>
      <c r="J52" s="480">
        <v>0</v>
      </c>
      <c r="K52" s="482" t="s">
        <v>373</v>
      </c>
    </row>
    <row r="53" spans="1:11" ht="15.6">
      <c r="A53" s="880" t="s">
        <v>347</v>
      </c>
      <c r="B53" s="452">
        <v>3331552431</v>
      </c>
      <c r="C53" s="592" t="s">
        <v>27</v>
      </c>
      <c r="D53" s="452">
        <v>24140600</v>
      </c>
      <c r="E53" s="882" t="s">
        <v>259</v>
      </c>
      <c r="F53" s="456" t="s">
        <v>344</v>
      </c>
      <c r="G53" s="456">
        <v>25806.918000000001</v>
      </c>
      <c r="H53" s="492" t="str">
        <f>IF(Table13[[#This Row],[TOTAL WEIGHT]]&gt;28000,"TRAILER","TRONTON")</f>
        <v>TRONTON</v>
      </c>
      <c r="I53" s="452">
        <v>1</v>
      </c>
      <c r="J53" s="452">
        <v>1</v>
      </c>
      <c r="K53" s="476" t="s">
        <v>204</v>
      </c>
    </row>
    <row r="54" spans="1:11" ht="15.6">
      <c r="A54" s="880" t="s">
        <v>347</v>
      </c>
      <c r="B54" s="452">
        <v>3331552441</v>
      </c>
      <c r="C54" s="592" t="s">
        <v>374</v>
      </c>
      <c r="D54" s="452">
        <v>24140601</v>
      </c>
      <c r="E54" s="452" t="s">
        <v>259</v>
      </c>
      <c r="F54" s="491" t="s">
        <v>344</v>
      </c>
      <c r="G54" s="456">
        <v>24257.677</v>
      </c>
      <c r="H54" s="492" t="str">
        <f>IF(Table13[[#This Row],[TOTAL WEIGHT]]&gt;28000,"TRAILER","TRONTON")</f>
        <v>TRONTON</v>
      </c>
      <c r="I54" s="452">
        <v>1</v>
      </c>
      <c r="J54" s="452">
        <v>1</v>
      </c>
      <c r="K54" s="476" t="s">
        <v>204</v>
      </c>
    </row>
    <row r="55" spans="1:11" ht="15.6">
      <c r="A55" s="880" t="s">
        <v>347</v>
      </c>
      <c r="B55" s="452">
        <v>3331552450</v>
      </c>
      <c r="C55" s="592" t="s">
        <v>374</v>
      </c>
      <c r="D55" s="452">
        <v>24140602</v>
      </c>
      <c r="E55" s="452" t="s">
        <v>259</v>
      </c>
      <c r="F55" s="491" t="s">
        <v>344</v>
      </c>
      <c r="G55" s="456">
        <v>24257.677</v>
      </c>
      <c r="H55" s="492" t="str">
        <f>IF(Table13[[#This Row],[TOTAL WEIGHT]]&gt;28000,"TRAILER","TRONTON")</f>
        <v>TRONTON</v>
      </c>
      <c r="I55" s="452">
        <v>1</v>
      </c>
      <c r="J55" s="452">
        <v>1</v>
      </c>
      <c r="K55" s="476" t="s">
        <v>204</v>
      </c>
    </row>
    <row r="56" spans="1:11" ht="15.6">
      <c r="A56" s="889"/>
      <c r="B56" s="480"/>
      <c r="C56" s="887"/>
      <c r="D56" s="480"/>
      <c r="E56" s="480"/>
      <c r="F56" s="888"/>
      <c r="G56" s="481"/>
      <c r="H56" s="480"/>
      <c r="I56" s="480"/>
      <c r="J56" s="480"/>
      <c r="K56" s="482"/>
    </row>
    <row r="57" spans="1:11" ht="15.6">
      <c r="A57" s="889"/>
      <c r="B57" s="480"/>
      <c r="C57" s="887"/>
      <c r="D57" s="480"/>
      <c r="E57" s="480"/>
      <c r="F57" s="888"/>
      <c r="G57" s="481"/>
      <c r="H57" s="480"/>
      <c r="I57" s="480"/>
      <c r="J57" s="480"/>
      <c r="K57" s="482"/>
    </row>
    <row r="58" spans="1:11" ht="15.6">
      <c r="A58" s="890"/>
      <c r="B58" s="480"/>
      <c r="C58" s="887"/>
      <c r="D58" s="480"/>
      <c r="E58" s="480"/>
      <c r="F58" s="891"/>
      <c r="G58" s="481"/>
      <c r="H58" s="480"/>
      <c r="I58" s="480"/>
      <c r="J58" s="480"/>
      <c r="K58" s="482"/>
    </row>
    <row r="59" spans="1:11">
      <c r="A59" s="300"/>
      <c r="B59" s="300"/>
      <c r="C59" s="297"/>
      <c r="D59" s="297"/>
      <c r="E59" s="371"/>
      <c r="F59" s="301"/>
      <c r="G59" s="302"/>
      <c r="H59" s="301"/>
      <c r="I59" s="300"/>
      <c r="J59" s="300"/>
      <c r="K59" s="303"/>
    </row>
    <row r="61" spans="1:11" ht="21">
      <c r="B61" s="422" t="s">
        <v>244</v>
      </c>
    </row>
    <row r="62" spans="1:11" ht="25.8">
      <c r="A62" s="44"/>
      <c r="B62" s="251" t="s">
        <v>304</v>
      </c>
      <c r="F62" s="1506" t="s">
        <v>305</v>
      </c>
      <c r="G62" s="1507"/>
      <c r="I62" s="373"/>
    </row>
    <row r="63" spans="1:11" ht="23.4">
      <c r="B63" s="251" t="s">
        <v>361</v>
      </c>
      <c r="F63" s="372" t="s">
        <v>197</v>
      </c>
      <c r="G63" s="381">
        <f ca="1">SUMIF(H20:H1155, "TRAILER", I20:I1154)</f>
        <v>9</v>
      </c>
    </row>
    <row r="64" spans="1:11" ht="23.4">
      <c r="F64" s="379" t="s">
        <v>200</v>
      </c>
      <c r="G64" s="381">
        <f ca="1">SUMIF(H20:H1156,"TRONTON",I20:I1155)</f>
        <v>21</v>
      </c>
    </row>
    <row r="65" spans="6:7" ht="23.4">
      <c r="F65" s="377" t="s">
        <v>266</v>
      </c>
      <c r="G65" s="382">
        <f ca="1">SUM(G63:G64)</f>
        <v>30</v>
      </c>
    </row>
    <row r="66" spans="6:7" ht="36">
      <c r="F66" s="404" t="s">
        <v>306</v>
      </c>
      <c r="G66" s="382">
        <v>0</v>
      </c>
    </row>
    <row r="67" spans="6:7" ht="23.4">
      <c r="F67" s="445" t="s">
        <v>362</v>
      </c>
      <c r="G67" s="446">
        <f>I10</f>
        <v>4</v>
      </c>
    </row>
    <row r="68" spans="6:7" ht="23.4">
      <c r="F68" s="445" t="s">
        <v>363</v>
      </c>
      <c r="G68" s="446">
        <f ca="1">G66+G67+G65</f>
        <v>34</v>
      </c>
    </row>
  </sheetData>
  <mergeCells count="8">
    <mergeCell ref="I1:J1"/>
    <mergeCell ref="E8:F8"/>
    <mergeCell ref="I8:J8"/>
    <mergeCell ref="A9:B9"/>
    <mergeCell ref="F62:G62"/>
    <mergeCell ref="A1:A2"/>
    <mergeCell ref="B1:B2"/>
    <mergeCell ref="E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A9A9-3CDA-43C7-9F60-59B7A78D6FE9}">
  <dimension ref="A1:H27"/>
  <sheetViews>
    <sheetView workbookViewId="0">
      <selection activeCell="A8" sqref="A8"/>
    </sheetView>
  </sheetViews>
  <sheetFormatPr defaultRowHeight="14.4"/>
  <cols>
    <col min="1" max="1" width="70" bestFit="1" customWidth="1"/>
    <col min="2" max="3" width="21.33203125" bestFit="1" customWidth="1"/>
    <col min="6" max="6" width="37.44140625" customWidth="1"/>
    <col min="7" max="7" width="17.33203125" customWidth="1"/>
    <col min="8" max="8" width="19" customWidth="1"/>
  </cols>
  <sheetData>
    <row r="1" spans="1:8">
      <c r="A1" s="183" t="s">
        <v>375</v>
      </c>
      <c r="B1" t="s">
        <v>376</v>
      </c>
    </row>
    <row r="3" spans="1:8">
      <c r="A3" s="183" t="s">
        <v>377</v>
      </c>
      <c r="B3" s="183" t="s">
        <v>378</v>
      </c>
      <c r="C3" s="183" t="s">
        <v>379</v>
      </c>
      <c r="F3" s="26" t="s">
        <v>380</v>
      </c>
      <c r="G3" s="26" t="s">
        <v>381</v>
      </c>
      <c r="H3" s="26" t="s">
        <v>382</v>
      </c>
    </row>
    <row r="4" spans="1:8">
      <c r="A4">
        <v>3331550557</v>
      </c>
      <c r="B4" s="184">
        <v>45910.316712962966</v>
      </c>
      <c r="C4" s="184">
        <v>45910.667662037034</v>
      </c>
      <c r="F4" s="26">
        <f>A4</f>
        <v>3331550557</v>
      </c>
      <c r="G4" s="341">
        <f>B4</f>
        <v>45910.316712962966</v>
      </c>
      <c r="H4" s="199">
        <f>C4</f>
        <v>45910.667662037034</v>
      </c>
    </row>
    <row r="5" spans="1:8">
      <c r="A5">
        <v>3331550708</v>
      </c>
      <c r="B5" s="184">
        <v>45910.458356481482</v>
      </c>
      <c r="C5" t="s">
        <v>383</v>
      </c>
      <c r="F5" s="1">
        <f t="shared" ref="F5" si="0">A5</f>
        <v>3331550708</v>
      </c>
      <c r="G5" s="341">
        <f t="shared" ref="G5" si="1">B5</f>
        <v>45910.458356481482</v>
      </c>
      <c r="H5" s="199" t="str">
        <f t="shared" ref="H5:H10" si="2">C5</f>
        <v>(blank)</v>
      </c>
    </row>
    <row r="6" spans="1:8">
      <c r="A6">
        <v>3331550709</v>
      </c>
      <c r="B6" s="184">
        <v>45910.467916666668</v>
      </c>
      <c r="C6" t="s">
        <v>383</v>
      </c>
      <c r="F6" s="309">
        <f>A6</f>
        <v>3331550709</v>
      </c>
      <c r="G6" s="342">
        <f>B6</f>
        <v>45910.467916666668</v>
      </c>
      <c r="H6" s="199" t="str">
        <f t="shared" si="2"/>
        <v>(blank)</v>
      </c>
    </row>
    <row r="7" spans="1:8">
      <c r="A7">
        <v>3331550712</v>
      </c>
      <c r="B7" s="184">
        <v>45910.490972222222</v>
      </c>
      <c r="C7" t="s">
        <v>383</v>
      </c>
      <c r="F7" s="309">
        <f>A7</f>
        <v>3331550712</v>
      </c>
      <c r="G7" s="342">
        <f t="shared" ref="G7:G10" si="3">B7</f>
        <v>45910.490972222222</v>
      </c>
      <c r="H7" s="199" t="str">
        <f t="shared" si="2"/>
        <v>(blank)</v>
      </c>
    </row>
    <row r="8" spans="1:8">
      <c r="A8">
        <v>3331550726</v>
      </c>
      <c r="B8" s="184">
        <v>45910.493564814817</v>
      </c>
      <c r="C8" t="s">
        <v>383</v>
      </c>
      <c r="F8" s="309">
        <f>A8</f>
        <v>3331550726</v>
      </c>
      <c r="G8" s="342">
        <f t="shared" si="3"/>
        <v>45910.493564814817</v>
      </c>
      <c r="H8" s="199" t="str">
        <f t="shared" si="2"/>
        <v>(blank)</v>
      </c>
    </row>
    <row r="9" spans="1:8">
      <c r="A9">
        <v>3331550710</v>
      </c>
      <c r="B9" s="184">
        <v>45910.49795138889</v>
      </c>
      <c r="C9" t="s">
        <v>383</v>
      </c>
      <c r="F9" s="309">
        <f>A9</f>
        <v>3331550710</v>
      </c>
      <c r="G9" s="342">
        <f t="shared" si="3"/>
        <v>45910.49795138889</v>
      </c>
      <c r="H9" s="199" t="str">
        <f t="shared" si="2"/>
        <v>(blank)</v>
      </c>
    </row>
    <row r="10" spans="1:8">
      <c r="A10">
        <v>3331550703</v>
      </c>
      <c r="B10" s="184">
        <v>45910.499490740738</v>
      </c>
      <c r="C10" t="s">
        <v>383</v>
      </c>
      <c r="F10" s="309">
        <v>3331550011</v>
      </c>
      <c r="G10" s="342">
        <f t="shared" si="3"/>
        <v>45910.499490740738</v>
      </c>
      <c r="H10" s="199" t="str">
        <f t="shared" si="2"/>
        <v>(blank)</v>
      </c>
    </row>
    <row r="11" spans="1:8">
      <c r="A11">
        <v>3331550704</v>
      </c>
      <c r="B11" s="184">
        <v>45910.501469907409</v>
      </c>
      <c r="C11" t="s">
        <v>383</v>
      </c>
      <c r="F11" s="309">
        <v>3331550021</v>
      </c>
      <c r="G11" s="342">
        <f>B12</f>
        <v>45910.575787037036</v>
      </c>
      <c r="H11" s="199" t="str">
        <f>C12</f>
        <v>(blank)</v>
      </c>
    </row>
    <row r="12" spans="1:8">
      <c r="A12">
        <v>3331550733</v>
      </c>
      <c r="B12" s="184">
        <v>45910.575787037036</v>
      </c>
      <c r="C12" t="s">
        <v>383</v>
      </c>
      <c r="F12" s="309">
        <f t="shared" ref="F12:G17" si="4">A10</f>
        <v>3331550703</v>
      </c>
      <c r="G12" s="342">
        <f t="shared" si="4"/>
        <v>45910.499490740738</v>
      </c>
      <c r="H12" s="199" t="str">
        <f>C13</f>
        <v>(blank)</v>
      </c>
    </row>
    <row r="13" spans="1:8">
      <c r="A13" t="s">
        <v>384</v>
      </c>
      <c r="B13" s="184">
        <v>45910.57775462963</v>
      </c>
      <c r="C13" t="s">
        <v>383</v>
      </c>
      <c r="F13" s="309">
        <f t="shared" si="4"/>
        <v>3331550704</v>
      </c>
      <c r="G13" s="342">
        <f t="shared" si="4"/>
        <v>45910.501469907409</v>
      </c>
      <c r="H13" s="199"/>
    </row>
    <row r="14" spans="1:8">
      <c r="A14">
        <v>3331550428</v>
      </c>
      <c r="B14" s="184">
        <v>45910.581585648149</v>
      </c>
      <c r="C14" t="s">
        <v>383</v>
      </c>
      <c r="F14" s="309">
        <f t="shared" si="4"/>
        <v>3331550733</v>
      </c>
      <c r="G14" s="342">
        <f t="shared" si="4"/>
        <v>45910.575787037036</v>
      </c>
      <c r="H14" s="199"/>
    </row>
    <row r="15" spans="1:8">
      <c r="A15">
        <v>3331550772</v>
      </c>
      <c r="B15" s="184">
        <v>45910.644456018519</v>
      </c>
      <c r="C15" t="s">
        <v>383</v>
      </c>
      <c r="F15" s="309" t="str">
        <f t="shared" si="4"/>
        <v>3331550722; 3331550725</v>
      </c>
      <c r="G15" s="342">
        <f t="shared" si="4"/>
        <v>45910.57775462963</v>
      </c>
      <c r="H15" s="199"/>
    </row>
    <row r="16" spans="1:8">
      <c r="A16" t="s">
        <v>385</v>
      </c>
      <c r="F16" s="309">
        <f t="shared" si="4"/>
        <v>3331550428</v>
      </c>
      <c r="G16" s="342">
        <f t="shared" si="4"/>
        <v>45910.581585648149</v>
      </c>
      <c r="H16" s="199"/>
    </row>
    <row r="17" spans="6:8">
      <c r="F17" s="309">
        <f t="shared" si="4"/>
        <v>3331550772</v>
      </c>
      <c r="G17" s="342">
        <f t="shared" si="4"/>
        <v>45910.644456018519</v>
      </c>
      <c r="H17" s="199"/>
    </row>
    <row r="18" spans="6:8">
      <c r="F18" s="892"/>
      <c r="G18" s="893"/>
      <c r="H18" s="112"/>
    </row>
    <row r="19" spans="6:8">
      <c r="F19" s="892"/>
      <c r="G19" s="893"/>
      <c r="H19" s="112"/>
    </row>
    <row r="20" spans="6:8">
      <c r="F20" s="892"/>
      <c r="G20" s="893"/>
      <c r="H20" s="112"/>
    </row>
    <row r="21" spans="6:8">
      <c r="F21" s="892"/>
      <c r="G21" s="893"/>
      <c r="H21" s="112"/>
    </row>
    <row r="22" spans="6:8">
      <c r="F22" s="892"/>
      <c r="G22" s="893"/>
      <c r="H22" s="112"/>
    </row>
    <row r="23" spans="6:8">
      <c r="F23" s="892"/>
      <c r="G23" s="893"/>
      <c r="H23" s="112"/>
    </row>
    <row r="24" spans="6:8">
      <c r="F24" s="892"/>
      <c r="G24" s="893"/>
      <c r="H24" s="112"/>
    </row>
    <row r="25" spans="6:8">
      <c r="F25" s="892"/>
      <c r="G25" s="893"/>
      <c r="H25" s="112"/>
    </row>
    <row r="26" spans="6:8">
      <c r="F26" s="892"/>
      <c r="G26" s="893"/>
      <c r="H26" s="112"/>
    </row>
    <row r="27" spans="6:8">
      <c r="F27" s="892"/>
      <c r="G27" s="112"/>
      <c r="H27" s="1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989F-AC77-4D49-B313-9E5FD07E5240}">
  <dimension ref="B2:H27"/>
  <sheetViews>
    <sheetView workbookViewId="0">
      <selection activeCell="I17" sqref="I17"/>
    </sheetView>
  </sheetViews>
  <sheetFormatPr defaultRowHeight="14.4"/>
  <cols>
    <col min="2" max="3" width="12" bestFit="1" customWidth="1"/>
    <col min="4" max="4" width="40.109375" bestFit="1" customWidth="1"/>
    <col min="5" max="5" width="15.6640625" customWidth="1"/>
    <col min="6" max="6" width="20.109375" customWidth="1"/>
    <col min="7" max="7" width="11" bestFit="1" customWidth="1"/>
    <col min="8" max="8" width="15.33203125" customWidth="1"/>
    <col min="9" max="9" width="17.6640625" bestFit="1" customWidth="1"/>
  </cols>
  <sheetData>
    <row r="2" spans="2:8">
      <c r="B2" s="118" t="s">
        <v>386</v>
      </c>
      <c r="C2" s="118" t="s">
        <v>387</v>
      </c>
      <c r="D2" s="118" t="s">
        <v>388</v>
      </c>
      <c r="E2" s="118" t="s">
        <v>389</v>
      </c>
      <c r="F2" s="118" t="s">
        <v>390</v>
      </c>
      <c r="G2" s="118" t="s">
        <v>391</v>
      </c>
      <c r="H2" s="118" t="s">
        <v>392</v>
      </c>
    </row>
    <row r="3" spans="2:8">
      <c r="B3" s="120">
        <v>45896</v>
      </c>
      <c r="C3" s="80">
        <v>3331546308</v>
      </c>
      <c r="D3" s="82" t="s">
        <v>121</v>
      </c>
      <c r="E3" s="81" t="s">
        <v>37</v>
      </c>
      <c r="F3" s="81" t="s">
        <v>58</v>
      </c>
      <c r="G3" s="81" t="s">
        <v>60</v>
      </c>
      <c r="H3" s="94">
        <v>45895</v>
      </c>
    </row>
    <row r="4" spans="2:8">
      <c r="B4" s="120">
        <v>45896</v>
      </c>
      <c r="C4" s="80">
        <v>3331546393</v>
      </c>
      <c r="D4" s="82" t="s">
        <v>119</v>
      </c>
      <c r="E4" s="81" t="s">
        <v>393</v>
      </c>
      <c r="F4" s="81" t="s">
        <v>124</v>
      </c>
      <c r="G4" s="81" t="s">
        <v>394</v>
      </c>
      <c r="H4" s="94">
        <v>45895</v>
      </c>
    </row>
    <row r="5" spans="2:8">
      <c r="B5" s="120">
        <v>45896</v>
      </c>
      <c r="C5" s="80">
        <v>3331546411</v>
      </c>
      <c r="D5" s="82" t="s">
        <v>119</v>
      </c>
      <c r="E5" s="81" t="s">
        <v>393</v>
      </c>
      <c r="F5" s="81" t="s">
        <v>124</v>
      </c>
      <c r="G5" s="81" t="s">
        <v>395</v>
      </c>
      <c r="H5" s="94">
        <v>45895</v>
      </c>
    </row>
    <row r="6" spans="2:8">
      <c r="B6" s="120">
        <v>45896</v>
      </c>
      <c r="C6" s="80">
        <v>3331546395</v>
      </c>
      <c r="D6" s="82" t="s">
        <v>119</v>
      </c>
      <c r="E6" s="81" t="s">
        <v>393</v>
      </c>
      <c r="F6" s="81" t="s">
        <v>124</v>
      </c>
      <c r="G6" s="81" t="s">
        <v>396</v>
      </c>
      <c r="H6" s="94">
        <v>45895</v>
      </c>
    </row>
    <row r="7" spans="2:8">
      <c r="B7" s="120">
        <v>45896</v>
      </c>
      <c r="C7" s="80">
        <v>3331546276</v>
      </c>
      <c r="D7" s="82" t="s">
        <v>116</v>
      </c>
      <c r="E7" s="81" t="s">
        <v>393</v>
      </c>
      <c r="F7" s="81" t="s">
        <v>117</v>
      </c>
      <c r="G7" s="81" t="s">
        <v>80</v>
      </c>
      <c r="H7" s="94">
        <v>45895</v>
      </c>
    </row>
    <row r="8" spans="2:8">
      <c r="B8" s="120">
        <v>45896</v>
      </c>
      <c r="C8" s="80">
        <v>3331546383</v>
      </c>
      <c r="D8" s="82" t="s">
        <v>119</v>
      </c>
      <c r="E8" s="81" t="s">
        <v>393</v>
      </c>
      <c r="F8" s="81" t="s">
        <v>117</v>
      </c>
      <c r="G8" s="81" t="s">
        <v>397</v>
      </c>
      <c r="H8" s="94">
        <v>45895</v>
      </c>
    </row>
    <row r="9" spans="2:8">
      <c r="B9" s="156" t="s">
        <v>218</v>
      </c>
      <c r="C9" s="105">
        <v>3331548307</v>
      </c>
      <c r="D9" s="105" t="s">
        <v>219</v>
      </c>
      <c r="E9" s="105">
        <v>24140273</v>
      </c>
      <c r="F9" s="105" t="s">
        <v>58</v>
      </c>
      <c r="G9" s="112"/>
      <c r="H9" s="112"/>
    </row>
    <row r="10" spans="2:8">
      <c r="B10" s="119"/>
      <c r="C10" s="112"/>
      <c r="D10" s="112"/>
      <c r="E10" s="112"/>
      <c r="F10" s="112"/>
      <c r="G10" s="112"/>
      <c r="H10" s="112"/>
    </row>
    <row r="11" spans="2:8">
      <c r="B11" s="119"/>
      <c r="C11" s="112"/>
      <c r="D11" s="112"/>
      <c r="E11" s="112"/>
      <c r="F11" s="112"/>
      <c r="G11" s="112"/>
      <c r="H11" s="112"/>
    </row>
    <row r="12" spans="2:8">
      <c r="B12" s="119"/>
      <c r="C12" s="112"/>
      <c r="D12" s="112"/>
      <c r="E12" s="112"/>
      <c r="F12" s="112"/>
      <c r="G12" s="112"/>
      <c r="H12" s="112"/>
    </row>
    <row r="13" spans="2:8">
      <c r="B13" s="119"/>
      <c r="C13" s="112"/>
      <c r="D13" s="112"/>
      <c r="E13" s="112"/>
      <c r="F13" s="112"/>
      <c r="G13" s="112"/>
      <c r="H13" s="112"/>
    </row>
    <row r="14" spans="2:8">
      <c r="B14" s="119"/>
      <c r="C14" s="112"/>
      <c r="D14" s="112"/>
      <c r="E14" s="112"/>
      <c r="F14" s="112"/>
      <c r="G14" s="112"/>
      <c r="H14" s="112"/>
    </row>
    <row r="15" spans="2:8">
      <c r="B15" s="119"/>
      <c r="C15" s="112"/>
      <c r="D15" s="112"/>
      <c r="E15" s="112"/>
      <c r="F15" s="112"/>
      <c r="G15" s="112"/>
      <c r="H15" s="112"/>
    </row>
    <row r="16" spans="2:8">
      <c r="B16" s="119"/>
      <c r="C16" s="112"/>
      <c r="D16" s="112"/>
      <c r="E16" s="112"/>
      <c r="F16" s="112"/>
      <c r="G16" s="112"/>
      <c r="H16" s="112"/>
    </row>
    <row r="17" spans="2:8">
      <c r="B17" s="119"/>
      <c r="C17" s="112"/>
      <c r="D17" s="112"/>
      <c r="E17" s="112"/>
      <c r="F17" s="112"/>
      <c r="G17" s="112"/>
      <c r="H17" s="112"/>
    </row>
    <row r="18" spans="2:8">
      <c r="B18" s="119"/>
      <c r="C18" s="112"/>
      <c r="D18" s="112"/>
      <c r="E18" s="112"/>
      <c r="F18" s="112"/>
      <c r="G18" s="112"/>
      <c r="H18" s="112"/>
    </row>
    <row r="19" spans="2:8">
      <c r="B19" s="119"/>
      <c r="C19" s="112"/>
      <c r="D19" s="112"/>
      <c r="E19" s="112"/>
      <c r="F19" s="112"/>
      <c r="G19" s="112"/>
      <c r="H19" s="112"/>
    </row>
    <row r="20" spans="2:8">
      <c r="B20" s="119"/>
      <c r="C20" s="112"/>
      <c r="D20" s="112"/>
      <c r="E20" s="112"/>
      <c r="F20" s="112"/>
      <c r="G20" s="112"/>
      <c r="H20" s="112"/>
    </row>
    <row r="21" spans="2:8">
      <c r="B21" s="119"/>
      <c r="C21" s="112"/>
      <c r="D21" s="112"/>
      <c r="E21" s="112"/>
      <c r="F21" s="112"/>
      <c r="G21" s="112"/>
      <c r="H21" s="112"/>
    </row>
    <row r="22" spans="2:8">
      <c r="B22" s="119"/>
      <c r="C22" s="112"/>
      <c r="D22" s="112"/>
      <c r="E22" s="112"/>
      <c r="F22" s="112"/>
      <c r="G22" s="112"/>
      <c r="H22" s="112"/>
    </row>
    <row r="23" spans="2:8">
      <c r="B23" s="119"/>
      <c r="C23" s="112"/>
      <c r="D23" s="112"/>
      <c r="E23" s="112"/>
      <c r="F23" s="112"/>
      <c r="G23" s="112"/>
      <c r="H23" s="112"/>
    </row>
    <row r="24" spans="2:8">
      <c r="B24" s="119"/>
      <c r="C24" s="112"/>
      <c r="D24" s="112"/>
      <c r="E24" s="112"/>
      <c r="F24" s="112"/>
      <c r="G24" s="112"/>
      <c r="H24" s="112"/>
    </row>
    <row r="25" spans="2:8">
      <c r="B25" s="119"/>
      <c r="C25" s="112"/>
      <c r="D25" s="112"/>
      <c r="E25" s="112"/>
      <c r="F25" s="112"/>
      <c r="G25" s="112"/>
      <c r="H25" s="112"/>
    </row>
    <row r="26" spans="2:8">
      <c r="B26" s="119"/>
      <c r="C26" s="112"/>
      <c r="D26" s="112"/>
      <c r="E26" s="112"/>
      <c r="F26" s="112"/>
      <c r="G26" s="112"/>
      <c r="H26" s="112"/>
    </row>
    <row r="27" spans="2:8">
      <c r="B27" s="119"/>
      <c r="C27" s="112"/>
      <c r="D27" s="112"/>
      <c r="E27" s="112"/>
      <c r="F27" s="112"/>
      <c r="G27" s="112"/>
      <c r="H27" s="112"/>
    </row>
  </sheetData>
  <autoFilter ref="A2:P2" xr:uid="{4449989F-AC77-4D49-B313-9E5FD07E524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7EBD-1D04-4E75-B82A-A00DD7F8DDC8}">
  <sheetPr filterMode="1"/>
  <dimension ref="A1:S220"/>
  <sheetViews>
    <sheetView showGridLines="0" zoomScale="85" zoomScaleNormal="85" workbookViewId="0">
      <selection activeCell="A2" sqref="A2:XFD7"/>
    </sheetView>
  </sheetViews>
  <sheetFormatPr defaultRowHeight="14.4"/>
  <cols>
    <col min="1" max="1" width="30.5546875" customWidth="1"/>
    <col min="2" max="2" width="31.5546875" bestFit="1" customWidth="1"/>
    <col min="3" max="3" width="20.33203125" customWidth="1"/>
    <col min="4" max="4" width="17" customWidth="1"/>
    <col min="5" max="5" width="42.109375" style="358" bestFit="1" customWidth="1"/>
    <col min="6" max="6" width="29" customWidth="1"/>
    <col min="7" max="7" width="19.33203125" customWidth="1"/>
    <col min="8" max="8" width="23.33203125" bestFit="1" customWidth="1"/>
    <col min="9" max="9" width="19.88671875" bestFit="1" customWidth="1"/>
    <col min="10" max="10" width="23.33203125" bestFit="1" customWidth="1"/>
    <col min="11" max="11" width="16.88671875" customWidth="1"/>
    <col min="12" max="12" width="30.6640625" hidden="1" customWidth="1"/>
    <col min="13" max="13" width="6.6640625" customWidth="1"/>
    <col min="14" max="14" width="6.5546875" customWidth="1"/>
    <col min="17" max="17" width="10.6640625" hidden="1" customWidth="1"/>
    <col min="18" max="18" width="11.88671875" hidden="1" customWidth="1"/>
    <col min="19" max="19" width="9.109375" hidden="1" customWidth="1"/>
    <col min="20" max="20" width="9.109375" customWidth="1"/>
  </cols>
  <sheetData>
    <row r="1" spans="1:19" ht="23.4">
      <c r="J1" s="275"/>
      <c r="K1" s="44"/>
      <c r="L1" s="306"/>
      <c r="Q1" s="276" t="s">
        <v>27</v>
      </c>
      <c r="R1" s="294">
        <f>COUNTIF($C$109:$C$1136,"SILOG")</f>
        <v>19</v>
      </c>
      <c r="S1" s="254" t="str">
        <f>IFERROR(VLOOKUP(J1,'IN OUT'!L:M,2,FALSE), "BELUM MASUK")</f>
        <v>BELUM MASUK</v>
      </c>
    </row>
    <row r="2" spans="1:19" ht="30" customHeight="1">
      <c r="A2" s="321" t="s">
        <v>193</v>
      </c>
      <c r="B2" s="284">
        <f ca="1">TODAY()</f>
        <v>45977</v>
      </c>
      <c r="E2" s="1495" t="s">
        <v>213</v>
      </c>
      <c r="F2" s="1496"/>
      <c r="H2" s="322" t="s">
        <v>247</v>
      </c>
      <c r="I2" s="326" t="s">
        <v>195</v>
      </c>
      <c r="J2" s="322" t="s">
        <v>196</v>
      </c>
      <c r="Q2" s="276" t="s">
        <v>175</v>
      </c>
      <c r="R2" s="294">
        <f>COUNTIF($C$109:$C$1136,"SIBA")</f>
        <v>5</v>
      </c>
    </row>
    <row r="3" spans="1:19" ht="36.75" customHeight="1">
      <c r="A3" s="350" t="s">
        <v>198</v>
      </c>
      <c r="B3" s="329">
        <f>SUM(I174:I250)</f>
        <v>25</v>
      </c>
      <c r="C3" s="355" t="s">
        <v>398</v>
      </c>
      <c r="E3" s="359" t="s">
        <v>197</v>
      </c>
      <c r="F3" s="316">
        <f ca="1">SUMIF(H174:H1156, "TRAILER", I174:I1155)</f>
        <v>4</v>
      </c>
      <c r="G3" s="343"/>
      <c r="H3" s="353" t="s">
        <v>199</v>
      </c>
      <c r="I3" s="243">
        <f>COUNTIF(F174:F1156, "JABODETABEK")</f>
        <v>21</v>
      </c>
      <c r="J3" s="318">
        <f>SUMIF(F174:F1156, "JABODETABEK", G174:G1156)</f>
        <v>504047.40100000001</v>
      </c>
      <c r="Q3" s="276" t="s">
        <v>11</v>
      </c>
      <c r="R3" s="294">
        <f>COUNTIF($C$109:$C$1136,"YUSHAR")</f>
        <v>11</v>
      </c>
    </row>
    <row r="4" spans="1:19" ht="29.25" customHeight="1">
      <c r="A4" s="351" t="s">
        <v>201</v>
      </c>
      <c r="B4" s="315">
        <f>SUM(J174:J284)</f>
        <v>21</v>
      </c>
      <c r="E4" s="360" t="s">
        <v>200</v>
      </c>
      <c r="F4" s="316">
        <f ca="1">SUMIF(H174:H1157, "TRONTON", I174:I1156)</f>
        <v>21</v>
      </c>
      <c r="H4" s="353" t="s">
        <v>203</v>
      </c>
      <c r="I4" s="245">
        <f>COUNTIF($F$174:F1157, "JAWA TENGAH")</f>
        <v>3</v>
      </c>
      <c r="J4" s="318">
        <f>SUMIF(F174:F1157, "JAWA TENGAH", G174:G1157)</f>
        <v>99624.181000000011</v>
      </c>
      <c r="Q4" s="276" t="s">
        <v>206</v>
      </c>
      <c r="R4" s="294">
        <f>COUNTIF($C$109:$C$1136,"BRJ")</f>
        <v>6</v>
      </c>
    </row>
    <row r="5" spans="1:19" ht="33.6">
      <c r="A5" s="351" t="s">
        <v>265</v>
      </c>
      <c r="B5" s="315">
        <f>COUNTIF(K174:K1133,"MASUK")</f>
        <v>10</v>
      </c>
      <c r="H5" s="354" t="s">
        <v>205</v>
      </c>
      <c r="I5" s="247">
        <f>COUNTIF($F$174:F1158, "JAWA TIMUR")</f>
        <v>1</v>
      </c>
      <c r="J5" s="318">
        <f>SUMIF(F174:F1158, "JAWA TIMUR", G174:G1158)</f>
        <v>46674.21</v>
      </c>
      <c r="Q5" s="282" t="s">
        <v>34</v>
      </c>
      <c r="R5" s="294">
        <f>COUNTIF($C$109:$C$1136,"ALIEF")</f>
        <v>21</v>
      </c>
    </row>
    <row r="6" spans="1:19" ht="33.6">
      <c r="A6" s="351" t="s">
        <v>207</v>
      </c>
      <c r="B6" s="315">
        <f>COUNTIF(K174:K1133,"BELUM MASUK")</f>
        <v>16</v>
      </c>
      <c r="H6" s="353" t="s">
        <v>208</v>
      </c>
      <c r="I6" s="249">
        <f>SUM(I3:I5)</f>
        <v>25</v>
      </c>
      <c r="J6" s="244">
        <f>SUM(J3:J5)</f>
        <v>650345.79200000002</v>
      </c>
      <c r="K6" s="206" t="s">
        <v>399</v>
      </c>
      <c r="L6" s="308"/>
      <c r="M6" s="307"/>
      <c r="Q6" s="293" t="s">
        <v>152</v>
      </c>
      <c r="R6" s="294">
        <f>COUNTIF($C$109:$C$1136,"ELANG")</f>
        <v>2</v>
      </c>
    </row>
    <row r="7" spans="1:19" ht="27" customHeight="1">
      <c r="A7" s="352" t="s">
        <v>249</v>
      </c>
      <c r="B7" s="314">
        <f>B3-B4</f>
        <v>4</v>
      </c>
      <c r="C7" s="206" t="s">
        <v>400</v>
      </c>
      <c r="E7" s="361"/>
      <c r="F7" s="247"/>
      <c r="G7" s="253"/>
      <c r="H7" s="299"/>
      <c r="I7" s="281"/>
      <c r="J7" s="281"/>
      <c r="K7" s="349">
        <f>SUM($G$174:$G$176)</f>
        <v>112376.071</v>
      </c>
      <c r="L7" s="308"/>
      <c r="M7" s="307"/>
      <c r="N7" s="308"/>
      <c r="O7" s="307"/>
      <c r="Q7" s="293" t="s">
        <v>58</v>
      </c>
      <c r="R7" s="294">
        <f>COUNTIF($C$109:$C$1136,"CGL")</f>
        <v>1</v>
      </c>
    </row>
    <row r="8" spans="1:19" ht="27" customHeight="1">
      <c r="A8" s="295"/>
      <c r="B8" s="296"/>
      <c r="E8" s="361"/>
      <c r="F8" s="327"/>
      <c r="G8" s="253"/>
      <c r="I8" s="281"/>
      <c r="J8" s="348"/>
      <c r="K8" s="307"/>
      <c r="L8" s="308"/>
      <c r="M8" s="195"/>
      <c r="Q8" t="s">
        <v>192</v>
      </c>
      <c r="R8" s="275">
        <f>SUM(R1:R7)</f>
        <v>65</v>
      </c>
    </row>
    <row r="10" spans="1:19">
      <c r="A10" s="323" t="s">
        <v>1</v>
      </c>
      <c r="B10" s="324" t="s">
        <v>2</v>
      </c>
      <c r="C10" s="324" t="s">
        <v>3</v>
      </c>
      <c r="D10" s="324" t="s">
        <v>211</v>
      </c>
      <c r="E10" s="362" t="s">
        <v>5</v>
      </c>
      <c r="F10" s="324" t="s">
        <v>194</v>
      </c>
      <c r="G10" s="324" t="s">
        <v>212</v>
      </c>
      <c r="H10" s="325" t="s">
        <v>213</v>
      </c>
      <c r="I10" s="325" t="s">
        <v>214</v>
      </c>
      <c r="J10" s="325" t="s">
        <v>215</v>
      </c>
      <c r="K10" s="324" t="s">
        <v>216</v>
      </c>
      <c r="L10" s="324" t="s">
        <v>401</v>
      </c>
    </row>
    <row r="11" spans="1:19" hidden="1">
      <c r="A11" s="83" t="s">
        <v>218</v>
      </c>
      <c r="B11" s="81">
        <v>3331548306</v>
      </c>
      <c r="C11" s="185" t="s">
        <v>49</v>
      </c>
      <c r="D11" s="185">
        <v>24140272</v>
      </c>
      <c r="E11" s="363" t="s">
        <v>219</v>
      </c>
      <c r="F11" s="81" t="s">
        <v>199</v>
      </c>
      <c r="G11" s="191">
        <v>25</v>
      </c>
      <c r="H11" s="191" t="s">
        <v>220</v>
      </c>
      <c r="I11" s="191">
        <v>1</v>
      </c>
      <c r="J11" s="83">
        <v>1</v>
      </c>
      <c r="K11" s="81"/>
      <c r="L11" s="81"/>
    </row>
    <row r="12" spans="1:19" hidden="1">
      <c r="A12" s="83" t="s">
        <v>218</v>
      </c>
      <c r="B12" s="81">
        <v>3331548307</v>
      </c>
      <c r="C12" s="185" t="s">
        <v>58</v>
      </c>
      <c r="D12" s="185">
        <v>24140273</v>
      </c>
      <c r="E12" s="363" t="s">
        <v>219</v>
      </c>
      <c r="F12" s="81" t="s">
        <v>199</v>
      </c>
      <c r="G12" s="191">
        <v>25</v>
      </c>
      <c r="H12" s="191" t="s">
        <v>220</v>
      </c>
      <c r="I12" s="191">
        <v>1</v>
      </c>
      <c r="J12" s="83">
        <v>1</v>
      </c>
      <c r="K12" s="81"/>
      <c r="L12" s="81"/>
    </row>
    <row r="13" spans="1:19" hidden="1">
      <c r="A13" s="83" t="s">
        <v>218</v>
      </c>
      <c r="B13" s="81">
        <v>3331547906</v>
      </c>
      <c r="C13" s="185" t="s">
        <v>34</v>
      </c>
      <c r="D13" s="185">
        <v>24140274</v>
      </c>
      <c r="E13" s="363" t="s">
        <v>132</v>
      </c>
      <c r="F13" s="81" t="s">
        <v>199</v>
      </c>
      <c r="G13" s="191">
        <v>25</v>
      </c>
      <c r="H13" s="191" t="s">
        <v>220</v>
      </c>
      <c r="I13" s="191">
        <v>1</v>
      </c>
      <c r="J13" s="83">
        <v>1</v>
      </c>
      <c r="K13" s="81"/>
      <c r="L13" s="81"/>
    </row>
    <row r="14" spans="1:19" hidden="1">
      <c r="A14" s="83" t="s">
        <v>218</v>
      </c>
      <c r="B14" s="81">
        <v>3331548297</v>
      </c>
      <c r="C14" s="185" t="s">
        <v>34</v>
      </c>
      <c r="D14" s="185">
        <v>24140275</v>
      </c>
      <c r="E14" s="363" t="s">
        <v>132</v>
      </c>
      <c r="F14" s="81" t="s">
        <v>199</v>
      </c>
      <c r="G14" s="191">
        <v>25</v>
      </c>
      <c r="H14" s="191" t="s">
        <v>220</v>
      </c>
      <c r="I14" s="191">
        <v>1</v>
      </c>
      <c r="J14" s="83">
        <v>1</v>
      </c>
      <c r="K14" s="81"/>
      <c r="L14" s="81"/>
    </row>
    <row r="15" spans="1:19" hidden="1">
      <c r="A15" s="83" t="s">
        <v>221</v>
      </c>
      <c r="B15" s="81">
        <v>3331548390</v>
      </c>
      <c r="C15" s="185" t="s">
        <v>34</v>
      </c>
      <c r="D15" s="185">
        <v>24140284</v>
      </c>
      <c r="E15" s="363" t="s">
        <v>154</v>
      </c>
      <c r="F15" s="81" t="s">
        <v>199</v>
      </c>
      <c r="G15" s="191">
        <v>25</v>
      </c>
      <c r="H15" s="191" t="s">
        <v>220</v>
      </c>
      <c r="I15" s="191">
        <v>1</v>
      </c>
      <c r="J15" s="83">
        <v>1</v>
      </c>
      <c r="K15" s="81"/>
      <c r="L15" s="81"/>
    </row>
    <row r="16" spans="1:19" hidden="1">
      <c r="A16" s="83" t="s">
        <v>221</v>
      </c>
      <c r="B16" s="81">
        <v>3331548324</v>
      </c>
      <c r="C16" s="185" t="s">
        <v>49</v>
      </c>
      <c r="D16" s="185">
        <v>24140281</v>
      </c>
      <c r="E16" s="363" t="s">
        <v>158</v>
      </c>
      <c r="F16" s="81" t="s">
        <v>199</v>
      </c>
      <c r="G16" s="191">
        <v>25</v>
      </c>
      <c r="H16" s="191" t="s">
        <v>220</v>
      </c>
      <c r="I16" s="191">
        <v>1</v>
      </c>
      <c r="J16" s="83">
        <v>1</v>
      </c>
      <c r="K16" s="81"/>
      <c r="L16" s="81"/>
    </row>
    <row r="17" spans="1:12" hidden="1">
      <c r="A17" s="83" t="s">
        <v>218</v>
      </c>
      <c r="B17" s="81">
        <v>3331548346</v>
      </c>
      <c r="C17" s="185"/>
      <c r="D17" s="185"/>
      <c r="E17" s="363" t="s">
        <v>134</v>
      </c>
      <c r="F17" s="81" t="s">
        <v>199</v>
      </c>
      <c r="G17" s="191">
        <v>25</v>
      </c>
      <c r="H17" s="191" t="s">
        <v>220</v>
      </c>
      <c r="I17" s="191">
        <v>1</v>
      </c>
      <c r="J17" s="83">
        <v>1</v>
      </c>
      <c r="K17" s="81"/>
      <c r="L17" s="81"/>
    </row>
    <row r="18" spans="1:12" hidden="1">
      <c r="A18" s="83" t="s">
        <v>218</v>
      </c>
      <c r="B18" s="81">
        <v>3331548331</v>
      </c>
      <c r="C18" s="185" t="s">
        <v>58</v>
      </c>
      <c r="D18" s="185">
        <v>24140277</v>
      </c>
      <c r="E18" s="363" t="s">
        <v>158</v>
      </c>
      <c r="F18" s="81" t="s">
        <v>199</v>
      </c>
      <c r="G18" s="191">
        <v>25</v>
      </c>
      <c r="H18" s="191" t="s">
        <v>220</v>
      </c>
      <c r="I18" s="191">
        <v>1</v>
      </c>
      <c r="J18" s="83">
        <v>1</v>
      </c>
      <c r="K18" s="81"/>
      <c r="L18" s="81"/>
    </row>
    <row r="19" spans="1:12" hidden="1">
      <c r="A19" s="83" t="s">
        <v>218</v>
      </c>
      <c r="B19" s="81">
        <v>3331548348</v>
      </c>
      <c r="C19" s="185" t="s">
        <v>34</v>
      </c>
      <c r="D19" s="185">
        <v>24140279</v>
      </c>
      <c r="E19" s="363" t="s">
        <v>150</v>
      </c>
      <c r="F19" s="81" t="s">
        <v>199</v>
      </c>
      <c r="G19" s="191">
        <v>25</v>
      </c>
      <c r="H19" s="191" t="s">
        <v>220</v>
      </c>
      <c r="I19" s="191">
        <v>1</v>
      </c>
      <c r="J19" s="83">
        <v>1</v>
      </c>
      <c r="K19" s="81"/>
      <c r="L19" s="81"/>
    </row>
    <row r="20" spans="1:12" hidden="1">
      <c r="A20" s="83" t="s">
        <v>218</v>
      </c>
      <c r="B20" s="81">
        <v>3331548351</v>
      </c>
      <c r="C20" s="185" t="s">
        <v>27</v>
      </c>
      <c r="D20" s="185">
        <v>24140280</v>
      </c>
      <c r="E20" s="363" t="s">
        <v>222</v>
      </c>
      <c r="F20" s="81" t="s">
        <v>199</v>
      </c>
      <c r="G20" s="191">
        <v>25</v>
      </c>
      <c r="H20" s="191" t="s">
        <v>220</v>
      </c>
      <c r="I20" s="191">
        <v>1</v>
      </c>
      <c r="J20" s="83">
        <v>1</v>
      </c>
      <c r="K20" s="81"/>
      <c r="L20" s="81"/>
    </row>
    <row r="21" spans="1:12" hidden="1">
      <c r="A21" s="83" t="s">
        <v>221</v>
      </c>
      <c r="B21" s="81">
        <v>3331548298</v>
      </c>
      <c r="C21" s="185" t="s">
        <v>27</v>
      </c>
      <c r="D21" s="185">
        <v>24140282</v>
      </c>
      <c r="E21" s="363" t="s">
        <v>135</v>
      </c>
      <c r="F21" s="81" t="s">
        <v>199</v>
      </c>
      <c r="G21" s="191">
        <v>25</v>
      </c>
      <c r="H21" s="191" t="s">
        <v>220</v>
      </c>
      <c r="I21" s="191">
        <v>1</v>
      </c>
      <c r="J21" s="83">
        <v>1</v>
      </c>
      <c r="K21" s="81"/>
      <c r="L21" s="81"/>
    </row>
    <row r="22" spans="1:12" hidden="1">
      <c r="A22" s="83" t="s">
        <v>218</v>
      </c>
      <c r="B22" s="81">
        <v>3331547489</v>
      </c>
      <c r="C22" s="185" t="s">
        <v>34</v>
      </c>
      <c r="D22" s="185">
        <v>24140283</v>
      </c>
      <c r="E22" s="363" t="s">
        <v>46</v>
      </c>
      <c r="F22" s="81" t="s">
        <v>199</v>
      </c>
      <c r="G22" s="191">
        <v>25</v>
      </c>
      <c r="H22" s="191" t="s">
        <v>220</v>
      </c>
      <c r="I22" s="191">
        <v>1</v>
      </c>
      <c r="J22" s="83">
        <v>1</v>
      </c>
      <c r="K22" s="81"/>
      <c r="L22" s="81"/>
    </row>
    <row r="23" spans="1:12" hidden="1">
      <c r="A23" s="83" t="s">
        <v>218</v>
      </c>
      <c r="B23" s="81">
        <v>3331548380</v>
      </c>
      <c r="C23" s="185"/>
      <c r="D23" s="185"/>
      <c r="E23" s="363" t="s">
        <v>46</v>
      </c>
      <c r="F23" s="81" t="s">
        <v>199</v>
      </c>
      <c r="G23" s="191">
        <v>25</v>
      </c>
      <c r="H23" s="191" t="s">
        <v>220</v>
      </c>
      <c r="I23" s="191">
        <v>1</v>
      </c>
      <c r="J23" s="83">
        <v>1</v>
      </c>
      <c r="K23" s="81"/>
      <c r="L23" s="81"/>
    </row>
    <row r="24" spans="1:12" hidden="1">
      <c r="A24" s="83" t="s">
        <v>221</v>
      </c>
      <c r="B24" s="81">
        <v>3331548645</v>
      </c>
      <c r="C24" s="185" t="s">
        <v>82</v>
      </c>
      <c r="D24" s="185">
        <v>24140302</v>
      </c>
      <c r="E24" s="363" t="s">
        <v>223</v>
      </c>
      <c r="F24" s="81" t="s">
        <v>205</v>
      </c>
      <c r="G24" s="191">
        <v>26525</v>
      </c>
      <c r="H24" s="191" t="s">
        <v>220</v>
      </c>
      <c r="I24" s="191">
        <v>1</v>
      </c>
      <c r="J24" s="83">
        <v>1</v>
      </c>
      <c r="K24" s="81"/>
      <c r="L24" s="81"/>
    </row>
    <row r="25" spans="1:12" hidden="1">
      <c r="A25" s="83" t="s">
        <v>221</v>
      </c>
      <c r="B25" s="81">
        <v>3331548670</v>
      </c>
      <c r="C25" s="185" t="s">
        <v>82</v>
      </c>
      <c r="D25" s="185">
        <v>24140304</v>
      </c>
      <c r="E25" s="363" t="s">
        <v>150</v>
      </c>
      <c r="F25" s="81" t="s">
        <v>199</v>
      </c>
      <c r="G25" s="191">
        <v>13000</v>
      </c>
      <c r="H25" s="191" t="s">
        <v>220</v>
      </c>
      <c r="I25" s="191">
        <v>1</v>
      </c>
      <c r="J25" s="83">
        <v>1</v>
      </c>
      <c r="K25" s="81"/>
      <c r="L25" s="81"/>
    </row>
    <row r="26" spans="1:12" hidden="1">
      <c r="A26" s="83" t="s">
        <v>221</v>
      </c>
      <c r="B26" s="81">
        <v>3331548667</v>
      </c>
      <c r="C26" s="185" t="s">
        <v>82</v>
      </c>
      <c r="D26" s="185"/>
      <c r="E26" s="363" t="s">
        <v>134</v>
      </c>
      <c r="F26" s="81" t="s">
        <v>199</v>
      </c>
      <c r="G26" s="191">
        <v>11348</v>
      </c>
      <c r="H26" s="191" t="s">
        <v>220</v>
      </c>
      <c r="I26" s="191">
        <v>1</v>
      </c>
      <c r="J26" s="83">
        <v>1</v>
      </c>
      <c r="K26" s="81"/>
      <c r="L26" s="81"/>
    </row>
    <row r="27" spans="1:12" hidden="1">
      <c r="A27" s="83" t="s">
        <v>221</v>
      </c>
      <c r="B27" s="81">
        <v>3331548673</v>
      </c>
      <c r="C27" s="185" t="s">
        <v>82</v>
      </c>
      <c r="D27" s="185">
        <v>24140290</v>
      </c>
      <c r="E27" s="363" t="s">
        <v>219</v>
      </c>
      <c r="F27" s="81" t="s">
        <v>199</v>
      </c>
      <c r="G27" s="191">
        <v>24763</v>
      </c>
      <c r="H27" s="191" t="s">
        <v>220</v>
      </c>
      <c r="I27" s="191">
        <v>1</v>
      </c>
      <c r="J27" s="83">
        <v>1</v>
      </c>
      <c r="K27" s="81"/>
      <c r="L27" s="81"/>
    </row>
    <row r="28" spans="1:12" hidden="1">
      <c r="A28" s="83" t="s">
        <v>221</v>
      </c>
      <c r="B28" s="81">
        <v>3331548675</v>
      </c>
      <c r="C28" s="185" t="s">
        <v>34</v>
      </c>
      <c r="D28" s="185">
        <v>24140291</v>
      </c>
      <c r="E28" s="363" t="s">
        <v>134</v>
      </c>
      <c r="F28" s="81" t="s">
        <v>199</v>
      </c>
      <c r="G28" s="191">
        <v>22060</v>
      </c>
      <c r="H28" s="191" t="s">
        <v>220</v>
      </c>
      <c r="I28" s="191">
        <v>1</v>
      </c>
      <c r="J28" s="83">
        <v>1</v>
      </c>
      <c r="K28" s="81"/>
      <c r="L28" s="81"/>
    </row>
    <row r="29" spans="1:12" hidden="1">
      <c r="A29" s="83" t="s">
        <v>218</v>
      </c>
      <c r="B29" s="81">
        <v>3331548333</v>
      </c>
      <c r="C29" s="185" t="s">
        <v>82</v>
      </c>
      <c r="D29" s="185">
        <v>24140295</v>
      </c>
      <c r="E29" s="363" t="s">
        <v>134</v>
      </c>
      <c r="F29" s="81" t="s">
        <v>199</v>
      </c>
      <c r="G29" s="191">
        <v>22060</v>
      </c>
      <c r="H29" s="191" t="s">
        <v>220</v>
      </c>
      <c r="I29" s="191">
        <v>1</v>
      </c>
      <c r="J29" s="83">
        <v>1</v>
      </c>
      <c r="K29" s="81"/>
      <c r="L29" s="81"/>
    </row>
    <row r="30" spans="1:12" hidden="1">
      <c r="A30" s="83" t="s">
        <v>221</v>
      </c>
      <c r="B30" s="81">
        <v>3331548732</v>
      </c>
      <c r="C30" s="185" t="s">
        <v>206</v>
      </c>
      <c r="D30" s="185">
        <v>24140296</v>
      </c>
      <c r="E30" s="363" t="s">
        <v>224</v>
      </c>
      <c r="F30" s="81" t="s">
        <v>203</v>
      </c>
      <c r="G30" s="191">
        <v>33872</v>
      </c>
      <c r="H30" s="191" t="s">
        <v>128</v>
      </c>
      <c r="I30" s="191">
        <v>1</v>
      </c>
      <c r="J30" s="83">
        <v>1</v>
      </c>
      <c r="K30" s="81"/>
      <c r="L30" s="81"/>
    </row>
    <row r="31" spans="1:12" hidden="1">
      <c r="A31" s="83" t="s">
        <v>221</v>
      </c>
      <c r="B31" s="81">
        <v>3331548736</v>
      </c>
      <c r="C31" s="185" t="s">
        <v>206</v>
      </c>
      <c r="D31" s="185">
        <v>24140297</v>
      </c>
      <c r="E31" s="363" t="s">
        <v>224</v>
      </c>
      <c r="F31" s="81" t="s">
        <v>203</v>
      </c>
      <c r="G31" s="191">
        <v>44529</v>
      </c>
      <c r="H31" s="191" t="s">
        <v>128</v>
      </c>
      <c r="I31" s="191">
        <v>1</v>
      </c>
      <c r="J31" s="83">
        <v>1</v>
      </c>
      <c r="K31" s="81"/>
      <c r="L31" s="81"/>
    </row>
    <row r="32" spans="1:12" hidden="1">
      <c r="A32" s="83" t="s">
        <v>221</v>
      </c>
      <c r="B32" s="81">
        <v>3331548741</v>
      </c>
      <c r="C32" s="185" t="s">
        <v>206</v>
      </c>
      <c r="D32" s="185">
        <v>24140298</v>
      </c>
      <c r="E32" s="363" t="s">
        <v>224</v>
      </c>
      <c r="F32" s="81" t="s">
        <v>203</v>
      </c>
      <c r="G32" s="191">
        <v>45726</v>
      </c>
      <c r="H32" s="191" t="s">
        <v>128</v>
      </c>
      <c r="I32" s="191">
        <v>1</v>
      </c>
      <c r="J32" s="83">
        <v>1</v>
      </c>
      <c r="K32" s="81"/>
      <c r="L32" s="81"/>
    </row>
    <row r="33" spans="1:12" hidden="1">
      <c r="A33" s="83" t="s">
        <v>221</v>
      </c>
      <c r="B33" s="81">
        <v>3331548746</v>
      </c>
      <c r="C33" s="185" t="s">
        <v>206</v>
      </c>
      <c r="D33" s="185">
        <v>24140299</v>
      </c>
      <c r="E33" s="363" t="s">
        <v>225</v>
      </c>
      <c r="F33" s="81" t="s">
        <v>203</v>
      </c>
      <c r="G33" s="191">
        <v>37035</v>
      </c>
      <c r="H33" s="191" t="s">
        <v>128</v>
      </c>
      <c r="I33" s="191">
        <v>1</v>
      </c>
      <c r="J33" s="83">
        <v>1</v>
      </c>
      <c r="K33" s="81"/>
      <c r="L33" s="81"/>
    </row>
    <row r="34" spans="1:12" hidden="1">
      <c r="A34" s="83" t="s">
        <v>221</v>
      </c>
      <c r="B34" s="81">
        <v>3331548749</v>
      </c>
      <c r="C34" s="185" t="s">
        <v>206</v>
      </c>
      <c r="D34" s="185">
        <v>24140300</v>
      </c>
      <c r="E34" s="363" t="s">
        <v>225</v>
      </c>
      <c r="F34" s="81" t="s">
        <v>203</v>
      </c>
      <c r="G34" s="191">
        <v>33812</v>
      </c>
      <c r="H34" s="191" t="s">
        <v>128</v>
      </c>
      <c r="I34" s="191">
        <v>1</v>
      </c>
      <c r="J34" s="83">
        <v>1</v>
      </c>
      <c r="K34" s="81"/>
      <c r="L34" s="81"/>
    </row>
    <row r="35" spans="1:12" hidden="1">
      <c r="A35" s="83" t="s">
        <v>221</v>
      </c>
      <c r="B35" s="81">
        <v>3331548756</v>
      </c>
      <c r="C35" s="185" t="s">
        <v>175</v>
      </c>
      <c r="D35" s="185">
        <v>24140301</v>
      </c>
      <c r="E35" s="363" t="s">
        <v>225</v>
      </c>
      <c r="F35" s="81" t="s">
        <v>203</v>
      </c>
      <c r="G35" s="191">
        <v>34290</v>
      </c>
      <c r="H35" s="191" t="s">
        <v>128</v>
      </c>
      <c r="I35" s="191">
        <v>1</v>
      </c>
      <c r="J35" s="83">
        <v>1</v>
      </c>
      <c r="K35" s="81"/>
      <c r="L35" s="81"/>
    </row>
    <row r="36" spans="1:12" hidden="1">
      <c r="A36" s="83" t="s">
        <v>221</v>
      </c>
      <c r="B36" s="81">
        <v>3331548760</v>
      </c>
      <c r="C36" s="185" t="s">
        <v>82</v>
      </c>
      <c r="D36" s="185">
        <v>24140303</v>
      </c>
      <c r="E36" s="363" t="s">
        <v>12</v>
      </c>
      <c r="F36" s="81" t="s">
        <v>199</v>
      </c>
      <c r="G36" s="191">
        <v>13963</v>
      </c>
      <c r="H36" s="191" t="s">
        <v>220</v>
      </c>
      <c r="I36" s="191">
        <v>1</v>
      </c>
      <c r="J36" s="83">
        <v>1</v>
      </c>
      <c r="K36" s="81"/>
      <c r="L36" s="81"/>
    </row>
    <row r="37" spans="1:12" hidden="1">
      <c r="A37" s="83" t="s">
        <v>221</v>
      </c>
      <c r="B37" s="81">
        <v>3331548761</v>
      </c>
      <c r="C37" s="185"/>
      <c r="D37" s="185"/>
      <c r="E37" s="363" t="s">
        <v>12</v>
      </c>
      <c r="F37" s="81" t="s">
        <v>199</v>
      </c>
      <c r="G37" s="191">
        <v>10480</v>
      </c>
      <c r="H37" s="191" t="s">
        <v>220</v>
      </c>
      <c r="I37" s="191">
        <v>1</v>
      </c>
      <c r="J37" s="83">
        <v>1</v>
      </c>
      <c r="K37" s="81"/>
      <c r="L37" s="81"/>
    </row>
    <row r="38" spans="1:12" hidden="1">
      <c r="A38" s="81" t="s">
        <v>221</v>
      </c>
      <c r="B38" s="82">
        <v>3331548736</v>
      </c>
      <c r="C38" s="185" t="s">
        <v>206</v>
      </c>
      <c r="D38" s="185">
        <v>24140297</v>
      </c>
      <c r="E38" s="363" t="s">
        <v>224</v>
      </c>
      <c r="F38" s="81" t="s">
        <v>203</v>
      </c>
      <c r="G38" s="191">
        <v>44529</v>
      </c>
      <c r="H38" s="191" t="s">
        <v>128</v>
      </c>
      <c r="I38" s="191">
        <v>1</v>
      </c>
      <c r="J38" s="81">
        <v>1</v>
      </c>
      <c r="K38" s="331">
        <v>0.17986111111111111</v>
      </c>
      <c r="L38" s="331">
        <v>0.44444444444444442</v>
      </c>
    </row>
    <row r="39" spans="1:12" s="27" customFormat="1" hidden="1">
      <c r="A39" s="81" t="s">
        <v>221</v>
      </c>
      <c r="B39" s="82">
        <v>3331548749</v>
      </c>
      <c r="C39" s="185" t="s">
        <v>49</v>
      </c>
      <c r="D39" s="185">
        <v>24140300</v>
      </c>
      <c r="E39" s="363" t="s">
        <v>226</v>
      </c>
      <c r="F39" s="81" t="s">
        <v>203</v>
      </c>
      <c r="G39" s="191">
        <v>35775.372000000003</v>
      </c>
      <c r="H39" s="191" t="s">
        <v>128</v>
      </c>
      <c r="I39" s="191">
        <v>1</v>
      </c>
      <c r="J39" s="191">
        <v>1</v>
      </c>
      <c r="K39" s="237" t="str">
        <f>IFERROR(VLOOKUP(B39,'IN OUT'!F:G,2,FALSE), "BELUM MASUK")</f>
        <v>BELUM MASUK</v>
      </c>
      <c r="L39" s="237">
        <v>9.0277777777777776E-2</v>
      </c>
    </row>
    <row r="40" spans="1:12" s="27" customFormat="1" hidden="1">
      <c r="A40" s="81" t="s">
        <v>221</v>
      </c>
      <c r="B40" s="82">
        <v>3331548756</v>
      </c>
      <c r="C40" s="185" t="s">
        <v>227</v>
      </c>
      <c r="D40" s="185">
        <v>24140301</v>
      </c>
      <c r="E40" s="364" t="s">
        <v>134</v>
      </c>
      <c r="F40" s="81" t="s">
        <v>203</v>
      </c>
      <c r="G40" s="191">
        <v>34495.741000000002</v>
      </c>
      <c r="H40" s="191" t="s">
        <v>128</v>
      </c>
      <c r="I40" s="191">
        <v>1</v>
      </c>
      <c r="J40" s="191">
        <v>1</v>
      </c>
      <c r="K40" s="237" t="str">
        <f>IFERROR(VLOOKUP(B40,'IN OUT'!F:G,2,FALSE), "BELUM MASUK")</f>
        <v>BELUM MASUK</v>
      </c>
      <c r="L40" s="237" t="s">
        <v>228</v>
      </c>
    </row>
    <row r="41" spans="1:12" s="35" customFormat="1" hidden="1">
      <c r="A41" s="81" t="s">
        <v>229</v>
      </c>
      <c r="B41" s="81">
        <v>3331548394</v>
      </c>
      <c r="C41" s="185" t="s">
        <v>34</v>
      </c>
      <c r="D41" s="185">
        <v>24140305</v>
      </c>
      <c r="E41" s="363" t="s">
        <v>230</v>
      </c>
      <c r="F41" s="81" t="s">
        <v>199</v>
      </c>
      <c r="G41" s="191">
        <v>26626.47</v>
      </c>
      <c r="H41" s="191" t="s">
        <v>220</v>
      </c>
      <c r="I41" s="191">
        <v>1</v>
      </c>
      <c r="J41" s="191">
        <v>1</v>
      </c>
      <c r="K41" s="237" t="str">
        <f>IFERROR(VLOOKUP(B41,'IN OUT'!F:G,2,FALSE), "BELUM MASUK")</f>
        <v>BELUM MASUK</v>
      </c>
      <c r="L41" s="237">
        <v>0.84027777777777779</v>
      </c>
    </row>
    <row r="42" spans="1:12" s="35" customFormat="1" hidden="1">
      <c r="A42" s="81" t="s">
        <v>229</v>
      </c>
      <c r="B42" s="81">
        <v>3331548958</v>
      </c>
      <c r="C42" s="185" t="s">
        <v>206</v>
      </c>
      <c r="D42" s="185">
        <v>24140306</v>
      </c>
      <c r="E42" s="363" t="s">
        <v>224</v>
      </c>
      <c r="F42" s="203" t="s">
        <v>203</v>
      </c>
      <c r="G42" s="332">
        <v>42969.277999999998</v>
      </c>
      <c r="H42" s="332" t="s">
        <v>128</v>
      </c>
      <c r="I42" s="332">
        <v>1</v>
      </c>
      <c r="J42" s="332">
        <v>1</v>
      </c>
      <c r="K42" s="237" t="str">
        <f>IFERROR(VLOOKUP(B42,'IN OUT'!F:G,2,FALSE), "BELUM MASUK")</f>
        <v>BELUM MASUK</v>
      </c>
      <c r="L42" s="237" t="s">
        <v>228</v>
      </c>
    </row>
    <row r="43" spans="1:12" s="35" customFormat="1" hidden="1">
      <c r="A43" s="203" t="s">
        <v>229</v>
      </c>
      <c r="B43" s="203">
        <v>3331548967</v>
      </c>
      <c r="C43" s="333" t="s">
        <v>227</v>
      </c>
      <c r="D43" s="333">
        <v>24140307</v>
      </c>
      <c r="E43" s="365" t="s">
        <v>224</v>
      </c>
      <c r="F43" s="203" t="s">
        <v>203</v>
      </c>
      <c r="G43" s="332">
        <v>43071.89</v>
      </c>
      <c r="H43" s="332" t="s">
        <v>128</v>
      </c>
      <c r="I43" s="203">
        <v>1</v>
      </c>
      <c r="J43" s="203">
        <v>1</v>
      </c>
      <c r="K43" s="200">
        <v>0.71081018518518524</v>
      </c>
      <c r="L43" s="237">
        <v>6.25E-2</v>
      </c>
    </row>
    <row r="44" spans="1:12" s="44" customFormat="1" hidden="1">
      <c r="A44" s="81" t="s">
        <v>229</v>
      </c>
      <c r="B44" s="82">
        <v>3331548968</v>
      </c>
      <c r="C44" s="80" t="s">
        <v>11</v>
      </c>
      <c r="D44" s="80">
        <v>24140309</v>
      </c>
      <c r="E44" s="363" t="s">
        <v>226</v>
      </c>
      <c r="F44" s="81" t="s">
        <v>203</v>
      </c>
      <c r="G44" s="191">
        <v>32961.589999999997</v>
      </c>
      <c r="H44" s="191" t="s">
        <v>128</v>
      </c>
      <c r="I44" s="81">
        <v>1</v>
      </c>
      <c r="J44" s="81">
        <v>1</v>
      </c>
      <c r="K44" s="200" t="str">
        <f>IFERROR(VLOOKUP(B44,'IN OUT'!F:G,2,FALSE), "BELUM MASUK")</f>
        <v>BELUM MASUK</v>
      </c>
      <c r="L44" s="200" t="s">
        <v>228</v>
      </c>
    </row>
    <row r="45" spans="1:12" hidden="1">
      <c r="A45" s="81" t="s">
        <v>229</v>
      </c>
      <c r="B45" s="82">
        <v>3331548969</v>
      </c>
      <c r="C45" s="80" t="s">
        <v>206</v>
      </c>
      <c r="D45" s="80">
        <v>24140310</v>
      </c>
      <c r="E45" s="363" t="s">
        <v>226</v>
      </c>
      <c r="F45" s="81" t="s">
        <v>203</v>
      </c>
      <c r="G45" s="191">
        <v>34967.553999999996</v>
      </c>
      <c r="H45" s="191" t="s">
        <v>128</v>
      </c>
      <c r="I45" s="81">
        <v>1</v>
      </c>
      <c r="J45" s="81">
        <v>0</v>
      </c>
      <c r="K45" s="200" t="str">
        <f>IFERROR(VLOOKUP(B45,'IN OUT'!F:G,2,FALSE), "BELUM MASUK")</f>
        <v>BELUM MASUK</v>
      </c>
      <c r="L45" s="200" t="s">
        <v>228</v>
      </c>
    </row>
    <row r="46" spans="1:12" hidden="1">
      <c r="A46" s="81" t="s">
        <v>229</v>
      </c>
      <c r="B46" s="82">
        <v>3331547878</v>
      </c>
      <c r="C46" s="80" t="s">
        <v>206</v>
      </c>
      <c r="D46" s="80">
        <v>24140311</v>
      </c>
      <c r="E46" s="363" t="s">
        <v>231</v>
      </c>
      <c r="F46" s="81" t="s">
        <v>203</v>
      </c>
      <c r="G46" s="191">
        <v>42299.445</v>
      </c>
      <c r="H46" s="191" t="s">
        <v>128</v>
      </c>
      <c r="I46" s="81">
        <v>1</v>
      </c>
      <c r="J46" s="81">
        <v>0</v>
      </c>
      <c r="K46" s="200" t="str">
        <f>IFERROR(VLOOKUP(B46,'IN OUT'!F:G,2,FALSE), "BELUM MASUK")</f>
        <v>BELUM MASUK</v>
      </c>
      <c r="L46" s="200" t="s">
        <v>228</v>
      </c>
    </row>
    <row r="47" spans="1:12" hidden="1">
      <c r="A47" s="81" t="s">
        <v>229</v>
      </c>
      <c r="B47" s="82">
        <v>3331549001</v>
      </c>
      <c r="C47" s="80" t="s">
        <v>206</v>
      </c>
      <c r="D47" s="80">
        <v>24140312</v>
      </c>
      <c r="E47" s="363" t="s">
        <v>173</v>
      </c>
      <c r="F47" s="81" t="s">
        <v>205</v>
      </c>
      <c r="G47" s="191">
        <v>40818.074999999997</v>
      </c>
      <c r="H47" s="191" t="s">
        <v>128</v>
      </c>
      <c r="I47" s="81">
        <v>1</v>
      </c>
      <c r="J47" s="81">
        <v>0</v>
      </c>
      <c r="K47" s="200">
        <v>0.20208333333333334</v>
      </c>
      <c r="L47" s="200" t="s">
        <v>228</v>
      </c>
    </row>
    <row r="48" spans="1:12" hidden="1">
      <c r="A48" s="203" t="s">
        <v>229</v>
      </c>
      <c r="B48" s="203">
        <v>3331549014</v>
      </c>
      <c r="C48" s="1497" t="s">
        <v>27</v>
      </c>
      <c r="D48" s="1497">
        <v>24140313</v>
      </c>
      <c r="E48" s="1508" t="s">
        <v>70</v>
      </c>
      <c r="F48" s="1497" t="s">
        <v>199</v>
      </c>
      <c r="G48" s="332">
        <v>22104.974999999999</v>
      </c>
      <c r="H48" s="203" t="s">
        <v>220</v>
      </c>
      <c r="I48" s="203">
        <v>1</v>
      </c>
      <c r="J48" s="203">
        <v>1</v>
      </c>
      <c r="K48" s="1494">
        <v>0.69403935185185184</v>
      </c>
      <c r="L48" s="237" t="s">
        <v>228</v>
      </c>
    </row>
    <row r="49" spans="1:16" hidden="1">
      <c r="A49" s="81" t="s">
        <v>229</v>
      </c>
      <c r="B49" s="81">
        <v>3331549063</v>
      </c>
      <c r="C49" s="1497"/>
      <c r="D49" s="1497"/>
      <c r="E49" s="1508"/>
      <c r="F49" s="1497"/>
      <c r="G49" s="191">
        <v>2026.08</v>
      </c>
      <c r="H49" s="203" t="s">
        <v>220</v>
      </c>
      <c r="I49" s="83"/>
      <c r="J49" s="83"/>
      <c r="K49" s="1494"/>
      <c r="L49" s="237" t="s">
        <v>228</v>
      </c>
    </row>
    <row r="50" spans="1:16" hidden="1">
      <c r="A50" s="81" t="s">
        <v>229</v>
      </c>
      <c r="B50" s="81">
        <v>3331549019</v>
      </c>
      <c r="C50" s="81" t="s">
        <v>27</v>
      </c>
      <c r="D50" s="81">
        <v>24140314</v>
      </c>
      <c r="E50" s="363" t="s">
        <v>156</v>
      </c>
      <c r="F50" s="203" t="s">
        <v>199</v>
      </c>
      <c r="G50" s="191">
        <v>20301.080000000002</v>
      </c>
      <c r="H50" s="203" t="s">
        <v>220</v>
      </c>
      <c r="I50" s="81">
        <v>1</v>
      </c>
      <c r="J50" s="81">
        <v>1</v>
      </c>
      <c r="K50" s="200">
        <v>0.82620370370370366</v>
      </c>
      <c r="L50" s="237" t="s">
        <v>228</v>
      </c>
    </row>
    <row r="51" spans="1:16" hidden="1">
      <c r="A51" s="81" t="s">
        <v>229</v>
      </c>
      <c r="B51" s="81">
        <v>3331549073</v>
      </c>
      <c r="C51" s="81" t="s">
        <v>34</v>
      </c>
      <c r="D51" s="81">
        <v>24140315</v>
      </c>
      <c r="E51" s="363" t="s">
        <v>165</v>
      </c>
      <c r="F51" s="203" t="s">
        <v>199</v>
      </c>
      <c r="G51" s="191">
        <v>26098.657999999999</v>
      </c>
      <c r="H51" s="203" t="s">
        <v>220</v>
      </c>
      <c r="I51" s="81">
        <v>1</v>
      </c>
      <c r="J51" s="81">
        <v>1</v>
      </c>
      <c r="K51" s="200">
        <v>0.75359953703703708</v>
      </c>
      <c r="L51" s="237" t="s">
        <v>228</v>
      </c>
    </row>
    <row r="52" spans="1:16" hidden="1">
      <c r="A52" s="81" t="s">
        <v>229</v>
      </c>
      <c r="B52" s="81">
        <v>3331549101</v>
      </c>
      <c r="C52" s="81" t="s">
        <v>227</v>
      </c>
      <c r="D52" s="81">
        <v>24140316</v>
      </c>
      <c r="E52" s="363" t="s">
        <v>129</v>
      </c>
      <c r="F52" s="81" t="s">
        <v>205</v>
      </c>
      <c r="G52" s="191">
        <v>46276.201000000001</v>
      </c>
      <c r="H52" s="81" t="s">
        <v>128</v>
      </c>
      <c r="I52" s="81">
        <v>1</v>
      </c>
      <c r="J52" s="81">
        <v>1</v>
      </c>
      <c r="K52" s="200">
        <v>0.95194444444444448</v>
      </c>
      <c r="L52" s="200" t="s">
        <v>228</v>
      </c>
    </row>
    <row r="53" spans="1:16" hidden="1">
      <c r="A53" s="81" t="s">
        <v>229</v>
      </c>
      <c r="B53" s="81">
        <v>3331549149</v>
      </c>
      <c r="C53" s="81" t="s">
        <v>137</v>
      </c>
      <c r="D53" s="81">
        <v>24140318</v>
      </c>
      <c r="E53" s="363" t="s">
        <v>46</v>
      </c>
      <c r="F53" s="81" t="s">
        <v>199</v>
      </c>
      <c r="G53" s="191">
        <v>25114.95</v>
      </c>
      <c r="H53" s="81" t="s">
        <v>220</v>
      </c>
      <c r="I53" s="81">
        <v>1</v>
      </c>
      <c r="J53" s="81">
        <v>1</v>
      </c>
      <c r="K53" s="200">
        <v>0.76285879629629627</v>
      </c>
      <c r="L53" s="237" t="s">
        <v>232</v>
      </c>
    </row>
    <row r="54" spans="1:16" s="108" customFormat="1" hidden="1">
      <c r="A54" s="81" t="s">
        <v>229</v>
      </c>
      <c r="B54" s="81">
        <v>3331549158</v>
      </c>
      <c r="C54" s="81" t="s">
        <v>27</v>
      </c>
      <c r="D54" s="81">
        <v>24140319</v>
      </c>
      <c r="E54" s="363" t="s">
        <v>46</v>
      </c>
      <c r="F54" s="81" t="s">
        <v>199</v>
      </c>
      <c r="G54" s="191">
        <v>22543.454000000002</v>
      </c>
      <c r="H54" s="81" t="s">
        <v>220</v>
      </c>
      <c r="I54" s="81">
        <v>1</v>
      </c>
      <c r="J54" s="81">
        <v>1</v>
      </c>
      <c r="K54" s="237">
        <v>0.93285879629629631</v>
      </c>
      <c r="L54" s="200" t="s">
        <v>228</v>
      </c>
    </row>
    <row r="55" spans="1:16" hidden="1">
      <c r="A55" s="81" t="s">
        <v>229</v>
      </c>
      <c r="B55" s="81">
        <v>3331549164</v>
      </c>
      <c r="C55" s="81" t="s">
        <v>27</v>
      </c>
      <c r="D55" s="81">
        <v>24140321</v>
      </c>
      <c r="E55" s="363" t="s">
        <v>46</v>
      </c>
      <c r="F55" s="81" t="s">
        <v>199</v>
      </c>
      <c r="G55" s="191">
        <v>27921.53</v>
      </c>
      <c r="H55" s="81" t="s">
        <v>220</v>
      </c>
      <c r="I55" s="81">
        <v>1</v>
      </c>
      <c r="J55" s="81">
        <v>1</v>
      </c>
      <c r="K55" s="237">
        <v>0.86071759259259262</v>
      </c>
      <c r="L55" s="200" t="s">
        <v>228</v>
      </c>
    </row>
    <row r="56" spans="1:16" s="261" customFormat="1" hidden="1">
      <c r="A56" s="81" t="s">
        <v>229</v>
      </c>
      <c r="B56" s="81">
        <v>3331549168</v>
      </c>
      <c r="C56" s="81" t="s">
        <v>34</v>
      </c>
      <c r="D56" s="81">
        <v>24140323</v>
      </c>
      <c r="E56" s="363" t="s">
        <v>48</v>
      </c>
      <c r="F56" s="81" t="s">
        <v>199</v>
      </c>
      <c r="G56" s="191">
        <v>30009.3</v>
      </c>
      <c r="H56" s="81" t="s">
        <v>220</v>
      </c>
      <c r="I56" s="81">
        <v>1</v>
      </c>
      <c r="J56" s="81">
        <v>1</v>
      </c>
      <c r="K56" s="237">
        <v>0.78456018518518522</v>
      </c>
      <c r="L56" s="237">
        <v>8.3333333333333329E-2</v>
      </c>
    </row>
    <row r="57" spans="1:16" hidden="1">
      <c r="A57" s="203" t="s">
        <v>229</v>
      </c>
      <c r="B57" s="203">
        <v>3331549173</v>
      </c>
      <c r="C57" s="203" t="s">
        <v>34</v>
      </c>
      <c r="D57" s="203">
        <v>24140324</v>
      </c>
      <c r="E57" s="366" t="s">
        <v>48</v>
      </c>
      <c r="F57" s="203" t="s">
        <v>199</v>
      </c>
      <c r="G57" s="332">
        <v>25702.875</v>
      </c>
      <c r="H57" s="203" t="s">
        <v>220</v>
      </c>
      <c r="I57" s="203">
        <v>1</v>
      </c>
      <c r="J57" s="203">
        <v>1</v>
      </c>
      <c r="K57" s="200">
        <v>0.81268518518518518</v>
      </c>
      <c r="L57" s="200" t="s">
        <v>228</v>
      </c>
    </row>
    <row r="58" spans="1:16" hidden="1">
      <c r="A58" s="81" t="s">
        <v>233</v>
      </c>
      <c r="B58" s="82">
        <v>3331548968</v>
      </c>
      <c r="C58" s="80" t="s">
        <v>11</v>
      </c>
      <c r="D58" s="80">
        <v>24140309</v>
      </c>
      <c r="E58" s="363" t="s">
        <v>226</v>
      </c>
      <c r="F58" s="81" t="s">
        <v>203</v>
      </c>
      <c r="G58" s="191">
        <v>32961.589999999997</v>
      </c>
      <c r="H58" s="191" t="s">
        <v>128</v>
      </c>
      <c r="I58" s="81">
        <v>1</v>
      </c>
      <c r="J58" s="81">
        <v>1</v>
      </c>
      <c r="K58" s="200" t="str">
        <f>IFERROR(VLOOKUP(B58,'IN OUT'!F:G,2,FALSE), "BELUM MASUK")</f>
        <v>BELUM MASUK</v>
      </c>
      <c r="L58" s="200" t="s">
        <v>228</v>
      </c>
    </row>
    <row r="59" spans="1:16" hidden="1">
      <c r="A59" s="81" t="s">
        <v>233</v>
      </c>
      <c r="B59" s="82">
        <v>3331548969</v>
      </c>
      <c r="C59" s="80" t="s">
        <v>206</v>
      </c>
      <c r="D59" s="80">
        <v>24140310</v>
      </c>
      <c r="E59" s="363" t="s">
        <v>226</v>
      </c>
      <c r="F59" s="81" t="s">
        <v>203</v>
      </c>
      <c r="G59" s="191">
        <v>34967.553999999996</v>
      </c>
      <c r="H59" s="191" t="s">
        <v>128</v>
      </c>
      <c r="I59" s="81">
        <v>1</v>
      </c>
      <c r="J59" s="81">
        <v>0</v>
      </c>
      <c r="K59" s="200" t="str">
        <f>IFERROR(VLOOKUP(B59,'IN OUT'!F:G,2,FALSE), "BELUM MASUK")</f>
        <v>BELUM MASUK</v>
      </c>
      <c r="L59" s="200" t="s">
        <v>228</v>
      </c>
    </row>
    <row r="60" spans="1:16" hidden="1">
      <c r="A60" s="81" t="s">
        <v>233</v>
      </c>
      <c r="B60" s="82">
        <v>3331547878</v>
      </c>
      <c r="C60" s="80" t="s">
        <v>206</v>
      </c>
      <c r="D60" s="80">
        <v>24140311</v>
      </c>
      <c r="E60" s="363" t="s">
        <v>130</v>
      </c>
      <c r="F60" s="81" t="s">
        <v>203</v>
      </c>
      <c r="G60" s="191">
        <v>42299.445</v>
      </c>
      <c r="H60" s="191" t="s">
        <v>128</v>
      </c>
      <c r="I60" s="81">
        <v>1</v>
      </c>
      <c r="J60" s="81">
        <v>0</v>
      </c>
      <c r="K60" s="200" t="str">
        <f>IFERROR(VLOOKUP(B60,'IN OUT'!F:G,2,FALSE), "BELUM MASUK")</f>
        <v>BELUM MASUK</v>
      </c>
      <c r="L60" s="200" t="s">
        <v>228</v>
      </c>
    </row>
    <row r="61" spans="1:16" hidden="1">
      <c r="A61" s="81" t="s">
        <v>233</v>
      </c>
      <c r="B61" s="82">
        <v>3331549001</v>
      </c>
      <c r="C61" s="80" t="s">
        <v>206</v>
      </c>
      <c r="D61" s="80">
        <v>24140312</v>
      </c>
      <c r="E61" s="363" t="s">
        <v>129</v>
      </c>
      <c r="F61" s="81" t="s">
        <v>205</v>
      </c>
      <c r="G61" s="191">
        <v>40818.074999999997</v>
      </c>
      <c r="H61" s="191" t="s">
        <v>128</v>
      </c>
      <c r="I61" s="81">
        <v>1</v>
      </c>
      <c r="J61" s="81">
        <v>0</v>
      </c>
      <c r="K61" s="200">
        <v>0.20208333333333334</v>
      </c>
      <c r="L61" s="200" t="s">
        <v>228</v>
      </c>
    </row>
    <row r="62" spans="1:16" s="44" customFormat="1" hidden="1">
      <c r="A62" s="81" t="s">
        <v>234</v>
      </c>
      <c r="B62" s="81">
        <v>3331548968</v>
      </c>
      <c r="C62" s="80" t="s">
        <v>11</v>
      </c>
      <c r="D62" s="80">
        <v>24140309</v>
      </c>
      <c r="E62" s="363" t="s">
        <v>226</v>
      </c>
      <c r="F62" s="81" t="s">
        <v>203</v>
      </c>
      <c r="G62" s="191">
        <v>32961.589999999997</v>
      </c>
      <c r="H62" s="191" t="s">
        <v>128</v>
      </c>
      <c r="I62" s="81">
        <v>1</v>
      </c>
      <c r="J62" s="81">
        <v>1</v>
      </c>
      <c r="K62" s="305" t="str">
        <f>IFERROR(VLOOKUP(B62,'IN OUT'!F:G,2,FALSE), "BELUM MASUK")</f>
        <v>BELUM MASUK</v>
      </c>
      <c r="L62" s="305" t="str">
        <f>IFERROR(VLOOKUP(B62,'IN OUT'!F:H,3,FALSE), "BELUM KELUAR")</f>
        <v>BELUM KELUAR</v>
      </c>
    </row>
    <row r="63" spans="1:16" s="35" customFormat="1" hidden="1">
      <c r="A63" s="82" t="s">
        <v>234</v>
      </c>
      <c r="B63" s="82">
        <v>3331548969</v>
      </c>
      <c r="C63" s="114" t="s">
        <v>206</v>
      </c>
      <c r="D63" s="114">
        <v>24140310</v>
      </c>
      <c r="E63" s="364" t="s">
        <v>226</v>
      </c>
      <c r="F63" s="82" t="s">
        <v>203</v>
      </c>
      <c r="G63" s="219">
        <v>34967.553999999996</v>
      </c>
      <c r="H63" s="219" t="s">
        <v>128</v>
      </c>
      <c r="I63" s="82">
        <v>1</v>
      </c>
      <c r="J63" s="82">
        <v>1</v>
      </c>
      <c r="K63" s="200" t="str">
        <f>IFERROR(VLOOKUP(B63,'IN OUT'!F:G,2,FALSE), "BELUM MASUK")</f>
        <v>BELUM MASUK</v>
      </c>
      <c r="L63" s="200"/>
      <c r="P63" s="44"/>
    </row>
    <row r="64" spans="1:16" s="44" customFormat="1" hidden="1">
      <c r="A64" s="81" t="s">
        <v>234</v>
      </c>
      <c r="B64" s="81">
        <v>3331547878</v>
      </c>
      <c r="C64" s="80" t="s">
        <v>206</v>
      </c>
      <c r="D64" s="80">
        <v>24140311</v>
      </c>
      <c r="E64" s="363" t="s">
        <v>235</v>
      </c>
      <c r="F64" s="81" t="s">
        <v>203</v>
      </c>
      <c r="G64" s="191">
        <v>42299.445</v>
      </c>
      <c r="H64" s="191" t="s">
        <v>128</v>
      </c>
      <c r="I64" s="81">
        <v>1</v>
      </c>
      <c r="J64" s="81">
        <v>1</v>
      </c>
      <c r="K64" s="305" t="str">
        <f>IFERROR(VLOOKUP(B64,'IN OUT'!F:G,2,FALSE), "BELUM MASUK")</f>
        <v>BELUM MASUK</v>
      </c>
      <c r="L64" s="305">
        <v>0.68541666666666667</v>
      </c>
    </row>
    <row r="65" spans="1:16" s="44" customFormat="1" hidden="1">
      <c r="A65" s="81" t="s">
        <v>234</v>
      </c>
      <c r="B65" s="81">
        <v>3331549001</v>
      </c>
      <c r="C65" s="80" t="s">
        <v>206</v>
      </c>
      <c r="D65" s="80">
        <v>24140312</v>
      </c>
      <c r="E65" s="363" t="s">
        <v>236</v>
      </c>
      <c r="F65" s="81" t="s">
        <v>205</v>
      </c>
      <c r="G65" s="191">
        <v>40818.074999999997</v>
      </c>
      <c r="H65" s="191" t="s">
        <v>128</v>
      </c>
      <c r="I65" s="203">
        <v>1</v>
      </c>
      <c r="J65" s="203">
        <v>1</v>
      </c>
      <c r="K65" s="305" t="str">
        <f>IFERROR(VLOOKUP(B65,'IN OUT'!F:G,2,FALSE), "BELUM MASUK")</f>
        <v>BELUM MASUK</v>
      </c>
      <c r="L65" s="305"/>
    </row>
    <row r="66" spans="1:16" s="44" customFormat="1" hidden="1">
      <c r="A66" s="114" t="s">
        <v>237</v>
      </c>
      <c r="B66" s="81">
        <v>3331549196</v>
      </c>
      <c r="C66" s="81" t="s">
        <v>27</v>
      </c>
      <c r="D66" s="81">
        <v>24140326</v>
      </c>
      <c r="E66" s="363" t="s">
        <v>219</v>
      </c>
      <c r="F66" s="81" t="s">
        <v>199</v>
      </c>
      <c r="G66" s="191">
        <v>25376.35</v>
      </c>
      <c r="H66" s="240" t="s">
        <v>200</v>
      </c>
      <c r="I66" s="81">
        <v>1</v>
      </c>
      <c r="J66" s="81">
        <v>1</v>
      </c>
      <c r="K66" s="335" t="str">
        <f>IFERROR(VLOOKUP(B66,'IN OUT'!F:G,2,FALSE), "BELUM MASUK")</f>
        <v>BELUM MASUK</v>
      </c>
      <c r="L66" s="305"/>
    </row>
    <row r="67" spans="1:16" s="297" customFormat="1" hidden="1">
      <c r="A67" s="114" t="s">
        <v>237</v>
      </c>
      <c r="B67" s="114">
        <v>3331548636</v>
      </c>
      <c r="C67" s="114" t="s">
        <v>27</v>
      </c>
      <c r="D67" s="114">
        <v>24140327</v>
      </c>
      <c r="E67" s="367" t="s">
        <v>235</v>
      </c>
      <c r="F67" s="114" t="s">
        <v>203</v>
      </c>
      <c r="G67" s="270">
        <v>42872.294999999998</v>
      </c>
      <c r="H67" s="271" t="s">
        <v>128</v>
      </c>
      <c r="I67" s="114">
        <v>1</v>
      </c>
      <c r="J67" s="114">
        <v>1</v>
      </c>
      <c r="K67" s="272" t="s">
        <v>204</v>
      </c>
      <c r="L67" s="273"/>
      <c r="P67" s="44"/>
    </row>
    <row r="68" spans="1:16" s="35" customFormat="1" hidden="1">
      <c r="A68" s="114" t="s">
        <v>237</v>
      </c>
      <c r="B68" s="82">
        <v>3331549287</v>
      </c>
      <c r="C68" s="82" t="s">
        <v>175</v>
      </c>
      <c r="D68" s="82">
        <v>24140328</v>
      </c>
      <c r="E68" s="364" t="s">
        <v>236</v>
      </c>
      <c r="F68" s="82" t="s">
        <v>205</v>
      </c>
      <c r="G68" s="219">
        <v>47802.824999999997</v>
      </c>
      <c r="H68" s="252" t="s">
        <v>128</v>
      </c>
      <c r="I68" s="115">
        <v>1</v>
      </c>
      <c r="J68" s="115">
        <v>1</v>
      </c>
      <c r="K68" s="241" t="str">
        <f>IFERROR(VLOOKUP(B68,'IN OUT'!F:G,2,FALSE), "BELUM MASUK")</f>
        <v>BELUM MASUK</v>
      </c>
      <c r="L68" s="200"/>
      <c r="P68" s="44"/>
    </row>
    <row r="69" spans="1:16" s="35" customFormat="1" hidden="1">
      <c r="A69" s="114" t="s">
        <v>237</v>
      </c>
      <c r="B69" s="81">
        <v>3331549288</v>
      </c>
      <c r="C69" s="81" t="s">
        <v>27</v>
      </c>
      <c r="D69" s="81">
        <v>24140329</v>
      </c>
      <c r="E69" s="363" t="s">
        <v>239</v>
      </c>
      <c r="F69" s="81" t="s">
        <v>199</v>
      </c>
      <c r="G69" s="191">
        <v>24670.74</v>
      </c>
      <c r="H69" s="81" t="s">
        <v>200</v>
      </c>
      <c r="I69" s="81">
        <v>1</v>
      </c>
      <c r="J69" s="81">
        <v>1</v>
      </c>
      <c r="K69" s="335" t="str">
        <f>IFERROR(VLOOKUP(B69,'IN OUT'!F:G,2,FALSE), "BELUM MASUK")</f>
        <v>BELUM MASUK</v>
      </c>
      <c r="L69" s="305">
        <v>0.65427083333333336</v>
      </c>
      <c r="M69" s="44"/>
      <c r="P69" s="44"/>
    </row>
    <row r="70" spans="1:16" s="35" customFormat="1" hidden="1">
      <c r="A70" s="114" t="s">
        <v>237</v>
      </c>
      <c r="B70" s="81">
        <v>3331549290</v>
      </c>
      <c r="C70" s="81" t="s">
        <v>27</v>
      </c>
      <c r="D70" s="81">
        <v>24140330</v>
      </c>
      <c r="E70" s="363" t="s">
        <v>239</v>
      </c>
      <c r="F70" s="81" t="s">
        <v>199</v>
      </c>
      <c r="G70" s="191">
        <v>25234.544999999998</v>
      </c>
      <c r="H70" s="81" t="s">
        <v>200</v>
      </c>
      <c r="I70" s="81">
        <v>1</v>
      </c>
      <c r="J70" s="81">
        <v>1</v>
      </c>
      <c r="K70" s="335" t="str">
        <f>IFERROR(VLOOKUP(B70,'IN OUT'!F:G,2,FALSE), "BELUM MASUK")</f>
        <v>BELUM MASUK</v>
      </c>
      <c r="L70" s="305">
        <v>0.72499999999999998</v>
      </c>
      <c r="M70" s="44"/>
      <c r="P70" s="44"/>
    </row>
    <row r="71" spans="1:16" s="35" customFormat="1" hidden="1">
      <c r="A71" s="114" t="s">
        <v>237</v>
      </c>
      <c r="B71" s="82">
        <v>3331549303</v>
      </c>
      <c r="C71" s="82" t="s">
        <v>27</v>
      </c>
      <c r="D71" s="82">
        <v>24140335</v>
      </c>
      <c r="E71" s="364" t="s">
        <v>226</v>
      </c>
      <c r="F71" s="82" t="s">
        <v>203</v>
      </c>
      <c r="G71" s="219">
        <v>31377.14</v>
      </c>
      <c r="H71" s="82" t="s">
        <v>128</v>
      </c>
      <c r="I71" s="82">
        <v>1</v>
      </c>
      <c r="J71" s="82">
        <v>1</v>
      </c>
      <c r="K71" s="241">
        <v>0.71967592592592589</v>
      </c>
      <c r="L71" s="200"/>
      <c r="P71" s="44"/>
    </row>
    <row r="72" spans="1:16" s="44" customFormat="1" hidden="1">
      <c r="A72" s="114" t="s">
        <v>237</v>
      </c>
      <c r="B72" s="82">
        <v>3331549302</v>
      </c>
      <c r="C72" s="82" t="s">
        <v>152</v>
      </c>
      <c r="D72" s="82">
        <v>24140334</v>
      </c>
      <c r="E72" s="364" t="s">
        <v>226</v>
      </c>
      <c r="F72" s="82" t="s">
        <v>203</v>
      </c>
      <c r="G72" s="219">
        <v>33582.292000000001</v>
      </c>
      <c r="H72" s="82" t="s">
        <v>128</v>
      </c>
      <c r="I72" s="81">
        <v>1</v>
      </c>
      <c r="J72" s="81">
        <v>1</v>
      </c>
      <c r="K72" s="241" t="str">
        <f>IFERROR(VLOOKUP(B72,'IN OUT'!F:G,2,FALSE), "BELUM MASUK")</f>
        <v>BELUM MASUK</v>
      </c>
      <c r="L72" s="200"/>
    </row>
    <row r="73" spans="1:16" s="44" customFormat="1" hidden="1">
      <c r="A73" s="114" t="s">
        <v>237</v>
      </c>
      <c r="B73" s="82">
        <v>3331549306</v>
      </c>
      <c r="C73" s="82" t="s">
        <v>206</v>
      </c>
      <c r="D73" s="82">
        <v>24140338</v>
      </c>
      <c r="E73" s="364" t="s">
        <v>224</v>
      </c>
      <c r="F73" s="82" t="s">
        <v>203</v>
      </c>
      <c r="G73" s="219">
        <v>32448.53</v>
      </c>
      <c r="H73" s="82" t="s">
        <v>128</v>
      </c>
      <c r="I73" s="81">
        <v>1</v>
      </c>
      <c r="J73" s="81">
        <v>1</v>
      </c>
      <c r="K73" s="241" t="str">
        <f>IFERROR(VLOOKUP(B73,'IN OUT'!F:G,2,FALSE), "BELUM MASUK")</f>
        <v>BELUM MASUK</v>
      </c>
      <c r="L73" s="200"/>
    </row>
    <row r="74" spans="1:16" s="108" customFormat="1" hidden="1">
      <c r="A74" s="114" t="s">
        <v>237</v>
      </c>
      <c r="B74" s="82">
        <v>3331549308</v>
      </c>
      <c r="C74" s="82" t="s">
        <v>206</v>
      </c>
      <c r="D74" s="82">
        <v>24140336</v>
      </c>
      <c r="E74" s="364" t="s">
        <v>224</v>
      </c>
      <c r="F74" s="82" t="s">
        <v>203</v>
      </c>
      <c r="G74" s="219">
        <v>30972.727999999999</v>
      </c>
      <c r="H74" s="82" t="s">
        <v>128</v>
      </c>
      <c r="I74" s="81">
        <v>1</v>
      </c>
      <c r="J74" s="203">
        <v>0</v>
      </c>
      <c r="K74" s="241" t="s">
        <v>204</v>
      </c>
      <c r="L74" s="200"/>
    </row>
    <row r="75" spans="1:16" s="108" customFormat="1" hidden="1">
      <c r="A75" s="114" t="s">
        <v>237</v>
      </c>
      <c r="B75" s="82">
        <v>3331549310</v>
      </c>
      <c r="C75" s="82" t="s">
        <v>206</v>
      </c>
      <c r="D75" s="82">
        <v>24140337</v>
      </c>
      <c r="E75" s="364" t="s">
        <v>224</v>
      </c>
      <c r="F75" s="82" t="s">
        <v>203</v>
      </c>
      <c r="G75" s="219">
        <v>31570.292000000001</v>
      </c>
      <c r="H75" s="82" t="s">
        <v>128</v>
      </c>
      <c r="I75" s="240">
        <v>1</v>
      </c>
      <c r="J75" s="203">
        <v>0</v>
      </c>
      <c r="K75" s="241" t="s">
        <v>204</v>
      </c>
      <c r="L75" s="200"/>
    </row>
    <row r="76" spans="1:16" s="44" customFormat="1" hidden="1">
      <c r="A76" s="114" t="s">
        <v>237</v>
      </c>
      <c r="B76" s="240">
        <v>3331549284</v>
      </c>
      <c r="C76" s="1497" t="s">
        <v>27</v>
      </c>
      <c r="D76" s="1497">
        <v>24140339</v>
      </c>
      <c r="E76" s="363" t="s">
        <v>240</v>
      </c>
      <c r="F76" s="81" t="s">
        <v>199</v>
      </c>
      <c r="G76" s="191">
        <v>4889.3249999999998</v>
      </c>
      <c r="H76" s="81" t="s">
        <v>200</v>
      </c>
      <c r="I76" s="240">
        <v>1</v>
      </c>
      <c r="J76" s="81">
        <v>1</v>
      </c>
      <c r="K76" s="336">
        <v>45904.466736111113</v>
      </c>
      <c r="L76" s="337"/>
    </row>
    <row r="77" spans="1:16" s="44" customFormat="1" hidden="1">
      <c r="A77" s="114" t="s">
        <v>237</v>
      </c>
      <c r="B77" s="240">
        <v>3331549286</v>
      </c>
      <c r="C77" s="1498"/>
      <c r="D77" s="1498"/>
      <c r="E77" s="363" t="s">
        <v>240</v>
      </c>
      <c r="F77" s="81"/>
      <c r="G77" s="191">
        <v>20213.564999999999</v>
      </c>
      <c r="H77" s="81"/>
      <c r="I77" s="240"/>
      <c r="J77" s="81"/>
      <c r="K77" s="336"/>
      <c r="L77" s="337"/>
    </row>
    <row r="78" spans="1:16" s="44" customFormat="1" hidden="1">
      <c r="A78" s="114" t="s">
        <v>237</v>
      </c>
      <c r="B78" s="81">
        <v>3331549314</v>
      </c>
      <c r="C78" s="124" t="s">
        <v>34</v>
      </c>
      <c r="D78" s="81">
        <v>24140340</v>
      </c>
      <c r="E78" s="363" t="s">
        <v>240</v>
      </c>
      <c r="F78" s="81" t="s">
        <v>199</v>
      </c>
      <c r="G78" s="191">
        <v>24895.86</v>
      </c>
      <c r="H78" s="81" t="s">
        <v>200</v>
      </c>
      <c r="I78" s="240">
        <v>1</v>
      </c>
      <c r="J78" s="124">
        <v>1</v>
      </c>
      <c r="K78" s="338" t="str">
        <f>IFERROR(VLOOKUP(B78,'IN OUT'!F:G,2,FALSE), "BELUM MASUK")</f>
        <v>BELUM MASUK</v>
      </c>
      <c r="L78" s="339"/>
    </row>
    <row r="79" spans="1:16" s="44" customFormat="1" hidden="1">
      <c r="A79" s="114" t="s">
        <v>237</v>
      </c>
      <c r="B79" s="81">
        <v>3331549316</v>
      </c>
      <c r="C79" s="81" t="s">
        <v>34</v>
      </c>
      <c r="D79" s="81">
        <v>24140341</v>
      </c>
      <c r="E79" s="363" t="s">
        <v>240</v>
      </c>
      <c r="F79" s="81" t="s">
        <v>199</v>
      </c>
      <c r="G79" s="191">
        <v>24557.174999999999</v>
      </c>
      <c r="H79" s="81" t="s">
        <v>200</v>
      </c>
      <c r="I79" s="240">
        <v>1</v>
      </c>
      <c r="J79" s="81">
        <v>1</v>
      </c>
      <c r="K79" s="335" t="s">
        <v>204</v>
      </c>
      <c r="L79" s="305"/>
    </row>
    <row r="80" spans="1:16" s="44" customFormat="1" hidden="1">
      <c r="A80" s="114" t="s">
        <v>237</v>
      </c>
      <c r="B80" s="81">
        <v>3331549319</v>
      </c>
      <c r="C80" s="81" t="s">
        <v>34</v>
      </c>
      <c r="D80" s="81">
        <v>24140342</v>
      </c>
      <c r="E80" s="363" t="s">
        <v>240</v>
      </c>
      <c r="F80" s="81" t="s">
        <v>199</v>
      </c>
      <c r="G80" s="191">
        <v>24780.285</v>
      </c>
      <c r="H80" s="81" t="s">
        <v>200</v>
      </c>
      <c r="I80" s="240">
        <v>1</v>
      </c>
      <c r="J80" s="81">
        <v>1</v>
      </c>
      <c r="K80" s="335" t="str">
        <f>IFERROR(VLOOKUP(B80,'IN OUT'!F:G,2,FALSE), "BELUM MASUK")</f>
        <v>BELUM MASUK</v>
      </c>
      <c r="L80" s="305"/>
    </row>
    <row r="81" spans="1:16" hidden="1">
      <c r="A81" s="114" t="s">
        <v>237</v>
      </c>
      <c r="B81" s="82">
        <v>3331549321</v>
      </c>
      <c r="C81" s="82" t="s">
        <v>152</v>
      </c>
      <c r="D81" s="82">
        <v>24140343</v>
      </c>
      <c r="E81" s="364" t="s">
        <v>242</v>
      </c>
      <c r="F81" s="82" t="s">
        <v>199</v>
      </c>
      <c r="G81" s="219">
        <v>24602.400000000001</v>
      </c>
      <c r="H81" s="82" t="s">
        <v>200</v>
      </c>
      <c r="I81" s="240">
        <v>1</v>
      </c>
      <c r="J81" s="81">
        <v>1</v>
      </c>
      <c r="K81" s="241">
        <v>0.69604166666666667</v>
      </c>
      <c r="L81" s="200"/>
      <c r="P81" s="44"/>
    </row>
    <row r="82" spans="1:16" s="108" customFormat="1" hidden="1">
      <c r="A82" s="114" t="s">
        <v>237</v>
      </c>
      <c r="B82" s="82">
        <v>3331549324</v>
      </c>
      <c r="C82" s="82" t="s">
        <v>152</v>
      </c>
      <c r="D82" s="82">
        <v>24140344</v>
      </c>
      <c r="E82" s="364" t="s">
        <v>242</v>
      </c>
      <c r="F82" s="82" t="s">
        <v>199</v>
      </c>
      <c r="G82" s="219">
        <v>25388.31</v>
      </c>
      <c r="H82" s="82" t="s">
        <v>200</v>
      </c>
      <c r="I82" s="240">
        <v>1</v>
      </c>
      <c r="J82" s="81">
        <v>1</v>
      </c>
      <c r="K82" s="241" t="str">
        <f>IFERROR(VLOOKUP(B82,'IN OUT'!F:G,2,FALSE), "BELUM MASUK")</f>
        <v>BELUM MASUK</v>
      </c>
      <c r="L82" s="200"/>
      <c r="P82" s="44"/>
    </row>
    <row r="83" spans="1:16" hidden="1">
      <c r="A83" s="114" t="s">
        <v>237</v>
      </c>
      <c r="B83" s="82">
        <v>3331549327</v>
      </c>
      <c r="C83" s="82" t="s">
        <v>34</v>
      </c>
      <c r="D83" s="82">
        <v>24140346</v>
      </c>
      <c r="E83" s="364" t="s">
        <v>243</v>
      </c>
      <c r="F83" s="82" t="s">
        <v>199</v>
      </c>
      <c r="G83" s="219">
        <v>26166.06</v>
      </c>
      <c r="H83" s="82" t="s">
        <v>200</v>
      </c>
      <c r="I83" s="240">
        <v>1</v>
      </c>
      <c r="J83" s="81">
        <v>1</v>
      </c>
      <c r="K83" s="241" t="str">
        <f>IFERROR(VLOOKUP(B83,'IN OUT'!F:G,2,FALSE), "BELUM MASUK")</f>
        <v>BELUM MASUK</v>
      </c>
      <c r="L83" s="200"/>
      <c r="P83" s="44"/>
    </row>
    <row r="84" spans="1:16" s="108" customFormat="1" hidden="1">
      <c r="A84" s="114" t="s">
        <v>237</v>
      </c>
      <c r="B84" s="82">
        <v>3331549363</v>
      </c>
      <c r="C84" s="82" t="s">
        <v>175</v>
      </c>
      <c r="D84" s="82">
        <v>24140350</v>
      </c>
      <c r="E84" s="364" t="s">
        <v>253</v>
      </c>
      <c r="F84" s="82" t="s">
        <v>205</v>
      </c>
      <c r="G84" s="219">
        <v>44167.74</v>
      </c>
      <c r="H84" s="82" t="s">
        <v>128</v>
      </c>
      <c r="I84" s="240">
        <v>1</v>
      </c>
      <c r="J84" s="81">
        <v>1</v>
      </c>
      <c r="K84" s="241" t="s">
        <v>204</v>
      </c>
      <c r="L84" s="200"/>
    </row>
    <row r="85" spans="1:16" hidden="1">
      <c r="A85" s="114" t="s">
        <v>237</v>
      </c>
      <c r="B85" s="82">
        <v>3331549372</v>
      </c>
      <c r="C85" s="1499" t="s">
        <v>58</v>
      </c>
      <c r="D85" s="1501">
        <v>24140347</v>
      </c>
      <c r="E85" s="364" t="s">
        <v>121</v>
      </c>
      <c r="F85" s="82" t="s">
        <v>199</v>
      </c>
      <c r="G85" s="219">
        <v>19610.964</v>
      </c>
      <c r="H85" s="82" t="s">
        <v>200</v>
      </c>
      <c r="I85" s="240">
        <v>1</v>
      </c>
      <c r="J85" s="81">
        <v>1</v>
      </c>
      <c r="K85" s="241" t="s">
        <v>204</v>
      </c>
      <c r="L85" s="200"/>
      <c r="P85" s="44"/>
    </row>
    <row r="86" spans="1:16" hidden="1">
      <c r="A86" s="114" t="s">
        <v>237</v>
      </c>
      <c r="B86" s="82">
        <v>3331548970</v>
      </c>
      <c r="C86" s="1500"/>
      <c r="D86" s="1502"/>
      <c r="E86" s="364" t="s">
        <v>121</v>
      </c>
      <c r="F86" s="82"/>
      <c r="G86" s="219">
        <v>6192.9359999999997</v>
      </c>
      <c r="H86" s="82"/>
      <c r="I86" s="240"/>
      <c r="J86" s="81"/>
      <c r="K86" s="241" t="s">
        <v>204</v>
      </c>
      <c r="L86" s="200"/>
      <c r="P86" s="44"/>
    </row>
    <row r="87" spans="1:16" hidden="1">
      <c r="A87" s="114" t="s">
        <v>237</v>
      </c>
      <c r="B87" s="82">
        <v>3331549376</v>
      </c>
      <c r="C87" s="82" t="s">
        <v>34</v>
      </c>
      <c r="D87" s="82">
        <v>24140348</v>
      </c>
      <c r="E87" s="364" t="s">
        <v>239</v>
      </c>
      <c r="F87" s="82" t="s">
        <v>199</v>
      </c>
      <c r="G87" s="219">
        <v>24456.675999999999</v>
      </c>
      <c r="H87" s="82" t="s">
        <v>200</v>
      </c>
      <c r="I87" s="240">
        <v>1</v>
      </c>
      <c r="J87" s="81">
        <v>1</v>
      </c>
      <c r="K87" s="241">
        <v>0.69027777777777777</v>
      </c>
      <c r="L87" s="200"/>
      <c r="P87" s="44"/>
    </row>
    <row r="88" spans="1:16" hidden="1">
      <c r="A88" s="114" t="s">
        <v>237</v>
      </c>
      <c r="B88" s="82">
        <v>3331549384</v>
      </c>
      <c r="C88" s="82" t="s">
        <v>27</v>
      </c>
      <c r="D88" s="82">
        <v>24140349</v>
      </c>
      <c r="E88" s="364" t="s">
        <v>239</v>
      </c>
      <c r="F88" s="82" t="s">
        <v>199</v>
      </c>
      <c r="G88" s="219">
        <v>24456.675999999999</v>
      </c>
      <c r="H88" s="82" t="s">
        <v>200</v>
      </c>
      <c r="I88" s="240">
        <v>1</v>
      </c>
      <c r="J88" s="81">
        <v>1</v>
      </c>
      <c r="K88" s="241" t="s">
        <v>204</v>
      </c>
      <c r="L88" s="200"/>
      <c r="P88" s="44"/>
    </row>
    <row r="89" spans="1:16" hidden="1">
      <c r="A89" s="114" t="s">
        <v>237</v>
      </c>
      <c r="B89" s="82">
        <v>3331549385</v>
      </c>
      <c r="C89" s="82" t="s">
        <v>34</v>
      </c>
      <c r="D89" s="82">
        <v>24140351</v>
      </c>
      <c r="E89" s="364" t="s">
        <v>239</v>
      </c>
      <c r="F89" s="82" t="s">
        <v>199</v>
      </c>
      <c r="G89" s="219">
        <v>24783.300999999999</v>
      </c>
      <c r="H89" s="82" t="s">
        <v>200</v>
      </c>
      <c r="I89" s="240">
        <v>1</v>
      </c>
      <c r="J89" s="81">
        <v>1</v>
      </c>
      <c r="K89" s="241" t="s">
        <v>204</v>
      </c>
      <c r="L89" s="200"/>
      <c r="P89" s="44"/>
    </row>
    <row r="90" spans="1:16" hidden="1">
      <c r="A90" s="114" t="s">
        <v>237</v>
      </c>
      <c r="B90" s="82">
        <v>3331549326</v>
      </c>
      <c r="C90" s="82" t="s">
        <v>34</v>
      </c>
      <c r="D90" s="82">
        <v>24140354</v>
      </c>
      <c r="E90" s="364" t="s">
        <v>242</v>
      </c>
      <c r="F90" s="82" t="s">
        <v>199</v>
      </c>
      <c r="G90" s="219">
        <v>25056.441999999999</v>
      </c>
      <c r="H90" s="82" t="s">
        <v>200</v>
      </c>
      <c r="I90" s="240">
        <v>1</v>
      </c>
      <c r="J90" s="81">
        <v>1</v>
      </c>
      <c r="K90" s="241">
        <v>0.73116898148148146</v>
      </c>
      <c r="L90" s="242"/>
      <c r="P90" s="44"/>
    </row>
    <row r="91" spans="1:16" hidden="1">
      <c r="A91" s="114" t="s">
        <v>237</v>
      </c>
      <c r="B91" s="82">
        <v>3331549396</v>
      </c>
      <c r="C91" s="82" t="s">
        <v>206</v>
      </c>
      <c r="D91" s="82">
        <v>24140352</v>
      </c>
      <c r="E91" s="364" t="s">
        <v>224</v>
      </c>
      <c r="F91" s="82" t="s">
        <v>203</v>
      </c>
      <c r="G91" s="219">
        <v>32096.429</v>
      </c>
      <c r="H91" s="82" t="s">
        <v>128</v>
      </c>
      <c r="I91" s="240">
        <v>1</v>
      </c>
      <c r="J91" s="81">
        <v>0</v>
      </c>
      <c r="K91" s="241" t="s">
        <v>204</v>
      </c>
      <c r="L91" s="242"/>
      <c r="P91" s="44"/>
    </row>
    <row r="92" spans="1:16" s="108" customFormat="1" hidden="1">
      <c r="A92" s="114" t="s">
        <v>237</v>
      </c>
      <c r="B92" s="82">
        <v>3331549402</v>
      </c>
      <c r="C92" s="82" t="s">
        <v>206</v>
      </c>
      <c r="D92" s="82">
        <v>24140353</v>
      </c>
      <c r="E92" s="364" t="s">
        <v>224</v>
      </c>
      <c r="F92" s="82" t="s">
        <v>203</v>
      </c>
      <c r="G92" s="219">
        <v>30923.434000000001</v>
      </c>
      <c r="H92" s="82" t="s">
        <v>128</v>
      </c>
      <c r="I92" s="240">
        <v>1</v>
      </c>
      <c r="J92" s="81">
        <v>0</v>
      </c>
      <c r="K92" s="241" t="s">
        <v>204</v>
      </c>
      <c r="L92" s="242"/>
    </row>
    <row r="93" spans="1:16" hidden="1">
      <c r="A93" s="114" t="s">
        <v>237</v>
      </c>
      <c r="B93" s="82">
        <v>3331549410</v>
      </c>
      <c r="C93" s="82" t="s">
        <v>27</v>
      </c>
      <c r="D93" s="82">
        <v>24140355</v>
      </c>
      <c r="E93" s="364" t="s">
        <v>224</v>
      </c>
      <c r="F93" s="82" t="s">
        <v>203</v>
      </c>
      <c r="G93" s="219">
        <v>35458.482000000004</v>
      </c>
      <c r="H93" s="82" t="s">
        <v>128</v>
      </c>
      <c r="I93" s="240">
        <v>1</v>
      </c>
      <c r="J93" s="81">
        <v>0</v>
      </c>
      <c r="K93" s="241" t="s">
        <v>204</v>
      </c>
      <c r="L93" s="242"/>
      <c r="P93" s="44"/>
    </row>
    <row r="94" spans="1:16" hidden="1">
      <c r="A94" s="114" t="s">
        <v>237</v>
      </c>
      <c r="B94" s="82">
        <v>3331549412</v>
      </c>
      <c r="C94" s="82" t="s">
        <v>206</v>
      </c>
      <c r="D94" s="82">
        <v>24140356</v>
      </c>
      <c r="E94" s="364" t="s">
        <v>226</v>
      </c>
      <c r="F94" s="82" t="s">
        <v>203</v>
      </c>
      <c r="G94" s="219">
        <v>29603.562000000002</v>
      </c>
      <c r="H94" s="82" t="s">
        <v>128</v>
      </c>
      <c r="I94" s="240">
        <v>1</v>
      </c>
      <c r="J94" s="81">
        <v>0</v>
      </c>
      <c r="K94" s="241" t="s">
        <v>204</v>
      </c>
      <c r="L94" s="242"/>
      <c r="P94" s="44"/>
    </row>
    <row r="95" spans="1:16" hidden="1">
      <c r="A95" s="114" t="s">
        <v>237</v>
      </c>
      <c r="B95" s="82">
        <v>3331549414</v>
      </c>
      <c r="C95" s="82" t="s">
        <v>34</v>
      </c>
      <c r="D95" s="82">
        <v>24140357</v>
      </c>
      <c r="E95" s="364" t="s">
        <v>150</v>
      </c>
      <c r="F95" s="82" t="s">
        <v>199</v>
      </c>
      <c r="G95" s="219">
        <v>24978.98</v>
      </c>
      <c r="H95" s="82" t="s">
        <v>200</v>
      </c>
      <c r="I95" s="240">
        <v>1</v>
      </c>
      <c r="J95" s="81">
        <v>1</v>
      </c>
      <c r="K95" s="241" t="s">
        <v>204</v>
      </c>
      <c r="L95" s="242"/>
      <c r="P95" s="44"/>
    </row>
    <row r="96" spans="1:16" s="108" customFormat="1" hidden="1">
      <c r="A96" s="114" t="s">
        <v>237</v>
      </c>
      <c r="B96" s="82">
        <v>3331549424</v>
      </c>
      <c r="C96" s="82" t="s">
        <v>11</v>
      </c>
      <c r="D96" s="82">
        <v>24140358</v>
      </c>
      <c r="E96" s="364" t="s">
        <v>226</v>
      </c>
      <c r="F96" s="82" t="s">
        <v>203</v>
      </c>
      <c r="G96" s="219">
        <v>34762.33</v>
      </c>
      <c r="H96" s="82" t="s">
        <v>128</v>
      </c>
      <c r="I96" s="240">
        <v>1</v>
      </c>
      <c r="J96" s="81">
        <v>0</v>
      </c>
      <c r="K96" s="241" t="s">
        <v>204</v>
      </c>
      <c r="L96" s="242"/>
    </row>
    <row r="97" spans="1:19" s="108" customFormat="1" hidden="1">
      <c r="A97" s="114" t="s">
        <v>237</v>
      </c>
      <c r="B97" s="82">
        <v>3331549426</v>
      </c>
      <c r="C97" s="82" t="s">
        <v>11</v>
      </c>
      <c r="D97" s="82">
        <v>24140359</v>
      </c>
      <c r="E97" s="364" t="s">
        <v>226</v>
      </c>
      <c r="F97" s="82" t="s">
        <v>203</v>
      </c>
      <c r="G97" s="219">
        <v>37289.904999999999</v>
      </c>
      <c r="H97" s="82" t="s">
        <v>128</v>
      </c>
      <c r="I97" s="240">
        <v>1</v>
      </c>
      <c r="J97" s="81">
        <v>0</v>
      </c>
      <c r="K97" s="241" t="s">
        <v>204</v>
      </c>
      <c r="L97" s="242"/>
    </row>
    <row r="98" spans="1:19" hidden="1">
      <c r="A98" s="82" t="s">
        <v>237</v>
      </c>
      <c r="B98" s="82">
        <v>3331549281</v>
      </c>
      <c r="C98" s="1499" t="s">
        <v>34</v>
      </c>
      <c r="D98" s="1499">
        <v>24140360</v>
      </c>
      <c r="E98" s="364" t="s">
        <v>156</v>
      </c>
      <c r="F98" s="82" t="s">
        <v>199</v>
      </c>
      <c r="G98" s="219">
        <v>12645.42</v>
      </c>
      <c r="H98" s="82" t="s">
        <v>200</v>
      </c>
      <c r="I98" s="240">
        <v>1</v>
      </c>
      <c r="J98" s="81">
        <v>1</v>
      </c>
      <c r="K98" s="241" t="s">
        <v>204</v>
      </c>
      <c r="L98" s="242"/>
      <c r="P98" s="44"/>
    </row>
    <row r="99" spans="1:19" hidden="1">
      <c r="A99" s="82" t="s">
        <v>237</v>
      </c>
      <c r="B99" s="203">
        <v>3331549422</v>
      </c>
      <c r="C99" s="1503"/>
      <c r="D99" s="1503"/>
      <c r="E99" s="368" t="s">
        <v>156</v>
      </c>
      <c r="F99" s="217"/>
      <c r="G99" s="340">
        <v>7319.6559999999999</v>
      </c>
      <c r="H99" s="217"/>
      <c r="I99" s="334"/>
      <c r="J99" s="203"/>
      <c r="K99" s="200"/>
      <c r="L99" s="241"/>
      <c r="P99" s="44"/>
    </row>
    <row r="100" spans="1:19" hidden="1">
      <c r="A100" s="82" t="s">
        <v>237</v>
      </c>
      <c r="B100" s="81">
        <v>3331549444</v>
      </c>
      <c r="C100" s="114" t="s">
        <v>34</v>
      </c>
      <c r="D100" s="114">
        <v>24140361</v>
      </c>
      <c r="E100" s="364" t="s">
        <v>254</v>
      </c>
      <c r="F100" s="82" t="s">
        <v>199</v>
      </c>
      <c r="G100" s="191">
        <v>27136.85</v>
      </c>
      <c r="H100" s="82" t="s">
        <v>200</v>
      </c>
      <c r="I100" s="81">
        <v>1</v>
      </c>
      <c r="J100" s="81">
        <v>1</v>
      </c>
      <c r="K100" s="241" t="s">
        <v>204</v>
      </c>
      <c r="L100" s="237"/>
      <c r="P100" s="44"/>
    </row>
    <row r="101" spans="1:19" hidden="1">
      <c r="A101" s="82" t="s">
        <v>237</v>
      </c>
      <c r="B101" s="81">
        <v>3331549452</v>
      </c>
      <c r="C101" s="114" t="s">
        <v>27</v>
      </c>
      <c r="D101" s="114">
        <v>24140362</v>
      </c>
      <c r="E101" s="364" t="s">
        <v>254</v>
      </c>
      <c r="F101" s="82" t="s">
        <v>199</v>
      </c>
      <c r="G101" s="191">
        <v>26148.957999999999</v>
      </c>
      <c r="H101" s="82" t="s">
        <v>200</v>
      </c>
      <c r="I101" s="81">
        <v>1</v>
      </c>
      <c r="J101" s="81">
        <v>1</v>
      </c>
      <c r="K101" s="241" t="s">
        <v>204</v>
      </c>
      <c r="L101" s="237"/>
      <c r="P101" s="44"/>
    </row>
    <row r="102" spans="1:19" hidden="1">
      <c r="A102" s="82" t="s">
        <v>237</v>
      </c>
      <c r="B102" s="81">
        <v>3331549459</v>
      </c>
      <c r="C102" s="114" t="s">
        <v>34</v>
      </c>
      <c r="D102" s="114">
        <v>24140363</v>
      </c>
      <c r="E102" s="364" t="s">
        <v>156</v>
      </c>
      <c r="F102" s="82" t="s">
        <v>199</v>
      </c>
      <c r="G102" s="191">
        <v>22621.921999999999</v>
      </c>
      <c r="H102" s="82" t="s">
        <v>200</v>
      </c>
      <c r="I102" s="81">
        <v>1</v>
      </c>
      <c r="J102" s="81">
        <v>1</v>
      </c>
      <c r="K102" s="241" t="s">
        <v>204</v>
      </c>
      <c r="L102" s="237"/>
      <c r="P102" s="44"/>
      <c r="S102" s="254"/>
    </row>
    <row r="103" spans="1:19" hidden="1">
      <c r="A103" s="82" t="s">
        <v>237</v>
      </c>
      <c r="B103" s="81">
        <v>3331549460</v>
      </c>
      <c r="C103" s="114" t="s">
        <v>34</v>
      </c>
      <c r="D103" s="114">
        <v>24140364</v>
      </c>
      <c r="E103" s="364" t="s">
        <v>156</v>
      </c>
      <c r="F103" s="82" t="s">
        <v>199</v>
      </c>
      <c r="G103" s="191">
        <v>22926.741000000002</v>
      </c>
      <c r="H103" s="82" t="s">
        <v>200</v>
      </c>
      <c r="I103" s="81">
        <v>1</v>
      </c>
      <c r="J103" s="81">
        <v>1</v>
      </c>
      <c r="K103" s="241" t="s">
        <v>204</v>
      </c>
      <c r="L103" s="237"/>
      <c r="P103" s="44"/>
    </row>
    <row r="104" spans="1:19" hidden="1">
      <c r="A104" s="82" t="s">
        <v>237</v>
      </c>
      <c r="B104" s="81">
        <v>3331549461</v>
      </c>
      <c r="C104" s="114" t="s">
        <v>11</v>
      </c>
      <c r="D104" s="114">
        <v>24140365</v>
      </c>
      <c r="E104" s="364" t="s">
        <v>156</v>
      </c>
      <c r="F104" s="82" t="s">
        <v>199</v>
      </c>
      <c r="G104" s="191">
        <v>22926.74</v>
      </c>
      <c r="H104" s="82" t="s">
        <v>200</v>
      </c>
      <c r="I104" s="81">
        <v>1</v>
      </c>
      <c r="J104" s="81">
        <v>1</v>
      </c>
      <c r="K104" s="241" t="s">
        <v>204</v>
      </c>
      <c r="L104" s="237"/>
      <c r="P104" s="44"/>
    </row>
    <row r="105" spans="1:19" hidden="1">
      <c r="A105" s="82" t="s">
        <v>237</v>
      </c>
      <c r="B105" s="81">
        <v>3331549462</v>
      </c>
      <c r="C105" s="114" t="s">
        <v>11</v>
      </c>
      <c r="D105" s="114">
        <v>24140366</v>
      </c>
      <c r="E105" s="364" t="s">
        <v>156</v>
      </c>
      <c r="F105" s="82" t="s">
        <v>199</v>
      </c>
      <c r="G105" s="191">
        <v>24087.664000000001</v>
      </c>
      <c r="H105" s="82" t="s">
        <v>200</v>
      </c>
      <c r="I105" s="81">
        <v>1</v>
      </c>
      <c r="J105" s="81">
        <v>1</v>
      </c>
      <c r="K105" s="241" t="s">
        <v>204</v>
      </c>
      <c r="L105" s="237"/>
      <c r="P105" s="44"/>
    </row>
    <row r="106" spans="1:19" hidden="1">
      <c r="A106" s="82" t="s">
        <v>237</v>
      </c>
      <c r="B106" s="81">
        <v>3331549464</v>
      </c>
      <c r="C106" s="114" t="s">
        <v>27</v>
      </c>
      <c r="D106" s="114">
        <v>24140367</v>
      </c>
      <c r="E106" s="364" t="s">
        <v>156</v>
      </c>
      <c r="F106" s="82" t="s">
        <v>199</v>
      </c>
      <c r="G106" s="191">
        <v>24087.664000000001</v>
      </c>
      <c r="H106" s="82" t="s">
        <v>200</v>
      </c>
      <c r="I106" s="81">
        <v>1</v>
      </c>
      <c r="J106" s="81">
        <v>1</v>
      </c>
      <c r="K106" s="241" t="s">
        <v>204</v>
      </c>
      <c r="L106" s="237"/>
      <c r="P106" s="44"/>
    </row>
    <row r="107" spans="1:19" hidden="1">
      <c r="A107" s="82" t="s">
        <v>237</v>
      </c>
      <c r="B107" s="81">
        <v>3331549466</v>
      </c>
      <c r="C107" s="114" t="s">
        <v>27</v>
      </c>
      <c r="D107" s="114">
        <v>24140368</v>
      </c>
      <c r="E107" s="364" t="s">
        <v>156</v>
      </c>
      <c r="F107" s="82" t="s">
        <v>199</v>
      </c>
      <c r="G107" s="191">
        <v>24476.987000000001</v>
      </c>
      <c r="H107" s="82" t="s">
        <v>200</v>
      </c>
      <c r="I107" s="81">
        <v>1</v>
      </c>
      <c r="J107" s="81">
        <v>1</v>
      </c>
      <c r="K107" s="241" t="s">
        <v>204</v>
      </c>
      <c r="L107" s="237"/>
      <c r="P107" s="44"/>
    </row>
    <row r="108" spans="1:19" hidden="1">
      <c r="A108" s="82" t="s">
        <v>237</v>
      </c>
      <c r="B108" s="81">
        <v>3331549474</v>
      </c>
      <c r="C108" s="114" t="s">
        <v>11</v>
      </c>
      <c r="D108" s="114">
        <v>24140369</v>
      </c>
      <c r="E108" s="364" t="s">
        <v>156</v>
      </c>
      <c r="F108" s="82" t="s">
        <v>199</v>
      </c>
      <c r="G108" s="191">
        <v>23567.562000000002</v>
      </c>
      <c r="H108" s="82" t="s">
        <v>200</v>
      </c>
      <c r="I108" s="81">
        <v>1</v>
      </c>
      <c r="J108" s="81">
        <v>1</v>
      </c>
      <c r="K108" s="241" t="s">
        <v>204</v>
      </c>
      <c r="L108" s="237"/>
      <c r="P108" s="44"/>
    </row>
    <row r="109" spans="1:19" s="44" customFormat="1" hidden="1">
      <c r="A109" s="106" t="s">
        <v>255</v>
      </c>
      <c r="B109" s="105">
        <v>3331546342</v>
      </c>
      <c r="C109" s="104" t="s">
        <v>27</v>
      </c>
      <c r="D109" s="104">
        <v>24140370</v>
      </c>
      <c r="E109" s="369" t="s">
        <v>159</v>
      </c>
      <c r="F109" s="106" t="s">
        <v>199</v>
      </c>
      <c r="G109" s="209">
        <v>21905.65</v>
      </c>
      <c r="H109" s="106" t="s">
        <v>200</v>
      </c>
      <c r="I109" s="105">
        <v>1</v>
      </c>
      <c r="J109" s="105">
        <v>1</v>
      </c>
      <c r="K109" s="208" t="str">
        <f>IFERROR(VLOOKUP(B109,'IN OUT'!F:G,2,FALSE),"BELUM MASUK")</f>
        <v>BELUM MASUK</v>
      </c>
      <c r="L109" s="208">
        <v>0.74444444444444446</v>
      </c>
    </row>
    <row r="110" spans="1:19" s="44" customFormat="1" hidden="1">
      <c r="A110" s="106" t="s">
        <v>255</v>
      </c>
      <c r="B110" s="105">
        <v>3331549975</v>
      </c>
      <c r="C110" s="104" t="s">
        <v>27</v>
      </c>
      <c r="D110" s="104">
        <v>24140371</v>
      </c>
      <c r="E110" s="369" t="s">
        <v>159</v>
      </c>
      <c r="F110" s="106" t="s">
        <v>199</v>
      </c>
      <c r="G110" s="209">
        <v>25459.848000000002</v>
      </c>
      <c r="H110" s="106" t="s">
        <v>200</v>
      </c>
      <c r="I110" s="105">
        <v>1</v>
      </c>
      <c r="J110" s="105">
        <v>1</v>
      </c>
      <c r="K110" s="208" t="str">
        <f>IFERROR(VLOOKUP(B110,'IN OUT'!F:G,2,FALSE),"BELUM MASUK")</f>
        <v>BELUM MASUK</v>
      </c>
      <c r="L110" s="233">
        <v>0.69236111111111109</v>
      </c>
    </row>
    <row r="111" spans="1:19" s="44" customFormat="1" hidden="1">
      <c r="A111" s="106" t="s">
        <v>255</v>
      </c>
      <c r="B111" s="105">
        <v>3331549977</v>
      </c>
      <c r="C111" s="104" t="s">
        <v>27</v>
      </c>
      <c r="D111" s="104">
        <v>24140373</v>
      </c>
      <c r="E111" s="369" t="s">
        <v>160</v>
      </c>
      <c r="F111" s="106" t="s">
        <v>199</v>
      </c>
      <c r="G111" s="209">
        <v>20211.545999999998</v>
      </c>
      <c r="H111" s="106" t="s">
        <v>200</v>
      </c>
      <c r="I111" s="105">
        <v>1</v>
      </c>
      <c r="J111" s="105">
        <v>1</v>
      </c>
      <c r="K111" s="208">
        <v>0.74791666666666667</v>
      </c>
      <c r="L111" s="233"/>
    </row>
    <row r="112" spans="1:19" s="44" customFormat="1" hidden="1">
      <c r="A112" s="106" t="s">
        <v>255</v>
      </c>
      <c r="B112" s="105">
        <v>3331550011</v>
      </c>
      <c r="C112" s="1488" t="s">
        <v>34</v>
      </c>
      <c r="D112" s="104">
        <v>24140374</v>
      </c>
      <c r="E112" s="369" t="s">
        <v>12</v>
      </c>
      <c r="F112" s="106" t="s">
        <v>199</v>
      </c>
      <c r="G112" s="209">
        <f>14734.882+9658.05</f>
        <v>24392.932000000001</v>
      </c>
      <c r="H112" s="106" t="s">
        <v>200</v>
      </c>
      <c r="I112" s="105">
        <v>1</v>
      </c>
      <c r="J112" s="105">
        <v>1</v>
      </c>
      <c r="K112" s="208">
        <f>IFERROR(VLOOKUP(B112,'IN OUT'!F:G,2,FALSE),"BELUM MASUK")</f>
        <v>45910.499490740738</v>
      </c>
      <c r="L112" s="233">
        <v>0.87986111111111109</v>
      </c>
    </row>
    <row r="113" spans="1:16" s="44" customFormat="1" hidden="1">
      <c r="A113" s="106" t="s">
        <v>255</v>
      </c>
      <c r="B113" s="105">
        <v>3331550021</v>
      </c>
      <c r="C113" s="1490"/>
      <c r="D113" s="104" t="s">
        <v>256</v>
      </c>
      <c r="E113" s="369" t="s">
        <v>256</v>
      </c>
      <c r="F113" s="106" t="s">
        <v>256</v>
      </c>
      <c r="G113" s="209" t="s">
        <v>256</v>
      </c>
      <c r="H113" s="106" t="s">
        <v>256</v>
      </c>
      <c r="I113" s="105" t="s">
        <v>256</v>
      </c>
      <c r="J113" s="105" t="s">
        <v>256</v>
      </c>
      <c r="K113" s="208" t="s">
        <v>256</v>
      </c>
      <c r="L113" s="233"/>
    </row>
    <row r="114" spans="1:16" s="44" customFormat="1" hidden="1">
      <c r="A114" s="106" t="s">
        <v>255</v>
      </c>
      <c r="B114" s="105">
        <v>3331549994</v>
      </c>
      <c r="C114" s="104" t="s">
        <v>34</v>
      </c>
      <c r="D114" s="104">
        <v>24140375</v>
      </c>
      <c r="E114" s="369" t="s">
        <v>257</v>
      </c>
      <c r="F114" s="106" t="s">
        <v>199</v>
      </c>
      <c r="G114" s="209">
        <v>24733.05</v>
      </c>
      <c r="H114" s="106" t="s">
        <v>200</v>
      </c>
      <c r="I114" s="105">
        <v>1</v>
      </c>
      <c r="J114" s="105">
        <v>1</v>
      </c>
      <c r="K114" s="208" t="str">
        <f>IFERROR(VLOOKUP(B114,'IN OUT'!F:G,2,FALSE),"BELUM MASUK")</f>
        <v>BELUM MASUK</v>
      </c>
      <c r="L114" s="233">
        <v>0.84583333333333333</v>
      </c>
    </row>
    <row r="115" spans="1:16" s="44" customFormat="1" hidden="1">
      <c r="A115" s="106" t="s">
        <v>255</v>
      </c>
      <c r="B115" s="105">
        <v>3331550027</v>
      </c>
      <c r="C115" s="104" t="s">
        <v>34</v>
      </c>
      <c r="D115" s="104">
        <v>24140376</v>
      </c>
      <c r="E115" s="369" t="s">
        <v>70</v>
      </c>
      <c r="F115" s="106" t="s">
        <v>199</v>
      </c>
      <c r="G115" s="209">
        <v>25510.531999999999</v>
      </c>
      <c r="H115" s="106" t="s">
        <v>200</v>
      </c>
      <c r="I115" s="105">
        <v>1</v>
      </c>
      <c r="J115" s="105">
        <v>1</v>
      </c>
      <c r="K115" s="208" t="str">
        <f>IFERROR(VLOOKUP(B115,'IN OUT'!F:G,2,FALSE),"BELUM MASUK")</f>
        <v>BELUM MASUK</v>
      </c>
      <c r="L115" s="233"/>
    </row>
    <row r="116" spans="1:16" s="44" customFormat="1" hidden="1">
      <c r="A116" s="106" t="s">
        <v>255</v>
      </c>
      <c r="B116" s="105">
        <v>3331549991</v>
      </c>
      <c r="C116" s="104" t="s">
        <v>34</v>
      </c>
      <c r="D116" s="104">
        <v>24140377</v>
      </c>
      <c r="E116" s="369" t="s">
        <v>156</v>
      </c>
      <c r="F116" s="106" t="s">
        <v>199</v>
      </c>
      <c r="G116" s="209">
        <v>23266.768</v>
      </c>
      <c r="H116" s="106" t="s">
        <v>200</v>
      </c>
      <c r="I116" s="105">
        <v>1</v>
      </c>
      <c r="J116" s="105">
        <v>1</v>
      </c>
      <c r="K116" s="208" t="str">
        <f>IFERROR(VLOOKUP(B116,'IN OUT'!F:G,2,FALSE),"BELUM MASUK")</f>
        <v>BELUM MASUK</v>
      </c>
      <c r="L116" s="233">
        <v>0.85347222222222219</v>
      </c>
    </row>
    <row r="117" spans="1:16" s="44" customFormat="1" hidden="1">
      <c r="A117" s="106" t="s">
        <v>255</v>
      </c>
      <c r="B117" s="105">
        <v>3331549998</v>
      </c>
      <c r="C117" s="104" t="s">
        <v>34</v>
      </c>
      <c r="D117" s="104">
        <v>24140378</v>
      </c>
      <c r="E117" s="369" t="s">
        <v>156</v>
      </c>
      <c r="F117" s="106" t="s">
        <v>199</v>
      </c>
      <c r="G117" s="209">
        <v>24756.653999999999</v>
      </c>
      <c r="H117" s="106" t="s">
        <v>200</v>
      </c>
      <c r="I117" s="105">
        <v>1</v>
      </c>
      <c r="J117" s="105">
        <v>1</v>
      </c>
      <c r="K117" s="208">
        <v>0.61319444444444449</v>
      </c>
      <c r="L117" s="233">
        <v>0.92152777777777772</v>
      </c>
    </row>
    <row r="118" spans="1:16" s="44" customFormat="1" hidden="1">
      <c r="A118" s="106" t="s">
        <v>255</v>
      </c>
      <c r="B118" s="105">
        <v>3331550008</v>
      </c>
      <c r="C118" s="104" t="s">
        <v>34</v>
      </c>
      <c r="D118" s="104">
        <v>24140379</v>
      </c>
      <c r="E118" s="369" t="s">
        <v>156</v>
      </c>
      <c r="F118" s="106" t="s">
        <v>199</v>
      </c>
      <c r="G118" s="209">
        <v>24045.412</v>
      </c>
      <c r="H118" s="106" t="s">
        <v>200</v>
      </c>
      <c r="I118" s="105">
        <v>1</v>
      </c>
      <c r="J118" s="105">
        <v>1</v>
      </c>
      <c r="K118" s="208">
        <v>5.6250000000000001E-2</v>
      </c>
      <c r="L118" s="233">
        <v>0.4513888888888889</v>
      </c>
    </row>
    <row r="119" spans="1:16" hidden="1">
      <c r="A119" s="106" t="s">
        <v>255</v>
      </c>
      <c r="B119" s="105">
        <v>3331550023</v>
      </c>
      <c r="C119" s="104" t="s">
        <v>34</v>
      </c>
      <c r="D119" s="104">
        <v>24140380</v>
      </c>
      <c r="E119" s="369" t="s">
        <v>156</v>
      </c>
      <c r="F119" s="106" t="s">
        <v>199</v>
      </c>
      <c r="G119" s="209">
        <v>23868.356</v>
      </c>
      <c r="H119" s="106" t="s">
        <v>200</v>
      </c>
      <c r="I119" s="105">
        <v>1</v>
      </c>
      <c r="J119" s="105">
        <v>1</v>
      </c>
      <c r="K119" s="208">
        <v>0.7368055555555556</v>
      </c>
      <c r="L119" s="233"/>
      <c r="P119" s="44"/>
    </row>
    <row r="120" spans="1:16" hidden="1">
      <c r="A120" s="344" t="s">
        <v>272</v>
      </c>
      <c r="B120" s="105">
        <v>3331550066</v>
      </c>
      <c r="C120" s="104" t="s">
        <v>175</v>
      </c>
      <c r="D120" s="104">
        <v>24140381</v>
      </c>
      <c r="E120" s="370" t="s">
        <v>226</v>
      </c>
      <c r="F120" s="344" t="s">
        <v>203</v>
      </c>
      <c r="G120" s="345">
        <v>32879.097999999998</v>
      </c>
      <c r="H120" s="344" t="s">
        <v>128</v>
      </c>
      <c r="I120" s="105">
        <v>1</v>
      </c>
      <c r="J120" s="105">
        <v>1</v>
      </c>
      <c r="K120" s="208">
        <v>0.32083333333333336</v>
      </c>
      <c r="L120" s="233"/>
      <c r="P120" s="44"/>
    </row>
    <row r="121" spans="1:16" hidden="1">
      <c r="A121" s="106" t="s">
        <v>258</v>
      </c>
      <c r="B121" s="105">
        <v>3331550076</v>
      </c>
      <c r="C121" s="104" t="s">
        <v>273</v>
      </c>
      <c r="D121" s="104">
        <v>24140382</v>
      </c>
      <c r="E121" s="370" t="s">
        <v>259</v>
      </c>
      <c r="F121" s="344" t="s">
        <v>203</v>
      </c>
      <c r="G121" s="345">
        <v>32742.281999999999</v>
      </c>
      <c r="H121" s="344" t="s">
        <v>128</v>
      </c>
      <c r="I121" s="105">
        <v>1</v>
      </c>
      <c r="J121" s="105">
        <v>1</v>
      </c>
      <c r="K121" s="208">
        <v>0.88472222222222219</v>
      </c>
      <c r="L121" s="233"/>
      <c r="P121" s="44"/>
    </row>
    <row r="122" spans="1:16" hidden="1">
      <c r="A122" s="344" t="s">
        <v>258</v>
      </c>
      <c r="B122" s="346">
        <v>3331550089</v>
      </c>
      <c r="C122" s="347" t="s">
        <v>273</v>
      </c>
      <c r="D122" s="347">
        <v>24140383</v>
      </c>
      <c r="E122" s="370" t="s">
        <v>224</v>
      </c>
      <c r="F122" s="344" t="s">
        <v>203</v>
      </c>
      <c r="G122" s="345">
        <v>30376.17</v>
      </c>
      <c r="H122" s="344" t="s">
        <v>128</v>
      </c>
      <c r="I122" s="105">
        <v>1</v>
      </c>
      <c r="J122" s="105">
        <v>1</v>
      </c>
      <c r="K122" s="208">
        <v>0.8833333333333333</v>
      </c>
      <c r="L122" s="233"/>
      <c r="P122" s="44"/>
    </row>
    <row r="123" spans="1:16" hidden="1">
      <c r="A123" s="106" t="s">
        <v>255</v>
      </c>
      <c r="B123" s="105">
        <v>3331550098</v>
      </c>
      <c r="C123" s="104" t="s">
        <v>27</v>
      </c>
      <c r="D123" s="104">
        <v>24140384</v>
      </c>
      <c r="E123" s="369" t="s">
        <v>260</v>
      </c>
      <c r="F123" s="106" t="s">
        <v>199</v>
      </c>
      <c r="G123" s="209">
        <v>24514.207999999999</v>
      </c>
      <c r="H123" s="106" t="s">
        <v>200</v>
      </c>
      <c r="I123" s="105">
        <v>1</v>
      </c>
      <c r="J123" s="105">
        <v>1</v>
      </c>
      <c r="K123" s="208" t="str">
        <f>IFERROR(VLOOKUP(B123,'IN OUT'!F:G,2,FALSE),"BELUM MASUK")</f>
        <v>BELUM MASUK</v>
      </c>
      <c r="L123" s="233"/>
      <c r="P123" s="44"/>
    </row>
    <row r="124" spans="1:16" hidden="1">
      <c r="A124" s="344" t="s">
        <v>272</v>
      </c>
      <c r="B124" s="346">
        <v>3331550100</v>
      </c>
      <c r="C124" s="347" t="s">
        <v>175</v>
      </c>
      <c r="D124" s="347">
        <v>24140385</v>
      </c>
      <c r="E124" s="370" t="s">
        <v>224</v>
      </c>
      <c r="F124" s="344" t="s">
        <v>203</v>
      </c>
      <c r="G124" s="345">
        <v>31707.108</v>
      </c>
      <c r="H124" s="344" t="s">
        <v>128</v>
      </c>
      <c r="I124" s="105">
        <v>1</v>
      </c>
      <c r="J124" s="105">
        <v>1</v>
      </c>
      <c r="K124" s="208" t="str">
        <f>IFERROR(VLOOKUP(B124,'IN OUT'!F:G,2,FALSE),"BELUM MASUK")</f>
        <v>BELUM MASUK</v>
      </c>
      <c r="L124" s="233"/>
      <c r="P124" s="44"/>
    </row>
    <row r="125" spans="1:16" hidden="1">
      <c r="A125" s="106" t="s">
        <v>255</v>
      </c>
      <c r="B125" s="105">
        <v>3331550113</v>
      </c>
      <c r="C125" s="104" t="s">
        <v>34</v>
      </c>
      <c r="D125" s="104">
        <v>24140386</v>
      </c>
      <c r="E125" s="369" t="s">
        <v>165</v>
      </c>
      <c r="F125" s="106" t="s">
        <v>199</v>
      </c>
      <c r="G125" s="209">
        <v>23354.29</v>
      </c>
      <c r="H125" s="106" t="s">
        <v>200</v>
      </c>
      <c r="I125" s="105">
        <v>1</v>
      </c>
      <c r="J125" s="105">
        <v>1</v>
      </c>
      <c r="K125" s="208" t="str">
        <f>IFERROR(VLOOKUP(B125,'IN OUT'!F:G,2,FALSE),"BELUM MASUK")</f>
        <v>BELUM MASUK</v>
      </c>
      <c r="L125" s="233"/>
      <c r="P125" s="44"/>
    </row>
    <row r="126" spans="1:16" hidden="1">
      <c r="A126" s="106" t="s">
        <v>255</v>
      </c>
      <c r="B126" s="105">
        <v>3331550115</v>
      </c>
      <c r="C126" s="104" t="s">
        <v>34</v>
      </c>
      <c r="D126" s="104">
        <v>24140387</v>
      </c>
      <c r="E126" s="369" t="s">
        <v>165</v>
      </c>
      <c r="F126" s="106" t="s">
        <v>199</v>
      </c>
      <c r="G126" s="209">
        <v>24256.671999999999</v>
      </c>
      <c r="H126" s="106" t="s">
        <v>200</v>
      </c>
      <c r="I126" s="105">
        <v>1</v>
      </c>
      <c r="J126" s="105">
        <v>1</v>
      </c>
      <c r="K126" s="208" t="str">
        <f>IFERROR(VLOOKUP(B126,'IN OUT'!F:G,2,FALSE),"BELUM MASUK")</f>
        <v>BELUM MASUK</v>
      </c>
      <c r="L126" s="233"/>
      <c r="P126" s="44"/>
    </row>
    <row r="127" spans="1:16" hidden="1">
      <c r="A127" s="106" t="s">
        <v>255</v>
      </c>
      <c r="B127" s="105">
        <v>3331550116</v>
      </c>
      <c r="C127" s="104" t="s">
        <v>27</v>
      </c>
      <c r="D127" s="104">
        <v>24140388</v>
      </c>
      <c r="E127" s="369" t="s">
        <v>165</v>
      </c>
      <c r="F127" s="106" t="s">
        <v>199</v>
      </c>
      <c r="G127" s="209">
        <v>25288.828000000001</v>
      </c>
      <c r="H127" s="106" t="s">
        <v>200</v>
      </c>
      <c r="I127" s="105">
        <v>1</v>
      </c>
      <c r="J127" s="105">
        <v>1</v>
      </c>
      <c r="K127" s="208">
        <v>0.78125</v>
      </c>
      <c r="L127" s="233"/>
      <c r="P127" s="44"/>
    </row>
    <row r="128" spans="1:16" hidden="1">
      <c r="A128" s="106" t="s">
        <v>255</v>
      </c>
      <c r="B128" s="105">
        <v>3331550117</v>
      </c>
      <c r="C128" s="104" t="s">
        <v>27</v>
      </c>
      <c r="D128" s="104">
        <v>24140389</v>
      </c>
      <c r="E128" s="369" t="s">
        <v>239</v>
      </c>
      <c r="F128" s="106" t="s">
        <v>199</v>
      </c>
      <c r="G128" s="209">
        <v>24257.685000000001</v>
      </c>
      <c r="H128" s="106" t="s">
        <v>200</v>
      </c>
      <c r="I128" s="105">
        <v>1</v>
      </c>
      <c r="J128" s="105">
        <v>1</v>
      </c>
      <c r="K128" s="208">
        <v>0.67083333333333328</v>
      </c>
      <c r="L128" s="233">
        <v>0.93611111111111112</v>
      </c>
      <c r="P128" s="44"/>
    </row>
    <row r="129" spans="1:16" hidden="1">
      <c r="A129" s="106" t="s">
        <v>255</v>
      </c>
      <c r="B129" s="105">
        <v>3331550130</v>
      </c>
      <c r="C129" s="104" t="s">
        <v>27</v>
      </c>
      <c r="D129" s="104">
        <v>24140390</v>
      </c>
      <c r="E129" s="369" t="s">
        <v>261</v>
      </c>
      <c r="F129" s="106" t="s">
        <v>199</v>
      </c>
      <c r="G129" s="209">
        <v>25507.13</v>
      </c>
      <c r="H129" s="106" t="s">
        <v>200</v>
      </c>
      <c r="I129" s="105">
        <v>1</v>
      </c>
      <c r="J129" s="105">
        <v>1</v>
      </c>
      <c r="K129" s="208">
        <v>0.66874999999999996</v>
      </c>
      <c r="L129" s="233"/>
      <c r="P129" s="44"/>
    </row>
    <row r="130" spans="1:16" hidden="1">
      <c r="A130" s="106" t="s">
        <v>255</v>
      </c>
      <c r="B130" s="105">
        <v>3331550132</v>
      </c>
      <c r="C130" s="96" t="s">
        <v>27</v>
      </c>
      <c r="D130" s="104">
        <v>24140391</v>
      </c>
      <c r="E130" s="369" t="s">
        <v>12</v>
      </c>
      <c r="F130" s="106" t="s">
        <v>199</v>
      </c>
      <c r="G130" s="209">
        <f>10892.968+14260.049</f>
        <v>25153.017</v>
      </c>
      <c r="H130" s="106" t="s">
        <v>200</v>
      </c>
      <c r="I130" s="105">
        <v>1</v>
      </c>
      <c r="J130" s="105">
        <v>1</v>
      </c>
      <c r="K130" s="208">
        <v>0.67500000000000004</v>
      </c>
      <c r="L130" s="304"/>
      <c r="P130" s="44"/>
    </row>
    <row r="131" spans="1:16" s="44" customFormat="1" hidden="1">
      <c r="A131" s="82" t="s">
        <v>274</v>
      </c>
      <c r="B131" s="81">
        <v>3331550133</v>
      </c>
      <c r="C131" s="223" t="s">
        <v>27</v>
      </c>
      <c r="D131" s="114">
        <v>24140391</v>
      </c>
      <c r="E131" s="364" t="s">
        <v>12</v>
      </c>
      <c r="F131" s="82" t="s">
        <v>199</v>
      </c>
      <c r="G131" s="191">
        <f>10892.968+14260.049</f>
        <v>25153.017</v>
      </c>
      <c r="H131" s="82" t="s">
        <v>200</v>
      </c>
      <c r="I131" s="81">
        <v>1</v>
      </c>
      <c r="J131" s="81">
        <v>1</v>
      </c>
      <c r="K131" s="200" t="s">
        <v>207</v>
      </c>
      <c r="L131" s="242"/>
    </row>
    <row r="132" spans="1:16" hidden="1">
      <c r="A132" s="106" t="s">
        <v>255</v>
      </c>
      <c r="B132" s="105">
        <v>3331550158</v>
      </c>
      <c r="C132" s="104" t="s">
        <v>27</v>
      </c>
      <c r="D132" s="104">
        <v>24140392</v>
      </c>
      <c r="E132" s="369" t="s">
        <v>134</v>
      </c>
      <c r="F132" s="106" t="s">
        <v>199</v>
      </c>
      <c r="G132" s="209">
        <v>25590.628000000001</v>
      </c>
      <c r="H132" s="106" t="s">
        <v>200</v>
      </c>
      <c r="I132" s="105">
        <v>1</v>
      </c>
      <c r="J132" s="269">
        <v>1</v>
      </c>
      <c r="K132" s="208">
        <v>0.72083333333333333</v>
      </c>
      <c r="L132" s="304"/>
      <c r="P132" s="44"/>
    </row>
    <row r="133" spans="1:16" hidden="1">
      <c r="A133" s="106" t="s">
        <v>255</v>
      </c>
      <c r="B133" s="105">
        <v>3331550170</v>
      </c>
      <c r="C133" s="104" t="s">
        <v>27</v>
      </c>
      <c r="D133" s="104">
        <v>24140393</v>
      </c>
      <c r="E133" s="369" t="s">
        <v>134</v>
      </c>
      <c r="F133" s="106" t="s">
        <v>199</v>
      </c>
      <c r="G133" s="209">
        <v>25225.45</v>
      </c>
      <c r="H133" s="106" t="s">
        <v>200</v>
      </c>
      <c r="I133" s="105">
        <v>1</v>
      </c>
      <c r="J133" s="269">
        <v>1</v>
      </c>
      <c r="K133" s="208">
        <v>0.72638888888888886</v>
      </c>
      <c r="L133" s="304"/>
      <c r="P133" s="44"/>
    </row>
    <row r="134" spans="1:16" hidden="1">
      <c r="A134" s="106" t="s">
        <v>255</v>
      </c>
      <c r="B134" s="105">
        <v>3331550175</v>
      </c>
      <c r="C134" s="104" t="s">
        <v>27</v>
      </c>
      <c r="D134" s="106">
        <v>24140394</v>
      </c>
      <c r="E134" s="369" t="s">
        <v>134</v>
      </c>
      <c r="F134" s="106" t="s">
        <v>199</v>
      </c>
      <c r="G134" s="209">
        <v>25546.364000000001</v>
      </c>
      <c r="H134" s="106" t="s">
        <v>200</v>
      </c>
      <c r="I134" s="105">
        <v>1</v>
      </c>
      <c r="J134" s="269">
        <v>1</v>
      </c>
      <c r="K134" s="208">
        <v>0.72430555555555554</v>
      </c>
      <c r="L134" s="304"/>
      <c r="P134" s="44"/>
    </row>
    <row r="135" spans="1:16" hidden="1">
      <c r="A135" s="344" t="s">
        <v>275</v>
      </c>
      <c r="B135" s="105">
        <v>3331550066</v>
      </c>
      <c r="C135" s="104" t="s">
        <v>175</v>
      </c>
      <c r="D135" s="104">
        <v>24140381</v>
      </c>
      <c r="E135" s="370" t="s">
        <v>226</v>
      </c>
      <c r="F135" s="344" t="s">
        <v>203</v>
      </c>
      <c r="G135" s="345">
        <v>32879.097999999998</v>
      </c>
      <c r="H135" s="344" t="s">
        <v>128</v>
      </c>
      <c r="I135" s="105">
        <v>1</v>
      </c>
      <c r="J135" s="105">
        <v>1</v>
      </c>
      <c r="K135" s="208" t="s">
        <v>204</v>
      </c>
      <c r="L135" s="233" t="e">
        <f>VLOOKUP(B135,'IN OUT'!F:G,2,FALSE)</f>
        <v>#N/A</v>
      </c>
      <c r="P135" s="44"/>
    </row>
    <row r="136" spans="1:16" hidden="1">
      <c r="A136" s="344" t="s">
        <v>275</v>
      </c>
      <c r="B136" s="346">
        <v>3331550100</v>
      </c>
      <c r="C136" s="347" t="s">
        <v>175</v>
      </c>
      <c r="D136" s="347">
        <v>24140385</v>
      </c>
      <c r="E136" s="370" t="s">
        <v>224</v>
      </c>
      <c r="F136" s="344" t="s">
        <v>203</v>
      </c>
      <c r="G136" s="345">
        <v>30042.376</v>
      </c>
      <c r="H136" s="344" t="s">
        <v>128</v>
      </c>
      <c r="I136" s="105">
        <v>1</v>
      </c>
      <c r="J136" s="105">
        <v>1</v>
      </c>
      <c r="K136" s="208" t="s">
        <v>204</v>
      </c>
      <c r="L136" s="233" t="e">
        <f>VLOOKUP(B136,'IN OUT'!F:G,2,FALSE)</f>
        <v>#N/A</v>
      </c>
      <c r="P136" s="44"/>
    </row>
    <row r="137" spans="1:16" s="44" customFormat="1" hidden="1">
      <c r="A137" s="106" t="s">
        <v>276</v>
      </c>
      <c r="B137" s="105">
        <v>3331550133</v>
      </c>
      <c r="C137" s="96" t="s">
        <v>27</v>
      </c>
      <c r="D137" s="104">
        <v>24140391</v>
      </c>
      <c r="E137" s="369" t="s">
        <v>254</v>
      </c>
      <c r="F137" s="106" t="s">
        <v>199</v>
      </c>
      <c r="G137" s="209">
        <v>10892.968000000001</v>
      </c>
      <c r="H137" s="106" t="s">
        <v>200</v>
      </c>
      <c r="I137" s="105">
        <v>1</v>
      </c>
      <c r="J137" s="151">
        <v>1</v>
      </c>
      <c r="K137" s="208" t="s">
        <v>204</v>
      </c>
      <c r="L137" s="233" t="e">
        <f>VLOOKUP(B137,'IN OUT'!F:G,2,FALSE)</f>
        <v>#N/A</v>
      </c>
    </row>
    <row r="138" spans="1:16" hidden="1">
      <c r="A138" s="106" t="s">
        <v>258</v>
      </c>
      <c r="B138" s="105">
        <v>3331550368</v>
      </c>
      <c r="C138" s="104" t="s">
        <v>206</v>
      </c>
      <c r="D138" s="106">
        <v>24140395</v>
      </c>
      <c r="E138" s="369" t="s">
        <v>226</v>
      </c>
      <c r="F138" s="106" t="s">
        <v>203</v>
      </c>
      <c r="G138" s="209">
        <f>3772.5+28374.23</f>
        <v>32146.73</v>
      </c>
      <c r="H138" s="106" t="s">
        <v>128</v>
      </c>
      <c r="I138" s="269">
        <v>1</v>
      </c>
      <c r="J138" s="105">
        <v>1</v>
      </c>
      <c r="K138" s="233" t="s">
        <v>204</v>
      </c>
      <c r="L138" s="233" t="e">
        <f>VLOOKUP(B138,'IN OUT'!F:G,2,FALSE)</f>
        <v>#N/A</v>
      </c>
      <c r="P138" s="44"/>
    </row>
    <row r="139" spans="1:16" hidden="1">
      <c r="A139" s="106" t="s">
        <v>258</v>
      </c>
      <c r="B139" s="105">
        <v>3331550371</v>
      </c>
      <c r="C139" s="104" t="s">
        <v>256</v>
      </c>
      <c r="D139" s="106" t="s">
        <v>256</v>
      </c>
      <c r="E139" s="106" t="s">
        <v>256</v>
      </c>
      <c r="F139" s="106" t="s">
        <v>256</v>
      </c>
      <c r="G139" s="209" t="s">
        <v>256</v>
      </c>
      <c r="H139" s="106" t="s">
        <v>256</v>
      </c>
      <c r="I139" s="105" t="s">
        <v>256</v>
      </c>
      <c r="J139" s="356" t="s">
        <v>256</v>
      </c>
      <c r="K139" s="357" t="s">
        <v>256</v>
      </c>
      <c r="L139" s="233" t="e">
        <f>VLOOKUP(B139,'IN OUT'!F:G,2,FALSE)</f>
        <v>#N/A</v>
      </c>
      <c r="P139" s="44"/>
    </row>
    <row r="140" spans="1:16" hidden="1">
      <c r="A140" s="106" t="s">
        <v>258</v>
      </c>
      <c r="B140" s="105">
        <v>3331550377</v>
      </c>
      <c r="C140" s="104" t="s">
        <v>11</v>
      </c>
      <c r="D140" s="106">
        <v>24140396</v>
      </c>
      <c r="E140" s="369" t="s">
        <v>277</v>
      </c>
      <c r="F140" s="106" t="s">
        <v>199</v>
      </c>
      <c r="G140" s="209">
        <v>23012.25</v>
      </c>
      <c r="H140" s="106" t="s">
        <v>200</v>
      </c>
      <c r="I140" s="105">
        <v>1</v>
      </c>
      <c r="J140" s="269">
        <v>1</v>
      </c>
      <c r="K140" s="208" t="s">
        <v>204</v>
      </c>
      <c r="L140" s="233" t="e">
        <f>VLOOKUP(B140,'IN OUT'!F:G,2,FALSE)</f>
        <v>#N/A</v>
      </c>
      <c r="P140" s="44"/>
    </row>
    <row r="141" spans="1:16" hidden="1">
      <c r="A141" s="106" t="s">
        <v>258</v>
      </c>
      <c r="B141" s="105">
        <v>3331550378</v>
      </c>
      <c r="C141" s="104" t="s">
        <v>27</v>
      </c>
      <c r="D141" s="106">
        <v>24140397</v>
      </c>
      <c r="E141" s="369" t="s">
        <v>277</v>
      </c>
      <c r="F141" s="106" t="s">
        <v>199</v>
      </c>
      <c r="G141" s="209">
        <v>26513.13</v>
      </c>
      <c r="H141" s="106" t="s">
        <v>200</v>
      </c>
      <c r="I141" s="105">
        <v>1</v>
      </c>
      <c r="J141" s="269">
        <v>1</v>
      </c>
      <c r="K141" s="208" t="s">
        <v>204</v>
      </c>
      <c r="L141" s="233" t="e">
        <f>VLOOKUP(B141,'IN OUT'!F:G,2,FALSE)</f>
        <v>#N/A</v>
      </c>
      <c r="P141" s="44"/>
    </row>
    <row r="142" spans="1:16" hidden="1">
      <c r="A142" s="106" t="s">
        <v>258</v>
      </c>
      <c r="B142" s="105">
        <v>3331550379</v>
      </c>
      <c r="C142" s="104" t="s">
        <v>11</v>
      </c>
      <c r="D142" s="106">
        <v>24140398</v>
      </c>
      <c r="E142" s="369" t="s">
        <v>278</v>
      </c>
      <c r="F142" s="106" t="s">
        <v>199</v>
      </c>
      <c r="G142" s="209">
        <v>22499.19</v>
      </c>
      <c r="H142" s="106" t="s">
        <v>200</v>
      </c>
      <c r="I142" s="105">
        <v>1</v>
      </c>
      <c r="J142" s="269">
        <v>1</v>
      </c>
      <c r="K142" s="208" t="s">
        <v>204</v>
      </c>
      <c r="L142" s="233" t="e">
        <f>VLOOKUP(B142,'IN OUT'!F:G,2,FALSE)</f>
        <v>#N/A</v>
      </c>
      <c r="P142" s="44"/>
    </row>
    <row r="143" spans="1:16" hidden="1">
      <c r="A143" s="106" t="s">
        <v>258</v>
      </c>
      <c r="B143" s="105">
        <v>3331550386</v>
      </c>
      <c r="C143" s="104" t="s">
        <v>27</v>
      </c>
      <c r="D143" s="106">
        <v>24140399</v>
      </c>
      <c r="E143" s="369" t="s">
        <v>161</v>
      </c>
      <c r="F143" s="106" t="s">
        <v>199</v>
      </c>
      <c r="G143" s="209">
        <v>22282.899000000001</v>
      </c>
      <c r="H143" s="106" t="s">
        <v>200</v>
      </c>
      <c r="I143" s="105">
        <v>1</v>
      </c>
      <c r="J143" s="269">
        <v>1</v>
      </c>
      <c r="K143" s="208" t="s">
        <v>204</v>
      </c>
      <c r="L143" s="233" t="e">
        <f>VLOOKUP(B143,'IN OUT'!F:G,2,FALSE)</f>
        <v>#N/A</v>
      </c>
      <c r="P143" s="44"/>
    </row>
    <row r="144" spans="1:16" hidden="1">
      <c r="A144" s="106" t="s">
        <v>258</v>
      </c>
      <c r="B144" s="105">
        <v>3331550389</v>
      </c>
      <c r="C144" s="104" t="s">
        <v>27</v>
      </c>
      <c r="D144" s="106">
        <v>24140400</v>
      </c>
      <c r="E144" s="369" t="s">
        <v>278</v>
      </c>
      <c r="F144" s="106" t="s">
        <v>199</v>
      </c>
      <c r="G144" s="209">
        <v>24842.164000000001</v>
      </c>
      <c r="H144" s="106" t="s">
        <v>200</v>
      </c>
      <c r="I144" s="105">
        <v>1</v>
      </c>
      <c r="J144" s="269">
        <v>1</v>
      </c>
      <c r="K144" s="208" t="s">
        <v>204</v>
      </c>
      <c r="L144" s="233" t="e">
        <f>VLOOKUP(B144,'IN OUT'!F:G,2,FALSE)</f>
        <v>#N/A</v>
      </c>
      <c r="P144" s="44"/>
    </row>
    <row r="145" spans="1:16" hidden="1">
      <c r="A145" s="106" t="s">
        <v>258</v>
      </c>
      <c r="B145" s="105">
        <v>3331550390</v>
      </c>
      <c r="C145" s="104" t="s">
        <v>58</v>
      </c>
      <c r="D145" s="106">
        <v>24140401</v>
      </c>
      <c r="E145" s="369" t="s">
        <v>278</v>
      </c>
      <c r="F145" s="106" t="s">
        <v>199</v>
      </c>
      <c r="G145" s="209">
        <v>23259.725999999999</v>
      </c>
      <c r="H145" s="106" t="s">
        <v>200</v>
      </c>
      <c r="I145" s="105">
        <v>1</v>
      </c>
      <c r="J145" s="269">
        <v>1</v>
      </c>
      <c r="K145" s="208" t="s">
        <v>204</v>
      </c>
      <c r="L145" s="233" t="e">
        <f>VLOOKUP(B145,'IN OUT'!F:G,2,FALSE)</f>
        <v>#N/A</v>
      </c>
      <c r="P145" s="44"/>
    </row>
    <row r="146" spans="1:16" hidden="1">
      <c r="A146" s="106" t="s">
        <v>258</v>
      </c>
      <c r="B146" s="105">
        <v>3331550393</v>
      </c>
      <c r="C146" s="104" t="s">
        <v>11</v>
      </c>
      <c r="D146" s="106">
        <v>24140402</v>
      </c>
      <c r="E146" s="369" t="s">
        <v>278</v>
      </c>
      <c r="F146" s="106" t="s">
        <v>199</v>
      </c>
      <c r="G146" s="209">
        <v>24413.608</v>
      </c>
      <c r="H146" s="106" t="s">
        <v>200</v>
      </c>
      <c r="I146" s="105">
        <v>1</v>
      </c>
      <c r="J146" s="269">
        <v>1</v>
      </c>
      <c r="K146" s="208" t="s">
        <v>204</v>
      </c>
      <c r="L146" s="233" t="e">
        <f>VLOOKUP(B146,'IN OUT'!F:G,2,FALSE)</f>
        <v>#N/A</v>
      </c>
      <c r="P146" s="44"/>
    </row>
    <row r="147" spans="1:16" hidden="1">
      <c r="A147" s="106" t="s">
        <v>258</v>
      </c>
      <c r="B147" s="105">
        <v>3331550394</v>
      </c>
      <c r="C147" s="104" t="s">
        <v>11</v>
      </c>
      <c r="D147" s="106">
        <v>24140403</v>
      </c>
      <c r="E147" s="369" t="s">
        <v>165</v>
      </c>
      <c r="F147" s="106" t="s">
        <v>199</v>
      </c>
      <c r="G147" s="209">
        <v>23324.111000000001</v>
      </c>
      <c r="H147" s="106" t="s">
        <v>200</v>
      </c>
      <c r="I147" s="105">
        <v>1</v>
      </c>
      <c r="J147" s="269">
        <v>1</v>
      </c>
      <c r="K147" s="208" t="s">
        <v>204</v>
      </c>
      <c r="L147" s="233" t="e">
        <f>VLOOKUP(B147,'IN OUT'!F:G,2,FALSE)</f>
        <v>#N/A</v>
      </c>
      <c r="P147" s="44"/>
    </row>
    <row r="148" spans="1:16" hidden="1">
      <c r="A148" s="106" t="s">
        <v>258</v>
      </c>
      <c r="B148" s="105">
        <v>3331550396</v>
      </c>
      <c r="C148" s="104" t="s">
        <v>34</v>
      </c>
      <c r="D148" s="106">
        <v>24140404</v>
      </c>
      <c r="E148" s="369" t="s">
        <v>165</v>
      </c>
      <c r="F148" s="106" t="s">
        <v>199</v>
      </c>
      <c r="G148" s="209">
        <v>24628.893</v>
      </c>
      <c r="H148" s="106" t="s">
        <v>200</v>
      </c>
      <c r="I148" s="105">
        <v>1</v>
      </c>
      <c r="J148" s="269">
        <v>1</v>
      </c>
      <c r="K148" s="208" t="s">
        <v>204</v>
      </c>
      <c r="L148" s="233" t="e">
        <f>VLOOKUP(B148,'IN OUT'!F:G,2,FALSE)</f>
        <v>#N/A</v>
      </c>
      <c r="P148" s="44"/>
    </row>
    <row r="149" spans="1:16" hidden="1">
      <c r="A149" s="106" t="s">
        <v>258</v>
      </c>
      <c r="B149" s="105">
        <v>3331550397</v>
      </c>
      <c r="C149" s="104" t="s">
        <v>279</v>
      </c>
      <c r="D149" s="106">
        <v>24140405</v>
      </c>
      <c r="E149" s="369" t="s">
        <v>165</v>
      </c>
      <c r="F149" s="106" t="s">
        <v>199</v>
      </c>
      <c r="G149" s="209">
        <v>24370.350999999999</v>
      </c>
      <c r="H149" s="106" t="s">
        <v>200</v>
      </c>
      <c r="I149" s="105">
        <v>1</v>
      </c>
      <c r="J149" s="269">
        <v>1</v>
      </c>
      <c r="K149" s="208" t="s">
        <v>204</v>
      </c>
      <c r="L149" s="233" t="e">
        <f>VLOOKUP(B149,'IN OUT'!F:G,2,FALSE)</f>
        <v>#N/A</v>
      </c>
      <c r="P149" s="44"/>
    </row>
    <row r="150" spans="1:16" hidden="1">
      <c r="A150" s="106" t="s">
        <v>258</v>
      </c>
      <c r="B150" s="105">
        <v>3331550401</v>
      </c>
      <c r="C150" s="104" t="s">
        <v>279</v>
      </c>
      <c r="D150" s="106">
        <v>24140406</v>
      </c>
      <c r="E150" s="369" t="s">
        <v>165</v>
      </c>
      <c r="F150" s="106" t="s">
        <v>199</v>
      </c>
      <c r="G150" s="209">
        <v>24370.350999999999</v>
      </c>
      <c r="H150" s="106" t="s">
        <v>200</v>
      </c>
      <c r="I150" s="105">
        <v>1</v>
      </c>
      <c r="J150" s="269">
        <v>1</v>
      </c>
      <c r="K150" s="208" t="s">
        <v>204</v>
      </c>
      <c r="L150" s="233" t="e">
        <f>VLOOKUP(B150,'IN OUT'!F:G,2,FALSE)</f>
        <v>#N/A</v>
      </c>
      <c r="P150" s="44"/>
    </row>
    <row r="151" spans="1:16" hidden="1">
      <c r="A151" s="106" t="s">
        <v>258</v>
      </c>
      <c r="B151" s="105">
        <v>3331550406</v>
      </c>
      <c r="C151" s="104" t="s">
        <v>34</v>
      </c>
      <c r="D151" s="106">
        <v>24140407</v>
      </c>
      <c r="E151" s="369" t="s">
        <v>261</v>
      </c>
      <c r="F151" s="106" t="s">
        <v>199</v>
      </c>
      <c r="G151" s="209">
        <v>21830.201000000001</v>
      </c>
      <c r="H151" s="106" t="s">
        <v>200</v>
      </c>
      <c r="I151" s="105">
        <v>1</v>
      </c>
      <c r="J151" s="269">
        <v>1</v>
      </c>
      <c r="K151" s="208" t="s">
        <v>204</v>
      </c>
      <c r="L151" s="242"/>
      <c r="P151" s="44"/>
    </row>
    <row r="152" spans="1:16" hidden="1">
      <c r="A152" s="106" t="s">
        <v>258</v>
      </c>
      <c r="B152" s="105">
        <v>3331550409</v>
      </c>
      <c r="C152" s="104" t="s">
        <v>34</v>
      </c>
      <c r="D152" s="106">
        <v>24140408</v>
      </c>
      <c r="E152" s="369" t="s">
        <v>261</v>
      </c>
      <c r="F152" s="106" t="s">
        <v>199</v>
      </c>
      <c r="G152" s="209">
        <v>25468.901999999998</v>
      </c>
      <c r="H152" s="106" t="s">
        <v>200</v>
      </c>
      <c r="I152" s="105">
        <v>1</v>
      </c>
      <c r="J152" s="269">
        <v>1</v>
      </c>
      <c r="K152" s="208" t="s">
        <v>204</v>
      </c>
      <c r="L152" s="242"/>
      <c r="P152" s="44"/>
    </row>
    <row r="153" spans="1:16" hidden="1">
      <c r="A153" s="106" t="s">
        <v>258</v>
      </c>
      <c r="B153" s="105">
        <v>3331550412</v>
      </c>
      <c r="C153" s="104" t="s">
        <v>34</v>
      </c>
      <c r="D153" s="106">
        <v>24140409</v>
      </c>
      <c r="E153" s="369" t="s">
        <v>240</v>
      </c>
      <c r="F153" s="106" t="s">
        <v>199</v>
      </c>
      <c r="G153" s="209">
        <v>24323.01</v>
      </c>
      <c r="H153" s="106" t="s">
        <v>200</v>
      </c>
      <c r="I153" s="105">
        <v>1</v>
      </c>
      <c r="J153" s="105">
        <v>1</v>
      </c>
      <c r="K153" s="208" t="s">
        <v>204</v>
      </c>
      <c r="L153" s="242"/>
      <c r="P153" s="44"/>
    </row>
    <row r="154" spans="1:16" hidden="1">
      <c r="A154" s="106" t="s">
        <v>258</v>
      </c>
      <c r="B154" s="105">
        <v>3331550413</v>
      </c>
      <c r="C154" s="104" t="s">
        <v>34</v>
      </c>
      <c r="D154" s="106">
        <v>24140410</v>
      </c>
      <c r="E154" s="369" t="s">
        <v>132</v>
      </c>
      <c r="F154" s="106" t="s">
        <v>199</v>
      </c>
      <c r="G154" s="209">
        <v>23925.698</v>
      </c>
      <c r="H154" s="106" t="s">
        <v>200</v>
      </c>
      <c r="I154" s="105">
        <v>1</v>
      </c>
      <c r="J154" s="105">
        <v>1</v>
      </c>
      <c r="K154" s="208" t="s">
        <v>204</v>
      </c>
      <c r="L154" s="242"/>
      <c r="P154" s="44"/>
    </row>
    <row r="155" spans="1:16" hidden="1">
      <c r="A155" s="106" t="s">
        <v>258</v>
      </c>
      <c r="B155" s="105">
        <v>3331550421</v>
      </c>
      <c r="C155" s="104" t="s">
        <v>34</v>
      </c>
      <c r="D155" s="106">
        <v>24140411</v>
      </c>
      <c r="E155" s="369" t="s">
        <v>240</v>
      </c>
      <c r="F155" s="106" t="s">
        <v>199</v>
      </c>
      <c r="G155" s="209">
        <v>27210.375</v>
      </c>
      <c r="H155" s="106" t="s">
        <v>200</v>
      </c>
      <c r="I155" s="105">
        <v>1</v>
      </c>
      <c r="J155" s="105">
        <v>1</v>
      </c>
      <c r="K155" s="208" t="s">
        <v>280</v>
      </c>
      <c r="L155" s="242"/>
      <c r="P155" s="44"/>
    </row>
    <row r="156" spans="1:16" hidden="1">
      <c r="A156" s="82" t="s">
        <v>258</v>
      </c>
      <c r="B156" s="81">
        <v>3331550428</v>
      </c>
      <c r="C156" s="114" t="s">
        <v>206</v>
      </c>
      <c r="D156" s="82">
        <v>24140412</v>
      </c>
      <c r="E156" s="364" t="s">
        <v>224</v>
      </c>
      <c r="F156" s="82" t="s">
        <v>203</v>
      </c>
      <c r="G156" s="191">
        <v>31397.26</v>
      </c>
      <c r="H156" s="82" t="s">
        <v>128</v>
      </c>
      <c r="I156" s="81">
        <v>1</v>
      </c>
      <c r="J156" s="240">
        <v>1</v>
      </c>
      <c r="K156" s="200" t="s">
        <v>207</v>
      </c>
      <c r="L156" s="242"/>
      <c r="P156" s="44"/>
    </row>
    <row r="157" spans="1:16" hidden="1">
      <c r="A157" s="106" t="s">
        <v>258</v>
      </c>
      <c r="B157" s="105">
        <v>3331550429</v>
      </c>
      <c r="C157" s="104" t="s">
        <v>34</v>
      </c>
      <c r="D157" s="106">
        <v>24140413</v>
      </c>
      <c r="E157" s="369" t="s">
        <v>131</v>
      </c>
      <c r="F157" s="106" t="s">
        <v>199</v>
      </c>
      <c r="G157" s="209">
        <v>24717.42</v>
      </c>
      <c r="H157" s="106" t="s">
        <v>200</v>
      </c>
      <c r="I157" s="105">
        <v>1</v>
      </c>
      <c r="J157" s="269">
        <v>1</v>
      </c>
      <c r="K157" s="208" t="s">
        <v>204</v>
      </c>
      <c r="L157" s="242"/>
      <c r="P157" s="44"/>
    </row>
    <row r="158" spans="1:16" hidden="1">
      <c r="A158" s="106" t="s">
        <v>258</v>
      </c>
      <c r="B158" s="105">
        <v>3331550430</v>
      </c>
      <c r="C158" s="104" t="s">
        <v>27</v>
      </c>
      <c r="D158" s="106">
        <v>24140416</v>
      </c>
      <c r="E158" s="369" t="s">
        <v>281</v>
      </c>
      <c r="F158" s="106" t="s">
        <v>199</v>
      </c>
      <c r="G158" s="209">
        <f>5231.2+18676.391</f>
        <v>23907.591</v>
      </c>
      <c r="H158" s="106" t="s">
        <v>200</v>
      </c>
      <c r="I158" s="105">
        <v>1</v>
      </c>
      <c r="J158" s="269">
        <v>1</v>
      </c>
      <c r="K158" s="208" t="s">
        <v>280</v>
      </c>
      <c r="L158" s="242"/>
      <c r="P158" s="44"/>
    </row>
    <row r="159" spans="1:16" hidden="1">
      <c r="A159" s="106" t="s">
        <v>258</v>
      </c>
      <c r="B159" s="105">
        <v>3331550445</v>
      </c>
      <c r="C159" s="104" t="s">
        <v>256</v>
      </c>
      <c r="D159" s="106" t="s">
        <v>256</v>
      </c>
      <c r="E159" s="106" t="s">
        <v>256</v>
      </c>
      <c r="F159" s="106" t="s">
        <v>256</v>
      </c>
      <c r="G159" s="209" t="s">
        <v>256</v>
      </c>
      <c r="H159" s="106" t="s">
        <v>256</v>
      </c>
      <c r="I159" s="105" t="s">
        <v>256</v>
      </c>
      <c r="J159" s="269" t="s">
        <v>256</v>
      </c>
      <c r="K159" s="208" t="s">
        <v>256</v>
      </c>
      <c r="L159" s="242"/>
      <c r="P159" s="44"/>
    </row>
    <row r="160" spans="1:16" hidden="1">
      <c r="A160" s="106" t="s">
        <v>258</v>
      </c>
      <c r="B160" s="105">
        <v>3331550444</v>
      </c>
      <c r="C160" s="104" t="s">
        <v>34</v>
      </c>
      <c r="D160" s="106">
        <v>24140418</v>
      </c>
      <c r="E160" s="369" t="s">
        <v>281</v>
      </c>
      <c r="F160" s="106" t="s">
        <v>199</v>
      </c>
      <c r="G160" s="209">
        <v>23681.24</v>
      </c>
      <c r="H160" s="106" t="s">
        <v>200</v>
      </c>
      <c r="I160" s="105">
        <v>1</v>
      </c>
      <c r="J160" s="269">
        <v>1</v>
      </c>
      <c r="K160" s="208" t="s">
        <v>280</v>
      </c>
      <c r="L160" s="242"/>
      <c r="P160" s="44"/>
    </row>
    <row r="161" spans="1:16" hidden="1">
      <c r="A161" s="106" t="s">
        <v>258</v>
      </c>
      <c r="B161" s="105">
        <v>3331550448</v>
      </c>
      <c r="C161" s="104" t="s">
        <v>11</v>
      </c>
      <c r="D161" s="106">
        <v>24140414</v>
      </c>
      <c r="E161" s="369" t="s">
        <v>253</v>
      </c>
      <c r="F161" s="106" t="s">
        <v>205</v>
      </c>
      <c r="G161" s="209">
        <v>46736.52</v>
      </c>
      <c r="H161" s="106" t="s">
        <v>128</v>
      </c>
      <c r="I161" s="105">
        <v>1</v>
      </c>
      <c r="J161" s="269">
        <v>1</v>
      </c>
      <c r="K161" s="208" t="s">
        <v>280</v>
      </c>
      <c r="L161" s="242"/>
      <c r="P161" s="44"/>
    </row>
    <row r="162" spans="1:16" hidden="1">
      <c r="A162" s="106" t="s">
        <v>258</v>
      </c>
      <c r="B162" s="105">
        <v>3331550451</v>
      </c>
      <c r="C162" s="104" t="s">
        <v>282</v>
      </c>
      <c r="D162" s="106">
        <v>24140415</v>
      </c>
      <c r="E162" s="369" t="s">
        <v>226</v>
      </c>
      <c r="F162" s="106" t="s">
        <v>203</v>
      </c>
      <c r="G162" s="209">
        <v>34209.03</v>
      </c>
      <c r="H162" s="106" t="s">
        <v>128</v>
      </c>
      <c r="I162" s="105">
        <v>1</v>
      </c>
      <c r="J162" s="269">
        <v>1</v>
      </c>
      <c r="K162" s="208" t="s">
        <v>204</v>
      </c>
      <c r="L162" s="242"/>
      <c r="P162" s="44"/>
    </row>
    <row r="163" spans="1:16" hidden="1">
      <c r="A163" s="106" t="s">
        <v>258</v>
      </c>
      <c r="B163" s="105">
        <v>3331550455</v>
      </c>
      <c r="C163" s="104" t="s">
        <v>27</v>
      </c>
      <c r="D163" s="106">
        <v>24140417</v>
      </c>
      <c r="E163" s="369" t="s">
        <v>219</v>
      </c>
      <c r="F163" s="106" t="s">
        <v>199</v>
      </c>
      <c r="G163" s="209">
        <v>25933.673999999999</v>
      </c>
      <c r="H163" s="106" t="s">
        <v>200</v>
      </c>
      <c r="I163" s="105">
        <v>1</v>
      </c>
      <c r="J163" s="269">
        <v>1</v>
      </c>
      <c r="K163" s="208" t="s">
        <v>204</v>
      </c>
      <c r="L163" s="242"/>
      <c r="P163" s="44"/>
    </row>
    <row r="164" spans="1:16" hidden="1">
      <c r="A164" s="106" t="s">
        <v>258</v>
      </c>
      <c r="B164" s="105">
        <v>3331550489</v>
      </c>
      <c r="C164" s="104" t="s">
        <v>282</v>
      </c>
      <c r="D164" s="106">
        <v>24140419</v>
      </c>
      <c r="E164" s="369" t="s">
        <v>226</v>
      </c>
      <c r="F164" s="106" t="s">
        <v>203</v>
      </c>
      <c r="G164" s="209">
        <v>33228.18</v>
      </c>
      <c r="H164" s="106" t="s">
        <v>128</v>
      </c>
      <c r="I164" s="105">
        <v>1</v>
      </c>
      <c r="J164" s="269">
        <v>1</v>
      </c>
      <c r="K164" s="208" t="s">
        <v>204</v>
      </c>
      <c r="L164" s="242"/>
      <c r="P164" s="44"/>
    </row>
    <row r="165" spans="1:16" hidden="1">
      <c r="A165" s="106" t="s">
        <v>258</v>
      </c>
      <c r="B165" s="105">
        <v>3331550492</v>
      </c>
      <c r="C165" s="104" t="s">
        <v>34</v>
      </c>
      <c r="D165" s="106">
        <v>24140420</v>
      </c>
      <c r="E165" s="369" t="s">
        <v>165</v>
      </c>
      <c r="F165" s="106" t="s">
        <v>199</v>
      </c>
      <c r="G165" s="209">
        <v>23955.878000000001</v>
      </c>
      <c r="H165" s="106" t="s">
        <v>200</v>
      </c>
      <c r="I165" s="105">
        <v>1</v>
      </c>
      <c r="J165" s="269">
        <v>1</v>
      </c>
      <c r="K165" s="208" t="s">
        <v>204</v>
      </c>
      <c r="L165" s="242"/>
      <c r="P165" s="44"/>
    </row>
    <row r="166" spans="1:16" hidden="1">
      <c r="A166" s="106" t="s">
        <v>258</v>
      </c>
      <c r="B166" s="105">
        <v>3331550504</v>
      </c>
      <c r="C166" s="104" t="s">
        <v>175</v>
      </c>
      <c r="D166" s="106">
        <v>24140421</v>
      </c>
      <c r="E166" s="369" t="s">
        <v>173</v>
      </c>
      <c r="F166" s="106" t="s">
        <v>205</v>
      </c>
      <c r="G166" s="209">
        <v>46570.695</v>
      </c>
      <c r="H166" s="106" t="s">
        <v>128</v>
      </c>
      <c r="I166" s="105">
        <v>1</v>
      </c>
      <c r="J166" s="269">
        <v>1</v>
      </c>
      <c r="K166" s="208" t="s">
        <v>204</v>
      </c>
      <c r="L166" s="242"/>
      <c r="P166" s="44"/>
    </row>
    <row r="167" spans="1:16" hidden="1">
      <c r="A167" s="106" t="s">
        <v>258</v>
      </c>
      <c r="B167" s="105">
        <v>3331550414</v>
      </c>
      <c r="C167" s="104" t="s">
        <v>11</v>
      </c>
      <c r="D167" s="106">
        <v>24140423</v>
      </c>
      <c r="E167" s="369" t="s">
        <v>12</v>
      </c>
      <c r="F167" s="106" t="s">
        <v>199</v>
      </c>
      <c r="G167" s="209">
        <v>25681</v>
      </c>
      <c r="H167" s="106" t="s">
        <v>200</v>
      </c>
      <c r="I167" s="105">
        <v>1</v>
      </c>
      <c r="J167" s="269">
        <v>1</v>
      </c>
      <c r="K167" s="208" t="s">
        <v>204</v>
      </c>
      <c r="L167" s="242"/>
      <c r="P167" s="44"/>
    </row>
    <row r="168" spans="1:16" hidden="1">
      <c r="A168" s="106" t="s">
        <v>258</v>
      </c>
      <c r="B168" s="105">
        <v>3331550461</v>
      </c>
      <c r="C168" s="104" t="s">
        <v>256</v>
      </c>
      <c r="D168" s="106" t="s">
        <v>256</v>
      </c>
      <c r="E168" s="369" t="s">
        <v>12</v>
      </c>
      <c r="F168" s="374" t="s">
        <v>256</v>
      </c>
      <c r="G168" s="209" t="s">
        <v>256</v>
      </c>
      <c r="H168" s="106" t="s">
        <v>256</v>
      </c>
      <c r="I168" s="105" t="s">
        <v>256</v>
      </c>
      <c r="J168" s="269" t="s">
        <v>256</v>
      </c>
      <c r="K168" s="208" t="s">
        <v>256</v>
      </c>
      <c r="L168" s="242"/>
      <c r="P168" s="44"/>
    </row>
    <row r="169" spans="1:16" hidden="1">
      <c r="A169" s="106" t="s">
        <v>258</v>
      </c>
      <c r="B169" s="105">
        <v>3331550465</v>
      </c>
      <c r="C169" s="104" t="s">
        <v>256</v>
      </c>
      <c r="D169" s="104" t="s">
        <v>256</v>
      </c>
      <c r="E169" s="369" t="s">
        <v>12</v>
      </c>
      <c r="F169" s="106" t="s">
        <v>256</v>
      </c>
      <c r="G169" s="209" t="s">
        <v>256</v>
      </c>
      <c r="H169" s="106" t="s">
        <v>256</v>
      </c>
      <c r="I169" s="105" t="s">
        <v>256</v>
      </c>
      <c r="J169" s="269" t="s">
        <v>256</v>
      </c>
      <c r="K169" s="208" t="s">
        <v>256</v>
      </c>
      <c r="L169" s="242"/>
      <c r="P169" s="44"/>
    </row>
    <row r="170" spans="1:16" hidden="1">
      <c r="A170" s="106" t="s">
        <v>258</v>
      </c>
      <c r="B170" s="105">
        <v>3331550508</v>
      </c>
      <c r="C170" s="104" t="s">
        <v>11</v>
      </c>
      <c r="D170" s="104">
        <v>24140422</v>
      </c>
      <c r="E170" s="369" t="s">
        <v>129</v>
      </c>
      <c r="F170" s="106" t="s">
        <v>205</v>
      </c>
      <c r="G170" s="209">
        <v>46674.21</v>
      </c>
      <c r="H170" s="106" t="s">
        <v>128</v>
      </c>
      <c r="I170" s="105">
        <v>1</v>
      </c>
      <c r="J170" s="269">
        <v>1</v>
      </c>
      <c r="K170" s="208" t="s">
        <v>280</v>
      </c>
      <c r="L170" s="242"/>
      <c r="P170" s="44"/>
    </row>
    <row r="171" spans="1:16" hidden="1">
      <c r="A171" s="106" t="s">
        <v>258</v>
      </c>
      <c r="B171" s="105">
        <v>3331550522</v>
      </c>
      <c r="C171" s="104" t="s">
        <v>206</v>
      </c>
      <c r="D171" s="104">
        <v>24140424</v>
      </c>
      <c r="E171" s="369" t="s">
        <v>226</v>
      </c>
      <c r="F171" s="106" t="s">
        <v>203</v>
      </c>
      <c r="G171" s="209">
        <v>33701</v>
      </c>
      <c r="H171" s="106" t="s">
        <v>128</v>
      </c>
      <c r="I171" s="105">
        <v>1</v>
      </c>
      <c r="J171" s="269">
        <v>1</v>
      </c>
      <c r="K171" s="208" t="s">
        <v>280</v>
      </c>
      <c r="L171" s="242"/>
      <c r="P171" s="44"/>
    </row>
    <row r="172" spans="1:16" hidden="1">
      <c r="A172" s="106" t="s">
        <v>258</v>
      </c>
      <c r="B172" s="105">
        <v>3331550557</v>
      </c>
      <c r="C172" s="104" t="s">
        <v>206</v>
      </c>
      <c r="D172" s="104">
        <v>24140426</v>
      </c>
      <c r="E172" s="369" t="s">
        <v>283</v>
      </c>
      <c r="F172" s="106" t="s">
        <v>203</v>
      </c>
      <c r="G172" s="209">
        <v>34304.601000000002</v>
      </c>
      <c r="H172" s="106" t="s">
        <v>128</v>
      </c>
      <c r="I172" s="105">
        <v>1</v>
      </c>
      <c r="J172" s="269">
        <v>1</v>
      </c>
      <c r="K172" s="208" t="s">
        <v>204</v>
      </c>
      <c r="L172" s="242"/>
      <c r="P172" s="44"/>
    </row>
    <row r="173" spans="1:16" hidden="1">
      <c r="A173" s="106" t="s">
        <v>258</v>
      </c>
      <c r="B173" s="105">
        <v>3331550562</v>
      </c>
      <c r="C173" s="104" t="s">
        <v>146</v>
      </c>
      <c r="D173" s="104">
        <v>24140425</v>
      </c>
      <c r="E173" s="369" t="s">
        <v>284</v>
      </c>
      <c r="F173" s="106" t="s">
        <v>199</v>
      </c>
      <c r="G173" s="209">
        <v>26864.223999999998</v>
      </c>
      <c r="H173" s="106" t="s">
        <v>200</v>
      </c>
      <c r="I173" s="105">
        <v>1</v>
      </c>
      <c r="J173" s="269">
        <v>1</v>
      </c>
      <c r="K173" s="208" t="s">
        <v>204</v>
      </c>
      <c r="L173" s="242"/>
      <c r="P173" s="44"/>
    </row>
    <row r="174" spans="1:16">
      <c r="A174" s="82" t="s">
        <v>285</v>
      </c>
      <c r="B174" s="81">
        <v>3331550428</v>
      </c>
      <c r="C174" s="114" t="s">
        <v>206</v>
      </c>
      <c r="D174" s="82">
        <v>24140412</v>
      </c>
      <c r="E174" s="82" t="s">
        <v>224</v>
      </c>
      <c r="F174" s="82" t="s">
        <v>203</v>
      </c>
      <c r="G174" s="191">
        <v>31397.26</v>
      </c>
      <c r="H174" s="82" t="s">
        <v>128</v>
      </c>
      <c r="I174" s="81">
        <v>1</v>
      </c>
      <c r="J174" s="240">
        <v>1</v>
      </c>
      <c r="K174" s="200" t="s">
        <v>207</v>
      </c>
      <c r="L174" s="375">
        <f>VLOOKUP(B174,'IN OUT'!F:G,2,FALSE)</f>
        <v>45910.581585648149</v>
      </c>
      <c r="O174" s="44"/>
      <c r="P174" s="44"/>
    </row>
    <row r="175" spans="1:16">
      <c r="A175" s="106" t="s">
        <v>285</v>
      </c>
      <c r="B175" s="105">
        <v>3331550557</v>
      </c>
      <c r="C175" s="104" t="s">
        <v>206</v>
      </c>
      <c r="D175" s="104">
        <v>24140426</v>
      </c>
      <c r="E175" s="106" t="s">
        <v>224</v>
      </c>
      <c r="F175" s="106" t="s">
        <v>203</v>
      </c>
      <c r="G175" s="209">
        <v>34304.601000000002</v>
      </c>
      <c r="H175" s="106" t="s">
        <v>128</v>
      </c>
      <c r="I175" s="105">
        <v>1</v>
      </c>
      <c r="J175" s="269">
        <v>1</v>
      </c>
      <c r="K175" s="208" t="s">
        <v>204</v>
      </c>
      <c r="L175" s="376">
        <f>VLOOKUP(B175,'IN OUT'!F:G,2,FALSE)</f>
        <v>45910.316712962966</v>
      </c>
      <c r="M175" s="44"/>
      <c r="N175" s="44"/>
      <c r="O175" s="44"/>
      <c r="P175" s="44"/>
    </row>
    <row r="176" spans="1:16">
      <c r="A176" s="106" t="s">
        <v>285</v>
      </c>
      <c r="B176" s="105">
        <v>3331550508</v>
      </c>
      <c r="C176" s="104" t="s">
        <v>11</v>
      </c>
      <c r="D176" s="104">
        <v>24140422</v>
      </c>
      <c r="E176" s="106" t="s">
        <v>173</v>
      </c>
      <c r="F176" s="106" t="s">
        <v>205</v>
      </c>
      <c r="G176" s="209">
        <v>46674.21</v>
      </c>
      <c r="H176" s="106" t="s">
        <v>128</v>
      </c>
      <c r="I176" s="105">
        <v>1</v>
      </c>
      <c r="J176" s="269">
        <v>1</v>
      </c>
      <c r="K176" s="208" t="s">
        <v>204</v>
      </c>
      <c r="L176" s="375" t="e">
        <f>VLOOKUP(B176,'IN OUT'!F:G,2,FALSE)</f>
        <v>#N/A</v>
      </c>
      <c r="M176" s="44"/>
      <c r="N176" s="44"/>
      <c r="O176" s="44"/>
      <c r="P176" s="44"/>
    </row>
    <row r="177" spans="1:16">
      <c r="A177" s="106" t="s">
        <v>286</v>
      </c>
      <c r="B177" s="105">
        <v>3331550703</v>
      </c>
      <c r="C177" s="104" t="s">
        <v>287</v>
      </c>
      <c r="D177" s="106">
        <v>24140427</v>
      </c>
      <c r="E177" s="106" t="s">
        <v>131</v>
      </c>
      <c r="F177" s="106" t="s">
        <v>199</v>
      </c>
      <c r="G177" s="209">
        <v>24873.352999999999</v>
      </c>
      <c r="H177" s="106" t="s">
        <v>200</v>
      </c>
      <c r="I177" s="105">
        <v>1</v>
      </c>
      <c r="J177" s="269">
        <v>1</v>
      </c>
      <c r="K177" s="208" t="s">
        <v>204</v>
      </c>
      <c r="L177" s="375">
        <f>VLOOKUP(B177,'IN OUT'!F:G,2,FALSE)</f>
        <v>45910.499490740738</v>
      </c>
      <c r="O177" s="44"/>
      <c r="P177" s="44"/>
    </row>
    <row r="178" spans="1:16">
      <c r="A178" s="106" t="s">
        <v>286</v>
      </c>
      <c r="B178" s="105">
        <v>3331550704</v>
      </c>
      <c r="C178" s="104" t="s">
        <v>287</v>
      </c>
      <c r="D178" s="106">
        <v>24140428</v>
      </c>
      <c r="E178" s="106" t="s">
        <v>131</v>
      </c>
      <c r="F178" s="106" t="s">
        <v>199</v>
      </c>
      <c r="G178" s="209">
        <v>24647.001</v>
      </c>
      <c r="H178" s="106" t="s">
        <v>200</v>
      </c>
      <c r="I178" s="105">
        <v>1</v>
      </c>
      <c r="J178" s="269">
        <v>1</v>
      </c>
      <c r="K178" s="208" t="s">
        <v>204</v>
      </c>
      <c r="L178" s="375">
        <f>VLOOKUP(B178,'IN OUT'!F:G,2,FALSE)</f>
        <v>45910.501469907409</v>
      </c>
      <c r="O178" s="44"/>
      <c r="P178" s="44"/>
    </row>
    <row r="179" spans="1:16">
      <c r="A179" s="82" t="s">
        <v>286</v>
      </c>
      <c r="B179" s="81">
        <v>3331550705</v>
      </c>
      <c r="C179" s="114" t="s">
        <v>287</v>
      </c>
      <c r="D179" s="82">
        <v>24140429</v>
      </c>
      <c r="E179" s="82" t="s">
        <v>132</v>
      </c>
      <c r="F179" s="82" t="s">
        <v>199</v>
      </c>
      <c r="G179" s="191">
        <v>25194.266</v>
      </c>
      <c r="H179" s="82" t="s">
        <v>200</v>
      </c>
      <c r="I179" s="81">
        <v>1</v>
      </c>
      <c r="J179" s="240">
        <v>1</v>
      </c>
      <c r="K179" s="200" t="s">
        <v>207</v>
      </c>
      <c r="L179" s="375" t="e">
        <f>VLOOKUP(B179,'IN OUT'!F:G,2,FALSE)</f>
        <v>#N/A</v>
      </c>
      <c r="O179" s="44"/>
      <c r="P179" s="44"/>
    </row>
    <row r="180" spans="1:16">
      <c r="A180" s="106" t="s">
        <v>286</v>
      </c>
      <c r="B180" s="105">
        <v>3331550708</v>
      </c>
      <c r="C180" s="104" t="s">
        <v>287</v>
      </c>
      <c r="D180" s="106">
        <v>24140430</v>
      </c>
      <c r="E180" s="106" t="s">
        <v>135</v>
      </c>
      <c r="F180" s="106" t="s">
        <v>199</v>
      </c>
      <c r="G180" s="209">
        <v>22091.760999999999</v>
      </c>
      <c r="H180" s="106" t="s">
        <v>200</v>
      </c>
      <c r="I180" s="105">
        <v>1</v>
      </c>
      <c r="J180" s="269">
        <v>1</v>
      </c>
      <c r="K180" s="208" t="s">
        <v>204</v>
      </c>
      <c r="L180" s="375">
        <f>VLOOKUP(B180,'IN OUT'!F:G,2,FALSE)</f>
        <v>45910.458356481482</v>
      </c>
      <c r="O180" s="44"/>
      <c r="P180" s="44"/>
    </row>
    <row r="181" spans="1:16">
      <c r="A181" s="106" t="s">
        <v>286</v>
      </c>
      <c r="B181" s="105">
        <v>3331550709</v>
      </c>
      <c r="C181" s="104" t="s">
        <v>287</v>
      </c>
      <c r="D181" s="106">
        <v>24140431</v>
      </c>
      <c r="E181" s="106" t="s">
        <v>135</v>
      </c>
      <c r="F181" s="106" t="s">
        <v>199</v>
      </c>
      <c r="G181" s="209">
        <v>22896.563999999998</v>
      </c>
      <c r="H181" s="106" t="s">
        <v>200</v>
      </c>
      <c r="I181" s="105">
        <v>1</v>
      </c>
      <c r="J181" s="269">
        <v>1</v>
      </c>
      <c r="K181" s="208" t="s">
        <v>204</v>
      </c>
      <c r="L181" s="375">
        <f>VLOOKUP(B181,'IN OUT'!F:G,2,FALSE)</f>
        <v>45910.467916666668</v>
      </c>
      <c r="O181" s="44"/>
      <c r="P181" s="44"/>
    </row>
    <row r="182" spans="1:16">
      <c r="A182" s="106" t="s">
        <v>286</v>
      </c>
      <c r="B182" s="105">
        <v>3331550710</v>
      </c>
      <c r="C182" s="104" t="s">
        <v>287</v>
      </c>
      <c r="D182" s="106">
        <v>24140432</v>
      </c>
      <c r="E182" s="106" t="s">
        <v>132</v>
      </c>
      <c r="F182" s="106" t="s">
        <v>199</v>
      </c>
      <c r="G182" s="209">
        <v>23054.501</v>
      </c>
      <c r="H182" s="106" t="s">
        <v>200</v>
      </c>
      <c r="I182" s="105">
        <v>1</v>
      </c>
      <c r="J182" s="269">
        <v>1</v>
      </c>
      <c r="K182" s="208" t="s">
        <v>204</v>
      </c>
      <c r="L182" s="375">
        <f>VLOOKUP(B182,'IN OUT'!F:G,2,FALSE)</f>
        <v>45910.49795138889</v>
      </c>
      <c r="O182" s="44"/>
      <c r="P182" s="44"/>
    </row>
    <row r="183" spans="1:16">
      <c r="A183" s="106" t="s">
        <v>286</v>
      </c>
      <c r="B183" s="105">
        <v>3331550712</v>
      </c>
      <c r="C183" s="104" t="s">
        <v>287</v>
      </c>
      <c r="D183" s="106">
        <v>24140433</v>
      </c>
      <c r="E183" s="106" t="s">
        <v>277</v>
      </c>
      <c r="F183" s="106" t="s">
        <v>199</v>
      </c>
      <c r="G183" s="209">
        <v>21764.81</v>
      </c>
      <c r="H183" s="106" t="s">
        <v>200</v>
      </c>
      <c r="I183" s="105">
        <v>1</v>
      </c>
      <c r="J183" s="269">
        <v>1</v>
      </c>
      <c r="K183" s="208" t="s">
        <v>204</v>
      </c>
      <c r="L183" s="375">
        <f>VLOOKUP(B183,'IN OUT'!F:G,2,FALSE)</f>
        <v>45910.490972222222</v>
      </c>
      <c r="O183" s="44"/>
      <c r="P183" s="44"/>
    </row>
    <row r="184" spans="1:16">
      <c r="A184" s="82" t="s">
        <v>286</v>
      </c>
      <c r="B184" s="81">
        <v>3331550715</v>
      </c>
      <c r="C184" s="114" t="s">
        <v>117</v>
      </c>
      <c r="D184" s="82">
        <v>24140434</v>
      </c>
      <c r="E184" s="82" t="s">
        <v>277</v>
      </c>
      <c r="F184" s="82" t="s">
        <v>199</v>
      </c>
      <c r="G184" s="191">
        <v>21030.43</v>
      </c>
      <c r="H184" s="82" t="s">
        <v>200</v>
      </c>
      <c r="I184" s="81">
        <v>1</v>
      </c>
      <c r="J184" s="240">
        <v>1</v>
      </c>
      <c r="K184" s="200" t="s">
        <v>207</v>
      </c>
      <c r="L184" s="375" t="e">
        <f>VLOOKUP(B184,'IN OUT'!F:G,2,FALSE)</f>
        <v>#N/A</v>
      </c>
      <c r="O184" s="44"/>
      <c r="P184" s="44"/>
    </row>
    <row r="185" spans="1:16">
      <c r="A185" s="106" t="s">
        <v>286</v>
      </c>
      <c r="B185" s="105">
        <v>3331550720</v>
      </c>
      <c r="C185" s="104" t="s">
        <v>34</v>
      </c>
      <c r="D185" s="106">
        <v>24140435</v>
      </c>
      <c r="E185" s="106" t="s">
        <v>156</v>
      </c>
      <c r="F185" s="106" t="s">
        <v>199</v>
      </c>
      <c r="G185" s="209">
        <v>24898.5</v>
      </c>
      <c r="H185" s="106" t="s">
        <v>200</v>
      </c>
      <c r="I185" s="105">
        <v>1</v>
      </c>
      <c r="J185" s="269">
        <v>1</v>
      </c>
      <c r="K185" s="208" t="s">
        <v>204</v>
      </c>
      <c r="L185" s="375" t="e">
        <f>VLOOKUP(B185,'IN OUT'!F:G,2,FALSE)</f>
        <v>#N/A</v>
      </c>
      <c r="O185" s="44"/>
      <c r="P185" s="44"/>
    </row>
    <row r="186" spans="1:16">
      <c r="A186" s="106" t="s">
        <v>286</v>
      </c>
      <c r="B186" s="105">
        <v>3331550726</v>
      </c>
      <c r="C186" s="104" t="s">
        <v>287</v>
      </c>
      <c r="D186" s="106">
        <v>24140436</v>
      </c>
      <c r="E186" s="106" t="s">
        <v>156</v>
      </c>
      <c r="F186" s="106" t="s">
        <v>199</v>
      </c>
      <c r="G186" s="209">
        <v>22922.716</v>
      </c>
      <c r="H186" s="106" t="s">
        <v>200</v>
      </c>
      <c r="I186" s="105">
        <v>1</v>
      </c>
      <c r="J186" s="269">
        <v>1</v>
      </c>
      <c r="K186" s="208" t="s">
        <v>204</v>
      </c>
      <c r="L186" s="375">
        <f>VLOOKUP(B186,'IN OUT'!F:G,2,FALSE)</f>
        <v>45910.493564814817</v>
      </c>
      <c r="O186" s="44"/>
      <c r="P186" s="44"/>
    </row>
    <row r="187" spans="1:16">
      <c r="A187" s="82" t="s">
        <v>286</v>
      </c>
      <c r="B187" s="81">
        <v>3331550722</v>
      </c>
      <c r="C187" s="114" t="s">
        <v>27</v>
      </c>
      <c r="D187" s="82">
        <v>24140437</v>
      </c>
      <c r="E187" s="82" t="s">
        <v>156</v>
      </c>
      <c r="F187" s="82" t="s">
        <v>199</v>
      </c>
      <c r="G187" s="191">
        <f>12751.05+12529.73</f>
        <v>25280.78</v>
      </c>
      <c r="H187" s="82" t="s">
        <v>200</v>
      </c>
      <c r="I187" s="81">
        <v>1</v>
      </c>
      <c r="J187" s="240">
        <v>1</v>
      </c>
      <c r="K187" s="200" t="s">
        <v>207</v>
      </c>
      <c r="L187" s="375" t="e">
        <f>VLOOKUP(B187,'IN OUT'!F:G,2,FALSE)</f>
        <v>#N/A</v>
      </c>
      <c r="O187" s="44"/>
      <c r="P187" s="44"/>
    </row>
    <row r="188" spans="1:16">
      <c r="A188" s="82" t="s">
        <v>286</v>
      </c>
      <c r="B188" s="81">
        <v>3331550725</v>
      </c>
      <c r="C188" s="114" t="s">
        <v>256</v>
      </c>
      <c r="D188" s="114" t="s">
        <v>256</v>
      </c>
      <c r="E188" s="82" t="s">
        <v>256</v>
      </c>
      <c r="F188" s="82" t="s">
        <v>256</v>
      </c>
      <c r="G188" s="191" t="s">
        <v>256</v>
      </c>
      <c r="H188" s="82" t="s">
        <v>256</v>
      </c>
      <c r="I188" s="81" t="s">
        <v>256</v>
      </c>
      <c r="J188" s="240" t="s">
        <v>256</v>
      </c>
      <c r="K188" s="200" t="s">
        <v>256</v>
      </c>
      <c r="L188" s="375" t="e">
        <f>VLOOKUP(B188,'IN OUT'!F:G,2,FALSE)</f>
        <v>#N/A</v>
      </c>
      <c r="P188" s="44"/>
    </row>
    <row r="189" spans="1:16">
      <c r="A189" s="82" t="s">
        <v>286</v>
      </c>
      <c r="B189" s="81">
        <v>3331550727</v>
      </c>
      <c r="C189" s="114" t="s">
        <v>287</v>
      </c>
      <c r="D189" s="114">
        <v>24140438</v>
      </c>
      <c r="E189" s="82" t="s">
        <v>219</v>
      </c>
      <c r="F189" s="82" t="s">
        <v>199</v>
      </c>
      <c r="G189" s="191">
        <v>25425.645</v>
      </c>
      <c r="H189" s="82" t="s">
        <v>200</v>
      </c>
      <c r="I189" s="81">
        <v>1</v>
      </c>
      <c r="J189" s="240">
        <v>1</v>
      </c>
      <c r="K189" s="200" t="s">
        <v>207</v>
      </c>
      <c r="L189" s="375" t="e">
        <f>VLOOKUP(B189,'IN OUT'!F:G,2,FALSE)</f>
        <v>#N/A</v>
      </c>
      <c r="P189" s="44"/>
    </row>
    <row r="190" spans="1:16">
      <c r="A190" s="82" t="s">
        <v>286</v>
      </c>
      <c r="B190" s="81">
        <v>3331550730</v>
      </c>
      <c r="C190" s="114" t="s">
        <v>287</v>
      </c>
      <c r="D190" s="114">
        <v>24140439</v>
      </c>
      <c r="E190" s="82" t="s">
        <v>150</v>
      </c>
      <c r="F190" s="82" t="s">
        <v>199</v>
      </c>
      <c r="G190" s="191">
        <v>23475.01</v>
      </c>
      <c r="H190" s="82" t="s">
        <v>200</v>
      </c>
      <c r="I190" s="81">
        <v>1</v>
      </c>
      <c r="J190" s="240">
        <v>1</v>
      </c>
      <c r="K190" s="200" t="s">
        <v>207</v>
      </c>
      <c r="L190" s="375" t="e">
        <f>VLOOKUP(B190,'IN OUT'!F:G,2,FALSE)</f>
        <v>#N/A</v>
      </c>
      <c r="P190" s="44"/>
    </row>
    <row r="191" spans="1:16">
      <c r="A191" s="82" t="s">
        <v>286</v>
      </c>
      <c r="B191" s="81">
        <v>3331550733</v>
      </c>
      <c r="C191" s="114" t="s">
        <v>287</v>
      </c>
      <c r="D191" s="114">
        <v>24140440</v>
      </c>
      <c r="E191" s="82" t="s">
        <v>150</v>
      </c>
      <c r="F191" s="82" t="s">
        <v>199</v>
      </c>
      <c r="G191" s="191">
        <v>23475.01</v>
      </c>
      <c r="H191" s="82" t="s">
        <v>200</v>
      </c>
      <c r="I191" s="81">
        <v>1</v>
      </c>
      <c r="J191" s="240">
        <v>1</v>
      </c>
      <c r="K191" s="200" t="s">
        <v>207</v>
      </c>
      <c r="L191" s="375">
        <f>VLOOKUP(B191,'IN OUT'!F:G,2,FALSE)</f>
        <v>45910.575787037036</v>
      </c>
      <c r="P191" s="44"/>
    </row>
    <row r="192" spans="1:16">
      <c r="A192" s="82" t="s">
        <v>286</v>
      </c>
      <c r="B192" s="81">
        <v>3331549283</v>
      </c>
      <c r="C192" s="114"/>
      <c r="D192" s="114"/>
      <c r="E192" s="82" t="s">
        <v>150</v>
      </c>
      <c r="F192" s="82" t="s">
        <v>199</v>
      </c>
      <c r="G192" s="191">
        <f>18042.61+5209.068</f>
        <v>23251.678</v>
      </c>
      <c r="H192" s="82" t="s">
        <v>200</v>
      </c>
      <c r="I192" s="81">
        <v>1</v>
      </c>
      <c r="J192" s="240">
        <v>0</v>
      </c>
      <c r="K192" s="200" t="s">
        <v>207</v>
      </c>
      <c r="L192" s="375" t="e">
        <f>VLOOKUP(B192,'IN OUT'!F:G,2,FALSE)</f>
        <v>#N/A</v>
      </c>
      <c r="P192" s="44"/>
    </row>
    <row r="193" spans="1:16">
      <c r="A193" s="82" t="s">
        <v>286</v>
      </c>
      <c r="B193" s="81">
        <v>3331550735</v>
      </c>
      <c r="C193" s="114" t="s">
        <v>256</v>
      </c>
      <c r="D193" s="114" t="s">
        <v>256</v>
      </c>
      <c r="E193" s="82" t="s">
        <v>256</v>
      </c>
      <c r="F193" s="82" t="s">
        <v>256</v>
      </c>
      <c r="G193" s="191" t="s">
        <v>256</v>
      </c>
      <c r="H193" s="82" t="s">
        <v>256</v>
      </c>
      <c r="I193" s="81" t="s">
        <v>256</v>
      </c>
      <c r="J193" s="240" t="s">
        <v>256</v>
      </c>
      <c r="K193" s="200" t="s">
        <v>256</v>
      </c>
      <c r="L193" s="242"/>
      <c r="P193" s="44"/>
    </row>
    <row r="194" spans="1:16">
      <c r="A194" s="82" t="s">
        <v>286</v>
      </c>
      <c r="B194" s="81">
        <v>3331550741</v>
      </c>
      <c r="C194" s="114" t="s">
        <v>287</v>
      </c>
      <c r="D194" s="114"/>
      <c r="E194" s="82" t="s">
        <v>150</v>
      </c>
      <c r="F194" s="82" t="s">
        <v>199</v>
      </c>
      <c r="G194" s="191">
        <v>26587.574000000001</v>
      </c>
      <c r="H194" s="82" t="s">
        <v>200</v>
      </c>
      <c r="I194" s="81">
        <v>1</v>
      </c>
      <c r="J194" s="240">
        <v>1</v>
      </c>
      <c r="K194" s="200" t="s">
        <v>207</v>
      </c>
      <c r="L194" s="242"/>
      <c r="P194" s="44"/>
    </row>
    <row r="195" spans="1:16">
      <c r="A195" s="82" t="s">
        <v>286</v>
      </c>
      <c r="B195" s="81">
        <v>3331549282</v>
      </c>
      <c r="C195" s="114" t="s">
        <v>11</v>
      </c>
      <c r="D195" s="114">
        <v>24140441</v>
      </c>
      <c r="E195" s="82" t="s">
        <v>150</v>
      </c>
      <c r="F195" s="82" t="s">
        <v>199</v>
      </c>
      <c r="G195" s="191">
        <f>22234.612+3873.1</f>
        <v>26107.712</v>
      </c>
      <c r="H195" s="82" t="s">
        <v>200</v>
      </c>
      <c r="I195" s="81">
        <v>1</v>
      </c>
      <c r="J195" s="240">
        <v>1</v>
      </c>
      <c r="K195" s="200" t="s">
        <v>256</v>
      </c>
      <c r="L195" s="242"/>
      <c r="P195" s="44"/>
    </row>
    <row r="196" spans="1:16">
      <c r="A196" s="82" t="s">
        <v>286</v>
      </c>
      <c r="B196" s="81">
        <v>3331550751</v>
      </c>
      <c r="C196" s="114" t="s">
        <v>256</v>
      </c>
      <c r="D196" s="114" t="s">
        <v>256</v>
      </c>
      <c r="E196" s="82" t="s">
        <v>256</v>
      </c>
      <c r="F196" s="82" t="s">
        <v>256</v>
      </c>
      <c r="G196" s="191"/>
      <c r="H196" s="82" t="s">
        <v>256</v>
      </c>
      <c r="I196" s="81" t="s">
        <v>256</v>
      </c>
      <c r="J196" s="240" t="s">
        <v>256</v>
      </c>
      <c r="K196" s="200" t="s">
        <v>207</v>
      </c>
      <c r="L196" s="242"/>
      <c r="P196" s="44"/>
    </row>
    <row r="197" spans="1:16">
      <c r="A197" s="82" t="s">
        <v>286</v>
      </c>
      <c r="B197" s="81">
        <v>3331550772</v>
      </c>
      <c r="C197" s="114" t="s">
        <v>11</v>
      </c>
      <c r="D197" s="114">
        <v>24140443</v>
      </c>
      <c r="E197" s="82" t="s">
        <v>281</v>
      </c>
      <c r="F197" s="82" t="s">
        <v>199</v>
      </c>
      <c r="G197" s="191">
        <v>23495.13</v>
      </c>
      <c r="H197" s="82" t="s">
        <v>200</v>
      </c>
      <c r="I197" s="81">
        <v>1</v>
      </c>
      <c r="J197" s="240">
        <v>1</v>
      </c>
      <c r="K197" s="200" t="s">
        <v>207</v>
      </c>
      <c r="L197" s="242"/>
      <c r="P197" s="44"/>
    </row>
    <row r="198" spans="1:16">
      <c r="A198" s="82" t="s">
        <v>286</v>
      </c>
      <c r="B198" s="81">
        <v>3331550776</v>
      </c>
      <c r="C198" s="114"/>
      <c r="D198" s="114"/>
      <c r="E198" s="82" t="s">
        <v>281</v>
      </c>
      <c r="F198" s="82" t="s">
        <v>199</v>
      </c>
      <c r="G198" s="191">
        <v>25934.024000000001</v>
      </c>
      <c r="H198" s="82" t="s">
        <v>200</v>
      </c>
      <c r="I198" s="81">
        <v>1</v>
      </c>
      <c r="J198" s="240">
        <v>0</v>
      </c>
      <c r="K198" s="200" t="s">
        <v>207</v>
      </c>
      <c r="L198" s="242"/>
      <c r="P198" s="44"/>
    </row>
    <row r="199" spans="1:16">
      <c r="A199" s="82" t="s">
        <v>286</v>
      </c>
      <c r="B199" s="81">
        <v>3331550792</v>
      </c>
      <c r="C199" s="114"/>
      <c r="D199" s="114"/>
      <c r="E199" s="82" t="s">
        <v>243</v>
      </c>
      <c r="F199" s="82" t="s">
        <v>199</v>
      </c>
      <c r="G199" s="191">
        <f>1782+21010.311</f>
        <v>22792.311000000002</v>
      </c>
      <c r="H199" s="82" t="s">
        <v>200</v>
      </c>
      <c r="I199" s="81">
        <v>1</v>
      </c>
      <c r="J199" s="240">
        <v>0</v>
      </c>
      <c r="K199" s="200" t="s">
        <v>207</v>
      </c>
      <c r="L199" s="242"/>
      <c r="P199" s="44"/>
    </row>
    <row r="200" spans="1:16">
      <c r="A200" s="82" t="s">
        <v>286</v>
      </c>
      <c r="B200" s="81">
        <v>3331550796</v>
      </c>
      <c r="C200" s="114" t="s">
        <v>256</v>
      </c>
      <c r="D200" s="114" t="s">
        <v>256</v>
      </c>
      <c r="E200" s="82" t="s">
        <v>256</v>
      </c>
      <c r="F200" s="82" t="s">
        <v>256</v>
      </c>
      <c r="G200" s="191" t="s">
        <v>256</v>
      </c>
      <c r="H200" s="82" t="s">
        <v>256</v>
      </c>
      <c r="I200" s="81" t="s">
        <v>256</v>
      </c>
      <c r="J200" s="240" t="s">
        <v>256</v>
      </c>
      <c r="K200" s="200" t="s">
        <v>207</v>
      </c>
      <c r="L200" s="242"/>
      <c r="P200" s="44"/>
    </row>
    <row r="201" spans="1:16">
      <c r="A201" s="82" t="s">
        <v>286</v>
      </c>
      <c r="B201" s="81">
        <v>3331550794</v>
      </c>
      <c r="C201" s="114" t="s">
        <v>11</v>
      </c>
      <c r="D201" s="114">
        <v>24140442</v>
      </c>
      <c r="E201" s="82" t="s">
        <v>226</v>
      </c>
      <c r="F201" s="82" t="s">
        <v>203</v>
      </c>
      <c r="G201" s="191">
        <v>33922.32</v>
      </c>
      <c r="H201" s="82" t="s">
        <v>128</v>
      </c>
      <c r="I201" s="81">
        <v>1</v>
      </c>
      <c r="J201" s="240">
        <v>0</v>
      </c>
      <c r="K201" s="200" t="s">
        <v>207</v>
      </c>
      <c r="L201" s="242"/>
      <c r="P201" s="44"/>
    </row>
    <row r="202" spans="1:16">
      <c r="A202" s="82" t="s">
        <v>286</v>
      </c>
      <c r="B202" s="81">
        <v>3331550812</v>
      </c>
      <c r="C202" s="114" t="s">
        <v>34</v>
      </c>
      <c r="D202" s="114">
        <v>24140444</v>
      </c>
      <c r="E202" s="82" t="s">
        <v>240</v>
      </c>
      <c r="F202" s="82" t="s">
        <v>199</v>
      </c>
      <c r="G202" s="191">
        <v>24848.625</v>
      </c>
      <c r="H202" s="82" t="s">
        <v>200</v>
      </c>
      <c r="I202" s="81">
        <v>1</v>
      </c>
      <c r="J202" s="240">
        <v>1</v>
      </c>
      <c r="K202" s="200" t="s">
        <v>207</v>
      </c>
      <c r="L202" s="242"/>
      <c r="P202" s="44"/>
    </row>
    <row r="203" spans="1:16">
      <c r="A203" s="82"/>
      <c r="B203" s="81"/>
      <c r="C203" s="114"/>
      <c r="D203" s="114"/>
      <c r="E203" s="82"/>
      <c r="F203" s="82"/>
      <c r="G203" s="191"/>
      <c r="H203" s="82"/>
      <c r="I203" s="81"/>
      <c r="J203" s="240"/>
      <c r="K203" s="200"/>
      <c r="L203" s="242"/>
      <c r="P203" s="44"/>
    </row>
    <row r="204" spans="1:16">
      <c r="A204" s="82"/>
      <c r="B204" s="81"/>
      <c r="C204" s="114"/>
      <c r="D204" s="114"/>
      <c r="E204" s="82"/>
      <c r="F204" s="82"/>
      <c r="G204" s="191"/>
      <c r="H204" s="82"/>
      <c r="I204" s="81"/>
      <c r="J204" s="240"/>
      <c r="K204" s="200"/>
      <c r="L204" s="242"/>
      <c r="P204" s="44"/>
    </row>
    <row r="205" spans="1:16">
      <c r="A205" s="82"/>
      <c r="B205" s="81"/>
      <c r="C205" s="114"/>
      <c r="D205" s="114"/>
      <c r="E205" s="82"/>
      <c r="F205" s="82"/>
      <c r="G205" s="191"/>
      <c r="H205" s="82"/>
      <c r="I205" s="81"/>
      <c r="J205" s="240"/>
      <c r="K205" s="200"/>
      <c r="L205" s="242"/>
      <c r="P205" s="44"/>
    </row>
    <row r="206" spans="1:16">
      <c r="A206" s="82"/>
      <c r="B206" s="81"/>
      <c r="C206" s="114"/>
      <c r="D206" s="114"/>
      <c r="E206" s="82"/>
      <c r="F206" s="82"/>
      <c r="G206" s="191"/>
      <c r="H206" s="82"/>
      <c r="I206" s="81"/>
      <c r="J206" s="240"/>
      <c r="K206" s="200"/>
      <c r="L206" s="242"/>
      <c r="P206" s="44"/>
    </row>
    <row r="207" spans="1:16">
      <c r="A207" s="82"/>
      <c r="B207" s="81"/>
      <c r="C207" s="114"/>
      <c r="D207" s="114"/>
      <c r="E207" s="82"/>
      <c r="F207" s="82"/>
      <c r="G207" s="191"/>
      <c r="H207" s="82"/>
      <c r="I207" s="81"/>
      <c r="J207" s="240"/>
      <c r="K207" s="200"/>
      <c r="L207" s="242"/>
      <c r="P207" s="44"/>
    </row>
    <row r="208" spans="1:16">
      <c r="A208" s="82"/>
      <c r="B208" s="81"/>
      <c r="C208" s="114"/>
      <c r="D208" s="114"/>
      <c r="E208" s="82"/>
      <c r="F208" s="82"/>
      <c r="G208" s="191"/>
      <c r="H208" s="82"/>
      <c r="I208" s="81"/>
      <c r="J208" s="240"/>
      <c r="K208" s="200"/>
      <c r="L208" s="242"/>
      <c r="P208" s="44"/>
    </row>
    <row r="209" spans="1:16">
      <c r="A209" s="82"/>
      <c r="B209" s="81"/>
      <c r="C209" s="114"/>
      <c r="D209" s="114"/>
      <c r="E209" s="82"/>
      <c r="F209" s="82"/>
      <c r="G209" s="191"/>
      <c r="H209" s="82"/>
      <c r="I209" s="81"/>
      <c r="J209" s="240"/>
      <c r="K209" s="200"/>
      <c r="L209" s="242"/>
      <c r="P209" s="44"/>
    </row>
    <row r="210" spans="1:16">
      <c r="A210" s="82"/>
      <c r="B210" s="81"/>
      <c r="C210" s="114"/>
      <c r="D210" s="114"/>
      <c r="E210" s="82"/>
      <c r="F210" s="82"/>
      <c r="G210" s="191"/>
      <c r="H210" s="82"/>
      <c r="I210" s="81"/>
      <c r="J210" s="240"/>
      <c r="K210" s="200"/>
      <c r="L210" s="242"/>
      <c r="P210" s="44"/>
    </row>
    <row r="211" spans="1:16">
      <c r="A211" s="82"/>
      <c r="B211" s="81"/>
      <c r="C211" s="114"/>
      <c r="D211" s="114"/>
      <c r="E211" s="82"/>
      <c r="F211" s="82"/>
      <c r="G211" s="191"/>
      <c r="H211" s="82"/>
      <c r="I211" s="81"/>
      <c r="J211" s="240"/>
      <c r="K211" s="200"/>
      <c r="L211" s="242"/>
      <c r="P211" s="44"/>
    </row>
    <row r="212" spans="1:16">
      <c r="A212" s="82"/>
      <c r="B212" s="81"/>
      <c r="C212" s="114"/>
      <c r="D212" s="114"/>
      <c r="E212" s="82"/>
      <c r="F212" s="82"/>
      <c r="G212" s="191"/>
      <c r="H212" s="82"/>
      <c r="I212" s="81"/>
      <c r="J212" s="240"/>
      <c r="K212" s="200"/>
      <c r="L212" s="242"/>
      <c r="P212" s="44"/>
    </row>
    <row r="213" spans="1:16">
      <c r="A213" s="81"/>
      <c r="B213" s="81"/>
      <c r="C213" s="114"/>
      <c r="D213" s="114"/>
      <c r="E213" s="364"/>
      <c r="F213" s="82"/>
      <c r="G213" s="191"/>
      <c r="H213" s="82"/>
      <c r="I213" s="81"/>
      <c r="J213" s="240"/>
      <c r="K213" s="237"/>
      <c r="L213" s="242"/>
      <c r="P213" s="44"/>
    </row>
    <row r="214" spans="1:16">
      <c r="A214" s="300"/>
      <c r="B214" s="300"/>
      <c r="C214" s="297"/>
      <c r="D214" s="297"/>
      <c r="E214" s="371"/>
      <c r="F214" s="301"/>
      <c r="G214" s="302"/>
      <c r="H214" s="301"/>
      <c r="I214" s="300"/>
      <c r="J214" s="300"/>
      <c r="K214" s="303"/>
      <c r="L214" s="303"/>
      <c r="P214" s="44"/>
    </row>
    <row r="216" spans="1:16">
      <c r="B216" s="236" t="s">
        <v>244</v>
      </c>
    </row>
    <row r="217" spans="1:16" ht="25.8">
      <c r="A217" s="44"/>
      <c r="B217" s="251" t="s">
        <v>304</v>
      </c>
      <c r="F217" s="1506" t="s">
        <v>305</v>
      </c>
      <c r="G217" s="1507"/>
      <c r="I217" s="373"/>
    </row>
    <row r="218" spans="1:16" ht="23.4">
      <c r="B218" s="251"/>
      <c r="F218" s="372" t="s">
        <v>197</v>
      </c>
      <c r="G218" s="381">
        <f ca="1">SUMIF(H177:H1311, "TRAILER", I177:I1310)</f>
        <v>1</v>
      </c>
    </row>
    <row r="219" spans="1:16" ht="23.4">
      <c r="F219" s="379" t="s">
        <v>200</v>
      </c>
      <c r="G219" s="381">
        <f ca="1">SUMIF(H177:H1312, "TRONTON", I177:I1311)</f>
        <v>21</v>
      </c>
    </row>
    <row r="220" spans="1:16" ht="23.4">
      <c r="F220" s="377" t="s">
        <v>266</v>
      </c>
      <c r="G220" s="382">
        <f ca="1">SUM(G218:G219)</f>
        <v>22</v>
      </c>
    </row>
  </sheetData>
  <autoFilter ref="A10:K173" xr:uid="{0F56831D-31D8-433F-8A2D-7AD2DCA7D90A}">
    <filterColumn colId="0">
      <filters>
        <filter val="09.09.2025"/>
      </filters>
    </filterColumn>
    <filterColumn colId="4">
      <colorFilter dxfId="792"/>
    </filterColumn>
  </autoFilter>
  <mergeCells count="14">
    <mergeCell ref="K48:K49"/>
    <mergeCell ref="E2:F2"/>
    <mergeCell ref="C48:C49"/>
    <mergeCell ref="D48:D49"/>
    <mergeCell ref="E48:E49"/>
    <mergeCell ref="F48:F49"/>
    <mergeCell ref="C112:C113"/>
    <mergeCell ref="F217:G217"/>
    <mergeCell ref="C76:C77"/>
    <mergeCell ref="D76:D77"/>
    <mergeCell ref="C85:C86"/>
    <mergeCell ref="D85:D86"/>
    <mergeCell ref="C98:C99"/>
    <mergeCell ref="D98:D9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6E50-A420-4099-A2CE-303A79D03C3A}">
  <dimension ref="A1:AG136"/>
  <sheetViews>
    <sheetView showGridLines="0" topLeftCell="I17" zoomScale="55" zoomScaleNormal="55" workbookViewId="0">
      <selection activeCell="S21" sqref="S21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27" customWidth="1"/>
    <col min="22" max="22" width="53" customWidth="1"/>
    <col min="23" max="23" width="29.109375" bestFit="1" customWidth="1"/>
    <col min="24" max="24" width="18.33203125" bestFit="1" customWidth="1"/>
    <col min="25" max="25" width="21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11" bestFit="1" customWidth="1"/>
    <col min="31" max="31" width="9.109375" bestFit="1" customWidth="1"/>
  </cols>
  <sheetData>
    <row r="1" spans="1:33" ht="17.399999999999999">
      <c r="A1" s="1211" t="s">
        <v>402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298" t="s">
        <v>407</v>
      </c>
      <c r="AD1" s="1180" t="s">
        <v>408</v>
      </c>
    </row>
    <row r="2" spans="1:33" s="1242" customFormat="1" ht="17.399999999999999">
      <c r="A2" s="762" t="s">
        <v>409</v>
      </c>
      <c r="B2" s="733"/>
      <c r="C2" s="733"/>
      <c r="D2" s="733"/>
      <c r="E2" s="735"/>
      <c r="F2" s="1536" t="s">
        <v>410</v>
      </c>
      <c r="G2" s="1536"/>
      <c r="H2" s="1536"/>
      <c r="I2" s="742"/>
      <c r="J2" s="1525" t="s">
        <v>411</v>
      </c>
      <c r="K2" s="1525"/>
      <c r="L2" s="1525"/>
      <c r="M2" s="735"/>
      <c r="N2" s="1535"/>
      <c r="O2" s="1535"/>
      <c r="P2" s="1535"/>
      <c r="R2" s="1201" t="s">
        <v>412</v>
      </c>
      <c r="S2" s="1202">
        <v>3331562175</v>
      </c>
      <c r="T2" s="1209" t="s">
        <v>27</v>
      </c>
      <c r="U2" s="1202">
        <v>24141788</v>
      </c>
      <c r="V2" s="1202" t="s">
        <v>413</v>
      </c>
      <c r="W2" s="1202" t="s">
        <v>205</v>
      </c>
      <c r="X2" s="1203">
        <v>20751.508000000002</v>
      </c>
      <c r="Y2" s="1202" t="s">
        <v>200</v>
      </c>
      <c r="Z2" s="1207">
        <v>1</v>
      </c>
      <c r="AA2" s="1207">
        <v>1</v>
      </c>
      <c r="AB2" s="1067" t="s">
        <v>204</v>
      </c>
      <c r="AC2" s="240"/>
      <c r="AD2" s="1297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01" t="s">
        <v>418</v>
      </c>
      <c r="S3" s="1202">
        <v>3331563029</v>
      </c>
      <c r="T3" s="1202" t="s">
        <v>256</v>
      </c>
      <c r="U3" s="1202" t="s">
        <v>256</v>
      </c>
      <c r="V3" s="1202" t="s">
        <v>256</v>
      </c>
      <c r="W3" s="1202" t="s">
        <v>256</v>
      </c>
      <c r="X3" s="1202" t="s">
        <v>256</v>
      </c>
      <c r="Y3" s="1202" t="s">
        <v>256</v>
      </c>
      <c r="Z3" s="1207" t="s">
        <v>256</v>
      </c>
      <c r="AA3" s="1207" t="s">
        <v>256</v>
      </c>
      <c r="AB3" s="1067" t="s">
        <v>256</v>
      </c>
      <c r="AC3" s="240"/>
      <c r="AD3" s="81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172" t="s">
        <v>418</v>
      </c>
      <c r="S4" s="1163">
        <v>3331562080</v>
      </c>
      <c r="T4" s="1207" t="s">
        <v>424</v>
      </c>
      <c r="U4" s="1207">
        <v>24141665</v>
      </c>
      <c r="V4" s="1209" t="s">
        <v>425</v>
      </c>
      <c r="W4" s="1207" t="s">
        <v>362</v>
      </c>
      <c r="X4" s="1168">
        <f>5848+18470</f>
        <v>24318</v>
      </c>
      <c r="Y4" s="1163" t="s">
        <v>426</v>
      </c>
      <c r="Z4" s="1207">
        <v>1</v>
      </c>
      <c r="AA4" s="1207">
        <v>1</v>
      </c>
      <c r="AB4" s="1067" t="s">
        <v>204</v>
      </c>
      <c r="AC4" s="240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SUMPRODUCT(--ISNUMBER(MATCH(TRIM(W1:W283), {"JABODETABEK","JAWA TENGAH","JAWA TIMUR","LUAR PULAU"}, 0)), --(AC1:AC283=""))</f>
        <v>22</v>
      </c>
      <c r="C5" s="1303" cm="1">
        <f t="array" ref="C5">SUMPRODUCT(--(LOWER(TRIM(AB1:AB309))="masuk"), --(ISNUMBER(MATCH(TRIM(W1:W309), {"JABODETABEK","JAWA TENGAH","JAWA TIMUR","LUAR PULAU"}, 0))), --(LOWER(AC1:AC309)&lt;&gt;"add"))</f>
        <v>20</v>
      </c>
      <c r="D5" s="1304">
        <f>C5+-B5</f>
        <v>-2</v>
      </c>
      <c r="E5" s="734"/>
      <c r="F5" s="1306" cm="1">
        <f t="array" ref="F5">SUMPRODUCT(--(LOWER(AC1:AC309)="add"), --(ISNUMBER(MATCH(W1:W309, {"JABODETABEK","JAWA TENGAH","JAWA TIMUR","LUAR PULAU"}, 0))))</f>
        <v>5</v>
      </c>
      <c r="G5" s="1303" cm="1">
        <f t="array" ref="G5">SUMPRODUCT(--(LOWER(AB1:AB309)="masuk"), --(LOWER(AC1:AC309)="add"))</f>
        <v>5</v>
      </c>
      <c r="H5" s="1304">
        <f>G5+-F5</f>
        <v>0</v>
      </c>
      <c r="I5" s="734"/>
      <c r="J5" s="1306" cm="1">
        <f t="array" ref="J5">SUMPRODUCT(--(ISNUMBER(SEARCH("next day",LOWER(W1:W309)))+ISNUMBER(SEARCH("nextday",LOWER(W1:W309)))&gt; 0))</f>
        <v>1</v>
      </c>
      <c r="K5" s="1303" cm="1">
        <f t="array" ref="K5">SUMPRODUCT(--(LOWER(AB1:AB309)="masuk"), --ISNUMBER(SEARCH("next day", LOWER(W1:W309))))</f>
        <v>1</v>
      </c>
      <c r="L5" s="1304">
        <f>K5+-J5</f>
        <v>0</v>
      </c>
      <c r="M5" s="734"/>
      <c r="N5" s="1306">
        <f>B5+F5+J5</f>
        <v>28</v>
      </c>
      <c r="O5" s="1303">
        <f>C5+G5+K5</f>
        <v>26</v>
      </c>
      <c r="P5" s="1304">
        <f>D5+H5+L5</f>
        <v>-2</v>
      </c>
      <c r="R5" s="1172" t="s">
        <v>418</v>
      </c>
      <c r="S5" s="1163">
        <v>3331562082</v>
      </c>
      <c r="T5" s="1207" t="s">
        <v>256</v>
      </c>
      <c r="U5" s="1207" t="s">
        <v>256</v>
      </c>
      <c r="V5" s="1207" t="s">
        <v>256</v>
      </c>
      <c r="W5" s="1207" t="s">
        <v>256</v>
      </c>
      <c r="X5" s="1207" t="s">
        <v>256</v>
      </c>
      <c r="Y5" s="1207" t="s">
        <v>256</v>
      </c>
      <c r="Z5" s="1207" t="s">
        <v>256</v>
      </c>
      <c r="AA5" s="1207" t="s">
        <v>256</v>
      </c>
      <c r="AB5" s="1067" t="s">
        <v>256</v>
      </c>
      <c r="AC5" s="240"/>
      <c r="AD5" s="81"/>
      <c r="AE5" s="44"/>
      <c r="AF5" s="44"/>
      <c r="AG5" s="44"/>
    </row>
    <row r="6" spans="1:33" ht="17.399999999999999">
      <c r="A6" s="733"/>
      <c r="B6" s="733">
        <f>SUM(B5)</f>
        <v>22</v>
      </c>
      <c r="C6" s="733">
        <f>SUM(C5)</f>
        <v>20</v>
      </c>
      <c r="D6" s="739">
        <f>SUM(D5)</f>
        <v>-2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28</v>
      </c>
      <c r="O6" s="760">
        <f>SUM(O5:O5)</f>
        <v>26</v>
      </c>
      <c r="P6" s="761">
        <f>SUM(P5:P5)</f>
        <v>-2</v>
      </c>
      <c r="R6" s="1172" t="s">
        <v>418</v>
      </c>
      <c r="S6" s="1163">
        <v>3331562084</v>
      </c>
      <c r="T6" s="1207" t="s">
        <v>424</v>
      </c>
      <c r="U6" s="1163">
        <v>24141666</v>
      </c>
      <c r="V6" s="1209" t="s">
        <v>425</v>
      </c>
      <c r="W6" s="1207" t="s">
        <v>362</v>
      </c>
      <c r="X6" s="1168">
        <v>22862.928</v>
      </c>
      <c r="Y6" s="1163" t="s">
        <v>426</v>
      </c>
      <c r="Z6" s="1207">
        <v>1</v>
      </c>
      <c r="AA6" s="1207">
        <v>1</v>
      </c>
      <c r="AB6" s="1067" t="s">
        <v>204</v>
      </c>
      <c r="AC6" s="240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418</v>
      </c>
      <c r="S7" s="1163">
        <v>3331562086</v>
      </c>
      <c r="T7" s="1207" t="s">
        <v>424</v>
      </c>
      <c r="U7" s="1163">
        <v>24141670</v>
      </c>
      <c r="V7" s="1209" t="s">
        <v>425</v>
      </c>
      <c r="W7" s="1207" t="s">
        <v>362</v>
      </c>
      <c r="X7" s="1168">
        <f>12860+10175</f>
        <v>23035</v>
      </c>
      <c r="Y7" s="1163" t="s">
        <v>426</v>
      </c>
      <c r="Z7" s="1207">
        <v>1</v>
      </c>
      <c r="AA7" s="1207">
        <v>1</v>
      </c>
      <c r="AB7" s="1067" t="s">
        <v>204</v>
      </c>
      <c r="AC7" s="240"/>
      <c r="AD7" s="81"/>
      <c r="AE7" s="44"/>
      <c r="AF7" s="44"/>
      <c r="AG7" s="44"/>
    </row>
    <row r="8" spans="1:33" ht="17.399999999999999">
      <c r="A8" s="763" t="str">
        <f>A1</f>
        <v>Plan tgl 20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2" t="s">
        <v>418</v>
      </c>
      <c r="S8" s="1163">
        <v>3331562087</v>
      </c>
      <c r="T8" s="1168" t="s">
        <v>256</v>
      </c>
      <c r="U8" s="1168" t="s">
        <v>256</v>
      </c>
      <c r="V8" s="1168" t="s">
        <v>256</v>
      </c>
      <c r="W8" s="1168" t="s">
        <v>256</v>
      </c>
      <c r="X8" s="1168" t="s">
        <v>256</v>
      </c>
      <c r="Y8" s="1168" t="s">
        <v>256</v>
      </c>
      <c r="Z8" s="1168" t="s">
        <v>256</v>
      </c>
      <c r="AA8" s="1168" t="s">
        <v>256</v>
      </c>
      <c r="AB8" s="1067" t="s">
        <v>256</v>
      </c>
      <c r="AC8" s="240"/>
      <c r="AD8" s="81"/>
      <c r="AE8" s="44"/>
      <c r="AF8" s="44"/>
      <c r="AG8" s="44"/>
    </row>
    <row r="9" spans="1:33" ht="18">
      <c r="A9" s="763" t="str">
        <f>A2</f>
        <v>Realz update 21 OKT’25 jam 07.00</v>
      </c>
      <c r="B9" s="825"/>
      <c r="C9" s="825"/>
      <c r="D9" s="825"/>
      <c r="E9" s="734"/>
      <c r="F9" s="1525" t="str">
        <f>F2</f>
        <v>Tgl 20 OKT’25 diatas jam 15.00</v>
      </c>
      <c r="G9" s="1525"/>
      <c r="H9" s="1525"/>
      <c r="I9" s="826"/>
      <c r="J9" s="1525" t="str">
        <f>J2</f>
        <v>Tgl 20 OKT’25</v>
      </c>
      <c r="K9" s="1525"/>
      <c r="L9" s="1525"/>
      <c r="M9" s="734"/>
      <c r="N9" s="1526"/>
      <c r="O9" s="1526"/>
      <c r="P9" s="1526"/>
      <c r="R9" s="1172" t="s">
        <v>418</v>
      </c>
      <c r="S9" s="1163">
        <v>3331562090</v>
      </c>
      <c r="T9" s="1207" t="s">
        <v>424</v>
      </c>
      <c r="U9" s="1163">
        <v>24141671</v>
      </c>
      <c r="V9" s="1209" t="s">
        <v>425</v>
      </c>
      <c r="W9" s="1207" t="s">
        <v>362</v>
      </c>
      <c r="X9" s="1168">
        <v>23429.74</v>
      </c>
      <c r="Y9" s="1163" t="s">
        <v>426</v>
      </c>
      <c r="Z9" s="1207">
        <v>1</v>
      </c>
      <c r="AA9" s="1207">
        <v>1</v>
      </c>
      <c r="AB9" s="1067" t="s">
        <v>204</v>
      </c>
      <c r="AC9" s="240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172" t="s">
        <v>418</v>
      </c>
      <c r="S10" s="1163">
        <v>3331562094</v>
      </c>
      <c r="T10" s="1207" t="s">
        <v>424</v>
      </c>
      <c r="U10" s="1163">
        <v>24141679</v>
      </c>
      <c r="V10" s="1209" t="s">
        <v>425</v>
      </c>
      <c r="W10" s="1207" t="s">
        <v>362</v>
      </c>
      <c r="X10" s="1168">
        <v>23942.799999999999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81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92" t="s">
        <v>428</v>
      </c>
      <c r="S11" s="1293">
        <v>3331562099</v>
      </c>
      <c r="T11" s="1182" t="s">
        <v>424</v>
      </c>
      <c r="U11" s="1293">
        <v>24141677</v>
      </c>
      <c r="V11" s="1293" t="s">
        <v>429</v>
      </c>
      <c r="W11" s="1182" t="s">
        <v>362</v>
      </c>
      <c r="X11" s="1295">
        <v>25373.834999999999</v>
      </c>
      <c r="Y11" s="1167" t="s">
        <v>426</v>
      </c>
      <c r="Z11" s="1294">
        <v>1</v>
      </c>
      <c r="AA11" s="1294">
        <v>1</v>
      </c>
      <c r="AB11" s="1099" t="s">
        <v>207</v>
      </c>
      <c r="AC11" s="1266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SUMPRODUCT(--(TRIM(LOWER(W1:W309))="jabodetabek"), --(LOWER(AC1:AC309)&lt;&gt;"add"))</f>
        <v>6</v>
      </c>
      <c r="C12" s="748" cm="1">
        <f t="array" ref="C12">SUMPRODUCT(--(LOWER(AB1:AB309)="masuk"), --(TRIM(LOWER(W1:W309))="jabodetabek"), --(LOWER(AC1:AC309)&lt;&gt;"add"))</f>
        <v>6</v>
      </c>
      <c r="D12" s="973">
        <f>C12+-B12</f>
        <v>0</v>
      </c>
      <c r="E12" s="734"/>
      <c r="F12" s="748" cm="1">
        <f t="array" ref="F12">SUMPRODUCT(--(LOWER(AC1:AC309)="add"), --(TRIM(LOWER(W1:W309))="jabodetabek"))</f>
        <v>1</v>
      </c>
      <c r="G12" s="747" cm="1">
        <f t="array" ref="G12">SUMPRODUCT(--(LOWER(AB1:AB309)="masuk"), --(LOWER(AC1:AC309)="add"), --(TRIM(LOWER(W1:W309))="jabodetabek"))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day",LOWER(W1:W309)))+ISNUMBER(SEARCH("jabodetabek nextday",LOWER(W1:W309)))&gt; 0))</f>
        <v>0</v>
      </c>
      <c r="K12" s="747" cm="1">
        <f t="array" ref="K12">SUMPRODUCT(--(LOWER(AB1:AB309)="masuk"), --(LOWER(TRIM(W1:W309))="jabodetabek next day"))</f>
        <v>0</v>
      </c>
      <c r="L12" s="740">
        <f>K12+-J12</f>
        <v>0</v>
      </c>
      <c r="M12" s="734"/>
      <c r="N12" s="748">
        <f t="shared" ref="N12:P16" si="0">B12+F12+J12</f>
        <v>7</v>
      </c>
      <c r="O12" s="747">
        <f t="shared" si="0"/>
        <v>7</v>
      </c>
      <c r="P12" s="740">
        <f t="shared" si="0"/>
        <v>0</v>
      </c>
      <c r="R12" s="1292" t="s">
        <v>428</v>
      </c>
      <c r="S12" s="1293">
        <v>3331562100</v>
      </c>
      <c r="T12" s="1182" t="s">
        <v>424</v>
      </c>
      <c r="U12" s="1293">
        <v>24141678</v>
      </c>
      <c r="V12" s="1293" t="s">
        <v>429</v>
      </c>
      <c r="W12" s="1182" t="s">
        <v>362</v>
      </c>
      <c r="X12" s="1295">
        <v>23997.627</v>
      </c>
      <c r="Y12" s="1167" t="s">
        <v>426</v>
      </c>
      <c r="Z12" s="1294">
        <v>1</v>
      </c>
      <c r="AA12" s="1294">
        <v>1</v>
      </c>
      <c r="AB12" s="1099" t="s">
        <v>207</v>
      </c>
      <c r="AC12" s="1266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SUMPRODUCT(--(TRIM(LOWER(W1:W309))="jawa tengah"), --(LOWER(AC1:AC309)&lt;&gt;"add"))</f>
        <v>0</v>
      </c>
      <c r="C13" s="750" cm="1">
        <f t="array" ref="C13">SUMPRODUCT(--(LOWER(AB1:AB309)="masuk"), --(TRIM(LOWER(W1:W309))="jawa tengah"), --(LOWER(AC1:AC309)&lt;&gt;"add"))</f>
        <v>0</v>
      </c>
      <c r="D13" s="846">
        <f>C13+-B13</f>
        <v>0</v>
      </c>
      <c r="E13" s="734"/>
      <c r="F13" s="751" cm="1">
        <f t="array" ref="F13">SUMPRODUCT(--(LOWER(AC1:AC309)="add"), --(TRIM(LOWER(W1:W309))="jawa tengah"))</f>
        <v>3</v>
      </c>
      <c r="G13" s="747" cm="1">
        <f t="array" ref="G13">SUMPRODUCT(--(LOWER(AB1:AB309)="masuk"), --(LOWER(AC1:AC309)="add"), --(TRIM(LOWER(W1:W309))="jawa tengah"))</f>
        <v>3</v>
      </c>
      <c r="H13" s="740">
        <f>G13+-F13</f>
        <v>0</v>
      </c>
      <c r="I13" s="734"/>
      <c r="J13" s="748" cm="1">
        <f t="array" ref="J13">SUMPRODUCT(--((LOWER(TRIM(W1:W309))="jawa tengah next day")+(LOWER(TRIM(W1:W309))="jawa tengah nextday")))</f>
        <v>1</v>
      </c>
      <c r="K13" s="747" cm="1">
        <f t="array" ref="K13">SUMPRODUCT(--(LOWER(AB1:AB309)="masuk"), --(LOWER(TRIM(W1:W309))="jawa tengah next day"))</f>
        <v>1</v>
      </c>
      <c r="L13" s="740">
        <f>K13+-J13</f>
        <v>0</v>
      </c>
      <c r="M13" s="734"/>
      <c r="N13" s="748">
        <f t="shared" si="0"/>
        <v>4</v>
      </c>
      <c r="O13" s="747">
        <f t="shared" si="0"/>
        <v>4</v>
      </c>
      <c r="P13" s="740">
        <f t="shared" si="0"/>
        <v>0</v>
      </c>
      <c r="R13" s="1263" t="s">
        <v>418</v>
      </c>
      <c r="S13" s="1264">
        <v>3331563050</v>
      </c>
      <c r="T13" s="1264" t="s">
        <v>336</v>
      </c>
      <c r="U13" s="1264">
        <v>24141789</v>
      </c>
      <c r="V13" s="1264" t="s">
        <v>430</v>
      </c>
      <c r="W13" s="1264" t="s">
        <v>205</v>
      </c>
      <c r="X13" s="1269">
        <f>14895+27352</f>
        <v>42247</v>
      </c>
      <c r="Y13" s="1264" t="s">
        <v>431</v>
      </c>
      <c r="Z13" s="1264">
        <v>1</v>
      </c>
      <c r="AA13" s="1264">
        <v>0</v>
      </c>
      <c r="AB13" s="1067" t="s">
        <v>204</v>
      </c>
      <c r="AC13" s="1270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SUMPRODUCT(--(TRIM(LOWER(W1:W309))="jawa timur"), --(LOWER(AC1:AC309)&lt;&gt;"add"))</f>
        <v>9</v>
      </c>
      <c r="C14" s="750" cm="1">
        <f t="array" ref="C14">SUMPRODUCT(--(LOWER(AB1:AB309)="masuk"), --(TRIM(LOWER(W1:W309))="jawa timur"), --(LOWER(AC1:AC309)&lt;&gt;"add"))</f>
        <v>9</v>
      </c>
      <c r="D14" s="846">
        <f>C14+-B14</f>
        <v>0</v>
      </c>
      <c r="E14" s="734"/>
      <c r="F14" s="750" cm="1">
        <f t="array" ref="F14">SUMPRODUCT(--(LOWER(AC1:AC309)="add"), --(TRIM(LOWER(W1:W309))="jawa timur"))</f>
        <v>1</v>
      </c>
      <c r="G14" s="747" cm="1">
        <f t="array" ref="G14">SUMPRODUCT(--(LOWER(AB1:AB309)="masuk"), --(LOWER(AC1:AC309)="add"), --(TRIM(LOWER(W1:W309))="jawa timur"))</f>
        <v>1</v>
      </c>
      <c r="H14" s="740">
        <f>G14+-F14</f>
        <v>0</v>
      </c>
      <c r="I14" s="734"/>
      <c r="J14" s="748" cm="1">
        <f t="array" ref="J14">SUMPRODUCT(--((LOWER(TRIM(W1:W309))="jawa timur next day")+(LOWER(TRIM(W1:W309))="jawa timur nextday")))</f>
        <v>0</v>
      </c>
      <c r="K14" s="747" cm="1">
        <f t="array" ref="K14">SUMPRODUCT(--(LOWER(AB1:AB309)="masuk"), --(LOWER(TRIM(W1:W309))="jawa timur next day"))</f>
        <v>0</v>
      </c>
      <c r="L14" s="740">
        <f>K14+-J14</f>
        <v>0</v>
      </c>
      <c r="M14" s="734"/>
      <c r="N14" s="748">
        <f t="shared" si="0"/>
        <v>10</v>
      </c>
      <c r="O14" s="747">
        <f t="shared" si="0"/>
        <v>10</v>
      </c>
      <c r="P14" s="740">
        <f t="shared" si="0"/>
        <v>0</v>
      </c>
      <c r="R14" s="1263" t="s">
        <v>418</v>
      </c>
      <c r="S14" s="1264">
        <v>3331563051</v>
      </c>
      <c r="T14" s="1264" t="s">
        <v>256</v>
      </c>
      <c r="U14" s="1264" t="s">
        <v>256</v>
      </c>
      <c r="V14" s="1264" t="s">
        <v>256</v>
      </c>
      <c r="W14" s="1264" t="s">
        <v>256</v>
      </c>
      <c r="X14" s="1264" t="s">
        <v>256</v>
      </c>
      <c r="Y14" s="1264" t="s">
        <v>256</v>
      </c>
      <c r="Z14" s="1264" t="s">
        <v>256</v>
      </c>
      <c r="AA14" s="1264" t="s">
        <v>256</v>
      </c>
      <c r="AB14" s="1264" t="s">
        <v>256</v>
      </c>
      <c r="AC14" s="1270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SUMPRODUCT(--(TRIM(LOWER(W1:W309))="luar pulau"), --(LOWER(AC1:AC309)&lt;&gt;"add"))</f>
        <v>7</v>
      </c>
      <c r="C15" s="750" cm="1">
        <f t="array" ref="C15">SUMPRODUCT(--(LOWER(AB1:AB309)="masuk"), --(TRIM(LOWER(W1:W309))="luar pulau"), --(LOWER(AC1:AC309)&lt;&gt;"add"))</f>
        <v>5</v>
      </c>
      <c r="D15" s="846">
        <f>C15+-B15</f>
        <v>-2</v>
      </c>
      <c r="E15" s="734"/>
      <c r="F15" s="748" cm="1">
        <f t="array" ref="F15">SUMPRODUCT(--(LOWER(AC1:AC309)="add"), --(TRIM(LOWER(W1:W309))="luar pulau"))</f>
        <v>0</v>
      </c>
      <c r="G15" s="747" cm="1">
        <f t="array" ref="G15">SUMPRODUCT(--(LOWER(AB1:AB309)="masuk"), --(LOWER(AC1:AC309)="add"), --(TRIM(LOWER(W1:W309))="luar pulau"))</f>
        <v>0</v>
      </c>
      <c r="H15" s="740">
        <f>G15+-F15</f>
        <v>0</v>
      </c>
      <c r="I15" s="734"/>
      <c r="J15" s="748" cm="1">
        <f t="array" ref="J15">SUMPRODUCT(--((LOWER(TRIM(W1:W309))="luar pulau next day")+(LOWER(TRIM(W1:W309))="luar pulau nextday")))</f>
        <v>0</v>
      </c>
      <c r="K15" s="747" cm="1">
        <f t="array" ref="K15">SUMPRODUCT(--(LOWER(AB1:AB309)="masuk"), --(LOWER(TRIM(W1:W309))="luar pulau next day"))</f>
        <v>0</v>
      </c>
      <c r="L15" s="740">
        <f>K15+-J15</f>
        <v>0</v>
      </c>
      <c r="M15" s="734"/>
      <c r="N15" s="748">
        <f t="shared" si="0"/>
        <v>7</v>
      </c>
      <c r="O15" s="747">
        <f t="shared" si="0"/>
        <v>5</v>
      </c>
      <c r="P15" s="740">
        <f t="shared" si="0"/>
        <v>-2</v>
      </c>
      <c r="R15" s="1263" t="s">
        <v>418</v>
      </c>
      <c r="S15" s="1264">
        <v>3331563052</v>
      </c>
      <c r="T15" s="1264" t="s">
        <v>336</v>
      </c>
      <c r="U15" s="1264">
        <v>24141790</v>
      </c>
      <c r="V15" s="1264" t="s">
        <v>430</v>
      </c>
      <c r="W15" s="1264" t="s">
        <v>205</v>
      </c>
      <c r="X15" s="1269">
        <f>33862+12774</f>
        <v>46636</v>
      </c>
      <c r="Y15" s="1264" t="s">
        <v>431</v>
      </c>
      <c r="Z15" s="1264">
        <v>1</v>
      </c>
      <c r="AA15" s="1264">
        <v>0</v>
      </c>
      <c r="AB15" s="1067" t="s">
        <v>204</v>
      </c>
      <c r="AC15" s="1270"/>
      <c r="AD15" s="81"/>
      <c r="AE15" s="44"/>
      <c r="AF15" s="44"/>
      <c r="AG15" s="44"/>
    </row>
    <row r="16" spans="1:33" ht="17.399999999999999">
      <c r="A16" s="827"/>
      <c r="B16" s="733">
        <f>SUM(B12:B15)</f>
        <v>22</v>
      </c>
      <c r="C16" s="733">
        <f>SUM(C12:C15)</f>
        <v>20</v>
      </c>
      <c r="D16" s="739">
        <f>SUM(D12:D15)</f>
        <v>-2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28</v>
      </c>
      <c r="O16" s="760">
        <f t="shared" si="0"/>
        <v>26</v>
      </c>
      <c r="P16" s="761">
        <f t="shared" si="0"/>
        <v>-2</v>
      </c>
      <c r="R16" s="1263" t="s">
        <v>418</v>
      </c>
      <c r="S16" s="1264">
        <v>3331563054</v>
      </c>
      <c r="T16" s="1264" t="s">
        <v>256</v>
      </c>
      <c r="U16" s="1264" t="s">
        <v>256</v>
      </c>
      <c r="V16" s="1264" t="s">
        <v>256</v>
      </c>
      <c r="W16" s="1264" t="s">
        <v>256</v>
      </c>
      <c r="X16" s="1264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40"/>
      <c r="AD16" s="81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52" t="s">
        <v>418</v>
      </c>
      <c r="S17" s="1209">
        <v>3331563058</v>
      </c>
      <c r="T17" s="1264" t="s">
        <v>336</v>
      </c>
      <c r="U17" s="1209">
        <v>24141791</v>
      </c>
      <c r="V17" s="1264" t="s">
        <v>430</v>
      </c>
      <c r="W17" s="1264" t="s">
        <v>205</v>
      </c>
      <c r="X17" s="1281">
        <v>35059.1</v>
      </c>
      <c r="Y17" s="1264" t="s">
        <v>431</v>
      </c>
      <c r="Z17" s="1264">
        <v>1</v>
      </c>
      <c r="AA17" s="1264">
        <v>0</v>
      </c>
      <c r="AB17" s="1067" t="s">
        <v>204</v>
      </c>
      <c r="AC17" s="1271"/>
      <c r="AD17" s="81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52" t="s">
        <v>418</v>
      </c>
      <c r="S18" s="1209">
        <v>3331563175</v>
      </c>
      <c r="T18" s="1209" t="s">
        <v>27</v>
      </c>
      <c r="U18" s="1209">
        <v>24141792</v>
      </c>
      <c r="V18" s="1209" t="s">
        <v>432</v>
      </c>
      <c r="W18" s="1209" t="s">
        <v>205</v>
      </c>
      <c r="X18" s="1281">
        <v>28142.255000000001</v>
      </c>
      <c r="Y18" s="1209" t="s">
        <v>433</v>
      </c>
      <c r="Z18" s="1209">
        <v>1</v>
      </c>
      <c r="AA18" s="1209">
        <v>1</v>
      </c>
      <c r="AB18" s="1104" t="s">
        <v>204</v>
      </c>
      <c r="AC18" s="1271"/>
      <c r="AD18" s="81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412</v>
      </c>
      <c r="S19" s="1209">
        <v>3331563180</v>
      </c>
      <c r="T19" s="1209" t="s">
        <v>256</v>
      </c>
      <c r="U19" s="1209" t="s">
        <v>256</v>
      </c>
      <c r="V19" s="1209" t="s">
        <v>256</v>
      </c>
      <c r="W19" s="1209" t="s">
        <v>256</v>
      </c>
      <c r="X19" s="1281" t="s">
        <v>256</v>
      </c>
      <c r="Y19" s="1209" t="s">
        <v>256</v>
      </c>
      <c r="Z19" s="1209" t="s">
        <v>256</v>
      </c>
      <c r="AA19" s="1209" t="s">
        <v>256</v>
      </c>
      <c r="AB19" s="1209" t="s">
        <v>256</v>
      </c>
      <c r="AC19" s="1271"/>
      <c r="AD19" s="81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418</v>
      </c>
      <c r="S20" s="1209">
        <v>3331563216</v>
      </c>
      <c r="T20" s="1264" t="s">
        <v>336</v>
      </c>
      <c r="U20" s="1209">
        <v>24141793</v>
      </c>
      <c r="V20" s="1264" t="s">
        <v>435</v>
      </c>
      <c r="W20" s="1264" t="s">
        <v>205</v>
      </c>
      <c r="X20" s="1281">
        <v>36942.582999999999</v>
      </c>
      <c r="Y20" s="1209" t="s">
        <v>431</v>
      </c>
      <c r="Z20" s="1264">
        <v>1</v>
      </c>
      <c r="AA20" s="1264">
        <v>1</v>
      </c>
      <c r="AB20" s="1067" t="s">
        <v>204</v>
      </c>
      <c r="AC20" s="1271"/>
      <c r="AD20" s="81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412</v>
      </c>
      <c r="S21" s="1264">
        <v>3331563212</v>
      </c>
      <c r="T21" s="1264" t="s">
        <v>336</v>
      </c>
      <c r="U21" s="1264">
        <v>24141794</v>
      </c>
      <c r="V21" s="1264" t="s">
        <v>435</v>
      </c>
      <c r="W21" s="1264" t="s">
        <v>205</v>
      </c>
      <c r="X21" s="1269">
        <f>11330+30137</f>
        <v>41467</v>
      </c>
      <c r="Y21" s="1264" t="s">
        <v>436</v>
      </c>
      <c r="Z21" s="1264">
        <v>1</v>
      </c>
      <c r="AA21" s="1264">
        <v>1</v>
      </c>
      <c r="AB21" s="1067" t="s">
        <v>204</v>
      </c>
      <c r="AC21" s="1240"/>
      <c r="AD21" s="81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SUMPRODUCT(--((LOWER(TRIM($W$2:$W$316))="ambil sendiri")+(LOWER(TRIM($W$2:$W$316))="cokot sorangan")))</f>
        <v>3</v>
      </c>
      <c r="C22" s="969" cm="1">
        <f t="array" ref="C22">SUMPRODUCT(--(LOWER(AB2:AB342)="masuk"), --((LOWER(TRIM($W$2:$W$342))="cokot sorangan") + (LOWER(TRIM(W2:W342))="ambil sendiri")))</f>
        <v>0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418</v>
      </c>
      <c r="S22" s="1309">
        <v>3331563215</v>
      </c>
      <c r="T22" s="1264" t="s">
        <v>256</v>
      </c>
      <c r="U22" s="1264" t="s">
        <v>256</v>
      </c>
      <c r="V22" s="1264" t="s">
        <v>435</v>
      </c>
      <c r="W22" s="1264" t="s">
        <v>256</v>
      </c>
      <c r="X22" s="1264" t="s">
        <v>256</v>
      </c>
      <c r="Y22" s="1264" t="s">
        <v>256</v>
      </c>
      <c r="Z22" s="1264" t="s">
        <v>256</v>
      </c>
      <c r="AA22" s="1264" t="s">
        <v>256</v>
      </c>
      <c r="AB22" s="1264" t="s">
        <v>256</v>
      </c>
      <c r="AC22" s="1271"/>
      <c r="AD22" s="81"/>
      <c r="AE22" s="44"/>
      <c r="AF22" s="44"/>
      <c r="AG22" s="44"/>
    </row>
    <row r="23" spans="1:33" ht="17.399999999999999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418</v>
      </c>
      <c r="S23" s="1209">
        <v>3331563218</v>
      </c>
      <c r="T23" s="1264" t="s">
        <v>336</v>
      </c>
      <c r="U23" s="1209">
        <v>24141795</v>
      </c>
      <c r="V23" s="1264" t="s">
        <v>435</v>
      </c>
      <c r="W23" s="1264" t="s">
        <v>205</v>
      </c>
      <c r="X23" s="1281">
        <v>42447.415000000001</v>
      </c>
      <c r="Y23" s="1264" t="s">
        <v>436</v>
      </c>
      <c r="Z23" s="1264">
        <v>1</v>
      </c>
      <c r="AA23" s="1264">
        <v>1</v>
      </c>
      <c r="AB23" s="1067" t="s">
        <v>204</v>
      </c>
      <c r="AC23" s="1271"/>
      <c r="AD23" s="81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52" t="s">
        <v>418</v>
      </c>
      <c r="S24" s="1209">
        <v>3331563221</v>
      </c>
      <c r="T24" s="1209" t="s">
        <v>437</v>
      </c>
      <c r="U24" s="1209">
        <v>24141796</v>
      </c>
      <c r="V24" s="1209" t="s">
        <v>438</v>
      </c>
      <c r="W24" s="1209" t="s">
        <v>205</v>
      </c>
      <c r="X24" s="1281">
        <f>35657+3163+1154</f>
        <v>39974</v>
      </c>
      <c r="Y24" s="1209" t="s">
        <v>436</v>
      </c>
      <c r="Z24" s="1264">
        <v>1</v>
      </c>
      <c r="AA24" s="1264">
        <v>1</v>
      </c>
      <c r="AB24" s="1067" t="s">
        <v>204</v>
      </c>
      <c r="AC24" s="1271"/>
      <c r="AD24" s="81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418</v>
      </c>
      <c r="S25" s="1202">
        <v>3331563222</v>
      </c>
      <c r="T25" s="1264" t="s">
        <v>256</v>
      </c>
      <c r="U25" s="1202" t="s">
        <v>256</v>
      </c>
      <c r="V25" s="1202" t="s">
        <v>256</v>
      </c>
      <c r="W25" s="1202" t="s">
        <v>256</v>
      </c>
      <c r="X25" s="1202" t="s">
        <v>256</v>
      </c>
      <c r="Y25" s="1202" t="s">
        <v>256</v>
      </c>
      <c r="Z25" s="1202" t="s">
        <v>256</v>
      </c>
      <c r="AA25" s="1202" t="s">
        <v>256</v>
      </c>
      <c r="AB25" s="1202" t="s">
        <v>256</v>
      </c>
      <c r="AC25" s="1192"/>
      <c r="AD25" s="81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52" t="s">
        <v>418</v>
      </c>
      <c r="S26" s="1209">
        <v>3331563224</v>
      </c>
      <c r="T26" s="1264" t="s">
        <v>256</v>
      </c>
      <c r="U26" s="1202" t="s">
        <v>256</v>
      </c>
      <c r="V26" s="1202" t="s">
        <v>256</v>
      </c>
      <c r="W26" s="1202" t="s">
        <v>256</v>
      </c>
      <c r="X26" s="1202" t="s">
        <v>256</v>
      </c>
      <c r="Y26" s="1202" t="s">
        <v>256</v>
      </c>
      <c r="Z26" s="1202" t="s">
        <v>256</v>
      </c>
      <c r="AA26" s="1202" t="s">
        <v>256</v>
      </c>
      <c r="AB26" s="1202" t="s">
        <v>256</v>
      </c>
      <c r="AC26" s="1271"/>
      <c r="AD26" s="81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20" t="s">
        <v>418</v>
      </c>
      <c r="S27" s="1217">
        <v>3331563248</v>
      </c>
      <c r="T27" s="1294" t="s">
        <v>439</v>
      </c>
      <c r="U27" s="1190">
        <v>24141797</v>
      </c>
      <c r="V27" s="1190" t="s">
        <v>440</v>
      </c>
      <c r="W27" s="1190" t="s">
        <v>434</v>
      </c>
      <c r="X27" s="1296">
        <f>20180+21486</f>
        <v>41666</v>
      </c>
      <c r="Y27" s="1299" t="s">
        <v>436</v>
      </c>
      <c r="Z27" s="1190">
        <v>1</v>
      </c>
      <c r="AA27" s="1190">
        <v>1</v>
      </c>
      <c r="AB27" s="1099" t="s">
        <v>207</v>
      </c>
      <c r="AC27" s="1271"/>
      <c r="AD27" s="81"/>
      <c r="AE27" s="44"/>
      <c r="AF27" s="44"/>
      <c r="AG27" s="44"/>
    </row>
    <row r="28" spans="1:33" ht="17.399999999999999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220" t="s">
        <v>418</v>
      </c>
      <c r="S28" s="1217">
        <v>3331563255</v>
      </c>
      <c r="T28" s="1294" t="s">
        <v>256</v>
      </c>
      <c r="U28" s="1190" t="s">
        <v>256</v>
      </c>
      <c r="V28" s="1190" t="s">
        <v>256</v>
      </c>
      <c r="W28" s="1190" t="s">
        <v>256</v>
      </c>
      <c r="X28" s="1191" t="s">
        <v>256</v>
      </c>
      <c r="Y28" s="1190" t="s">
        <v>256</v>
      </c>
      <c r="Z28" s="1190" t="s">
        <v>256</v>
      </c>
      <c r="AA28" s="1190" t="s">
        <v>256</v>
      </c>
      <c r="AB28" s="1190" t="s">
        <v>256</v>
      </c>
      <c r="AC28" s="1271"/>
      <c r="AD28" s="81"/>
      <c r="AE28" s="44"/>
      <c r="AF28" s="44"/>
      <c r="AG28" s="44"/>
    </row>
    <row r="29" spans="1:33" ht="17.399999999999999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220" t="s">
        <v>418</v>
      </c>
      <c r="S29" s="1217">
        <v>3331563262</v>
      </c>
      <c r="T29" s="1294" t="s">
        <v>439</v>
      </c>
      <c r="U29" s="1190">
        <v>24141798</v>
      </c>
      <c r="V29" s="1190" t="s">
        <v>440</v>
      </c>
      <c r="W29" s="1190" t="s">
        <v>434</v>
      </c>
      <c r="X29" s="1191">
        <v>35222.324000000001</v>
      </c>
      <c r="Y29" s="1299" t="s">
        <v>436</v>
      </c>
      <c r="Z29" s="1190">
        <v>1</v>
      </c>
      <c r="AA29" s="1190">
        <v>1</v>
      </c>
      <c r="AB29" s="1099" t="s">
        <v>207</v>
      </c>
      <c r="AC29" s="1271"/>
      <c r="AD29" s="81"/>
      <c r="AE29" s="44"/>
      <c r="AF29" s="44"/>
      <c r="AG29" s="44"/>
    </row>
    <row r="30" spans="1:33" ht="17.399999999999999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220" t="s">
        <v>418</v>
      </c>
      <c r="S30" s="1217">
        <v>3331563264</v>
      </c>
      <c r="T30" s="1294" t="s">
        <v>439</v>
      </c>
      <c r="U30" s="1190">
        <v>24141799</v>
      </c>
      <c r="V30" s="1190" t="s">
        <v>440</v>
      </c>
      <c r="W30" s="1190" t="s">
        <v>434</v>
      </c>
      <c r="X30" s="1191">
        <v>45242.838000000003</v>
      </c>
      <c r="Y30" s="1217" t="s">
        <v>436</v>
      </c>
      <c r="Z30" s="1190">
        <v>1</v>
      </c>
      <c r="AA30" s="1190">
        <v>1</v>
      </c>
      <c r="AB30" s="1099" t="s">
        <v>207</v>
      </c>
      <c r="AC30" s="1271"/>
      <c r="AD30" s="81"/>
      <c r="AE30" s="44"/>
      <c r="AF30" s="44"/>
      <c r="AG30" s="44"/>
    </row>
    <row r="31" spans="1:33" ht="17.399999999999999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252" t="s">
        <v>418</v>
      </c>
      <c r="S31" s="1209">
        <v>3331563263</v>
      </c>
      <c r="T31" s="1264" t="s">
        <v>441</v>
      </c>
      <c r="U31" s="1202">
        <v>24141800</v>
      </c>
      <c r="V31" s="1202" t="s">
        <v>224</v>
      </c>
      <c r="W31" s="1202" t="s">
        <v>203</v>
      </c>
      <c r="X31" s="1203">
        <v>29842.99</v>
      </c>
      <c r="Y31" s="1202" t="s">
        <v>442</v>
      </c>
      <c r="Z31" s="1202">
        <v>1</v>
      </c>
      <c r="AA31" s="1202">
        <v>1</v>
      </c>
      <c r="AB31" s="1067" t="s">
        <v>204</v>
      </c>
      <c r="AC31" s="1271" t="s">
        <v>422</v>
      </c>
      <c r="AD31" s="81"/>
      <c r="AE31" s="44"/>
      <c r="AF31" s="44"/>
      <c r="AG31" s="44"/>
    </row>
    <row r="32" spans="1:33" ht="17.399999999999999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252" t="s">
        <v>418</v>
      </c>
      <c r="S32" s="1209">
        <v>3331563265</v>
      </c>
      <c r="T32" s="1264" t="s">
        <v>441</v>
      </c>
      <c r="U32" s="1202">
        <v>24141801</v>
      </c>
      <c r="V32" s="1202" t="s">
        <v>226</v>
      </c>
      <c r="W32" s="1202" t="s">
        <v>203</v>
      </c>
      <c r="X32" s="1203">
        <v>29415.439999999999</v>
      </c>
      <c r="Y32" s="1202" t="s">
        <v>442</v>
      </c>
      <c r="Z32" s="1202">
        <v>1</v>
      </c>
      <c r="AA32" s="1202">
        <v>1</v>
      </c>
      <c r="AB32" s="1067" t="s">
        <v>204</v>
      </c>
      <c r="AC32" s="1271" t="s">
        <v>422</v>
      </c>
      <c r="AD32" s="81"/>
      <c r="AE32" s="44"/>
      <c r="AF32" s="44"/>
      <c r="AG32" s="44"/>
    </row>
    <row r="33" spans="1:33" ht="17.399999999999999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252" t="s">
        <v>443</v>
      </c>
      <c r="S33" s="1209">
        <v>3331563266</v>
      </c>
      <c r="T33" s="1264" t="s">
        <v>441</v>
      </c>
      <c r="U33" s="1202">
        <v>24141802</v>
      </c>
      <c r="V33" s="1202" t="s">
        <v>226</v>
      </c>
      <c r="W33" s="1202" t="s">
        <v>203</v>
      </c>
      <c r="X33" s="1203">
        <v>29415.439999999999</v>
      </c>
      <c r="Y33" s="1202" t="s">
        <v>442</v>
      </c>
      <c r="Z33" s="1202">
        <v>1</v>
      </c>
      <c r="AA33" s="1202">
        <v>1</v>
      </c>
      <c r="AB33" s="1067" t="s">
        <v>204</v>
      </c>
      <c r="AC33" s="1308" t="s">
        <v>422</v>
      </c>
      <c r="AD33" s="81"/>
      <c r="AE33" s="44"/>
      <c r="AF33" s="44"/>
      <c r="AG33" s="44"/>
    </row>
    <row r="34" spans="1:33" ht="17.399999999999999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252" t="s">
        <v>418</v>
      </c>
      <c r="S34" s="1209">
        <v>3331563280</v>
      </c>
      <c r="T34" s="1264" t="s">
        <v>437</v>
      </c>
      <c r="U34" s="1202">
        <v>24141808</v>
      </c>
      <c r="V34" s="1202" t="s">
        <v>444</v>
      </c>
      <c r="W34" s="1202" t="s">
        <v>344</v>
      </c>
      <c r="X34" s="1203">
        <v>42714.508000000002</v>
      </c>
      <c r="Y34" s="1209" t="s">
        <v>436</v>
      </c>
      <c r="Z34" s="1202">
        <v>1</v>
      </c>
      <c r="AA34" s="1202">
        <v>1</v>
      </c>
      <c r="AB34" s="1067" t="s">
        <v>204</v>
      </c>
      <c r="AC34" s="1271"/>
      <c r="AD34" s="81"/>
      <c r="AE34" s="44"/>
      <c r="AF34" s="44"/>
      <c r="AG34" s="44"/>
    </row>
    <row r="35" spans="1:33" ht="17.399999999999999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252" t="s">
        <v>418</v>
      </c>
      <c r="S35" s="1209">
        <v>3331563283</v>
      </c>
      <c r="T35" s="1264" t="s">
        <v>256</v>
      </c>
      <c r="U35" s="1264" t="s">
        <v>256</v>
      </c>
      <c r="V35" s="1264" t="s">
        <v>256</v>
      </c>
      <c r="W35" s="1264" t="s">
        <v>256</v>
      </c>
      <c r="X35" s="1203" t="s">
        <v>256</v>
      </c>
      <c r="Y35" s="1264" t="s">
        <v>256</v>
      </c>
      <c r="Z35" s="1264" t="s">
        <v>256</v>
      </c>
      <c r="AA35" s="1264" t="s">
        <v>256</v>
      </c>
      <c r="AB35" s="1264" t="s">
        <v>256</v>
      </c>
      <c r="AC35" s="1294"/>
      <c r="AD35" s="81"/>
      <c r="AE35" s="44"/>
      <c r="AF35" s="44"/>
      <c r="AG35" s="44"/>
    </row>
    <row r="36" spans="1:33" ht="17.399999999999999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252" t="s">
        <v>418</v>
      </c>
      <c r="S36" s="1209">
        <v>3331563284</v>
      </c>
      <c r="T36" s="1264" t="s">
        <v>256</v>
      </c>
      <c r="U36" s="1264" t="s">
        <v>256</v>
      </c>
      <c r="V36" s="1264" t="s">
        <v>256</v>
      </c>
      <c r="W36" s="1264" t="s">
        <v>256</v>
      </c>
      <c r="X36" s="1203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71"/>
      <c r="AD36" s="81"/>
      <c r="AE36" s="44"/>
      <c r="AF36" s="44"/>
      <c r="AG36" s="44"/>
    </row>
    <row r="37" spans="1:33" ht="17.399999999999999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252" t="s">
        <v>418</v>
      </c>
      <c r="S37" s="1209">
        <v>3331563287</v>
      </c>
      <c r="T37" s="1264" t="s">
        <v>256</v>
      </c>
      <c r="U37" s="1264" t="s">
        <v>256</v>
      </c>
      <c r="V37" s="1264" t="s">
        <v>256</v>
      </c>
      <c r="W37" s="1264" t="s">
        <v>256</v>
      </c>
      <c r="X37" s="1203" t="s">
        <v>256</v>
      </c>
      <c r="Y37" s="1264" t="s">
        <v>256</v>
      </c>
      <c r="Z37" s="1264" t="s">
        <v>256</v>
      </c>
      <c r="AA37" s="1264" t="s">
        <v>256</v>
      </c>
      <c r="AB37" s="1264" t="s">
        <v>256</v>
      </c>
      <c r="AC37" s="1271"/>
      <c r="AD37" s="81"/>
      <c r="AE37" s="44"/>
      <c r="AF37" s="44"/>
      <c r="AG37" s="44"/>
    </row>
    <row r="38" spans="1:33" ht="17.399999999999999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252" t="s">
        <v>418</v>
      </c>
      <c r="S38" s="1209">
        <v>3331563230</v>
      </c>
      <c r="T38" s="1264" t="s">
        <v>445</v>
      </c>
      <c r="U38" s="1202">
        <v>24141809</v>
      </c>
      <c r="V38" s="1202" t="s">
        <v>446</v>
      </c>
      <c r="W38" s="1202" t="s">
        <v>205</v>
      </c>
      <c r="X38" s="1203">
        <v>26209.066999999999</v>
      </c>
      <c r="Y38" s="1202" t="s">
        <v>433</v>
      </c>
      <c r="Z38" s="1202">
        <v>1</v>
      </c>
      <c r="AA38" s="1202">
        <v>1</v>
      </c>
      <c r="AB38" s="1067" t="s">
        <v>204</v>
      </c>
      <c r="AC38" s="1271" t="s">
        <v>422</v>
      </c>
      <c r="AD38" s="81"/>
      <c r="AE38" s="44"/>
      <c r="AF38" s="44"/>
      <c r="AG38" s="44"/>
    </row>
    <row r="39" spans="1:33" ht="17.399999999999999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220"/>
      <c r="S39" s="1217"/>
      <c r="T39" s="1294"/>
      <c r="U39" s="1190"/>
      <c r="V39" s="1190"/>
      <c r="W39" s="1190"/>
      <c r="X39" s="1191"/>
      <c r="Y39" s="1190"/>
      <c r="Z39" s="1190"/>
      <c r="AA39" s="1190"/>
      <c r="AB39" s="1200"/>
      <c r="AC39" s="1271"/>
      <c r="AD39" s="81"/>
      <c r="AE39" s="44"/>
      <c r="AF39" s="44"/>
      <c r="AG39" s="44"/>
    </row>
    <row r="40" spans="1:33" ht="17.399999999999999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220"/>
      <c r="S40" s="1217"/>
      <c r="T40" s="1294"/>
      <c r="U40" s="1190"/>
      <c r="V40" s="1190"/>
      <c r="W40" s="1190"/>
      <c r="X40" s="1191"/>
      <c r="Y40" s="1190"/>
      <c r="Z40" s="1190"/>
      <c r="AA40" s="1190"/>
      <c r="AB40" s="1200"/>
      <c r="AC40" s="1271"/>
      <c r="AD40" s="81"/>
      <c r="AE40" s="44"/>
      <c r="AF40" s="44"/>
      <c r="AG40" s="44"/>
    </row>
    <row r="41" spans="1:33" ht="17.399999999999999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220"/>
      <c r="S41" s="1217"/>
      <c r="T41" s="1294"/>
      <c r="U41" s="1190"/>
      <c r="V41" s="1190"/>
      <c r="W41" s="1190"/>
      <c r="X41" s="1191"/>
      <c r="Y41" s="1190"/>
      <c r="Z41" s="1190"/>
      <c r="AA41" s="1190"/>
      <c r="AB41" s="1200"/>
      <c r="AC41" s="1271"/>
      <c r="AD41" s="81"/>
      <c r="AE41" s="44"/>
      <c r="AF41" s="44"/>
      <c r="AG41" s="44"/>
    </row>
    <row r="42" spans="1:33" ht="17.399999999999999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220"/>
      <c r="S42" s="1217"/>
      <c r="T42" s="1294"/>
      <c r="U42" s="1190"/>
      <c r="V42" s="1190"/>
      <c r="W42" s="1190"/>
      <c r="X42" s="1191"/>
      <c r="Y42" s="1190"/>
      <c r="Z42" s="1190"/>
      <c r="AA42" s="1190"/>
      <c r="AB42" s="1200"/>
      <c r="AC42" s="1271"/>
      <c r="AD42" s="81"/>
      <c r="AE42" s="44"/>
      <c r="AF42" s="44"/>
      <c r="AG42" s="44"/>
    </row>
    <row r="43" spans="1:33" ht="17.399999999999999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220"/>
      <c r="S43" s="1217"/>
      <c r="T43" s="1294"/>
      <c r="U43" s="1190"/>
      <c r="V43" s="1190"/>
      <c r="W43" s="1190"/>
      <c r="X43" s="1191"/>
      <c r="Y43" s="1190"/>
      <c r="Z43" s="1190"/>
      <c r="AA43" s="1190"/>
      <c r="AB43" s="1200"/>
      <c r="AC43" s="1271"/>
      <c r="AD43" s="81"/>
      <c r="AE43" s="44"/>
      <c r="AF43" s="44"/>
      <c r="AG43" s="44"/>
    </row>
    <row r="44" spans="1:33" ht="17.399999999999999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220"/>
      <c r="S44" s="1217"/>
      <c r="T44" s="1294"/>
      <c r="U44" s="1190"/>
      <c r="V44" s="1190"/>
      <c r="W44" s="1190"/>
      <c r="X44" s="1191"/>
      <c r="Y44" s="1190"/>
      <c r="Z44" s="1190"/>
      <c r="AA44" s="1190"/>
      <c r="AB44" s="1200"/>
      <c r="AC44" s="1271"/>
      <c r="AD44" s="81"/>
      <c r="AE44" s="44"/>
      <c r="AF44" s="44"/>
      <c r="AG44" s="44"/>
    </row>
    <row r="45" spans="1:33" ht="17.399999999999999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220"/>
      <c r="S45" s="1217"/>
      <c r="T45" s="1294"/>
      <c r="U45" s="1190"/>
      <c r="V45" s="1190"/>
      <c r="W45" s="1190"/>
      <c r="X45" s="1191"/>
      <c r="Y45" s="1190"/>
      <c r="Z45" s="1190"/>
      <c r="AA45" s="1190"/>
      <c r="AB45" s="1200"/>
      <c r="AC45" s="1271"/>
      <c r="AD45" s="81"/>
      <c r="AE45" s="44"/>
      <c r="AF45" s="44"/>
      <c r="AG45" s="44"/>
    </row>
    <row r="46" spans="1:33" ht="17.399999999999999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220"/>
      <c r="S46" s="1217"/>
      <c r="T46" s="1294"/>
      <c r="U46" s="1190"/>
      <c r="V46" s="1190"/>
      <c r="W46" s="1190"/>
      <c r="X46" s="1191"/>
      <c r="Y46" s="1190"/>
      <c r="Z46" s="1190"/>
      <c r="AA46" s="1190"/>
      <c r="AB46" s="1200"/>
      <c r="AC46" s="1271"/>
      <c r="AD46" s="81"/>
      <c r="AE46" s="44"/>
      <c r="AF46" s="44"/>
      <c r="AG46" s="44"/>
    </row>
    <row r="47" spans="1:33" ht="17.399999999999999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220"/>
      <c r="S47" s="1217"/>
      <c r="T47" s="1294"/>
      <c r="U47" s="1190"/>
      <c r="V47" s="1190"/>
      <c r="W47" s="1190"/>
      <c r="X47" s="1191"/>
      <c r="Y47" s="1190"/>
      <c r="Z47" s="1190"/>
      <c r="AA47" s="1190"/>
      <c r="AB47" s="1200"/>
      <c r="AC47" s="1271"/>
      <c r="AD47" s="81"/>
      <c r="AE47" s="44"/>
      <c r="AF47" s="44"/>
      <c r="AG47" s="44"/>
    </row>
    <row r="48" spans="1:33" ht="17.399999999999999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220"/>
      <c r="S48" s="1217"/>
      <c r="T48" s="1294"/>
      <c r="U48" s="1190"/>
      <c r="V48" s="1190"/>
      <c r="W48" s="1190"/>
      <c r="X48" s="1191"/>
      <c r="Y48" s="1190"/>
      <c r="Z48" s="1190"/>
      <c r="AA48" s="1190"/>
      <c r="AB48" s="1200"/>
      <c r="AC48" s="1271"/>
      <c r="AD48" s="81"/>
      <c r="AE48" s="44"/>
      <c r="AF48" s="44"/>
      <c r="AG48" s="44"/>
    </row>
    <row r="49" spans="1:33" ht="17.399999999999999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220"/>
      <c r="S49" s="1217"/>
      <c r="T49" s="1294"/>
      <c r="U49" s="1190"/>
      <c r="V49" s="1190"/>
      <c r="W49" s="1190"/>
      <c r="X49" s="1191"/>
      <c r="Y49" s="1190"/>
      <c r="Z49" s="1190"/>
      <c r="AA49" s="1190"/>
      <c r="AB49" s="1200"/>
      <c r="AC49" s="1271"/>
      <c r="AD49" s="81"/>
      <c r="AE49" s="44"/>
      <c r="AF49" s="44"/>
      <c r="AG49" s="44"/>
    </row>
    <row r="50" spans="1:33" ht="17.399999999999999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220"/>
      <c r="S50" s="1217"/>
      <c r="T50" s="1294"/>
      <c r="U50" s="1190"/>
      <c r="V50" s="1190"/>
      <c r="W50" s="1190"/>
      <c r="X50" s="1191"/>
      <c r="Y50" s="1190"/>
      <c r="Z50" s="1190"/>
      <c r="AA50" s="1190"/>
      <c r="AB50" s="1200"/>
      <c r="AC50" s="1271"/>
      <c r="AD50" s="81"/>
      <c r="AE50" s="44"/>
      <c r="AF50" s="44"/>
      <c r="AG50" s="44"/>
    </row>
    <row r="51" spans="1:33" ht="17.399999999999999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220"/>
      <c r="S51" s="1217"/>
      <c r="T51" s="1294"/>
      <c r="U51" s="1190"/>
      <c r="V51" s="1190"/>
      <c r="W51" s="1190"/>
      <c r="X51" s="1191"/>
      <c r="Y51" s="1190"/>
      <c r="Z51" s="1190"/>
      <c r="AA51" s="1190"/>
      <c r="AB51" s="1200"/>
      <c r="AC51" s="1271"/>
      <c r="AD51" s="81"/>
      <c r="AE51" s="44"/>
      <c r="AF51" s="44"/>
      <c r="AG51" s="44"/>
    </row>
    <row r="52" spans="1:33" ht="17.399999999999999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220"/>
      <c r="S52" s="1217"/>
      <c r="T52" s="1294"/>
      <c r="U52" s="1190"/>
      <c r="V52" s="1190"/>
      <c r="W52" s="1190"/>
      <c r="X52" s="1191"/>
      <c r="Y52" s="1190"/>
      <c r="Z52" s="1190"/>
      <c r="AA52" s="1190"/>
      <c r="AB52" s="1200"/>
      <c r="AC52" s="1271"/>
      <c r="AD52" s="81"/>
      <c r="AE52" s="44"/>
      <c r="AF52" s="44"/>
      <c r="AG52" s="44"/>
    </row>
    <row r="53" spans="1:33" ht="17.399999999999999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220"/>
      <c r="S53" s="1217"/>
      <c r="T53" s="1294"/>
      <c r="U53" s="1190"/>
      <c r="V53" s="1190"/>
      <c r="W53" s="1190"/>
      <c r="X53" s="1191"/>
      <c r="Y53" s="1190"/>
      <c r="Z53" s="1190"/>
      <c r="AA53" s="1190"/>
      <c r="AB53" s="1200"/>
      <c r="AC53" s="1271"/>
      <c r="AD53" s="81"/>
      <c r="AE53" s="44"/>
      <c r="AF53" s="44"/>
      <c r="AG53" s="44"/>
    </row>
    <row r="54" spans="1:33" ht="17.399999999999999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220"/>
      <c r="S54" s="1217"/>
      <c r="T54" s="1294"/>
      <c r="U54" s="1190"/>
      <c r="V54" s="1190"/>
      <c r="W54" s="1190"/>
      <c r="X54" s="1191"/>
      <c r="Y54" s="1190"/>
      <c r="Z54" s="1190"/>
      <c r="AA54" s="1190"/>
      <c r="AB54" s="1200"/>
      <c r="AC54" s="1271"/>
      <c r="AD54" s="81"/>
      <c r="AE54" s="44"/>
      <c r="AF54" s="44"/>
      <c r="AG54" s="44"/>
    </row>
    <row r="55" spans="1:33" ht="17.399999999999999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220"/>
      <c r="S55" s="1217"/>
      <c r="T55" s="1294"/>
      <c r="U55" s="1190"/>
      <c r="V55" s="1190"/>
      <c r="W55" s="1190"/>
      <c r="X55" s="1191"/>
      <c r="Y55" s="1190"/>
      <c r="Z55" s="1190"/>
      <c r="AA55" s="1190"/>
      <c r="AB55" s="1200"/>
      <c r="AC55" s="1271"/>
      <c r="AD55" s="81"/>
      <c r="AE55" s="44"/>
      <c r="AF55" s="44"/>
      <c r="AG55" s="44"/>
    </row>
    <row r="56" spans="1:33" ht="17.399999999999999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220"/>
      <c r="S56" s="1217"/>
      <c r="T56" s="1294"/>
      <c r="U56" s="1190"/>
      <c r="V56" s="1190"/>
      <c r="W56" s="1190"/>
      <c r="X56" s="1191"/>
      <c r="Y56" s="1190"/>
      <c r="Z56" s="1190"/>
      <c r="AA56" s="1190"/>
      <c r="AB56" s="1190"/>
      <c r="AC56" s="1271"/>
      <c r="AD56" s="81"/>
      <c r="AE56" s="44"/>
      <c r="AF56" s="44"/>
      <c r="AG56" s="44"/>
    </row>
    <row r="57" spans="1:33" ht="17.399999999999999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201" t="s">
        <v>418</v>
      </c>
      <c r="S57" s="1202">
        <v>3331563032</v>
      </c>
      <c r="T57" s="1251" t="s">
        <v>11</v>
      </c>
      <c r="U57" s="1202">
        <v>24141782</v>
      </c>
      <c r="V57" s="1202" t="s">
        <v>290</v>
      </c>
      <c r="W57" s="1209" t="s">
        <v>199</v>
      </c>
      <c r="X57" s="1203">
        <v>26483.41</v>
      </c>
      <c r="Y57" s="1202" t="s">
        <v>200</v>
      </c>
      <c r="Z57" s="1209">
        <v>1</v>
      </c>
      <c r="AA57" s="1209">
        <v>1</v>
      </c>
      <c r="AB57" s="1228" t="s">
        <v>204</v>
      </c>
      <c r="AC57" s="1192"/>
      <c r="AD57" s="81"/>
      <c r="AE57" s="44"/>
      <c r="AF57" s="44"/>
      <c r="AG57" s="44"/>
    </row>
    <row r="58" spans="1:33" ht="15.6">
      <c r="R58" s="1201" t="s">
        <v>418</v>
      </c>
      <c r="S58" s="1202">
        <v>3331563033</v>
      </c>
      <c r="T58" s="1209" t="s">
        <v>287</v>
      </c>
      <c r="U58" s="1202">
        <v>24141783</v>
      </c>
      <c r="V58" s="1202" t="s">
        <v>366</v>
      </c>
      <c r="W58" s="1209" t="s">
        <v>199</v>
      </c>
      <c r="X58" s="1203">
        <v>26892.895</v>
      </c>
      <c r="Y58" s="1202" t="s">
        <v>200</v>
      </c>
      <c r="Z58" s="1209">
        <v>1</v>
      </c>
      <c r="AA58" s="1209">
        <v>1</v>
      </c>
      <c r="AB58" s="1228" t="s">
        <v>204</v>
      </c>
      <c r="AC58" s="1192"/>
      <c r="AD58" s="81"/>
      <c r="AE58" s="44"/>
      <c r="AF58" s="44"/>
      <c r="AG58" s="44"/>
    </row>
    <row r="59" spans="1:33" ht="15.6">
      <c r="R59" s="1201" t="s">
        <v>412</v>
      </c>
      <c r="S59" s="1202">
        <v>3331563036</v>
      </c>
      <c r="T59" s="1209" t="s">
        <v>287</v>
      </c>
      <c r="U59" s="1202">
        <v>24141784</v>
      </c>
      <c r="V59" s="1202" t="s">
        <v>366</v>
      </c>
      <c r="W59" s="1209" t="s">
        <v>199</v>
      </c>
      <c r="X59" s="1203">
        <v>25738.51</v>
      </c>
      <c r="Y59" s="1202" t="s">
        <v>200</v>
      </c>
      <c r="Z59" s="1209">
        <v>1</v>
      </c>
      <c r="AA59" s="1209">
        <v>1</v>
      </c>
      <c r="AB59" s="1228" t="s">
        <v>204</v>
      </c>
      <c r="AC59" s="1192"/>
      <c r="AD59" s="81"/>
      <c r="AE59" s="44"/>
      <c r="AF59" s="44"/>
      <c r="AG59" s="44"/>
    </row>
    <row r="60" spans="1:33" ht="15.6">
      <c r="R60" s="1201" t="s">
        <v>443</v>
      </c>
      <c r="S60" s="1202">
        <v>3331563035</v>
      </c>
      <c r="T60" s="1209" t="s">
        <v>34</v>
      </c>
      <c r="U60" s="1202">
        <v>24141785</v>
      </c>
      <c r="V60" s="1202" t="s">
        <v>219</v>
      </c>
      <c r="W60" s="1209" t="s">
        <v>199</v>
      </c>
      <c r="X60" s="1203">
        <v>25866.775000000001</v>
      </c>
      <c r="Y60" s="1202" t="s">
        <v>200</v>
      </c>
      <c r="Z60" s="1209">
        <v>1</v>
      </c>
      <c r="AA60" s="1209">
        <v>1</v>
      </c>
      <c r="AB60" s="1228" t="s">
        <v>204</v>
      </c>
      <c r="AC60" s="1192"/>
      <c r="AD60" s="81"/>
      <c r="AE60" s="44"/>
      <c r="AF60" s="44"/>
      <c r="AG60" s="44"/>
    </row>
    <row r="61" spans="1:33" ht="15.6">
      <c r="R61" s="1201" t="s">
        <v>418</v>
      </c>
      <c r="S61" s="1202">
        <v>3331563041</v>
      </c>
      <c r="T61" s="1209" t="s">
        <v>34</v>
      </c>
      <c r="U61" s="1202">
        <v>24141786</v>
      </c>
      <c r="V61" s="1202" t="s">
        <v>219</v>
      </c>
      <c r="W61" s="1209" t="s">
        <v>199</v>
      </c>
      <c r="X61" s="1203">
        <v>25524.735000000001</v>
      </c>
      <c r="Y61" s="1202" t="s">
        <v>200</v>
      </c>
      <c r="Z61" s="1209">
        <v>1</v>
      </c>
      <c r="AA61" s="1209">
        <v>1</v>
      </c>
      <c r="AB61" s="1228" t="s">
        <v>204</v>
      </c>
      <c r="AC61" s="1192"/>
      <c r="AD61" s="81"/>
      <c r="AE61" s="44"/>
      <c r="AF61" s="44"/>
      <c r="AG61" s="44"/>
    </row>
    <row r="62" spans="1:33" ht="15.6">
      <c r="R62" s="1201" t="s">
        <v>418</v>
      </c>
      <c r="S62" s="1202">
        <v>3331563034</v>
      </c>
      <c r="T62" s="1209" t="s">
        <v>287</v>
      </c>
      <c r="U62" s="1202">
        <v>24141787</v>
      </c>
      <c r="V62" s="1202" t="s">
        <v>447</v>
      </c>
      <c r="W62" s="1209" t="s">
        <v>199</v>
      </c>
      <c r="X62" s="1203">
        <f>21136.763+3769.755</f>
        <v>24906.518</v>
      </c>
      <c r="Y62" s="1202" t="s">
        <v>200</v>
      </c>
      <c r="Z62" s="1209">
        <v>1</v>
      </c>
      <c r="AA62" s="1209">
        <v>1</v>
      </c>
      <c r="AB62" s="1228" t="s">
        <v>204</v>
      </c>
      <c r="AC62" s="1192"/>
      <c r="AD62" s="81"/>
      <c r="AE62" s="44"/>
      <c r="AF62" s="44"/>
      <c r="AG62" s="44"/>
    </row>
    <row r="63" spans="1:33" ht="15.6">
      <c r="R63" s="1201" t="s">
        <v>418</v>
      </c>
      <c r="S63" s="1202">
        <v>3331563037</v>
      </c>
      <c r="T63" s="1209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9" t="s">
        <v>256</v>
      </c>
      <c r="AA63" s="1209" t="s">
        <v>256</v>
      </c>
      <c r="AB63" s="1228" t="s">
        <v>256</v>
      </c>
      <c r="AC63" s="1192"/>
      <c r="AD63" s="81"/>
      <c r="AE63" s="44"/>
      <c r="AF63" s="44"/>
      <c r="AG63" s="44"/>
    </row>
    <row r="64" spans="1:33" ht="15.6">
      <c r="R64" s="1201" t="s">
        <v>418</v>
      </c>
      <c r="S64" s="1202">
        <v>3331563039</v>
      </c>
      <c r="T64" s="1209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9" t="s">
        <v>256</v>
      </c>
      <c r="AA64" s="1209" t="s">
        <v>256</v>
      </c>
      <c r="AB64" s="1228" t="s">
        <v>256</v>
      </c>
      <c r="AC64" s="1192"/>
      <c r="AD64" s="81"/>
      <c r="AE64" s="44"/>
      <c r="AF64" s="44"/>
      <c r="AG64" s="44"/>
    </row>
    <row r="65" spans="18:33" ht="15.6">
      <c r="R65" s="1174" t="s">
        <v>418</v>
      </c>
      <c r="S65" s="105">
        <v>3331563322</v>
      </c>
      <c r="T65" s="105" t="s">
        <v>34</v>
      </c>
      <c r="U65" s="105">
        <v>24141810</v>
      </c>
      <c r="V65" s="1202" t="s">
        <v>119</v>
      </c>
      <c r="W65" s="105" t="s">
        <v>199</v>
      </c>
      <c r="X65" s="209">
        <v>24966.322</v>
      </c>
      <c r="Y65" s="105" t="s">
        <v>433</v>
      </c>
      <c r="Z65" s="1209">
        <v>1</v>
      </c>
      <c r="AA65" s="1209">
        <v>1</v>
      </c>
      <c r="AB65" s="1228" t="s">
        <v>204</v>
      </c>
      <c r="AC65" s="1192" t="s">
        <v>422</v>
      </c>
      <c r="AD65" s="81"/>
      <c r="AE65" s="44"/>
      <c r="AF65" s="44"/>
      <c r="AG65" s="44"/>
    </row>
    <row r="66" spans="18:33" ht="15.6">
      <c r="R66" s="1174" t="s">
        <v>418</v>
      </c>
      <c r="S66" s="105">
        <v>3331563331</v>
      </c>
      <c r="T66" s="105" t="s">
        <v>256</v>
      </c>
      <c r="U66" s="105" t="s">
        <v>256</v>
      </c>
      <c r="V66" s="1202" t="s">
        <v>256</v>
      </c>
      <c r="W66" s="1202" t="s">
        <v>256</v>
      </c>
      <c r="X66" s="1202" t="s">
        <v>256</v>
      </c>
      <c r="Y66" s="1202" t="s">
        <v>256</v>
      </c>
      <c r="Z66" s="1202" t="s">
        <v>256</v>
      </c>
      <c r="AA66" s="1202" t="s">
        <v>256</v>
      </c>
      <c r="AB66" s="1228"/>
      <c r="AC66" s="1192"/>
      <c r="AD66" s="81"/>
      <c r="AE66" s="44"/>
      <c r="AF66" s="44"/>
      <c r="AG66" s="44"/>
    </row>
    <row r="67" spans="18:33" ht="15.6">
      <c r="R67" s="1201" t="s">
        <v>418</v>
      </c>
      <c r="S67" s="1202">
        <v>3331563334</v>
      </c>
      <c r="T67" s="1209" t="s">
        <v>256</v>
      </c>
      <c r="U67" s="1202" t="s">
        <v>256</v>
      </c>
      <c r="V67" s="1202" t="s">
        <v>256</v>
      </c>
      <c r="W67" s="1202" t="s">
        <v>256</v>
      </c>
      <c r="X67" s="1202" t="s">
        <v>256</v>
      </c>
      <c r="Y67" s="1202" t="s">
        <v>256</v>
      </c>
      <c r="Z67" s="1202" t="s">
        <v>256</v>
      </c>
      <c r="AA67" s="1202" t="s">
        <v>256</v>
      </c>
      <c r="AB67" s="1228"/>
      <c r="AC67" s="1192"/>
      <c r="AD67" s="81"/>
      <c r="AE67" s="44"/>
      <c r="AF67" s="44"/>
      <c r="AG67" s="44"/>
    </row>
    <row r="68" spans="18:33" ht="15.6">
      <c r="R68" s="1201" t="s">
        <v>418</v>
      </c>
      <c r="S68" s="1202">
        <v>3331563342</v>
      </c>
      <c r="T68" s="1202" t="s">
        <v>256</v>
      </c>
      <c r="U68" s="1202" t="s">
        <v>256</v>
      </c>
      <c r="V68" s="1202" t="s">
        <v>256</v>
      </c>
      <c r="W68" s="1202" t="s">
        <v>256</v>
      </c>
      <c r="X68" s="1202" t="s">
        <v>256</v>
      </c>
      <c r="Y68" s="1202" t="s">
        <v>256</v>
      </c>
      <c r="Z68" s="1202" t="s">
        <v>256</v>
      </c>
      <c r="AA68" s="1202" t="s">
        <v>256</v>
      </c>
      <c r="AB68" s="1228"/>
      <c r="AC68" s="1192"/>
      <c r="AD68" s="81"/>
      <c r="AE68" s="44"/>
      <c r="AF68" s="44"/>
      <c r="AG68" s="44"/>
    </row>
    <row r="69" spans="18:33" ht="15.6">
      <c r="R69" s="1189"/>
      <c r="S69" s="1190"/>
      <c r="T69" s="1217"/>
      <c r="U69" s="1190"/>
      <c r="V69" s="1190"/>
      <c r="W69" s="1190"/>
      <c r="X69" s="1191"/>
      <c r="Y69" s="1190"/>
      <c r="Z69" s="1217"/>
      <c r="AA69" s="1217"/>
      <c r="AB69" s="1218"/>
      <c r="AC69" s="1192"/>
      <c r="AD69" s="81"/>
      <c r="AE69" s="44"/>
      <c r="AF69" s="44"/>
      <c r="AG69" s="44"/>
    </row>
    <row r="70" spans="18:33" ht="15.6">
      <c r="R70" s="1189"/>
      <c r="S70" s="1190"/>
      <c r="T70" s="1217"/>
      <c r="U70" s="1190"/>
      <c r="V70" s="1190"/>
      <c r="W70" s="1190"/>
      <c r="X70" s="1191"/>
      <c r="Y70" s="1190"/>
      <c r="Z70" s="1217"/>
      <c r="AA70" s="1217"/>
      <c r="AB70" s="1218"/>
      <c r="AC70" s="1192"/>
      <c r="AD70" s="81"/>
      <c r="AE70" s="44"/>
      <c r="AF70" s="44"/>
      <c r="AG70" s="44"/>
    </row>
    <row r="71" spans="18:33" ht="15.6">
      <c r="R71" s="1189"/>
      <c r="S71" s="1190"/>
      <c r="T71" s="1217"/>
      <c r="U71" s="1190"/>
      <c r="V71" s="1190"/>
      <c r="W71" s="1190"/>
      <c r="X71" s="1191"/>
      <c r="Y71" s="1190"/>
      <c r="Z71" s="1217"/>
      <c r="AA71" s="1217"/>
      <c r="AB71" s="1218"/>
      <c r="AC71" s="1192"/>
      <c r="AD71" s="81"/>
      <c r="AE71" s="44"/>
      <c r="AF71" s="44"/>
      <c r="AG71" s="44"/>
    </row>
    <row r="72" spans="18:33" ht="15.6">
      <c r="R72" s="1189"/>
      <c r="S72" s="1190"/>
      <c r="T72" s="1217"/>
      <c r="U72" s="1190"/>
      <c r="V72" s="1190"/>
      <c r="W72" s="1190"/>
      <c r="X72" s="1191"/>
      <c r="Y72" s="1190"/>
      <c r="Z72" s="1217"/>
      <c r="AA72" s="1217"/>
      <c r="AB72" s="1218"/>
      <c r="AC72" s="1192"/>
      <c r="AD72" s="81"/>
      <c r="AE72" s="44"/>
      <c r="AF72" s="44"/>
      <c r="AG72" s="44"/>
    </row>
    <row r="73" spans="18:33" ht="15.6">
      <c r="R73" s="1189"/>
      <c r="S73" s="1190"/>
      <c r="T73" s="1190"/>
      <c r="U73" s="1190"/>
      <c r="V73" s="1190"/>
      <c r="W73" s="1190"/>
      <c r="X73" s="1191"/>
      <c r="Y73" s="1190"/>
      <c r="Z73" s="1217"/>
      <c r="AA73" s="1217"/>
      <c r="AB73" s="1218"/>
      <c r="AC73" s="1192"/>
      <c r="AD73" s="81"/>
      <c r="AE73" s="44"/>
      <c r="AF73" s="44"/>
      <c r="AG73" s="44"/>
    </row>
    <row r="74" spans="18:33" ht="15.6">
      <c r="R74" s="1189"/>
      <c r="S74" s="1190"/>
      <c r="T74" s="1217"/>
      <c r="U74" s="1190"/>
      <c r="V74" s="1190"/>
      <c r="W74" s="1190"/>
      <c r="X74" s="1191"/>
      <c r="Y74" s="1190"/>
      <c r="Z74" s="1217"/>
      <c r="AA74" s="1217"/>
      <c r="AB74" s="1218"/>
      <c r="AC74" s="1192"/>
      <c r="AD74" s="81"/>
      <c r="AE74" s="44"/>
      <c r="AF74" s="44"/>
      <c r="AG74" s="44"/>
    </row>
    <row r="75" spans="18:33" ht="15.6">
      <c r="R75" s="1189"/>
      <c r="S75" s="1190"/>
      <c r="T75" s="1217"/>
      <c r="U75" s="1190"/>
      <c r="V75" s="1190"/>
      <c r="W75" s="1190"/>
      <c r="X75" s="1191"/>
      <c r="Y75" s="1190"/>
      <c r="Z75" s="1217"/>
      <c r="AA75" s="1217"/>
      <c r="AB75" s="1218"/>
      <c r="AC75" s="1192"/>
      <c r="AD75" s="81"/>
      <c r="AE75" s="44"/>
      <c r="AF75" s="44"/>
      <c r="AG75" s="44"/>
    </row>
    <row r="76" spans="18:33" ht="15.6">
      <c r="R76" s="1189"/>
      <c r="S76" s="1190"/>
      <c r="T76" s="1190"/>
      <c r="U76" s="1190"/>
      <c r="V76" s="1190"/>
      <c r="W76" s="1190"/>
      <c r="X76" s="1191"/>
      <c r="Y76" s="1190"/>
      <c r="Z76" s="1217"/>
      <c r="AA76" s="1217"/>
      <c r="AB76" s="1218"/>
      <c r="AC76" s="1192"/>
      <c r="AD76" s="81"/>
      <c r="AE76" s="44"/>
      <c r="AF76" s="44"/>
      <c r="AG76" s="44"/>
    </row>
    <row r="77" spans="18:33" ht="15.6">
      <c r="R77" s="1189"/>
      <c r="S77" s="1190"/>
      <c r="T77" s="1217"/>
      <c r="U77" s="1190"/>
      <c r="V77" s="1190"/>
      <c r="W77" s="1190"/>
      <c r="X77" s="1191"/>
      <c r="Y77" s="1190"/>
      <c r="Z77" s="1217"/>
      <c r="AA77" s="1217"/>
      <c r="AB77" s="1218"/>
      <c r="AC77" s="1192"/>
      <c r="AD77" s="81"/>
      <c r="AE77" s="44"/>
      <c r="AF77" s="44"/>
      <c r="AG77" s="44"/>
    </row>
    <row r="78" spans="18:33" ht="15.6">
      <c r="R78" s="1189"/>
      <c r="S78" s="1190"/>
      <c r="T78" s="1217"/>
      <c r="U78" s="1190"/>
      <c r="V78" s="1190"/>
      <c r="W78" s="1190"/>
      <c r="X78" s="1191"/>
      <c r="Y78" s="1190"/>
      <c r="Z78" s="1217"/>
      <c r="AA78" s="1217"/>
      <c r="AB78" s="1218"/>
      <c r="AC78" s="1192"/>
      <c r="AD78" s="81"/>
      <c r="AE78" s="44"/>
      <c r="AF78" s="44"/>
      <c r="AG78" s="44"/>
    </row>
    <row r="79" spans="18:33" ht="15.6">
      <c r="R79" s="1189"/>
      <c r="S79" s="1190"/>
      <c r="T79" s="1217"/>
      <c r="U79" s="1190"/>
      <c r="V79" s="1190"/>
      <c r="W79" s="1190"/>
      <c r="X79" s="1191"/>
      <c r="Y79" s="1190"/>
      <c r="Z79" s="1217"/>
      <c r="AA79" s="1217"/>
      <c r="AB79" s="1218"/>
      <c r="AC79" s="1192"/>
      <c r="AD79" s="81"/>
      <c r="AE79" s="44"/>
      <c r="AF79" s="44"/>
      <c r="AG79" s="44"/>
    </row>
    <row r="80" spans="18:33" ht="15.6">
      <c r="R80" s="1189"/>
      <c r="S80" s="1190"/>
      <c r="T80" s="1217"/>
      <c r="U80" s="1190"/>
      <c r="V80" s="1190"/>
      <c r="W80" s="1190"/>
      <c r="X80" s="1191"/>
      <c r="Y80" s="1190"/>
      <c r="Z80" s="1217"/>
      <c r="AA80" s="1217"/>
      <c r="AB80" s="1218"/>
      <c r="AC80" s="1192"/>
      <c r="AD80" s="81"/>
      <c r="AE80" s="44"/>
      <c r="AF80" s="44"/>
      <c r="AG80" s="44"/>
    </row>
    <row r="81" spans="18:33" ht="15.6">
      <c r="R81" s="1189"/>
      <c r="S81" s="1190"/>
      <c r="T81" s="1190"/>
      <c r="U81" s="1190"/>
      <c r="V81" s="1190"/>
      <c r="W81" s="1190"/>
      <c r="X81" s="1191"/>
      <c r="Y81" s="1190"/>
      <c r="Z81" s="1217"/>
      <c r="AA81" s="1217"/>
      <c r="AB81" s="1218"/>
      <c r="AC81" s="1192"/>
      <c r="AD81" s="81"/>
      <c r="AE81" s="44"/>
      <c r="AF81" s="44"/>
      <c r="AG81" s="44"/>
    </row>
    <row r="82" spans="18:33" ht="15.6">
      <c r="R82" s="1189"/>
      <c r="S82" s="1190"/>
      <c r="T82" s="1190"/>
      <c r="U82" s="1190"/>
      <c r="V82" s="1190"/>
      <c r="W82" s="1190"/>
      <c r="X82" s="1191"/>
      <c r="Y82" s="1190"/>
      <c r="Z82" s="1217"/>
      <c r="AA82" s="1217"/>
      <c r="AB82" s="1218"/>
      <c r="AC82" s="1192"/>
      <c r="AD82" s="81"/>
      <c r="AE82" s="44"/>
      <c r="AF82" s="44"/>
      <c r="AG82" s="44"/>
    </row>
    <row r="83" spans="18:33" ht="15.6">
      <c r="R83" s="1189"/>
      <c r="S83" s="1190"/>
      <c r="T83" s="1190"/>
      <c r="U83" s="1190"/>
      <c r="V83" s="1190"/>
      <c r="W83" s="1190"/>
      <c r="X83" s="1191"/>
      <c r="Y83" s="1190"/>
      <c r="Z83" s="1217"/>
      <c r="AA83" s="1217"/>
      <c r="AB83" s="1218"/>
      <c r="AC83" s="1192"/>
      <c r="AD83" s="81"/>
      <c r="AE83" s="44"/>
      <c r="AF83" s="44"/>
      <c r="AG83" s="44"/>
    </row>
    <row r="84" spans="18:33" ht="15.6">
      <c r="R84" s="1189"/>
      <c r="S84" s="1190"/>
      <c r="T84" s="1217"/>
      <c r="U84" s="1190"/>
      <c r="V84" s="1190"/>
      <c r="W84" s="1190"/>
      <c r="X84" s="1191"/>
      <c r="Y84" s="1190"/>
      <c r="Z84" s="1217"/>
      <c r="AA84" s="1217"/>
      <c r="AB84" s="1218"/>
      <c r="AC84" s="1192"/>
      <c r="AD84" s="81"/>
      <c r="AE84" s="44"/>
      <c r="AF84" s="44"/>
      <c r="AG84" s="44"/>
    </row>
    <row r="85" spans="18:33" ht="15.6">
      <c r="R85" s="1189"/>
      <c r="S85" s="1190"/>
      <c r="T85" s="1217"/>
      <c r="U85" s="1190"/>
      <c r="V85" s="1190"/>
      <c r="W85" s="1190"/>
      <c r="X85" s="1191"/>
      <c r="Y85" s="1190"/>
      <c r="Z85" s="1217"/>
      <c r="AA85" s="1217"/>
      <c r="AB85" s="1218"/>
      <c r="AC85" s="1192"/>
      <c r="AD85" s="81"/>
      <c r="AE85" s="44"/>
      <c r="AF85" s="44"/>
      <c r="AG85" s="44"/>
    </row>
    <row r="86" spans="18:33" ht="15.6">
      <c r="R86" s="1189"/>
      <c r="S86" s="1190"/>
      <c r="T86" s="1190"/>
      <c r="U86" s="1190"/>
      <c r="V86" s="1190"/>
      <c r="W86" s="1190"/>
      <c r="X86" s="1191"/>
      <c r="Y86" s="1190"/>
      <c r="Z86" s="1217"/>
      <c r="AA86" s="1217"/>
      <c r="AB86" s="1218"/>
      <c r="AC86" s="1192"/>
      <c r="AD86" s="81"/>
      <c r="AE86" s="44"/>
      <c r="AF86" s="44"/>
      <c r="AG86" s="44"/>
    </row>
    <row r="87" spans="18:33" ht="15.6">
      <c r="R87" s="1189"/>
      <c r="S87" s="1190"/>
      <c r="T87" s="1190"/>
      <c r="U87" s="1190"/>
      <c r="V87" s="1190"/>
      <c r="W87" s="1190"/>
      <c r="X87" s="1191"/>
      <c r="Y87" s="1190"/>
      <c r="Z87" s="1217"/>
      <c r="AA87" s="1217"/>
      <c r="AB87" s="1218"/>
      <c r="AC87" s="1192"/>
      <c r="AD87" s="81"/>
      <c r="AE87" s="44"/>
      <c r="AF87" s="44"/>
      <c r="AG87" s="44"/>
    </row>
    <row r="88" spans="18:33" ht="15.6">
      <c r="R88" s="1189"/>
      <c r="S88" s="1190"/>
      <c r="T88" s="1111"/>
      <c r="U88" s="1190"/>
      <c r="V88" s="1190"/>
      <c r="W88" s="1190"/>
      <c r="X88" s="1191"/>
      <c r="Y88" s="1190"/>
      <c r="Z88" s="1106"/>
      <c r="AA88" s="1106"/>
      <c r="AB88" s="1110"/>
      <c r="AC88" s="1192"/>
      <c r="AD88" s="81"/>
      <c r="AE88" s="44"/>
      <c r="AF88" s="44"/>
      <c r="AG88" s="44"/>
    </row>
    <row r="89" spans="18:33" ht="15.6">
      <c r="R89" s="1189"/>
      <c r="S89" s="1190"/>
      <c r="T89" s="1111"/>
      <c r="U89" s="1190"/>
      <c r="V89" s="1190"/>
      <c r="W89" s="1190"/>
      <c r="X89" s="1191"/>
      <c r="Y89" s="1190"/>
      <c r="Z89" s="1190"/>
      <c r="AA89" s="1190"/>
      <c r="AB89" s="1110"/>
      <c r="AC89" s="1192"/>
      <c r="AD89" s="81"/>
      <c r="AE89" s="44"/>
      <c r="AF89" s="44"/>
      <c r="AG89" s="44"/>
    </row>
    <row r="90" spans="18:33">
      <c r="R90" s="1189"/>
      <c r="S90" s="1190"/>
      <c r="T90" s="1106"/>
      <c r="U90" s="1190"/>
      <c r="V90" s="1190"/>
      <c r="W90" s="1190"/>
      <c r="X90" s="1191"/>
      <c r="Y90" s="1190"/>
      <c r="Z90" s="1190"/>
      <c r="AA90" s="1190"/>
      <c r="AB90" s="1190"/>
      <c r="AC90" s="1192"/>
      <c r="AD90" s="81"/>
      <c r="AE90" s="44"/>
      <c r="AF90" s="44"/>
      <c r="AG90" s="44"/>
    </row>
    <row r="91" spans="18:33">
      <c r="R91" s="1189"/>
      <c r="S91" s="1190"/>
      <c r="T91" s="1190"/>
      <c r="U91" s="1190"/>
      <c r="V91" s="1190"/>
      <c r="W91" s="1190"/>
      <c r="X91" s="1191"/>
      <c r="Y91" s="1190"/>
      <c r="Z91" s="1190"/>
      <c r="AA91" s="1190"/>
      <c r="AB91" s="1190"/>
      <c r="AC91" s="1192"/>
      <c r="AD91" s="81"/>
      <c r="AE91" s="44"/>
      <c r="AF91" s="44"/>
      <c r="AG91" s="44"/>
    </row>
    <row r="92" spans="18:33">
      <c r="R92" s="1189"/>
      <c r="S92" s="1190"/>
      <c r="T92" s="1190"/>
      <c r="U92" s="1190"/>
      <c r="V92" s="1190"/>
      <c r="W92" s="1190"/>
      <c r="X92" s="1191"/>
      <c r="Y92" s="1190"/>
      <c r="Z92" s="1190"/>
      <c r="AA92" s="1190"/>
      <c r="AB92" s="1190"/>
      <c r="AC92" s="1192"/>
      <c r="AD92" s="81"/>
      <c r="AE92" s="44"/>
      <c r="AF92" s="44"/>
      <c r="AG92" s="44"/>
    </row>
    <row r="93" spans="18:33">
      <c r="R93" s="1189"/>
      <c r="S93" s="1190"/>
      <c r="T93" s="1106"/>
      <c r="U93" s="1190"/>
      <c r="V93" s="1190"/>
      <c r="W93" s="1190"/>
      <c r="X93" s="1191"/>
      <c r="Y93" s="1190"/>
      <c r="Z93" s="1190"/>
      <c r="AA93" s="1190"/>
      <c r="AB93" s="1190"/>
      <c r="AC93" s="1192"/>
      <c r="AD93" s="81"/>
      <c r="AE93" s="44"/>
      <c r="AF93" s="44"/>
      <c r="AG93" s="44"/>
    </row>
    <row r="94" spans="18:33">
      <c r="R94" s="1189"/>
      <c r="S94" s="1190"/>
      <c r="T94" s="1106"/>
      <c r="U94" s="1190"/>
      <c r="V94" s="1190"/>
      <c r="W94" s="1190"/>
      <c r="X94" s="1191"/>
      <c r="Y94" s="1190"/>
      <c r="Z94" s="1190"/>
      <c r="AA94" s="1190"/>
      <c r="AB94" s="1190"/>
      <c r="AC94" s="1192"/>
      <c r="AD94" s="26"/>
    </row>
    <row r="95" spans="18:33">
      <c r="R95" s="1189"/>
      <c r="S95" s="1190"/>
      <c r="T95" s="1111"/>
      <c r="U95" s="1190"/>
      <c r="V95" s="1190"/>
      <c r="W95" s="1190"/>
      <c r="X95" s="1191"/>
      <c r="Y95" s="1190"/>
      <c r="Z95" s="1190"/>
      <c r="AA95" s="1190"/>
      <c r="AB95" s="1190"/>
      <c r="AC95" s="1192"/>
      <c r="AD95" s="26"/>
    </row>
    <row r="96" spans="18:33">
      <c r="R96" s="1189"/>
      <c r="S96" s="1190"/>
      <c r="T96" s="1106"/>
      <c r="U96" s="1190"/>
      <c r="V96" s="1190"/>
      <c r="W96" s="1190"/>
      <c r="X96" s="1191"/>
      <c r="Y96" s="1190"/>
      <c r="Z96" s="1190"/>
      <c r="AA96" s="1190"/>
      <c r="AB96" s="1190"/>
      <c r="AC96" s="1192"/>
      <c r="AD96" s="26"/>
    </row>
    <row r="97" spans="18:30">
      <c r="R97" s="1189"/>
      <c r="S97" s="1190"/>
      <c r="T97" s="1111"/>
      <c r="U97" s="1190"/>
      <c r="V97" s="1190"/>
      <c r="W97" s="1190"/>
      <c r="X97" s="1191"/>
      <c r="Y97" s="1190"/>
      <c r="Z97" s="1190"/>
      <c r="AA97" s="1190"/>
      <c r="AB97" s="1190"/>
      <c r="AC97" s="1192"/>
      <c r="AD97" s="26"/>
    </row>
    <row r="98" spans="18:30">
      <c r="R98" s="1189"/>
      <c r="S98" s="1190"/>
      <c r="T98" s="1106"/>
      <c r="U98" s="1190"/>
      <c r="V98" s="1190"/>
      <c r="W98" s="1190"/>
      <c r="X98" s="1191"/>
      <c r="Y98" s="1190"/>
      <c r="Z98" s="1190"/>
      <c r="AA98" s="1190"/>
      <c r="AB98" s="1190"/>
      <c r="AC98" s="1192"/>
      <c r="AD98" s="26"/>
    </row>
    <row r="99" spans="18:30">
      <c r="R99" s="1189"/>
      <c r="S99" s="1190"/>
      <c r="T99" s="1106"/>
      <c r="U99" s="1190"/>
      <c r="V99" s="1190"/>
      <c r="W99" s="1190"/>
      <c r="X99" s="1191"/>
      <c r="Y99" s="1190"/>
      <c r="Z99" s="1190"/>
      <c r="AA99" s="1190"/>
      <c r="AB99" s="1190"/>
      <c r="AC99" s="1192"/>
      <c r="AD99" s="26"/>
    </row>
    <row r="100" spans="18:30">
      <c r="R100" s="1189"/>
      <c r="S100" s="1190"/>
      <c r="T100" s="1111"/>
      <c r="U100" s="1190"/>
      <c r="V100" s="1190"/>
      <c r="W100" s="1190"/>
      <c r="X100" s="1191"/>
      <c r="Y100" s="1190"/>
      <c r="Z100" s="1190"/>
      <c r="AA100" s="1190"/>
      <c r="AB100" s="1190"/>
      <c r="AC100" s="1192"/>
      <c r="AD100" s="26"/>
    </row>
    <row r="101" spans="18:30">
      <c r="R101" s="1189"/>
      <c r="S101" s="1190"/>
      <c r="T101" s="1106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26"/>
    </row>
    <row r="102" spans="18:30">
      <c r="R102" s="1189"/>
      <c r="S102" s="1190"/>
      <c r="T102" s="1190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26"/>
    </row>
    <row r="103" spans="18:30">
      <c r="R103" s="1189"/>
      <c r="S103" s="1190"/>
      <c r="T103" s="1106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26"/>
    </row>
    <row r="104" spans="18:30">
      <c r="R104" s="1189"/>
      <c r="S104" s="1190"/>
      <c r="T104" s="1106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26"/>
    </row>
    <row r="105" spans="18:30"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26"/>
    </row>
    <row r="106" spans="18:30">
      <c r="R106" s="1189"/>
      <c r="S106" s="1190"/>
      <c r="T106" s="1106"/>
      <c r="U106" s="1190"/>
      <c r="V106" s="1190"/>
      <c r="W106" s="1190"/>
      <c r="X106" s="1193"/>
      <c r="Y106" s="1190"/>
      <c r="Z106" s="1190"/>
      <c r="AA106" s="1190"/>
      <c r="AB106" s="1190"/>
      <c r="AC106" s="1192"/>
      <c r="AD106" s="26"/>
    </row>
    <row r="107" spans="18:30">
      <c r="R107" s="1189"/>
      <c r="S107" s="1190"/>
      <c r="T107" s="1111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26"/>
    </row>
    <row r="108" spans="18:30">
      <c r="R108" s="1194"/>
      <c r="S108" s="1195"/>
      <c r="T108" s="1111"/>
      <c r="U108" s="1195"/>
      <c r="V108" s="1190"/>
      <c r="W108" s="1190"/>
      <c r="X108" s="1196"/>
      <c r="Y108" s="1195"/>
      <c r="Z108" s="1195"/>
      <c r="AA108" s="1195"/>
      <c r="AB108" s="1195"/>
      <c r="AC108" s="1192"/>
      <c r="AD108" s="26"/>
    </row>
    <row r="109" spans="18:30">
      <c r="R109" s="1194"/>
      <c r="S109" s="1195"/>
      <c r="T109" s="1111"/>
      <c r="U109" s="1195"/>
      <c r="V109" s="1190"/>
      <c r="W109" s="1190"/>
      <c r="X109" s="1196"/>
      <c r="Y109" s="1195"/>
      <c r="Z109" s="1195"/>
      <c r="AA109" s="1195"/>
      <c r="AB109" s="1195"/>
      <c r="AC109" s="1192"/>
      <c r="AD109" s="26"/>
    </row>
    <row r="110" spans="18:30">
      <c r="R110" s="1189"/>
      <c r="S110" s="1190"/>
      <c r="T110" s="1111"/>
      <c r="U110" s="1190"/>
      <c r="V110" s="1190"/>
      <c r="W110" s="1190"/>
      <c r="X110" s="1191"/>
      <c r="Y110" s="1195"/>
      <c r="Z110" s="1190"/>
      <c r="AA110" s="1190"/>
      <c r="AB110" s="1190"/>
      <c r="AC110" s="1192"/>
      <c r="AD110" s="26"/>
    </row>
    <row r="111" spans="18:30">
      <c r="R111" s="1189"/>
      <c r="S111" s="1190"/>
      <c r="T111" s="1111"/>
      <c r="U111" s="1190"/>
      <c r="V111" s="1190"/>
      <c r="W111" s="1190"/>
      <c r="X111" s="1191"/>
      <c r="Y111" s="1195"/>
      <c r="Z111" s="1190"/>
      <c r="AA111" s="1190"/>
      <c r="AB111" s="1190"/>
      <c r="AC111" s="1192"/>
      <c r="AD111" s="26"/>
    </row>
    <row r="112" spans="18:30">
      <c r="R112" s="1194"/>
      <c r="S112" s="1195"/>
      <c r="T112" s="1111"/>
      <c r="U112" s="1195"/>
      <c r="V112" s="1195"/>
      <c r="W112" s="1190"/>
      <c r="X112" s="1196"/>
      <c r="Y112" s="1195"/>
      <c r="Z112" s="1195"/>
      <c r="AA112" s="1195"/>
      <c r="AB112" s="1190"/>
      <c r="AC112" s="1192"/>
      <c r="AD112" s="26"/>
    </row>
    <row r="113" spans="18:30">
      <c r="R113" s="1194"/>
      <c r="S113" s="1195"/>
      <c r="T113" s="1106"/>
      <c r="U113" s="1195"/>
      <c r="V113" s="1195"/>
      <c r="W113" s="1195"/>
      <c r="X113" s="1196"/>
      <c r="Y113" s="1195"/>
      <c r="Z113" s="1195"/>
      <c r="AA113" s="1195"/>
      <c r="AB113" s="1195"/>
      <c r="AC113" s="1197"/>
      <c r="AD113" s="26"/>
    </row>
    <row r="114" spans="18:30">
      <c r="R114" s="1189"/>
      <c r="S114" s="1190"/>
      <c r="T114" s="1190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26"/>
    </row>
    <row r="115" spans="18:30">
      <c r="R115" s="1189"/>
      <c r="S115" s="1190"/>
      <c r="T115" s="1190"/>
      <c r="U115" s="1190"/>
      <c r="V115" s="1195"/>
      <c r="W115" s="1190"/>
      <c r="X115" s="1191"/>
      <c r="Y115" s="1190"/>
      <c r="Z115" s="1190"/>
      <c r="AA115" s="1190"/>
      <c r="AB115" s="1190"/>
      <c r="AC115" s="1192"/>
      <c r="AD115" s="26"/>
    </row>
    <row r="116" spans="18:30">
      <c r="R116" s="1189"/>
      <c r="S116" s="1190"/>
      <c r="T116" s="1190"/>
      <c r="U116" s="1190"/>
      <c r="V116" s="1195"/>
      <c r="W116" s="1190"/>
      <c r="X116" s="1191"/>
      <c r="Y116" s="1190"/>
      <c r="Z116" s="1190"/>
      <c r="AA116" s="1190"/>
      <c r="AB116" s="1190"/>
      <c r="AC116" s="1192"/>
      <c r="AD116" s="26"/>
    </row>
    <row r="117" spans="18:30"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26"/>
    </row>
    <row r="118" spans="18:30"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26"/>
    </row>
    <row r="119" spans="18:30" s="44" customFormat="1">
      <c r="R119" s="1189"/>
      <c r="S119" s="1190"/>
      <c r="T119" s="1190"/>
      <c r="U119" s="1190"/>
      <c r="V119" s="1195"/>
      <c r="W119" s="1190"/>
      <c r="X119" s="1191"/>
      <c r="Y119" s="1190"/>
      <c r="Z119" s="1190"/>
      <c r="AA119" s="1190"/>
      <c r="AB119" s="1190"/>
      <c r="AC119" s="1192"/>
      <c r="AD119" s="81"/>
    </row>
    <row r="120" spans="18:30" s="44" customFormat="1">
      <c r="R120" s="1189"/>
      <c r="S120" s="1190"/>
      <c r="T120" s="1190"/>
      <c r="U120" s="1190"/>
      <c r="V120" s="1195"/>
      <c r="W120" s="1190"/>
      <c r="X120" s="1191"/>
      <c r="Y120" s="1190"/>
      <c r="Z120" s="1190"/>
      <c r="AA120" s="1190"/>
      <c r="AB120" s="1190"/>
      <c r="AC120" s="1192"/>
      <c r="AD120" s="203"/>
    </row>
    <row r="121" spans="18:30" s="44" customFormat="1">
      <c r="R121" s="1190"/>
      <c r="S121" s="1190"/>
      <c r="T121" s="1190"/>
      <c r="U121" s="1190"/>
      <c r="V121" s="1190"/>
      <c r="W121" s="1190"/>
      <c r="X121" s="1190"/>
      <c r="Y121" s="1190"/>
      <c r="Z121" s="1190"/>
      <c r="AA121" s="1190"/>
      <c r="AB121" s="1190"/>
      <c r="AC121" s="1190"/>
    </row>
    <row r="122" spans="18:30" s="44" customFormat="1">
      <c r="R122" s="1190"/>
      <c r="S122" s="1190"/>
      <c r="T122" s="1190"/>
      <c r="U122" s="1190"/>
      <c r="V122" s="1190"/>
      <c r="W122" s="1190"/>
      <c r="X122" s="1190"/>
      <c r="Y122" s="1190"/>
      <c r="Z122" s="1190"/>
      <c r="AA122" s="1190"/>
      <c r="AB122" s="1190"/>
      <c r="AC122" s="1190"/>
    </row>
    <row r="123" spans="18:30" s="44" customFormat="1">
      <c r="R123" s="1190"/>
      <c r="S123" s="1190"/>
      <c r="T123" s="1190"/>
      <c r="U123" s="1190"/>
      <c r="V123" s="1190"/>
      <c r="W123" s="1190"/>
      <c r="X123" s="1190"/>
      <c r="Y123" s="1190"/>
      <c r="Z123" s="1190"/>
      <c r="AA123" s="1190"/>
      <c r="AB123" s="1190"/>
      <c r="AC123" s="1190"/>
    </row>
    <row r="124" spans="18:30" s="44" customFormat="1">
      <c r="R124" s="1190"/>
      <c r="S124" s="1190"/>
      <c r="T124" s="1190"/>
      <c r="U124" s="1190"/>
      <c r="V124" s="1190"/>
      <c r="W124" s="1190"/>
      <c r="X124" s="1190"/>
      <c r="Y124" s="1190"/>
      <c r="Z124" s="1190"/>
      <c r="AA124" s="1190"/>
      <c r="AB124" s="1190"/>
      <c r="AC124" s="1190"/>
    </row>
    <row r="125" spans="18:30" s="44" customFormat="1">
      <c r="R125" s="1190"/>
      <c r="S125" s="1190"/>
      <c r="T125" s="1190"/>
      <c r="U125" s="1190"/>
      <c r="V125" s="1190"/>
      <c r="W125" s="1190"/>
      <c r="X125" s="1190"/>
      <c r="Y125" s="1190"/>
      <c r="Z125" s="1190"/>
      <c r="AA125" s="1190"/>
      <c r="AB125" s="1190"/>
      <c r="AC125" s="1190"/>
    </row>
    <row r="126" spans="18:30" s="44" customFormat="1">
      <c r="R126" s="1190"/>
      <c r="S126" s="1190"/>
      <c r="T126" s="1190"/>
      <c r="U126" s="1190"/>
      <c r="V126" s="1190"/>
      <c r="W126" s="1190"/>
      <c r="X126" s="1190"/>
      <c r="Y126" s="1190"/>
      <c r="Z126" s="1190"/>
      <c r="AA126" s="1190"/>
      <c r="AB126" s="1190"/>
      <c r="AC126" s="1190"/>
    </row>
    <row r="127" spans="18:30">
      <c r="R127" s="1190"/>
      <c r="S127" s="1190"/>
      <c r="T127" s="1190"/>
      <c r="U127" s="1190"/>
      <c r="V127" s="1190"/>
      <c r="W127" s="1190"/>
      <c r="X127" s="1190"/>
      <c r="Y127" s="1190"/>
      <c r="Z127" s="1190"/>
      <c r="AA127" s="1190"/>
      <c r="AB127" s="1190"/>
      <c r="AC127" s="1190"/>
    </row>
    <row r="128" spans="18:30">
      <c r="R128" s="1190"/>
      <c r="S128" s="1190"/>
      <c r="T128" s="1190"/>
      <c r="U128" s="1190"/>
      <c r="V128" s="1190"/>
      <c r="W128" s="1190"/>
      <c r="X128" s="1190"/>
      <c r="Y128" s="1190"/>
      <c r="Z128" s="1190"/>
      <c r="AA128" s="1190"/>
      <c r="AB128" s="1190"/>
      <c r="AC128" s="1190"/>
    </row>
    <row r="129" spans="18:29">
      <c r="R129" s="1190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190"/>
    </row>
    <row r="130" spans="18:29">
      <c r="R130" s="1190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190"/>
    </row>
    <row r="131" spans="18:29">
      <c r="R131" s="1190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190"/>
    </row>
    <row r="135" spans="18:29">
      <c r="U135">
        <v>22000</v>
      </c>
    </row>
    <row r="136" spans="18:29">
      <c r="U136">
        <v>11000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7" name="Range1_65_32_32_30_30_30_30_30_30_30_30_30_30_30"/>
    <protectedRange algorithmName="SHA-512" hashValue="XYWjC+iAz2ErgjMh7TSLHlxfTfK0uVcITDFdCCZFdnsWWbUNnsQqu9AM+0WFXQpYcy9ZvQx2KUXfpLhpOROHkg==" saltValue="47TiGLG0rJVTo3iAJH8T4w==" spinCount="100000" sqref="B22:D57" name="Range2_5_2_2_2_2_2_2_2_2_2_2_2_2_2"/>
    <protectedRange algorithmName="SHA-512" hashValue="24Yg3M703G5L8OyJWxlkx8c1Gwfrkael5W/l3TUk/Rcz5tR8QOgCx5v0Ebb/UGz+9BDKPJ5wV4hH8uuxvmtGIw==" saltValue="ZSJQ8EEnwGxsiYzxIw6K0Q==" spinCount="100000" sqref="B20:D57" name="Range1_65_32_2_2_2_2_2_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6:S9">
    <cfRule type="duplicateValues" dxfId="47" priority="2"/>
  </conditionalFormatting>
  <conditionalFormatting sqref="S11">
    <cfRule type="duplicateValues" dxfId="46" priority="3"/>
  </conditionalFormatting>
  <conditionalFormatting sqref="S13:S18">
    <cfRule type="duplicateValues" dxfId="45" priority="4"/>
  </conditionalFormatting>
  <conditionalFormatting sqref="S14:S16">
    <cfRule type="duplicateValues" dxfId="44" priority="1"/>
  </conditionalFormatting>
  <conditionalFormatting sqref="S19:S21 S4:S11">
    <cfRule type="duplicateValues" dxfId="43" priority="5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16C1-2FD2-49BF-8525-4D8B0F6C30F9}">
  <dimension ref="A1:AG106"/>
  <sheetViews>
    <sheetView showGridLines="0" topLeftCell="Q13" zoomScale="55" zoomScaleNormal="55" workbookViewId="0">
      <selection activeCell="T46" sqref="T46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6.88671875" bestFit="1" customWidth="1"/>
    <col min="21" max="21" width="27" customWidth="1"/>
    <col min="22" max="22" width="53" customWidth="1"/>
    <col min="23" max="23" width="26.6640625" bestFit="1" customWidth="1"/>
    <col min="24" max="24" width="17.109375" bestFit="1" customWidth="1"/>
    <col min="25" max="25" width="20.554687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bestFit="1" customWidth="1"/>
    <col min="30" max="31" width="9.109375" bestFit="1" customWidth="1"/>
  </cols>
  <sheetData>
    <row r="1" spans="1:33" ht="17.399999999999999">
      <c r="A1" s="1211" t="s">
        <v>448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7.399999999999999">
      <c r="A2" s="762" t="s">
        <v>449</v>
      </c>
      <c r="B2" s="733"/>
      <c r="C2" s="733"/>
      <c r="D2" s="733"/>
      <c r="E2" s="735"/>
      <c r="F2" s="1536" t="s">
        <v>450</v>
      </c>
      <c r="G2" s="1536"/>
      <c r="H2" s="1536"/>
      <c r="I2" s="742"/>
      <c r="J2" s="1525" t="s">
        <v>451</v>
      </c>
      <c r="K2" s="1525"/>
      <c r="L2" s="1525"/>
      <c r="M2" s="735"/>
      <c r="N2" s="1535"/>
      <c r="O2" s="1535"/>
      <c r="P2" s="1535"/>
      <c r="R2" s="1172" t="s">
        <v>452</v>
      </c>
      <c r="S2" s="1163">
        <v>3331561348</v>
      </c>
      <c r="T2" s="1207" t="s">
        <v>453</v>
      </c>
      <c r="U2" s="1207">
        <v>24141547</v>
      </c>
      <c r="V2" s="1209" t="s">
        <v>425</v>
      </c>
      <c r="W2" s="1207" t="s">
        <v>362</v>
      </c>
      <c r="X2" s="1212">
        <v>24040.633000000002</v>
      </c>
      <c r="Y2" s="1163" t="s">
        <v>426</v>
      </c>
      <c r="Z2" s="1207">
        <v>1</v>
      </c>
      <c r="AA2" s="1207">
        <v>1</v>
      </c>
      <c r="AB2" s="1067" t="s">
        <v>204</v>
      </c>
      <c r="AC2" s="240"/>
      <c r="AD2" s="1243"/>
      <c r="AE2" s="1243"/>
      <c r="AF2" s="1243"/>
      <c r="AG2" s="1243"/>
    </row>
    <row r="3" spans="1:33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452</v>
      </c>
      <c r="S3" s="1163">
        <v>3331561351</v>
      </c>
      <c r="T3" s="1207" t="s">
        <v>453</v>
      </c>
      <c r="U3" s="1207">
        <v>24141548</v>
      </c>
      <c r="V3" s="1209" t="s">
        <v>425</v>
      </c>
      <c r="W3" s="1207" t="s">
        <v>362</v>
      </c>
      <c r="X3" s="1168">
        <v>23997.627</v>
      </c>
      <c r="Y3" s="1163" t="s">
        <v>426</v>
      </c>
      <c r="Z3" s="1207">
        <v>1</v>
      </c>
      <c r="AA3" s="1207">
        <v>1</v>
      </c>
      <c r="AB3" s="1067" t="s">
        <v>204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452</v>
      </c>
      <c r="S4" s="1163">
        <v>3331561359</v>
      </c>
      <c r="T4" s="1207" t="s">
        <v>453</v>
      </c>
      <c r="U4" s="1207">
        <v>24141549</v>
      </c>
      <c r="V4" s="1209" t="s">
        <v>425</v>
      </c>
      <c r="W4" s="1207" t="s">
        <v>362</v>
      </c>
      <c r="X4" s="1168">
        <v>23997.627</v>
      </c>
      <c r="Y4" s="1163" t="s">
        <v>426</v>
      </c>
      <c r="Z4" s="1207">
        <v>1</v>
      </c>
      <c r="AA4" s="1207">
        <v>1</v>
      </c>
      <c r="AB4" s="1067" t="s">
        <v>204</v>
      </c>
      <c r="AC4" s="240"/>
      <c r="AD4" s="44"/>
      <c r="AE4" s="44"/>
      <c r="AF4" s="44"/>
      <c r="AG4" s="44"/>
    </row>
    <row r="5" spans="1:33" ht="18">
      <c r="A5" s="746" t="s">
        <v>427</v>
      </c>
      <c r="B5" s="747" cm="1">
        <f t="array" ref="B5">SUMPRODUCT(--ISNUMBER(MATCH(TRIM(W1:W253), {"JABODETABEK","JAWA TENGAH","JAWA TIMUR","LUAR PULAU"}, 0)))</f>
        <v>55</v>
      </c>
      <c r="C5" s="747" cm="1">
        <f t="array" ref="C5">SUMPRODUCT(--(LOWER(TRIM(AB1:AB279))="masuk"), --(ISNUMBER(MATCH(TRIM(W1:W279), {"JABODETABEK","JAWA TENGAH","JAWA TIMUR","LUAR PULAU"}, 0))))</f>
        <v>55</v>
      </c>
      <c r="D5" s="740">
        <f>C5+-B5</f>
        <v>0</v>
      </c>
      <c r="E5" s="734"/>
      <c r="F5" s="748" cm="1">
        <f t="array" ref="F5">SUMPRODUCT(--(LOWER(AC1:AC279)="add"), --(ISNUMBER(MATCH(W1:W279, {"JABODETABEK","JAWA TENGAH","JAWA TIMUR","LUAR PULAU"}, 0))))</f>
        <v>5</v>
      </c>
      <c r="G5" s="747" cm="1">
        <f t="array" ref="G5">SUMPRODUCT(--(LOWER(AB1:AB279)="masuk"), --(LOWER(AC1:AC279)="add"))</f>
        <v>5</v>
      </c>
      <c r="H5" s="740">
        <f>G5+-F5</f>
        <v>0</v>
      </c>
      <c r="I5" s="734"/>
      <c r="J5" s="748" cm="1">
        <f t="array" ref="J5">SUMPRODUCT(--(ISNUMBER(SEARCH("next day",LOWER(W1:W279)))+ISNUMBER(SEARCH("nextday",LOWER(W1:W279)))&gt; 0))</f>
        <v>10</v>
      </c>
      <c r="K5" s="747" cm="1">
        <f t="array" ref="K5">SUMPRODUCT(--(LOWER(AB1:AB279)="masuk"), --ISNUMBER(SEARCH("next day", LOWER(W1:W279))))</f>
        <v>10</v>
      </c>
      <c r="L5" s="740">
        <f>K5+-J5</f>
        <v>0</v>
      </c>
      <c r="M5" s="734"/>
      <c r="N5" s="748">
        <f>B5+F5+J5</f>
        <v>70</v>
      </c>
      <c r="O5" s="747">
        <f>C5+G5+K5</f>
        <v>70</v>
      </c>
      <c r="P5" s="740">
        <f>D5+H5+L5</f>
        <v>0</v>
      </c>
      <c r="R5" s="1172" t="s">
        <v>452</v>
      </c>
      <c r="S5" s="1163">
        <v>3331561361</v>
      </c>
      <c r="T5" s="1207" t="s">
        <v>453</v>
      </c>
      <c r="U5" s="1207">
        <v>24141550</v>
      </c>
      <c r="V5" s="1209" t="s">
        <v>425</v>
      </c>
      <c r="W5" s="1207" t="s">
        <v>362</v>
      </c>
      <c r="X5" s="1168">
        <v>23395.536</v>
      </c>
      <c r="Y5" s="1163" t="s">
        <v>426</v>
      </c>
      <c r="Z5" s="1207">
        <v>1</v>
      </c>
      <c r="AA5" s="1207">
        <v>1</v>
      </c>
      <c r="AB5" s="1067" t="s">
        <v>204</v>
      </c>
      <c r="AC5" s="240"/>
      <c r="AD5" s="44"/>
      <c r="AE5" s="44"/>
      <c r="AF5" s="44"/>
      <c r="AG5" s="44"/>
    </row>
    <row r="6" spans="1:33" ht="17.399999999999999">
      <c r="A6" s="733"/>
      <c r="B6" s="733">
        <f>SUM(B5)</f>
        <v>55</v>
      </c>
      <c r="C6" s="733">
        <f>SUM(C5)</f>
        <v>55</v>
      </c>
      <c r="D6" s="739">
        <f>SUM(D5)</f>
        <v>0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10</v>
      </c>
      <c r="K6" s="733">
        <f>SUM(K5)</f>
        <v>10</v>
      </c>
      <c r="L6" s="739">
        <f>SUM(L5)</f>
        <v>0</v>
      </c>
      <c r="M6" s="733"/>
      <c r="N6" s="760">
        <f>SUM(N5:N5)</f>
        <v>70</v>
      </c>
      <c r="O6" s="760">
        <f>SUM(O5:O5)</f>
        <v>70</v>
      </c>
      <c r="P6" s="761">
        <f>SUM(P5:P5)</f>
        <v>0</v>
      </c>
      <c r="R6" s="1172" t="s">
        <v>454</v>
      </c>
      <c r="S6" s="1163">
        <v>3331560970</v>
      </c>
      <c r="T6" s="1207" t="s">
        <v>453</v>
      </c>
      <c r="U6" s="1163">
        <v>24141505</v>
      </c>
      <c r="V6" s="1209" t="s">
        <v>425</v>
      </c>
      <c r="W6" s="1207" t="s">
        <v>362</v>
      </c>
      <c r="X6" s="1168">
        <v>22191.353999999999</v>
      </c>
      <c r="Y6" s="1163" t="s">
        <v>426</v>
      </c>
      <c r="Z6" s="1207">
        <v>1</v>
      </c>
      <c r="AA6" s="1207">
        <v>1</v>
      </c>
      <c r="AB6" s="1067" t="s">
        <v>204</v>
      </c>
      <c r="AC6" s="240"/>
      <c r="AD6" s="44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454</v>
      </c>
      <c r="S7" s="1163">
        <v>3331560972</v>
      </c>
      <c r="T7" s="1207" t="s">
        <v>453</v>
      </c>
      <c r="U7" s="1163">
        <v>24141506</v>
      </c>
      <c r="V7" s="1209" t="s">
        <v>425</v>
      </c>
      <c r="W7" s="1207" t="s">
        <v>362</v>
      </c>
      <c r="X7" s="1168">
        <v>22191.353999999999</v>
      </c>
      <c r="Y7" s="1163" t="s">
        <v>426</v>
      </c>
      <c r="Z7" s="1207">
        <v>1</v>
      </c>
      <c r="AA7" s="1207">
        <v>1</v>
      </c>
      <c r="AB7" s="1067" t="s">
        <v>204</v>
      </c>
      <c r="AC7" s="240"/>
      <c r="AD7" s="44"/>
      <c r="AE7" s="44"/>
      <c r="AF7" s="44"/>
      <c r="AG7" s="44"/>
    </row>
    <row r="8" spans="1:33" ht="17.399999999999999">
      <c r="A8" s="763" t="str">
        <f>A1</f>
        <v>Plan tgl 17-19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2" t="s">
        <v>454</v>
      </c>
      <c r="S8" s="1163">
        <v>3331560973</v>
      </c>
      <c r="T8" s="1207" t="s">
        <v>453</v>
      </c>
      <c r="U8" s="1163">
        <v>24141507</v>
      </c>
      <c r="V8" s="1209" t="s">
        <v>425</v>
      </c>
      <c r="W8" s="1207" t="s">
        <v>362</v>
      </c>
      <c r="X8" s="1168">
        <v>22191.353999999999</v>
      </c>
      <c r="Y8" s="1163" t="s">
        <v>426</v>
      </c>
      <c r="Z8" s="1207">
        <v>1</v>
      </c>
      <c r="AA8" s="1207">
        <v>1</v>
      </c>
      <c r="AB8" s="1067" t="s">
        <v>204</v>
      </c>
      <c r="AC8" s="240"/>
      <c r="AD8" s="44"/>
      <c r="AE8" s="44"/>
      <c r="AF8" s="44"/>
      <c r="AG8" s="44"/>
    </row>
    <row r="9" spans="1:33" ht="18">
      <c r="A9" s="763" t="str">
        <f>A2</f>
        <v>Realz update 20 OKT’25 jam 07.00</v>
      </c>
      <c r="B9" s="825"/>
      <c r="C9" s="825"/>
      <c r="D9" s="825"/>
      <c r="E9" s="734"/>
      <c r="F9" s="1525" t="str">
        <f>F2</f>
        <v>Tgl 17 OKT’25 diatas jam 15.00</v>
      </c>
      <c r="G9" s="1525"/>
      <c r="H9" s="1525"/>
      <c r="I9" s="826"/>
      <c r="J9" s="1525" t="str">
        <f>J2</f>
        <v>Tgl 17 OKT’25</v>
      </c>
      <c r="K9" s="1525"/>
      <c r="L9" s="1525"/>
      <c r="M9" s="734"/>
      <c r="N9" s="1526"/>
      <c r="O9" s="1526"/>
      <c r="P9" s="1526"/>
      <c r="R9" s="1172" t="s">
        <v>454</v>
      </c>
      <c r="S9" s="1163">
        <v>3331561023</v>
      </c>
      <c r="T9" s="1207" t="s">
        <v>453</v>
      </c>
      <c r="U9" s="1163">
        <v>24141513</v>
      </c>
      <c r="V9" s="1209" t="s">
        <v>425</v>
      </c>
      <c r="W9" s="1207" t="s">
        <v>362</v>
      </c>
      <c r="X9" s="1168">
        <v>22147.09</v>
      </c>
      <c r="Y9" s="1163" t="s">
        <v>426</v>
      </c>
      <c r="Z9" s="1207">
        <v>1</v>
      </c>
      <c r="AA9" s="1207">
        <v>1</v>
      </c>
      <c r="AB9" s="1067" t="s">
        <v>204</v>
      </c>
      <c r="AC9" s="240"/>
      <c r="AD9" s="44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172" t="s">
        <v>455</v>
      </c>
      <c r="S10" s="1163">
        <v>3331561360</v>
      </c>
      <c r="T10" s="1207" t="s">
        <v>453</v>
      </c>
      <c r="U10" s="1163">
        <v>24141552</v>
      </c>
      <c r="V10" s="1202" t="s">
        <v>429</v>
      </c>
      <c r="W10" s="1207" t="s">
        <v>362</v>
      </c>
      <c r="X10" s="1168">
        <v>24771.743999999999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44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60" t="s">
        <v>455</v>
      </c>
      <c r="S11" s="1261">
        <v>3331561385</v>
      </c>
      <c r="T11" s="1264" t="s">
        <v>453</v>
      </c>
      <c r="U11" s="1261">
        <v>24141553</v>
      </c>
      <c r="V11" s="1261" t="s">
        <v>429</v>
      </c>
      <c r="W11" s="1264" t="s">
        <v>362</v>
      </c>
      <c r="X11" s="1267">
        <v>23395.536</v>
      </c>
      <c r="Y11" s="1261" t="s">
        <v>426</v>
      </c>
      <c r="Z11" s="1264">
        <v>1</v>
      </c>
      <c r="AA11" s="1264">
        <v>1</v>
      </c>
      <c r="AB11" s="1157" t="s">
        <v>204</v>
      </c>
      <c r="AC11" s="1266"/>
      <c r="AD11" s="44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SUMPRODUCT(--(TRIM(LOWER(W1:W279))="jabodetabek"))</f>
        <v>13</v>
      </c>
      <c r="C12" s="748" cm="1">
        <f t="array" ref="C12">SUMPRODUCT(--(LOWER(AB1:AB279)="masuk"), --(TRIM(LOWER(W1:W279))="jabodetabek"))</f>
        <v>13</v>
      </c>
      <c r="D12" s="973">
        <f>C12+-B12</f>
        <v>0</v>
      </c>
      <c r="E12" s="734"/>
      <c r="F12" s="748" cm="1">
        <f t="array" ref="F12">SUMPRODUCT(--(LOWER(AC1:AC279)="add"), --(TRIM(LOWER(W1:W279))="jabodetabek"))</f>
        <v>5</v>
      </c>
      <c r="G12" s="747" cm="1">
        <f t="array" ref="G12">SUMPRODUCT(--(LOWER(AB1:AB279)="masuk"), --(LOWER(AC1:AC279)="add"), --(TRIM(LOWER(W1:W279))="jabodetabek"))</f>
        <v>5</v>
      </c>
      <c r="H12" s="740">
        <f>G12+-F12</f>
        <v>0</v>
      </c>
      <c r="I12" s="734"/>
      <c r="J12" s="748" cm="1">
        <f t="array" ref="J12">SUMPRODUCT(--(ISNUMBER(SEARCH("jabodetabek next day",LOWER(W1:W279)))+ISNUMBER(SEARCH("jabodetabek nextday",LOWER(W1:W279)))&gt; 0))</f>
        <v>9</v>
      </c>
      <c r="K12" s="747" cm="1">
        <f t="array" ref="K12">SUMPRODUCT(--(LOWER(AB1:AB279)="masuk"), --(LOWER(TRIM(W1:W279))="jabodetabek next day"))</f>
        <v>9</v>
      </c>
      <c r="L12" s="740">
        <f>K12+-J12</f>
        <v>0</v>
      </c>
      <c r="M12" s="734"/>
      <c r="N12" s="748">
        <f t="shared" ref="N12:P16" si="0">B12+F12+J12</f>
        <v>27</v>
      </c>
      <c r="O12" s="747">
        <f t="shared" si="0"/>
        <v>27</v>
      </c>
      <c r="P12" s="740">
        <f t="shared" si="0"/>
        <v>0</v>
      </c>
      <c r="R12" s="1260" t="s">
        <v>428</v>
      </c>
      <c r="S12" s="1261">
        <v>3331562221</v>
      </c>
      <c r="T12" s="1261" t="s">
        <v>441</v>
      </c>
      <c r="U12" s="1261">
        <v>24141713</v>
      </c>
      <c r="V12" s="1261" t="s">
        <v>413</v>
      </c>
      <c r="W12" s="1261" t="s">
        <v>338</v>
      </c>
      <c r="X12" s="1267">
        <v>44440.553</v>
      </c>
      <c r="Y12" s="1261" t="s">
        <v>128</v>
      </c>
      <c r="Z12" s="1264">
        <v>1</v>
      </c>
      <c r="AA12" s="1264">
        <v>1</v>
      </c>
      <c r="AB12" s="1268" t="s">
        <v>204</v>
      </c>
      <c r="AC12" s="1266"/>
      <c r="AD12" s="44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SUMPRODUCT(--(TRIM(LOWER(W1:W279))="jawa tengah"))</f>
        <v>2</v>
      </c>
      <c r="C13" s="750" cm="1">
        <f t="array" ref="C13">SUMPRODUCT(--(LOWER(AB1:AB279)="masuk"), --(TRIM(LOWER(W1:W279))="jawa tengah"))</f>
        <v>2</v>
      </c>
      <c r="D13" s="846">
        <f>C13+-B13</f>
        <v>0</v>
      </c>
      <c r="E13" s="734"/>
      <c r="F13" s="751" cm="1">
        <f t="array" ref="F13">SUMPRODUCT(--(LOWER(AC1:AC279)="add"), --(TRIM(LOWER(W1:W279))="jawa tengah"))</f>
        <v>0</v>
      </c>
      <c r="G13" s="747" cm="1">
        <f t="array" ref="G13">SUMPRODUCT(--(LOWER(AB1:AB279)="masuk"), --(LOWER(AC1:AC279)="add"), --(TRIM(LOWER(W1:W279))="jawa tengah"))</f>
        <v>0</v>
      </c>
      <c r="H13" s="740">
        <f>G13+-F13</f>
        <v>0</v>
      </c>
      <c r="I13" s="734"/>
      <c r="J13" s="748" cm="1">
        <f t="array" ref="J13">SUMPRODUCT(--((LOWER(TRIM(W1:W279))="jawa tengah next day")+(LOWER(TRIM(W1:W279))="jawa tengah nextday")))</f>
        <v>0</v>
      </c>
      <c r="K13" s="747" cm="1">
        <f t="array" ref="K13">SUMPRODUCT(--(LOWER(AB1:AB279)="masuk"), --(LOWER(TRIM(W1:W279))="jawa tengah next day"))</f>
        <v>0</v>
      </c>
      <c r="L13" s="740">
        <f>K13+-J13</f>
        <v>0</v>
      </c>
      <c r="M13" s="734"/>
      <c r="N13" s="748">
        <f t="shared" si="0"/>
        <v>2</v>
      </c>
      <c r="O13" s="747">
        <f t="shared" si="0"/>
        <v>2</v>
      </c>
      <c r="P13" s="740">
        <f t="shared" si="0"/>
        <v>0</v>
      </c>
      <c r="R13" s="1263" t="s">
        <v>428</v>
      </c>
      <c r="S13" s="1264">
        <v>3331562227</v>
      </c>
      <c r="T13" s="1264" t="s">
        <v>336</v>
      </c>
      <c r="U13" s="1264">
        <v>24141719</v>
      </c>
      <c r="V13" s="1264" t="s">
        <v>413</v>
      </c>
      <c r="W13" s="1264" t="s">
        <v>456</v>
      </c>
      <c r="X13" s="1269">
        <v>42017.35</v>
      </c>
      <c r="Y13" s="1264" t="s">
        <v>128</v>
      </c>
      <c r="Z13" s="1264">
        <v>1</v>
      </c>
      <c r="AA13" s="1264">
        <v>1</v>
      </c>
      <c r="AB13" s="1268" t="s">
        <v>204</v>
      </c>
      <c r="AC13" s="1270"/>
      <c r="AD13" s="44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SUMPRODUCT(--(TRIM(LOWER(W1:W279))="jawa timur"))</f>
        <v>30</v>
      </c>
      <c r="C14" s="750" cm="1">
        <f t="array" ref="C14">SUMPRODUCT(--(LOWER(AB1:AB279)="masuk"), --(TRIM(LOWER(W1:W279))="jawa timur"))</f>
        <v>30</v>
      </c>
      <c r="D14" s="846">
        <f>C14+-B14</f>
        <v>0</v>
      </c>
      <c r="E14" s="734"/>
      <c r="F14" s="750" cm="1">
        <f t="array" ref="F14">SUMPRODUCT(--(LOWER(AC1:AC279)="add"), --(TRIM(LOWER(W1:W279))="jawa timur"))</f>
        <v>0</v>
      </c>
      <c r="G14" s="747" cm="1">
        <f t="array" ref="G14">SUMPRODUCT(--(LOWER(AB1:AB279)="masuk"), --(LOWER(AC1:AC279)="add"), --(TRIM(LOWER(W1:W279))="jawa timur"))</f>
        <v>0</v>
      </c>
      <c r="H14" s="740">
        <f>G14+-F14</f>
        <v>0</v>
      </c>
      <c r="I14" s="734"/>
      <c r="J14" s="748" cm="1">
        <f t="array" ref="J14">SUMPRODUCT(--((LOWER(TRIM(W1:W279))="jawa timur next day")+(LOWER(TRIM(W1:W279))="jawa timur nextday")))</f>
        <v>1</v>
      </c>
      <c r="K14" s="747" cm="1">
        <f t="array" ref="K14">SUMPRODUCT(--(LOWER(AB1:AB279)="masuk"), --(LOWER(TRIM(W1:W279))="jawa timur next day"))</f>
        <v>1</v>
      </c>
      <c r="L14" s="740">
        <f>K14+-J14</f>
        <v>0</v>
      </c>
      <c r="M14" s="734"/>
      <c r="N14" s="748">
        <f t="shared" si="0"/>
        <v>31</v>
      </c>
      <c r="O14" s="747">
        <f t="shared" si="0"/>
        <v>31</v>
      </c>
      <c r="P14" s="740">
        <f t="shared" si="0"/>
        <v>0</v>
      </c>
      <c r="R14" s="1263" t="s">
        <v>428</v>
      </c>
      <c r="S14" s="1264">
        <v>3331562229</v>
      </c>
      <c r="T14" s="1264" t="s">
        <v>441</v>
      </c>
      <c r="U14" s="1264">
        <v>24141729</v>
      </c>
      <c r="V14" s="1264" t="s">
        <v>413</v>
      </c>
      <c r="W14" s="1264" t="s">
        <v>205</v>
      </c>
      <c r="X14" s="1269">
        <f>15848.166+26908.74</f>
        <v>42756.906000000003</v>
      </c>
      <c r="Y14" s="1264" t="s">
        <v>128</v>
      </c>
      <c r="Z14" s="1264">
        <v>1</v>
      </c>
      <c r="AA14" s="1264">
        <v>1</v>
      </c>
      <c r="AB14" s="1268" t="s">
        <v>204</v>
      </c>
      <c r="AC14" s="1270"/>
      <c r="AD14" s="44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SUMPRODUCT(--(TRIM(LOWER(W1:W279))="luar pulau"))</f>
        <v>10</v>
      </c>
      <c r="C15" s="750" cm="1">
        <f t="array" ref="C15">SUMPRODUCT(--(LOWER(AB1:AB279)="masuk"), --(TRIM(LOWER(W1:W279))="luar pulau"))</f>
        <v>10</v>
      </c>
      <c r="D15" s="846">
        <f>C15+-B15</f>
        <v>0</v>
      </c>
      <c r="E15" s="734"/>
      <c r="F15" s="748" cm="1">
        <f t="array" ref="F15">SUMPRODUCT(--(LOWER(AC1:AC279)="add"), --(TRIM(LOWER(W1:W279))="luar pulau"))</f>
        <v>0</v>
      </c>
      <c r="G15" s="747" cm="1">
        <f t="array" ref="G15">SUMPRODUCT(--(LOWER(AB1:AB279)="masuk"), --(LOWER(AC1:AC279)="add"), --(TRIM(LOWER(W1:W279))="luar pulau"))</f>
        <v>0</v>
      </c>
      <c r="H15" s="740">
        <f>G15+-F15</f>
        <v>0</v>
      </c>
      <c r="I15" s="734"/>
      <c r="J15" s="748" cm="1">
        <f t="array" ref="J15">SUMPRODUCT(--((LOWER(TRIM(W1:W279))="luar pulau next day")+(LOWER(TRIM(W1:W279))="luar pulau nextday")))</f>
        <v>0</v>
      </c>
      <c r="K15" s="747" cm="1">
        <f t="array" ref="K15">SUMPRODUCT(--(LOWER(AB1:AB279)="masuk"), --(LOWER(TRIM(W1:W279))="luar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10</v>
      </c>
      <c r="P15" s="740">
        <f t="shared" si="0"/>
        <v>0</v>
      </c>
      <c r="R15" s="1263" t="s">
        <v>428</v>
      </c>
      <c r="S15" s="1264">
        <v>3331562256</v>
      </c>
      <c r="T15" s="1264" t="s">
        <v>256</v>
      </c>
      <c r="U15" s="1264" t="s">
        <v>256</v>
      </c>
      <c r="V15" s="1264" t="s">
        <v>256</v>
      </c>
      <c r="W15" s="1264" t="s">
        <v>256</v>
      </c>
      <c r="X15" s="1269" t="s">
        <v>256</v>
      </c>
      <c r="Y15" s="1264" t="s">
        <v>256</v>
      </c>
      <c r="Z15" s="1264" t="s">
        <v>256</v>
      </c>
      <c r="AA15" s="1264" t="s">
        <v>256</v>
      </c>
      <c r="AB15" s="1268" t="s">
        <v>256</v>
      </c>
      <c r="AC15" s="1270"/>
      <c r="AD15" s="44"/>
      <c r="AE15" s="44"/>
      <c r="AF15" s="44"/>
      <c r="AG15" s="44"/>
    </row>
    <row r="16" spans="1:33" ht="17.399999999999999">
      <c r="A16" s="827"/>
      <c r="B16" s="733">
        <f>SUM(B12:B15)</f>
        <v>55</v>
      </c>
      <c r="C16" s="733">
        <f>SUM(C12:C15)</f>
        <v>55</v>
      </c>
      <c r="D16" s="739">
        <f>SUM(D12:D15)</f>
        <v>0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10</v>
      </c>
      <c r="K16" s="733">
        <f>SUM(K12:K15)</f>
        <v>10</v>
      </c>
      <c r="L16" s="739">
        <f>SUM(L12:L15)</f>
        <v>0</v>
      </c>
      <c r="M16" s="734"/>
      <c r="N16" s="760">
        <f t="shared" si="0"/>
        <v>70</v>
      </c>
      <c r="O16" s="760">
        <f t="shared" si="0"/>
        <v>70</v>
      </c>
      <c r="P16" s="761">
        <f t="shared" si="0"/>
        <v>0</v>
      </c>
      <c r="R16" s="1263" t="s">
        <v>412</v>
      </c>
      <c r="S16" s="1264">
        <v>3331562170</v>
      </c>
      <c r="T16" s="1264" t="s">
        <v>457</v>
      </c>
      <c r="U16" s="1264">
        <v>24141706</v>
      </c>
      <c r="V16" s="1264" t="s">
        <v>413</v>
      </c>
      <c r="W16" s="1264" t="s">
        <v>205</v>
      </c>
      <c r="X16" s="1269">
        <v>46678.478000000003</v>
      </c>
      <c r="Y16" s="1264" t="s">
        <v>128</v>
      </c>
      <c r="Z16" s="1264">
        <v>1</v>
      </c>
      <c r="AA16" s="1264">
        <v>1</v>
      </c>
      <c r="AB16" s="1268" t="s">
        <v>204</v>
      </c>
      <c r="AC16" s="1240"/>
      <c r="AD16" s="44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52" t="s">
        <v>412</v>
      </c>
      <c r="S17" s="1209">
        <v>3331562178</v>
      </c>
      <c r="T17" s="1264" t="s">
        <v>206</v>
      </c>
      <c r="U17" s="1209">
        <v>24141709</v>
      </c>
      <c r="V17" s="1264" t="s">
        <v>413</v>
      </c>
      <c r="W17" s="1264" t="s">
        <v>205</v>
      </c>
      <c r="X17" s="1281">
        <v>42738.087</v>
      </c>
      <c r="Y17" s="1264" t="s">
        <v>128</v>
      </c>
      <c r="Z17" s="1264">
        <v>1</v>
      </c>
      <c r="AA17" s="1264">
        <v>1</v>
      </c>
      <c r="AB17" s="1268" t="s">
        <v>204</v>
      </c>
      <c r="AC17" s="1271"/>
      <c r="AD17" s="44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52" t="s">
        <v>428</v>
      </c>
      <c r="S18" s="1209">
        <v>3331562221</v>
      </c>
      <c r="T18" s="1264" t="s">
        <v>458</v>
      </c>
      <c r="U18" s="1209">
        <v>24141713</v>
      </c>
      <c r="V18" s="1264" t="s">
        <v>413</v>
      </c>
      <c r="W18" s="1264" t="s">
        <v>205</v>
      </c>
      <c r="X18" s="1281">
        <v>44440.553</v>
      </c>
      <c r="Y18" s="1264" t="s">
        <v>128</v>
      </c>
      <c r="Z18" s="1264">
        <v>1</v>
      </c>
      <c r="AA18" s="1264">
        <v>1</v>
      </c>
      <c r="AB18" s="1268" t="s">
        <v>204</v>
      </c>
      <c r="AC18" s="1271"/>
      <c r="AD18" s="44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428</v>
      </c>
      <c r="S19" s="1209">
        <v>3331562222</v>
      </c>
      <c r="T19" s="1264" t="s">
        <v>458</v>
      </c>
      <c r="U19" s="1209">
        <v>24141714</v>
      </c>
      <c r="V19" s="1264" t="s">
        <v>413</v>
      </c>
      <c r="W19" s="1264" t="s">
        <v>205</v>
      </c>
      <c r="X19" s="1281">
        <v>43651.597999999998</v>
      </c>
      <c r="Y19" s="1264" t="s">
        <v>128</v>
      </c>
      <c r="Z19" s="1264">
        <v>1</v>
      </c>
      <c r="AA19" s="1264">
        <v>1</v>
      </c>
      <c r="AB19" s="1268" t="s">
        <v>204</v>
      </c>
      <c r="AC19" s="1271"/>
      <c r="AD19" s="44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452</v>
      </c>
      <c r="S20" s="1209">
        <v>3331562394</v>
      </c>
      <c r="T20" s="1264" t="s">
        <v>459</v>
      </c>
      <c r="U20" s="1209">
        <v>24141735</v>
      </c>
      <c r="V20" s="1264" t="s">
        <v>413</v>
      </c>
      <c r="W20" s="1264" t="s">
        <v>205</v>
      </c>
      <c r="X20" s="1281">
        <v>24854.774000000001</v>
      </c>
      <c r="Y20" s="1209" t="s">
        <v>426</v>
      </c>
      <c r="Z20" s="1264">
        <v>1</v>
      </c>
      <c r="AA20" s="1264">
        <v>1</v>
      </c>
      <c r="AB20" s="1268" t="s">
        <v>204</v>
      </c>
      <c r="AC20" s="1271"/>
      <c r="AD20" s="44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428</v>
      </c>
      <c r="S21" s="1264">
        <v>3331562226</v>
      </c>
      <c r="T21" s="1264" t="s">
        <v>457</v>
      </c>
      <c r="U21" s="1264">
        <v>24141718</v>
      </c>
      <c r="V21" s="1264" t="s">
        <v>413</v>
      </c>
      <c r="W21" s="1264" t="s">
        <v>205</v>
      </c>
      <c r="X21" s="1269">
        <v>41776.665000000001</v>
      </c>
      <c r="Y21" s="1264" t="s">
        <v>128</v>
      </c>
      <c r="Z21" s="1264">
        <v>1</v>
      </c>
      <c r="AA21" s="1264">
        <v>1</v>
      </c>
      <c r="AB21" s="1268" t="s">
        <v>204</v>
      </c>
      <c r="AC21" s="1240"/>
      <c r="AD21" s="44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SUMPRODUCT(--((LOWER(TRIM($W$2:$W$286))="ambil sendiri")+(LOWER(TRIM($W$2:$W$286))="cokot sorangan")))</f>
        <v>0</v>
      </c>
      <c r="C22" s="969" cm="1">
        <f t="array" ref="C22">SUMPRODUCT(--(LOWER(AB2:AB312)="masuk"), --((LOWER(TRIM($W$2:$W$312))="cokot sorangan") + (LOWER(TRIM(W2:W312))="ambil sendiri")))</f>
        <v>0</v>
      </c>
      <c r="D22" s="741">
        <f>C22+-B22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428</v>
      </c>
      <c r="S22" s="1209">
        <v>3331562158</v>
      </c>
      <c r="T22" s="1264" t="s">
        <v>459</v>
      </c>
      <c r="U22" s="1209">
        <v>24141716</v>
      </c>
      <c r="V22" s="1264" t="s">
        <v>413</v>
      </c>
      <c r="W22" s="1264" t="s">
        <v>205</v>
      </c>
      <c r="X22" s="1281">
        <f>25481.98+4026.993</f>
        <v>29508.972999999998</v>
      </c>
      <c r="Y22" s="1209" t="s">
        <v>426</v>
      </c>
      <c r="Z22" s="1264">
        <v>1</v>
      </c>
      <c r="AA22" s="1264">
        <v>1</v>
      </c>
      <c r="AB22" s="1268" t="s">
        <v>204</v>
      </c>
      <c r="AC22" s="1271"/>
      <c r="AD22" s="44"/>
      <c r="AE22" s="44"/>
      <c r="AF22" s="44"/>
      <c r="AG22" s="44"/>
    </row>
    <row r="23" spans="1:33" ht="17.399999999999999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428</v>
      </c>
      <c r="S23" s="1209">
        <v>3331562224</v>
      </c>
      <c r="T23" s="1264" t="s">
        <v>256</v>
      </c>
      <c r="U23" s="1209" t="s">
        <v>256</v>
      </c>
      <c r="V23" s="1264" t="s">
        <v>256</v>
      </c>
      <c r="W23" s="1209" t="s">
        <v>256</v>
      </c>
      <c r="X23" s="1281" t="s">
        <v>256</v>
      </c>
      <c r="Y23" s="1264" t="s">
        <v>256</v>
      </c>
      <c r="Z23" s="1264" t="s">
        <v>256</v>
      </c>
      <c r="AA23" s="1264" t="s">
        <v>256</v>
      </c>
      <c r="AB23" s="1268" t="s">
        <v>256</v>
      </c>
      <c r="AC23" s="1271"/>
      <c r="AD23" s="44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52" t="s">
        <v>428</v>
      </c>
      <c r="S24" s="1209">
        <v>3331562289</v>
      </c>
      <c r="T24" s="1264" t="s">
        <v>342</v>
      </c>
      <c r="U24" s="1209">
        <v>24141736</v>
      </c>
      <c r="V24" s="1209" t="s">
        <v>444</v>
      </c>
      <c r="W24" s="1209" t="s">
        <v>203</v>
      </c>
      <c r="X24" s="1281">
        <v>24771.743999999999</v>
      </c>
      <c r="Y24" s="1209" t="s">
        <v>434</v>
      </c>
      <c r="Z24" s="1264">
        <v>1</v>
      </c>
      <c r="AA24" s="1264">
        <v>1</v>
      </c>
      <c r="AB24" s="1268" t="s">
        <v>204</v>
      </c>
      <c r="AC24" s="1271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428</v>
      </c>
      <c r="S25" s="1202">
        <v>3331562290</v>
      </c>
      <c r="T25" s="1264" t="s">
        <v>342</v>
      </c>
      <c r="U25" s="1202">
        <v>24141737</v>
      </c>
      <c r="V25" s="1202" t="s">
        <v>444</v>
      </c>
      <c r="W25" s="1202" t="s">
        <v>203</v>
      </c>
      <c r="X25" s="1203">
        <v>26664.03</v>
      </c>
      <c r="Y25" s="1202" t="s">
        <v>434</v>
      </c>
      <c r="Z25" s="1264">
        <v>1</v>
      </c>
      <c r="AA25" s="1264">
        <v>1</v>
      </c>
      <c r="AB25" s="1268" t="s">
        <v>204</v>
      </c>
      <c r="AC25" s="1192"/>
      <c r="AD25" s="44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52" t="s">
        <v>412</v>
      </c>
      <c r="S26" s="1209">
        <v>3331562400</v>
      </c>
      <c r="T26" s="1264" t="s">
        <v>27</v>
      </c>
      <c r="U26" s="1209">
        <v>24141738</v>
      </c>
      <c r="V26" s="1209" t="s">
        <v>413</v>
      </c>
      <c r="W26" s="1264" t="s">
        <v>205</v>
      </c>
      <c r="X26" s="1281">
        <f>13418.028+11691.27</f>
        <v>25109.298000000003</v>
      </c>
      <c r="Y26" s="1209" t="s">
        <v>200</v>
      </c>
      <c r="Z26" s="1207">
        <v>1</v>
      </c>
      <c r="AA26" s="1207">
        <v>1</v>
      </c>
      <c r="AB26" s="1268" t="s">
        <v>204</v>
      </c>
      <c r="AC26" s="1271"/>
      <c r="AD26" s="44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01" t="s">
        <v>412</v>
      </c>
      <c r="S27" s="1202">
        <v>3331562402</v>
      </c>
      <c r="T27" s="1162" t="s">
        <v>256</v>
      </c>
      <c r="U27" s="1202" t="s">
        <v>256</v>
      </c>
      <c r="V27" s="1202" t="s">
        <v>256</v>
      </c>
      <c r="W27" s="1264" t="s">
        <v>256</v>
      </c>
      <c r="X27" s="1203" t="s">
        <v>256</v>
      </c>
      <c r="Y27" s="1202" t="s">
        <v>256</v>
      </c>
      <c r="Z27" s="1207" t="s">
        <v>256</v>
      </c>
      <c r="AA27" s="1207" t="s">
        <v>256</v>
      </c>
      <c r="AB27" s="1208" t="s">
        <v>256</v>
      </c>
      <c r="AC27" s="1192"/>
      <c r="AD27" s="44"/>
      <c r="AE27" s="44"/>
      <c r="AF27" s="44"/>
      <c r="AG27" s="44"/>
    </row>
    <row r="28" spans="1:33" ht="15.6">
      <c r="R28" s="1201" t="s">
        <v>412</v>
      </c>
      <c r="S28" s="1202">
        <v>3331562417</v>
      </c>
      <c r="T28" s="1264" t="s">
        <v>206</v>
      </c>
      <c r="U28" s="1202">
        <v>24141745</v>
      </c>
      <c r="V28" s="1202" t="s">
        <v>430</v>
      </c>
      <c r="W28" s="1264" t="s">
        <v>205</v>
      </c>
      <c r="X28" s="1203">
        <v>37752.665000000001</v>
      </c>
      <c r="Y28" s="1202" t="s">
        <v>128</v>
      </c>
      <c r="Z28" s="1207">
        <v>1</v>
      </c>
      <c r="AA28" s="1207">
        <v>1</v>
      </c>
      <c r="AB28" s="1268" t="s">
        <v>204</v>
      </c>
      <c r="AC28" s="1192"/>
      <c r="AD28" s="44"/>
      <c r="AE28" s="44"/>
      <c r="AF28" s="44"/>
      <c r="AG28" s="44"/>
    </row>
    <row r="29" spans="1:33" ht="15.6">
      <c r="R29" s="1201" t="s">
        <v>412</v>
      </c>
      <c r="S29" s="1202">
        <v>3331562418</v>
      </c>
      <c r="T29" s="1264" t="s">
        <v>441</v>
      </c>
      <c r="U29" s="1202">
        <v>24141746</v>
      </c>
      <c r="V29" s="1202" t="s">
        <v>430</v>
      </c>
      <c r="W29" s="1264" t="s">
        <v>205</v>
      </c>
      <c r="X29" s="1203">
        <v>35315.629999999997</v>
      </c>
      <c r="Y29" s="1202" t="s">
        <v>128</v>
      </c>
      <c r="Z29" s="1207">
        <v>1</v>
      </c>
      <c r="AA29" s="1207">
        <v>1</v>
      </c>
      <c r="AB29" s="1268" t="s">
        <v>204</v>
      </c>
      <c r="AC29" s="1192"/>
      <c r="AD29" s="44"/>
      <c r="AE29" s="44"/>
      <c r="AF29" s="44"/>
      <c r="AG29" s="44"/>
    </row>
    <row r="30" spans="1:33" ht="15.6">
      <c r="R30" s="1201" t="s">
        <v>412</v>
      </c>
      <c r="S30" s="1202">
        <v>3331562419</v>
      </c>
      <c r="T30" s="1264" t="s">
        <v>206</v>
      </c>
      <c r="U30" s="1202">
        <v>24141747</v>
      </c>
      <c r="V30" s="1202" t="s">
        <v>430</v>
      </c>
      <c r="W30" s="1264" t="s">
        <v>205</v>
      </c>
      <c r="X30" s="1203">
        <v>44903.137000000002</v>
      </c>
      <c r="Y30" s="1202" t="s">
        <v>128</v>
      </c>
      <c r="Z30" s="1207">
        <v>1</v>
      </c>
      <c r="AA30" s="1207">
        <v>1</v>
      </c>
      <c r="AB30" s="1268" t="s">
        <v>204</v>
      </c>
      <c r="AC30" s="1192"/>
      <c r="AD30" s="44"/>
      <c r="AE30" s="44"/>
      <c r="AF30" s="44"/>
      <c r="AG30" s="44"/>
    </row>
    <row r="31" spans="1:33" ht="15.6">
      <c r="R31" s="1201" t="s">
        <v>412</v>
      </c>
      <c r="S31" s="1202">
        <v>3331562420</v>
      </c>
      <c r="T31" s="1264" t="s">
        <v>27</v>
      </c>
      <c r="U31" s="1202">
        <v>24141748</v>
      </c>
      <c r="V31" s="1202" t="s">
        <v>430</v>
      </c>
      <c r="W31" s="1264" t="s">
        <v>205</v>
      </c>
      <c r="X31" s="1203">
        <f>18402.925+25182.695</f>
        <v>43585.619999999995</v>
      </c>
      <c r="Y31" s="1202" t="s">
        <v>128</v>
      </c>
      <c r="Z31" s="1207">
        <v>1</v>
      </c>
      <c r="AA31" s="1207">
        <v>1</v>
      </c>
      <c r="AB31" s="1268" t="s">
        <v>204</v>
      </c>
      <c r="AC31" s="1192"/>
      <c r="AD31" s="44"/>
      <c r="AE31" s="44"/>
      <c r="AF31" s="44"/>
      <c r="AG31" s="44"/>
    </row>
    <row r="32" spans="1:33" ht="15.6">
      <c r="R32" s="1201" t="s">
        <v>412</v>
      </c>
      <c r="S32" s="1202">
        <v>3331562422</v>
      </c>
      <c r="T32" s="1264" t="s">
        <v>256</v>
      </c>
      <c r="U32" s="1202" t="s">
        <v>256</v>
      </c>
      <c r="V32" s="1202" t="s">
        <v>256</v>
      </c>
      <c r="W32" s="1264" t="s">
        <v>256</v>
      </c>
      <c r="X32" s="1203" t="s">
        <v>256</v>
      </c>
      <c r="Y32" s="1202" t="s">
        <v>256</v>
      </c>
      <c r="Z32" s="1207" t="s">
        <v>256</v>
      </c>
      <c r="AA32" s="1207" t="s">
        <v>256</v>
      </c>
      <c r="AB32" s="1268" t="s">
        <v>256</v>
      </c>
      <c r="AC32" s="1192"/>
      <c r="AD32" s="44"/>
      <c r="AE32" s="44"/>
      <c r="AF32" s="44"/>
      <c r="AG32" s="44"/>
    </row>
    <row r="33" spans="18:33" ht="15.6">
      <c r="R33" s="1201" t="s">
        <v>412</v>
      </c>
      <c r="S33" s="1202">
        <v>3331562463</v>
      </c>
      <c r="T33" s="1264" t="s">
        <v>206</v>
      </c>
      <c r="U33" s="1202">
        <v>24141749</v>
      </c>
      <c r="V33" s="1202" t="s">
        <v>460</v>
      </c>
      <c r="W33" s="1202" t="s">
        <v>205</v>
      </c>
      <c r="X33" s="1203">
        <v>37880.93</v>
      </c>
      <c r="Y33" s="1202" t="s">
        <v>128</v>
      </c>
      <c r="Z33" s="1207">
        <v>1</v>
      </c>
      <c r="AA33" s="1207">
        <v>1</v>
      </c>
      <c r="AB33" s="1268" t="s">
        <v>204</v>
      </c>
      <c r="AC33" s="1192"/>
      <c r="AD33" s="44"/>
      <c r="AE33" s="44"/>
      <c r="AF33" s="44"/>
      <c r="AG33" s="44"/>
    </row>
    <row r="34" spans="18:33" ht="15.6">
      <c r="R34" s="1201" t="s">
        <v>412</v>
      </c>
      <c r="S34" s="1202">
        <v>3331562465</v>
      </c>
      <c r="T34" s="1264" t="s">
        <v>148</v>
      </c>
      <c r="U34" s="1202">
        <v>24141751</v>
      </c>
      <c r="V34" s="1202" t="s">
        <v>461</v>
      </c>
      <c r="W34" s="1202" t="s">
        <v>205</v>
      </c>
      <c r="X34" s="1203">
        <v>40446.230000000003</v>
      </c>
      <c r="Y34" s="1202" t="s">
        <v>128</v>
      </c>
      <c r="Z34" s="1207">
        <v>1</v>
      </c>
      <c r="AA34" s="1207">
        <v>1</v>
      </c>
      <c r="AB34" s="1268" t="s">
        <v>204</v>
      </c>
      <c r="AC34" s="1192"/>
      <c r="AD34" s="44"/>
      <c r="AE34" s="44"/>
      <c r="AF34" s="44"/>
      <c r="AG34" s="44"/>
    </row>
    <row r="35" spans="18:33" ht="15.6">
      <c r="R35" s="1201" t="s">
        <v>412</v>
      </c>
      <c r="S35" s="1202">
        <v>3331562468</v>
      </c>
      <c r="T35" s="1264" t="s">
        <v>441</v>
      </c>
      <c r="U35" s="1202">
        <v>24141750</v>
      </c>
      <c r="V35" s="1202" t="s">
        <v>461</v>
      </c>
      <c r="W35" s="1202" t="s">
        <v>205</v>
      </c>
      <c r="X35" s="1203">
        <f>12557.29+35914.2</f>
        <v>48471.49</v>
      </c>
      <c r="Y35" s="1202" t="s">
        <v>128</v>
      </c>
      <c r="Z35" s="1207">
        <v>1</v>
      </c>
      <c r="AA35" s="1207">
        <v>1</v>
      </c>
      <c r="AB35" s="1268" t="s">
        <v>204</v>
      </c>
      <c r="AC35" s="1192"/>
      <c r="AD35" s="44"/>
      <c r="AE35" s="44"/>
      <c r="AF35" s="44"/>
      <c r="AG35" s="44"/>
    </row>
    <row r="36" spans="18:33" ht="15.6">
      <c r="R36" s="1201" t="s">
        <v>412</v>
      </c>
      <c r="S36" s="1202">
        <v>3331562473</v>
      </c>
      <c r="T36" s="1163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7" t="s">
        <v>256</v>
      </c>
      <c r="AA36" s="1207" t="s">
        <v>256</v>
      </c>
      <c r="AB36" s="1208" t="s">
        <v>256</v>
      </c>
      <c r="AC36" s="1192"/>
      <c r="AD36" s="44"/>
      <c r="AE36" s="44"/>
      <c r="AF36" s="44"/>
      <c r="AG36" s="44"/>
    </row>
    <row r="37" spans="18:33" ht="15.6">
      <c r="R37" s="1201" t="s">
        <v>428</v>
      </c>
      <c r="S37" s="1202">
        <v>3331562225</v>
      </c>
      <c r="T37" s="1264" t="s">
        <v>206</v>
      </c>
      <c r="U37" s="1202">
        <v>24141717</v>
      </c>
      <c r="V37" s="1202" t="s">
        <v>413</v>
      </c>
      <c r="W37" s="1202" t="s">
        <v>205</v>
      </c>
      <c r="X37" s="1203">
        <f>11971.4+30527.07</f>
        <v>42498.47</v>
      </c>
      <c r="Y37" s="1202" t="s">
        <v>128</v>
      </c>
      <c r="Z37" s="1207">
        <v>1</v>
      </c>
      <c r="AA37" s="1207">
        <v>1</v>
      </c>
      <c r="AB37" s="1268" t="s">
        <v>204</v>
      </c>
      <c r="AC37" s="1192"/>
      <c r="AD37" s="44"/>
      <c r="AE37" s="44"/>
      <c r="AF37" s="44"/>
      <c r="AG37" s="44"/>
    </row>
    <row r="38" spans="18:33" ht="15.6">
      <c r="R38" s="1201" t="s">
        <v>412</v>
      </c>
      <c r="S38" s="1202">
        <v>3331562503</v>
      </c>
      <c r="T38" s="1163" t="s">
        <v>256</v>
      </c>
      <c r="U38" s="1202" t="s">
        <v>256</v>
      </c>
      <c r="V38" s="1202" t="s">
        <v>256</v>
      </c>
      <c r="W38" s="1202" t="s">
        <v>256</v>
      </c>
      <c r="X38" s="1203" t="s">
        <v>256</v>
      </c>
      <c r="Y38" s="1202" t="s">
        <v>256</v>
      </c>
      <c r="Z38" s="1207" t="s">
        <v>256</v>
      </c>
      <c r="AA38" s="1207" t="s">
        <v>256</v>
      </c>
      <c r="AB38" s="1208" t="s">
        <v>256</v>
      </c>
      <c r="AC38" s="1192"/>
      <c r="AD38" s="44"/>
      <c r="AE38" s="44"/>
      <c r="AF38" s="44"/>
      <c r="AG38" s="44"/>
    </row>
    <row r="39" spans="18:33" ht="15.6">
      <c r="R39" s="1201" t="s">
        <v>412</v>
      </c>
      <c r="S39" s="1202">
        <v>3331562519</v>
      </c>
      <c r="T39" s="1264" t="s">
        <v>27</v>
      </c>
      <c r="U39" s="1202">
        <v>24141752</v>
      </c>
      <c r="V39" s="1202" t="s">
        <v>438</v>
      </c>
      <c r="W39" s="1202" t="s">
        <v>205</v>
      </c>
      <c r="X39" s="1203">
        <v>25567.49</v>
      </c>
      <c r="Y39" s="1202" t="s">
        <v>200</v>
      </c>
      <c r="Z39" s="1207">
        <v>1</v>
      </c>
      <c r="AA39" s="1207">
        <v>1</v>
      </c>
      <c r="AB39" s="1268" t="s">
        <v>204</v>
      </c>
      <c r="AC39" s="1192"/>
      <c r="AD39" s="44"/>
      <c r="AE39" s="44"/>
      <c r="AF39" s="44"/>
      <c r="AG39" s="44"/>
    </row>
    <row r="40" spans="18:33" ht="15.6">
      <c r="R40" s="1201" t="s">
        <v>412</v>
      </c>
      <c r="S40" s="1202">
        <v>3331562523</v>
      </c>
      <c r="T40" s="1264" t="s">
        <v>27</v>
      </c>
      <c r="U40" s="1202">
        <v>24141753</v>
      </c>
      <c r="V40" s="1202" t="s">
        <v>438</v>
      </c>
      <c r="W40" s="1202" t="s">
        <v>205</v>
      </c>
      <c r="X40" s="1203">
        <v>25567.49</v>
      </c>
      <c r="Y40" s="1202" t="s">
        <v>200</v>
      </c>
      <c r="Z40" s="1207">
        <v>1</v>
      </c>
      <c r="AA40" s="1207">
        <v>1</v>
      </c>
      <c r="AB40" s="1268" t="s">
        <v>204</v>
      </c>
      <c r="AC40" s="1192"/>
      <c r="AD40" s="44"/>
      <c r="AE40" s="44"/>
      <c r="AF40" s="44"/>
      <c r="AG40" s="44"/>
    </row>
    <row r="41" spans="18:33" ht="15.6">
      <c r="R41" s="1201" t="s">
        <v>412</v>
      </c>
      <c r="S41" s="1202">
        <v>3331562524</v>
      </c>
      <c r="T41" s="1264" t="s">
        <v>27</v>
      </c>
      <c r="U41" s="1202">
        <v>24141754</v>
      </c>
      <c r="V41" s="1202" t="s">
        <v>438</v>
      </c>
      <c r="W41" s="1202" t="s">
        <v>205</v>
      </c>
      <c r="X41" s="1203">
        <v>25567.49</v>
      </c>
      <c r="Y41" s="1202" t="s">
        <v>200</v>
      </c>
      <c r="Z41" s="1207">
        <v>1</v>
      </c>
      <c r="AA41" s="1207">
        <v>1</v>
      </c>
      <c r="AB41" s="1268" t="s">
        <v>204</v>
      </c>
      <c r="AC41" s="1192"/>
      <c r="AD41" s="44"/>
      <c r="AE41" s="44"/>
      <c r="AF41" s="44"/>
      <c r="AG41" s="44"/>
    </row>
    <row r="42" spans="18:33" ht="15.6">
      <c r="R42" s="1201" t="s">
        <v>412</v>
      </c>
      <c r="S42" s="1202">
        <v>3331562527</v>
      </c>
      <c r="T42" s="1264" t="s">
        <v>27</v>
      </c>
      <c r="U42" s="1202">
        <v>24141755</v>
      </c>
      <c r="V42" s="1202" t="s">
        <v>438</v>
      </c>
      <c r="W42" s="1202" t="s">
        <v>205</v>
      </c>
      <c r="X42" s="1203">
        <f>17529.55+8241.152</f>
        <v>25770.701999999997</v>
      </c>
      <c r="Y42" s="1202" t="s">
        <v>200</v>
      </c>
      <c r="Z42" s="1207">
        <v>1</v>
      </c>
      <c r="AA42" s="1207">
        <v>1</v>
      </c>
      <c r="AB42" s="1268" t="s">
        <v>204</v>
      </c>
      <c r="AC42" s="1192"/>
      <c r="AD42" s="44"/>
      <c r="AE42" s="44"/>
      <c r="AF42" s="44"/>
      <c r="AG42" s="44"/>
    </row>
    <row r="43" spans="18:33" ht="15.6">
      <c r="R43" s="1201" t="s">
        <v>452</v>
      </c>
      <c r="S43" s="1202">
        <v>3331562528</v>
      </c>
      <c r="T43" s="1163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207" t="s">
        <v>256</v>
      </c>
      <c r="AA43" s="1207" t="s">
        <v>256</v>
      </c>
      <c r="AB43" s="1208" t="s">
        <v>256</v>
      </c>
      <c r="AC43" s="1192"/>
      <c r="AD43" s="44"/>
      <c r="AE43" s="44"/>
      <c r="AF43" s="44"/>
      <c r="AG43" s="44"/>
    </row>
    <row r="44" spans="18:33" ht="15.6">
      <c r="R44" s="1201" t="s">
        <v>412</v>
      </c>
      <c r="S44" s="1202">
        <v>3331562529</v>
      </c>
      <c r="T44" s="1264" t="s">
        <v>27</v>
      </c>
      <c r="U44" s="1202">
        <v>24141757</v>
      </c>
      <c r="V44" s="1202" t="s">
        <v>438</v>
      </c>
      <c r="W44" s="1202" t="s">
        <v>205</v>
      </c>
      <c r="X44" s="1203">
        <v>25567.49</v>
      </c>
      <c r="Y44" s="1202" t="s">
        <v>200</v>
      </c>
      <c r="Z44" s="1207">
        <v>1</v>
      </c>
      <c r="AA44" s="1207">
        <v>1</v>
      </c>
      <c r="AB44" s="1268" t="s">
        <v>204</v>
      </c>
      <c r="AC44" s="1192"/>
      <c r="AD44" s="44"/>
      <c r="AE44" s="44"/>
      <c r="AF44" s="44"/>
      <c r="AG44" s="44"/>
    </row>
    <row r="45" spans="18:33" ht="15.6">
      <c r="R45" s="1201" t="s">
        <v>412</v>
      </c>
      <c r="S45" s="1202">
        <v>3331562530</v>
      </c>
      <c r="T45" s="1264" t="s">
        <v>27</v>
      </c>
      <c r="U45" s="1202">
        <v>24141758</v>
      </c>
      <c r="V45" s="1202" t="s">
        <v>438</v>
      </c>
      <c r="W45" s="1202" t="s">
        <v>205</v>
      </c>
      <c r="X45" s="1203">
        <v>25567.49</v>
      </c>
      <c r="Y45" s="1202" t="s">
        <v>200</v>
      </c>
      <c r="Z45" s="1207">
        <v>1</v>
      </c>
      <c r="AA45" s="1207">
        <v>1</v>
      </c>
      <c r="AB45" s="1268" t="s">
        <v>204</v>
      </c>
      <c r="AC45" s="1192"/>
      <c r="AD45" s="44"/>
      <c r="AE45" s="44"/>
      <c r="AF45" s="44"/>
      <c r="AG45" s="44"/>
    </row>
    <row r="46" spans="18:33" ht="15.6">
      <c r="R46" s="1201" t="s">
        <v>412</v>
      </c>
      <c r="S46" s="1202">
        <v>3331562539</v>
      </c>
      <c r="T46" s="1202" t="s">
        <v>459</v>
      </c>
      <c r="U46" s="1202">
        <v>24141759</v>
      </c>
      <c r="V46" s="1202" t="s">
        <v>446</v>
      </c>
      <c r="W46" s="1202" t="s">
        <v>205</v>
      </c>
      <c r="X46" s="1203">
        <v>27867.949000000001</v>
      </c>
      <c r="Y46" s="1202" t="s">
        <v>426</v>
      </c>
      <c r="Z46" s="1207">
        <v>1</v>
      </c>
      <c r="AA46" s="1207">
        <v>1</v>
      </c>
      <c r="AB46" s="1268" t="s">
        <v>204</v>
      </c>
      <c r="AC46" s="1192"/>
      <c r="AD46" s="44"/>
      <c r="AE46" s="44"/>
      <c r="AF46" s="44"/>
      <c r="AG46" s="44"/>
    </row>
    <row r="47" spans="18:33" ht="15.6">
      <c r="R47" s="1201" t="s">
        <v>412</v>
      </c>
      <c r="S47" s="1202">
        <v>3331562540</v>
      </c>
      <c r="T47" s="1247" t="s">
        <v>206</v>
      </c>
      <c r="U47" s="1202">
        <v>24141760</v>
      </c>
      <c r="V47" s="1202" t="s">
        <v>446</v>
      </c>
      <c r="W47" s="1202" t="s">
        <v>205</v>
      </c>
      <c r="X47" s="1203">
        <v>44167.675999999999</v>
      </c>
      <c r="Y47" s="1202" t="s">
        <v>128</v>
      </c>
      <c r="Z47" s="1207">
        <v>1</v>
      </c>
      <c r="AA47" s="1207">
        <v>1</v>
      </c>
      <c r="AB47" s="1268" t="s">
        <v>204</v>
      </c>
      <c r="AC47" s="1192"/>
      <c r="AD47" s="44"/>
      <c r="AE47" s="44"/>
      <c r="AF47" s="44"/>
      <c r="AG47" s="44"/>
    </row>
    <row r="48" spans="18:33" ht="15.6">
      <c r="R48" s="1201" t="s">
        <v>412</v>
      </c>
      <c r="S48" s="1202">
        <v>3331562543</v>
      </c>
      <c r="T48" s="1247" t="s">
        <v>206</v>
      </c>
      <c r="U48" s="1202">
        <v>24141761</v>
      </c>
      <c r="V48" s="1202" t="s">
        <v>446</v>
      </c>
      <c r="W48" s="1202" t="s">
        <v>205</v>
      </c>
      <c r="X48" s="1203">
        <v>44124.667999999998</v>
      </c>
      <c r="Y48" s="1202" t="s">
        <v>128</v>
      </c>
      <c r="Z48" s="1207">
        <v>1</v>
      </c>
      <c r="AA48" s="1207">
        <v>1</v>
      </c>
      <c r="AB48" s="1268" t="s">
        <v>204</v>
      </c>
      <c r="AC48" s="1192"/>
      <c r="AD48" s="44"/>
      <c r="AE48" s="44"/>
      <c r="AF48" s="44"/>
      <c r="AG48" s="44"/>
    </row>
    <row r="49" spans="18:33" ht="15.6">
      <c r="R49" s="1201" t="s">
        <v>452</v>
      </c>
      <c r="S49" s="1202">
        <v>3331562545</v>
      </c>
      <c r="T49" s="1247" t="s">
        <v>206</v>
      </c>
      <c r="U49" s="1202">
        <v>24141762</v>
      </c>
      <c r="V49" s="1202" t="s">
        <v>446</v>
      </c>
      <c r="W49" s="1202" t="s">
        <v>205</v>
      </c>
      <c r="X49" s="1203">
        <v>37741.85</v>
      </c>
      <c r="Y49" s="1202" t="s">
        <v>128</v>
      </c>
      <c r="Z49" s="1207">
        <v>1</v>
      </c>
      <c r="AA49" s="1207">
        <v>1</v>
      </c>
      <c r="AB49" s="1268" t="s">
        <v>204</v>
      </c>
      <c r="AC49" s="1192"/>
      <c r="AD49" s="44"/>
      <c r="AE49" s="44"/>
      <c r="AF49" s="44"/>
      <c r="AG49" s="44"/>
    </row>
    <row r="50" spans="18:33" ht="15.6">
      <c r="R50" s="1201" t="s">
        <v>412</v>
      </c>
      <c r="S50" s="1202">
        <v>3331562546</v>
      </c>
      <c r="T50" s="1247" t="s">
        <v>206</v>
      </c>
      <c r="U50" s="1202">
        <v>24141763</v>
      </c>
      <c r="V50" s="1202" t="s">
        <v>446</v>
      </c>
      <c r="W50" s="1202" t="s">
        <v>205</v>
      </c>
      <c r="X50" s="1203">
        <v>38705.85</v>
      </c>
      <c r="Y50" s="1202" t="s">
        <v>128</v>
      </c>
      <c r="Z50" s="1207">
        <v>1</v>
      </c>
      <c r="AA50" s="1207">
        <v>1</v>
      </c>
      <c r="AB50" s="1268" t="s">
        <v>204</v>
      </c>
      <c r="AC50" s="1192"/>
      <c r="AD50" s="44"/>
      <c r="AE50" s="44"/>
      <c r="AF50" s="44"/>
      <c r="AG50" s="44"/>
    </row>
    <row r="51" spans="18:33" ht="15.6">
      <c r="R51" s="1201" t="s">
        <v>412</v>
      </c>
      <c r="S51" s="1202">
        <v>3331562547</v>
      </c>
      <c r="T51" s="1163" t="s">
        <v>441</v>
      </c>
      <c r="U51" s="1202">
        <v>24141764</v>
      </c>
      <c r="V51" s="1202" t="s">
        <v>446</v>
      </c>
      <c r="W51" s="1202" t="s">
        <v>205</v>
      </c>
      <c r="X51" s="1203">
        <v>41237.951999999997</v>
      </c>
      <c r="Y51" s="1202" t="s">
        <v>128</v>
      </c>
      <c r="Z51" s="1207">
        <v>1</v>
      </c>
      <c r="AA51" s="1207">
        <v>1</v>
      </c>
      <c r="AB51" s="1268" t="s">
        <v>204</v>
      </c>
      <c r="AC51" s="1192"/>
      <c r="AD51" s="44"/>
      <c r="AE51" s="44"/>
      <c r="AF51" s="44"/>
      <c r="AG51" s="44"/>
    </row>
    <row r="52" spans="18:33" ht="15.6">
      <c r="R52" s="1201" t="s">
        <v>412</v>
      </c>
      <c r="S52" s="1202">
        <v>3331562377</v>
      </c>
      <c r="T52" s="1202" t="s">
        <v>34</v>
      </c>
      <c r="U52" s="1202">
        <v>24141725</v>
      </c>
      <c r="V52" s="1202" t="s">
        <v>219</v>
      </c>
      <c r="W52" s="1202" t="s">
        <v>199</v>
      </c>
      <c r="X52" s="1203">
        <v>25824.02</v>
      </c>
      <c r="Y52" s="1202" t="s">
        <v>200</v>
      </c>
      <c r="Z52" s="1209">
        <v>1</v>
      </c>
      <c r="AA52" s="1209">
        <v>1</v>
      </c>
      <c r="AB52" s="1228" t="s">
        <v>204</v>
      </c>
      <c r="AC52" s="1192"/>
      <c r="AD52" s="44"/>
      <c r="AE52" s="44"/>
      <c r="AF52" s="44"/>
      <c r="AG52" s="44"/>
    </row>
    <row r="53" spans="18:33" ht="15.6">
      <c r="R53" s="1201" t="s">
        <v>412</v>
      </c>
      <c r="S53" s="1202">
        <v>3331562379</v>
      </c>
      <c r="T53" s="1202" t="s">
        <v>34</v>
      </c>
      <c r="U53" s="1202">
        <v>24141726</v>
      </c>
      <c r="V53" s="1202" t="s">
        <v>219</v>
      </c>
      <c r="W53" s="1202" t="s">
        <v>199</v>
      </c>
      <c r="X53" s="1203">
        <v>26251.57</v>
      </c>
      <c r="Y53" s="1202" t="s">
        <v>200</v>
      </c>
      <c r="Z53" s="1209">
        <v>1</v>
      </c>
      <c r="AA53" s="1209">
        <v>1</v>
      </c>
      <c r="AB53" s="1228" t="s">
        <v>204</v>
      </c>
      <c r="AC53" s="1192"/>
      <c r="AD53" s="44"/>
      <c r="AE53" s="44"/>
      <c r="AF53" s="44"/>
      <c r="AG53" s="44"/>
    </row>
    <row r="54" spans="18:33" ht="15.6">
      <c r="R54" s="1201" t="s">
        <v>412</v>
      </c>
      <c r="S54" s="1202">
        <v>3331562385</v>
      </c>
      <c r="T54" s="1247" t="s">
        <v>34</v>
      </c>
      <c r="U54" s="1202">
        <v>24141727</v>
      </c>
      <c r="V54" s="1202" t="s">
        <v>219</v>
      </c>
      <c r="W54" s="1202" t="s">
        <v>340</v>
      </c>
      <c r="X54" s="1203">
        <v>25054.43</v>
      </c>
      <c r="Y54" s="1202" t="s">
        <v>200</v>
      </c>
      <c r="Z54" s="1209">
        <v>1</v>
      </c>
      <c r="AA54" s="1209">
        <v>1</v>
      </c>
      <c r="AB54" s="1228" t="s">
        <v>204</v>
      </c>
      <c r="AC54" s="1192"/>
      <c r="AD54" s="44"/>
      <c r="AE54" s="44"/>
      <c r="AF54" s="44"/>
      <c r="AG54" s="44"/>
    </row>
    <row r="55" spans="18:33" ht="15.6">
      <c r="R55" s="1201" t="s">
        <v>412</v>
      </c>
      <c r="S55" s="1202">
        <v>3331562389</v>
      </c>
      <c r="T55" s="1247" t="s">
        <v>287</v>
      </c>
      <c r="U55" s="1202">
        <v>24141728</v>
      </c>
      <c r="V55" s="1202" t="s">
        <v>219</v>
      </c>
      <c r="W55" s="1202" t="s">
        <v>340</v>
      </c>
      <c r="X55" s="1203">
        <v>25183.198</v>
      </c>
      <c r="Y55" s="1202" t="s">
        <v>200</v>
      </c>
      <c r="Z55" s="1209">
        <v>1</v>
      </c>
      <c r="AA55" s="1209">
        <v>1</v>
      </c>
      <c r="AB55" s="1228" t="s">
        <v>204</v>
      </c>
      <c r="AC55" s="1192"/>
      <c r="AD55" s="44"/>
      <c r="AE55" s="44"/>
      <c r="AF55" s="44"/>
      <c r="AG55" s="44"/>
    </row>
    <row r="56" spans="18:33" ht="15.6">
      <c r="R56" s="1201" t="s">
        <v>412</v>
      </c>
      <c r="S56" s="1202">
        <v>3331562371</v>
      </c>
      <c r="T56" s="1202" t="s">
        <v>34</v>
      </c>
      <c r="U56" s="1202">
        <v>24141730</v>
      </c>
      <c r="V56" s="1202" t="s">
        <v>366</v>
      </c>
      <c r="W56" s="1202" t="s">
        <v>199</v>
      </c>
      <c r="X56" s="1203">
        <v>25524.735000000001</v>
      </c>
      <c r="Y56" s="1202" t="s">
        <v>200</v>
      </c>
      <c r="Z56" s="1209">
        <v>1</v>
      </c>
      <c r="AA56" s="1209">
        <v>1</v>
      </c>
      <c r="AB56" s="1228" t="s">
        <v>204</v>
      </c>
      <c r="AC56" s="1192"/>
      <c r="AD56" s="44"/>
      <c r="AE56" s="44"/>
      <c r="AF56" s="44"/>
      <c r="AG56" s="44"/>
    </row>
    <row r="57" spans="18:33" ht="15.6">
      <c r="R57" s="1201" t="s">
        <v>412</v>
      </c>
      <c r="S57" s="1202">
        <v>3331562372</v>
      </c>
      <c r="T57" s="1202" t="s">
        <v>34</v>
      </c>
      <c r="U57" s="1202">
        <v>24141731</v>
      </c>
      <c r="V57" s="1202" t="s">
        <v>366</v>
      </c>
      <c r="W57" s="1202" t="s">
        <v>199</v>
      </c>
      <c r="X57" s="1203">
        <v>24498.615000000002</v>
      </c>
      <c r="Y57" s="1202" t="s">
        <v>200</v>
      </c>
      <c r="Z57" s="1209">
        <v>1</v>
      </c>
      <c r="AA57" s="1209">
        <v>1</v>
      </c>
      <c r="AB57" s="1228" t="s">
        <v>204</v>
      </c>
      <c r="AC57" s="1192"/>
      <c r="AD57" s="44"/>
      <c r="AE57" s="44"/>
      <c r="AF57" s="44"/>
      <c r="AG57" s="44"/>
    </row>
    <row r="58" spans="18:33" ht="15.6">
      <c r="R58" s="1201" t="s">
        <v>412</v>
      </c>
      <c r="S58" s="1202">
        <v>3331562373</v>
      </c>
      <c r="T58" s="1153" t="s">
        <v>287</v>
      </c>
      <c r="U58" s="1202">
        <v>24141732</v>
      </c>
      <c r="V58" s="1202" t="s">
        <v>366</v>
      </c>
      <c r="W58" s="1202" t="s">
        <v>340</v>
      </c>
      <c r="X58" s="1203">
        <v>25481.98</v>
      </c>
      <c r="Y58" s="1202" t="s">
        <v>200</v>
      </c>
      <c r="Z58" s="1077">
        <v>1</v>
      </c>
      <c r="AA58" s="1077">
        <v>1</v>
      </c>
      <c r="AB58" s="1078" t="s">
        <v>204</v>
      </c>
      <c r="AC58" s="1192"/>
      <c r="AD58" s="44"/>
      <c r="AE58" s="44"/>
      <c r="AF58" s="44"/>
      <c r="AG58" s="44"/>
    </row>
    <row r="59" spans="18:33" ht="15.6">
      <c r="R59" s="1201" t="s">
        <v>412</v>
      </c>
      <c r="S59" s="1202">
        <v>3331562375</v>
      </c>
      <c r="T59" s="1153" t="s">
        <v>34</v>
      </c>
      <c r="U59" s="1202">
        <v>24141733</v>
      </c>
      <c r="V59" s="1202" t="s">
        <v>366</v>
      </c>
      <c r="W59" s="1202" t="s">
        <v>340</v>
      </c>
      <c r="X59" s="1203">
        <v>26166.06</v>
      </c>
      <c r="Y59" s="1202" t="s">
        <v>200</v>
      </c>
      <c r="Z59" s="1202">
        <v>1</v>
      </c>
      <c r="AA59" s="1202">
        <v>1</v>
      </c>
      <c r="AB59" s="1078" t="s">
        <v>204</v>
      </c>
      <c r="AC59" s="1192"/>
      <c r="AD59" s="44"/>
      <c r="AE59" s="44"/>
      <c r="AF59" s="44"/>
      <c r="AG59" s="44"/>
    </row>
    <row r="60" spans="18:33">
      <c r="R60" s="1201" t="s">
        <v>412</v>
      </c>
      <c r="S60" s="1202">
        <v>3331562388</v>
      </c>
      <c r="T60" s="1077" t="s">
        <v>462</v>
      </c>
      <c r="U60" s="1202">
        <v>24141734</v>
      </c>
      <c r="V60" s="1202" t="s">
        <v>447</v>
      </c>
      <c r="W60" s="1202" t="s">
        <v>199</v>
      </c>
      <c r="X60" s="1203">
        <f>1388.28+3722.52+4278.518+11004.456+3129.666</f>
        <v>23523.439999999999</v>
      </c>
      <c r="Y60" s="1202" t="s">
        <v>200</v>
      </c>
      <c r="Z60" s="1202">
        <v>1</v>
      </c>
      <c r="AA60" s="1202">
        <v>1</v>
      </c>
      <c r="AB60" s="1202" t="s">
        <v>204</v>
      </c>
      <c r="AC60" s="1192"/>
      <c r="AD60" s="44"/>
      <c r="AE60" s="44"/>
      <c r="AF60" s="44"/>
      <c r="AG60" s="44"/>
    </row>
    <row r="61" spans="18:33">
      <c r="R61" s="1201" t="s">
        <v>412</v>
      </c>
      <c r="S61" s="1202">
        <v>3331562390</v>
      </c>
      <c r="T61" s="1202" t="s">
        <v>256</v>
      </c>
      <c r="U61" s="1202" t="s">
        <v>256</v>
      </c>
      <c r="V61" s="1202" t="s">
        <v>256</v>
      </c>
      <c r="W61" s="1202" t="s">
        <v>256</v>
      </c>
      <c r="X61" s="1203" t="s">
        <v>256</v>
      </c>
      <c r="Y61" s="1202" t="s">
        <v>256</v>
      </c>
      <c r="Z61" s="1202" t="s">
        <v>256</v>
      </c>
      <c r="AA61" s="1202" t="s">
        <v>256</v>
      </c>
      <c r="AB61" s="1202" t="s">
        <v>256</v>
      </c>
      <c r="AC61" s="1192"/>
      <c r="AD61" s="44"/>
      <c r="AE61" s="44"/>
      <c r="AF61" s="44"/>
      <c r="AG61" s="44"/>
    </row>
    <row r="62" spans="18:33">
      <c r="R62" s="1201" t="s">
        <v>412</v>
      </c>
      <c r="S62" s="1202">
        <v>3331562391</v>
      </c>
      <c r="T62" s="1202" t="s">
        <v>256</v>
      </c>
      <c r="U62" s="1202"/>
      <c r="V62" s="1202" t="s">
        <v>256</v>
      </c>
      <c r="W62" s="1202" t="s">
        <v>256</v>
      </c>
      <c r="X62" s="1203" t="s">
        <v>256</v>
      </c>
      <c r="Y62" s="1202" t="s">
        <v>256</v>
      </c>
      <c r="Z62" s="1202" t="s">
        <v>256</v>
      </c>
      <c r="AA62" s="1202" t="s">
        <v>256</v>
      </c>
      <c r="AB62" s="1202" t="s">
        <v>256</v>
      </c>
      <c r="AC62" s="1192"/>
      <c r="AD62" s="44"/>
      <c r="AE62" s="44"/>
      <c r="AF62" s="44"/>
      <c r="AG62" s="44"/>
    </row>
    <row r="63" spans="18:33">
      <c r="R63" s="1201" t="s">
        <v>412</v>
      </c>
      <c r="S63" s="1202">
        <v>3331562392</v>
      </c>
      <c r="T63" s="1077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2" t="s">
        <v>256</v>
      </c>
      <c r="AA63" s="1202" t="s">
        <v>256</v>
      </c>
      <c r="AB63" s="1202" t="s">
        <v>256</v>
      </c>
      <c r="AC63" s="1192"/>
      <c r="AD63" s="44"/>
      <c r="AE63" s="44"/>
      <c r="AF63" s="44"/>
      <c r="AG63" s="44"/>
    </row>
    <row r="64" spans="18:33">
      <c r="R64" s="1201" t="s">
        <v>412</v>
      </c>
      <c r="S64" s="1202">
        <v>3331562393</v>
      </c>
      <c r="T64" s="1077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2" t="s">
        <v>256</v>
      </c>
      <c r="AA64" s="1202" t="s">
        <v>256</v>
      </c>
      <c r="AB64" s="1202" t="s">
        <v>256</v>
      </c>
      <c r="AC64" s="1192"/>
    </row>
    <row r="65" spans="18:29">
      <c r="R65" s="1201" t="s">
        <v>412</v>
      </c>
      <c r="S65" s="1202">
        <v>3331562399</v>
      </c>
      <c r="T65" s="1102" t="s">
        <v>11</v>
      </c>
      <c r="U65" s="1202">
        <v>24141739</v>
      </c>
      <c r="V65" s="1202" t="s">
        <v>447</v>
      </c>
      <c r="W65" s="1202" t="s">
        <v>199</v>
      </c>
      <c r="X65" s="1203">
        <f>2614.594+23055.605</f>
        <v>25670.199000000001</v>
      </c>
      <c r="Y65" s="1202" t="s">
        <v>200</v>
      </c>
      <c r="Z65" s="1202">
        <v>1</v>
      </c>
      <c r="AA65" s="1202">
        <v>1</v>
      </c>
      <c r="AB65" s="1202" t="s">
        <v>204</v>
      </c>
      <c r="AC65" s="1192"/>
    </row>
    <row r="66" spans="18:29">
      <c r="R66" s="1201" t="s">
        <v>412</v>
      </c>
      <c r="S66" s="1202">
        <v>3331562401</v>
      </c>
      <c r="T66" s="1077" t="s">
        <v>256</v>
      </c>
      <c r="U66" s="1202" t="s">
        <v>256</v>
      </c>
      <c r="V66" s="1202" t="s">
        <v>256</v>
      </c>
      <c r="W66" s="1202" t="s">
        <v>256</v>
      </c>
      <c r="X66" s="1203" t="s">
        <v>256</v>
      </c>
      <c r="Y66" s="1202" t="s">
        <v>256</v>
      </c>
      <c r="Z66" s="1202" t="s">
        <v>256</v>
      </c>
      <c r="AA66" s="1202" t="s">
        <v>256</v>
      </c>
      <c r="AB66" s="1202" t="s">
        <v>256</v>
      </c>
      <c r="AC66" s="1192"/>
    </row>
    <row r="67" spans="18:29">
      <c r="R67" s="1201" t="s">
        <v>412</v>
      </c>
      <c r="S67" s="1202">
        <v>3331562067</v>
      </c>
      <c r="T67" s="1102" t="s">
        <v>441</v>
      </c>
      <c r="U67" s="1202">
        <v>24141741</v>
      </c>
      <c r="V67" s="1202" t="s">
        <v>150</v>
      </c>
      <c r="W67" s="1202" t="s">
        <v>199</v>
      </c>
      <c r="X67" s="1203">
        <f>2546.186+3163.87+18105.989</f>
        <v>23816.045000000002</v>
      </c>
      <c r="Y67" s="1202" t="s">
        <v>200</v>
      </c>
      <c r="Z67" s="1202">
        <v>1</v>
      </c>
      <c r="AA67" s="1202">
        <v>1</v>
      </c>
      <c r="AB67" s="1202" t="s">
        <v>204</v>
      </c>
      <c r="AC67" s="1192"/>
    </row>
    <row r="68" spans="18:29">
      <c r="R68" s="1201" t="s">
        <v>412</v>
      </c>
      <c r="S68" s="1202">
        <v>3331562071</v>
      </c>
      <c r="T68" s="1077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192"/>
    </row>
    <row r="69" spans="18:29">
      <c r="R69" s="1201" t="s">
        <v>412</v>
      </c>
      <c r="S69" s="1202">
        <v>3331562404</v>
      </c>
      <c r="T69" s="1077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192"/>
    </row>
    <row r="70" spans="18:29">
      <c r="R70" s="1201" t="s">
        <v>412</v>
      </c>
      <c r="S70" s="1202">
        <v>3331562410</v>
      </c>
      <c r="T70" s="1153" t="s">
        <v>27</v>
      </c>
      <c r="U70" s="1202">
        <v>24141742</v>
      </c>
      <c r="V70" s="1202" t="s">
        <v>290</v>
      </c>
      <c r="W70" s="1202" t="s">
        <v>340</v>
      </c>
      <c r="X70" s="1203">
        <v>25312.972000000002</v>
      </c>
      <c r="Y70" s="1202" t="s">
        <v>200</v>
      </c>
      <c r="Z70" s="1202">
        <v>1</v>
      </c>
      <c r="AA70" s="1202">
        <v>1</v>
      </c>
      <c r="AB70" s="1202" t="s">
        <v>204</v>
      </c>
      <c r="AC70" s="1192"/>
    </row>
    <row r="71" spans="18:29">
      <c r="R71" s="1201" t="s">
        <v>463</v>
      </c>
      <c r="S71" s="1202">
        <v>3331561675</v>
      </c>
      <c r="T71" s="1077" t="s">
        <v>34</v>
      </c>
      <c r="U71" s="1202">
        <v>24141743</v>
      </c>
      <c r="V71" s="1202" t="s">
        <v>464</v>
      </c>
      <c r="W71" s="1202" t="s">
        <v>199</v>
      </c>
      <c r="X71" s="1203">
        <f>1130.625+16795.179+7914.375</f>
        <v>25840.179</v>
      </c>
      <c r="Y71" s="1202" t="s">
        <v>200</v>
      </c>
      <c r="Z71" s="1202">
        <v>1</v>
      </c>
      <c r="AA71" s="1202">
        <v>1</v>
      </c>
      <c r="AB71" s="1202" t="s">
        <v>204</v>
      </c>
      <c r="AC71" s="1192"/>
    </row>
    <row r="72" spans="18:29">
      <c r="R72" s="1201" t="s">
        <v>463</v>
      </c>
      <c r="S72" s="1202">
        <v>3331561677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02" t="s">
        <v>256</v>
      </c>
      <c r="AC72" s="1192"/>
    </row>
    <row r="73" spans="18:29">
      <c r="R73" s="1201" t="s">
        <v>452</v>
      </c>
      <c r="S73" s="1202">
        <v>3331562406</v>
      </c>
      <c r="T73" s="1077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2" t="s">
        <v>256</v>
      </c>
      <c r="AC73" s="1192"/>
    </row>
    <row r="74" spans="18:29">
      <c r="R74" s="1201" t="s">
        <v>412</v>
      </c>
      <c r="S74" s="1202">
        <v>3331562412</v>
      </c>
      <c r="T74" s="1077" t="s">
        <v>34</v>
      </c>
      <c r="U74" s="1202">
        <v>24141744</v>
      </c>
      <c r="V74" s="1202" t="s">
        <v>290</v>
      </c>
      <c r="W74" s="1202" t="s">
        <v>340</v>
      </c>
      <c r="X74" s="1203">
        <v>25189.931</v>
      </c>
      <c r="Y74" s="1202" t="s">
        <v>200</v>
      </c>
      <c r="Z74" s="1202">
        <v>1</v>
      </c>
      <c r="AA74" s="1202">
        <v>1</v>
      </c>
      <c r="AB74" s="1202" t="s">
        <v>204</v>
      </c>
      <c r="AC74" s="1192"/>
    </row>
    <row r="75" spans="18:29">
      <c r="R75" s="1201" t="s">
        <v>412</v>
      </c>
      <c r="S75" s="1202">
        <v>3331562550</v>
      </c>
      <c r="T75" s="1077" t="s">
        <v>11</v>
      </c>
      <c r="U75" s="1202">
        <v>24141765</v>
      </c>
      <c r="V75" s="1202" t="s">
        <v>368</v>
      </c>
      <c r="W75" s="1202" t="s">
        <v>199</v>
      </c>
      <c r="X75" s="1203">
        <v>24880.718000000001</v>
      </c>
      <c r="Y75" s="1202" t="s">
        <v>200</v>
      </c>
      <c r="Z75" s="1202">
        <v>1</v>
      </c>
      <c r="AA75" s="1202">
        <v>1</v>
      </c>
      <c r="AB75" s="1202" t="s">
        <v>204</v>
      </c>
      <c r="AC75" s="1192" t="s">
        <v>422</v>
      </c>
    </row>
    <row r="76" spans="18:29">
      <c r="R76" s="1201" t="s">
        <v>412</v>
      </c>
      <c r="S76" s="1202">
        <v>3331562551</v>
      </c>
      <c r="T76" s="1077" t="s">
        <v>287</v>
      </c>
      <c r="U76" s="1202">
        <v>24141766</v>
      </c>
      <c r="V76" s="1202" t="s">
        <v>368</v>
      </c>
      <c r="W76" s="1202" t="s">
        <v>199</v>
      </c>
      <c r="X76" s="1265">
        <v>26022.223000000002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422</v>
      </c>
    </row>
    <row r="77" spans="18:29">
      <c r="R77" s="1201" t="s">
        <v>412</v>
      </c>
      <c r="S77" s="1202">
        <v>3331562555</v>
      </c>
      <c r="T77" s="1102" t="s">
        <v>287</v>
      </c>
      <c r="U77" s="1202">
        <v>24141767</v>
      </c>
      <c r="V77" s="1202" t="s">
        <v>368</v>
      </c>
      <c r="W77" s="1202" t="s">
        <v>199</v>
      </c>
      <c r="X77" s="1203">
        <v>24089.675999999999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422</v>
      </c>
    </row>
    <row r="78" spans="18:29">
      <c r="R78" s="1256" t="s">
        <v>412</v>
      </c>
      <c r="S78" s="1257">
        <v>3331562561</v>
      </c>
      <c r="T78" s="1102" t="s">
        <v>441</v>
      </c>
      <c r="U78" s="1257">
        <v>24141768</v>
      </c>
      <c r="V78" s="1202" t="s">
        <v>465</v>
      </c>
      <c r="W78" s="1202" t="s">
        <v>199</v>
      </c>
      <c r="X78" s="1258">
        <v>21174.188999999998</v>
      </c>
      <c r="Y78" s="1257" t="s">
        <v>200</v>
      </c>
      <c r="Z78" s="1257">
        <v>1</v>
      </c>
      <c r="AA78" s="1257">
        <v>1</v>
      </c>
      <c r="AB78" s="1257" t="s">
        <v>204</v>
      </c>
      <c r="AC78" s="1192" t="s">
        <v>422</v>
      </c>
    </row>
    <row r="79" spans="18:29">
      <c r="R79" s="1256" t="s">
        <v>412</v>
      </c>
      <c r="S79" s="1257">
        <v>3331562564</v>
      </c>
      <c r="T79" s="1153" t="s">
        <v>34</v>
      </c>
      <c r="U79" s="1257">
        <v>24141769</v>
      </c>
      <c r="V79" s="1202" t="s">
        <v>368</v>
      </c>
      <c r="W79" s="1202" t="s">
        <v>340</v>
      </c>
      <c r="X79" s="1258">
        <v>23618.491000000002</v>
      </c>
      <c r="Y79" s="1257" t="s">
        <v>200</v>
      </c>
      <c r="Z79" s="1257">
        <v>1</v>
      </c>
      <c r="AA79" s="1257">
        <v>1</v>
      </c>
      <c r="AB79" s="1257" t="s">
        <v>204</v>
      </c>
      <c r="AC79" s="1192"/>
    </row>
    <row r="80" spans="18:29">
      <c r="R80" s="1201" t="s">
        <v>452</v>
      </c>
      <c r="S80" s="1202">
        <v>3331562569</v>
      </c>
      <c r="T80" s="1153" t="s">
        <v>152</v>
      </c>
      <c r="U80" s="1202">
        <v>24141770</v>
      </c>
      <c r="V80" s="1202" t="s">
        <v>368</v>
      </c>
      <c r="W80" s="1202" t="s">
        <v>340</v>
      </c>
      <c r="X80" s="1203">
        <v>23147.491000000002</v>
      </c>
      <c r="Y80" s="1257" t="s">
        <v>200</v>
      </c>
      <c r="Z80" s="1202">
        <v>1</v>
      </c>
      <c r="AA80" s="1202">
        <v>1</v>
      </c>
      <c r="AB80" s="1202" t="s">
        <v>204</v>
      </c>
      <c r="AC80" s="1192"/>
    </row>
    <row r="81" spans="18:29">
      <c r="R81" s="1201" t="s">
        <v>412</v>
      </c>
      <c r="S81" s="1202">
        <v>3331562573</v>
      </c>
      <c r="T81" s="1153" t="s">
        <v>34</v>
      </c>
      <c r="U81" s="1202">
        <v>24141771</v>
      </c>
      <c r="V81" s="1202" t="s">
        <v>465</v>
      </c>
      <c r="W81" s="1202" t="s">
        <v>340</v>
      </c>
      <c r="X81" s="1203">
        <v>22083.51</v>
      </c>
      <c r="Y81" s="1257" t="s">
        <v>200</v>
      </c>
      <c r="Z81" s="1202">
        <v>1</v>
      </c>
      <c r="AA81" s="1202">
        <v>1</v>
      </c>
      <c r="AB81" s="1202" t="s">
        <v>204</v>
      </c>
      <c r="AC81" s="1192"/>
    </row>
    <row r="82" spans="18:29">
      <c r="R82" s="1256" t="s">
        <v>412</v>
      </c>
      <c r="S82" s="1257">
        <v>3331562531</v>
      </c>
      <c r="T82" s="1153" t="s">
        <v>27</v>
      </c>
      <c r="U82" s="1257">
        <v>24141772</v>
      </c>
      <c r="V82" s="1257" t="s">
        <v>466</v>
      </c>
      <c r="W82" s="1202" t="s">
        <v>199</v>
      </c>
      <c r="X82" s="1258">
        <f>15520+6322</f>
        <v>21842</v>
      </c>
      <c r="Y82" s="1257" t="s">
        <v>200</v>
      </c>
      <c r="Z82" s="1257">
        <v>1</v>
      </c>
      <c r="AA82" s="1257">
        <v>1</v>
      </c>
      <c r="AB82" s="1202" t="s">
        <v>204</v>
      </c>
      <c r="AC82" s="1192" t="s">
        <v>422</v>
      </c>
    </row>
    <row r="83" spans="18:29">
      <c r="R83" s="1256" t="s">
        <v>412</v>
      </c>
      <c r="S83" s="1257">
        <v>3331562577</v>
      </c>
      <c r="T83" s="1077" t="s">
        <v>256</v>
      </c>
      <c r="U83" s="1257" t="s">
        <v>256</v>
      </c>
      <c r="V83" s="1257" t="s">
        <v>256</v>
      </c>
      <c r="W83" s="1257" t="s">
        <v>256</v>
      </c>
      <c r="X83" s="1258" t="s">
        <v>256</v>
      </c>
      <c r="Y83" s="1257" t="s">
        <v>256</v>
      </c>
      <c r="Z83" s="1257" t="s">
        <v>256</v>
      </c>
      <c r="AA83" s="1257" t="s">
        <v>256</v>
      </c>
      <c r="AB83" s="1257" t="s">
        <v>256</v>
      </c>
      <c r="AC83" s="1197" t="s">
        <v>256</v>
      </c>
    </row>
    <row r="84" spans="18:29">
      <c r="R84" s="1189"/>
      <c r="S84" s="1190"/>
      <c r="T84" s="1190"/>
      <c r="U84" s="1190"/>
      <c r="V84" s="1190"/>
      <c r="W84" s="1190"/>
      <c r="X84" s="1191"/>
      <c r="Y84" s="1190"/>
      <c r="Z84" s="1190"/>
      <c r="AA84" s="1190"/>
      <c r="AB84" s="1190"/>
      <c r="AC84" s="1192"/>
    </row>
    <row r="85" spans="18:29">
      <c r="R85" s="1189"/>
      <c r="S85" s="1190"/>
      <c r="T85" s="1190"/>
      <c r="U85" s="1190"/>
      <c r="V85" s="1195"/>
      <c r="W85" s="1190"/>
      <c r="X85" s="1191"/>
      <c r="Y85" s="1190"/>
      <c r="Z85" s="1190"/>
      <c r="AA85" s="1190"/>
      <c r="AB85" s="1190"/>
      <c r="AC85" s="1192"/>
    </row>
    <row r="86" spans="18:29">
      <c r="R86" s="1189"/>
      <c r="S86" s="1190"/>
      <c r="T86" s="1190"/>
      <c r="U86" s="1190"/>
      <c r="V86" s="1195"/>
      <c r="W86" s="1190"/>
      <c r="X86" s="1191"/>
      <c r="Y86" s="1190"/>
      <c r="Z86" s="1190"/>
      <c r="AA86" s="1190"/>
      <c r="AB86" s="1190"/>
      <c r="AC86" s="1192"/>
    </row>
    <row r="87" spans="18:29">
      <c r="R87" s="1189"/>
      <c r="S87" s="1190"/>
      <c r="T87" s="1190"/>
      <c r="U87" s="1190"/>
      <c r="V87" s="1190"/>
      <c r="W87" s="1190"/>
      <c r="X87" s="1191"/>
      <c r="Y87" s="1190"/>
      <c r="Z87" s="1190"/>
      <c r="AA87" s="1190"/>
      <c r="AB87" s="1190"/>
      <c r="AC87" s="1192"/>
    </row>
    <row r="88" spans="18:29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</row>
    <row r="89" spans="18:29" s="44" customFormat="1">
      <c r="R89" s="1189"/>
      <c r="S89" s="1190"/>
      <c r="T89" s="1190"/>
      <c r="U89" s="1190"/>
      <c r="V89" s="1195"/>
      <c r="W89" s="1190"/>
      <c r="X89" s="1191"/>
      <c r="Y89" s="1190"/>
      <c r="Z89" s="1190"/>
      <c r="AA89" s="1190"/>
      <c r="AB89" s="1190"/>
      <c r="AC89" s="1192"/>
    </row>
    <row r="90" spans="18:29" s="44" customFormat="1">
      <c r="R90" s="1189"/>
      <c r="S90" s="1190"/>
      <c r="T90" s="1190"/>
      <c r="U90" s="1190"/>
      <c r="V90" s="1195"/>
      <c r="W90" s="1190"/>
      <c r="X90" s="1191"/>
      <c r="Y90" s="1190"/>
      <c r="Z90" s="1190"/>
      <c r="AA90" s="1190"/>
      <c r="AB90" s="1190"/>
      <c r="AC90" s="1192"/>
    </row>
    <row r="91" spans="18:29" s="44" customFormat="1">
      <c r="R91" s="1190"/>
      <c r="S91" s="1190"/>
      <c r="T91" s="1190"/>
      <c r="U91" s="1190"/>
      <c r="V91" s="1190"/>
      <c r="W91" s="1190"/>
      <c r="X91" s="1190"/>
      <c r="Y91" s="1190"/>
      <c r="Z91" s="1190"/>
      <c r="AA91" s="1190"/>
      <c r="AB91" s="1190"/>
      <c r="AC91" s="1190"/>
    </row>
    <row r="92" spans="18:29" s="44" customFormat="1">
      <c r="R92" s="1190"/>
      <c r="S92" s="1190"/>
      <c r="T92" s="1190"/>
      <c r="U92" s="1190"/>
      <c r="V92" s="1190"/>
      <c r="W92" s="1190"/>
      <c r="X92" s="1190"/>
      <c r="Y92" s="1190"/>
      <c r="Z92" s="1190"/>
      <c r="AA92" s="1190"/>
      <c r="AB92" s="1190"/>
      <c r="AC92" s="1190"/>
    </row>
    <row r="93" spans="18:29" s="44" customFormat="1">
      <c r="R93" s="1190"/>
      <c r="S93" s="1190"/>
      <c r="T93" s="1190"/>
      <c r="U93" s="1190"/>
      <c r="V93" s="1190"/>
      <c r="W93" s="1190"/>
      <c r="X93" s="1190"/>
      <c r="Y93" s="1190"/>
      <c r="Z93" s="1190"/>
      <c r="AA93" s="1190"/>
      <c r="AB93" s="1190"/>
      <c r="AC93" s="1190"/>
    </row>
    <row r="94" spans="18:29" s="44" customFormat="1">
      <c r="R94" s="1190"/>
      <c r="S94" s="1190"/>
      <c r="T94" s="1190"/>
      <c r="U94" s="1190"/>
      <c r="V94" s="1190"/>
      <c r="W94" s="1190"/>
      <c r="X94" s="1190"/>
      <c r="Y94" s="1190"/>
      <c r="Z94" s="1190"/>
      <c r="AA94" s="1190"/>
      <c r="AB94" s="1190"/>
      <c r="AC94" s="1190"/>
    </row>
    <row r="95" spans="18:29" s="44" customFormat="1">
      <c r="R95" s="1190"/>
      <c r="S95" s="1190"/>
      <c r="T95" s="1190"/>
      <c r="U95" s="1190"/>
      <c r="V95" s="1190"/>
      <c r="W95" s="1190"/>
      <c r="X95" s="1190"/>
      <c r="Y95" s="1190"/>
      <c r="Z95" s="1190"/>
      <c r="AA95" s="1190"/>
      <c r="AB95" s="1190"/>
      <c r="AC95" s="1190"/>
    </row>
    <row r="96" spans="18:29" s="44" customFormat="1">
      <c r="R96" s="1190"/>
      <c r="S96" s="1190"/>
      <c r="T96" s="1190"/>
      <c r="U96" s="1190"/>
      <c r="V96" s="1190"/>
      <c r="W96" s="1190"/>
      <c r="X96" s="1190"/>
      <c r="Y96" s="1190"/>
      <c r="Z96" s="1190"/>
      <c r="AA96" s="1190"/>
      <c r="AB96" s="1190"/>
      <c r="AC96" s="1190"/>
    </row>
    <row r="97" spans="18:29">
      <c r="R97" s="1190"/>
      <c r="S97" s="1190"/>
      <c r="T97" s="1190"/>
      <c r="U97" s="1190"/>
      <c r="V97" s="1190"/>
      <c r="W97" s="1190"/>
      <c r="X97" s="1190"/>
      <c r="Y97" s="1190"/>
      <c r="Z97" s="1190"/>
      <c r="AA97" s="1190"/>
      <c r="AB97" s="1190"/>
      <c r="AC97" s="1190"/>
    </row>
    <row r="98" spans="18:29">
      <c r="R98" s="1190"/>
      <c r="S98" s="1190"/>
      <c r="T98" s="1190"/>
      <c r="U98" s="1190"/>
      <c r="V98" s="1190"/>
      <c r="W98" s="1190"/>
      <c r="X98" s="1190"/>
      <c r="Y98" s="1190"/>
      <c r="Z98" s="1190"/>
      <c r="AA98" s="1190"/>
      <c r="AB98" s="1190"/>
      <c r="AC98" s="1190"/>
    </row>
    <row r="99" spans="18:29"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</row>
    <row r="100" spans="18:29">
      <c r="R100" s="1190"/>
      <c r="S100" s="1190"/>
      <c r="T100" s="1190"/>
      <c r="U100" s="1190"/>
      <c r="V100" s="1190"/>
      <c r="W100" s="1190"/>
      <c r="X100" s="1190"/>
      <c r="Y100" s="1190"/>
      <c r="Z100" s="1190"/>
      <c r="AA100" s="1190"/>
      <c r="AB100" s="1190"/>
      <c r="AC100" s="1190"/>
    </row>
    <row r="101" spans="18:29">
      <c r="R101" s="1190"/>
      <c r="S101" s="1190"/>
      <c r="T101" s="1190"/>
      <c r="U101" s="1190"/>
      <c r="V101" s="1190"/>
      <c r="W101" s="1190"/>
      <c r="X101" s="1190"/>
      <c r="Y101" s="1190"/>
      <c r="Z101" s="1190"/>
      <c r="AA101" s="1190"/>
      <c r="AB101" s="1190"/>
      <c r="AC101" s="1190"/>
    </row>
    <row r="105" spans="18:29">
      <c r="U105">
        <v>22000</v>
      </c>
    </row>
    <row r="106" spans="18:29">
      <c r="U106">
        <v>11000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27" name="Range1_65_32_32_30_30_30_30_30_30_30_30_30_30"/>
    <protectedRange algorithmName="SHA-512" hashValue="XYWjC+iAz2ErgjMh7TSLHlxfTfK0uVcITDFdCCZFdnsWWbUNnsQqu9AM+0WFXQpYcy9ZvQx2KUXfpLhpOROHkg==" saltValue="47TiGLG0rJVTo3iAJH8T4w==" spinCount="100000" sqref="B22:D27" name="Range2_5_2_2_2_2_2_2_2_2_2_2_2_2"/>
    <protectedRange algorithmName="SHA-512" hashValue="24Yg3M703G5L8OyJWxlkx8c1Gwfrkael5W/l3TUk/Rcz5tR8QOgCx5v0Ebb/UGz+9BDKPJ5wV4hH8uuxvmtGIw==" saltValue="ZSJQ8EEnwGxsiYzxIw6K0Q==" spinCount="100000" sqref="B20:D27" name="Range1_65_32_2_2_2_2_2_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F8:H8"/>
    <mergeCell ref="J8:L8"/>
    <mergeCell ref="N8:P9"/>
    <mergeCell ref="F9:H9"/>
    <mergeCell ref="J9:L9"/>
    <mergeCell ref="A20:A21"/>
    <mergeCell ref="B20:D20"/>
    <mergeCell ref="N10:P10"/>
    <mergeCell ref="J10:L10"/>
    <mergeCell ref="F10:H10"/>
    <mergeCell ref="B10:D10"/>
    <mergeCell ref="A10:A11"/>
  </mergeCells>
  <conditionalFormatting sqref="S6:S9">
    <cfRule type="duplicateValues" dxfId="42" priority="2"/>
  </conditionalFormatting>
  <conditionalFormatting sqref="S11">
    <cfRule type="duplicateValues" dxfId="41" priority="3"/>
  </conditionalFormatting>
  <conditionalFormatting sqref="S13:S18">
    <cfRule type="duplicateValues" dxfId="40" priority="4"/>
  </conditionalFormatting>
  <conditionalFormatting sqref="S14:S16">
    <cfRule type="duplicateValues" dxfId="39" priority="1"/>
  </conditionalFormatting>
  <conditionalFormatting sqref="S19:S21 S2:S11">
    <cfRule type="duplicateValues" dxfId="38" priority="5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03CA-89FF-4485-B032-080DA22FFE43}">
  <dimension ref="A1:S90"/>
  <sheetViews>
    <sheetView showGridLines="0" topLeftCell="A41" zoomScale="85" zoomScaleNormal="85" workbookViewId="0">
      <selection activeCell="B19" sqref="B19"/>
    </sheetView>
  </sheetViews>
  <sheetFormatPr defaultColWidth="9.109375" defaultRowHeight="14.4"/>
  <cols>
    <col min="1" max="1" width="37.109375" customWidth="1"/>
    <col min="2" max="2" width="25.33203125" customWidth="1"/>
    <col min="3" max="3" width="17" customWidth="1"/>
    <col min="4" max="4" width="30.109375" customWidth="1"/>
    <col min="5" max="5" width="50" style="358" bestFit="1" customWidth="1"/>
    <col min="6" max="6" width="33.109375" customWidth="1"/>
    <col min="7" max="7" width="17.109375" customWidth="1"/>
    <col min="8" max="8" width="26.44140625" customWidth="1"/>
    <col min="9" max="9" width="20.109375" customWidth="1"/>
    <col min="10" max="10" width="23.33203125" bestFit="1" customWidth="1"/>
    <col min="11" max="11" width="17" customWidth="1"/>
    <col min="12" max="12" width="10.5546875" customWidth="1"/>
    <col min="13" max="13" width="6.5546875" customWidth="1"/>
    <col min="16" max="16" width="10.6640625" hidden="1" customWidth="1"/>
    <col min="17" max="17" width="11.88671875" hidden="1" customWidth="1"/>
    <col min="18" max="18" width="9.109375" hidden="1" customWidth="1"/>
    <col min="19" max="19" width="9.109375" customWidth="1"/>
  </cols>
  <sheetData>
    <row r="1" spans="1:18" ht="31.5" customHeight="1">
      <c r="A1" s="1548">
        <f ca="1">TODAY()</f>
        <v>45977</v>
      </c>
      <c r="B1" s="1549"/>
      <c r="D1" s="1517" t="s">
        <v>309</v>
      </c>
      <c r="E1" s="1518"/>
      <c r="F1" s="1519"/>
      <c r="H1" s="1509" t="s">
        <v>310</v>
      </c>
      <c r="I1" s="1552"/>
      <c r="J1" s="1510"/>
      <c r="P1" s="276" t="s">
        <v>27</v>
      </c>
      <c r="Q1" s="294">
        <f>COUNTIF($C$20:$C$1002,"SILOG")</f>
        <v>11</v>
      </c>
      <c r="R1" s="254" t="str">
        <f>IFERROR(VLOOKUP(J1,'IN OUT'!L:M,2,FALSE), "BELUM MASUK")</f>
        <v>BELUM MASUK</v>
      </c>
    </row>
    <row r="2" spans="1:18" ht="21.75" customHeight="1">
      <c r="A2" s="1550"/>
      <c r="B2" s="1551"/>
      <c r="D2" s="419" t="s">
        <v>247</v>
      </c>
      <c r="E2" s="419" t="s">
        <v>195</v>
      </c>
      <c r="F2" s="322" t="s">
        <v>196</v>
      </c>
      <c r="H2" s="441" t="s">
        <v>247</v>
      </c>
      <c r="I2" s="417" t="s">
        <v>195</v>
      </c>
      <c r="J2" s="418" t="s">
        <v>196</v>
      </c>
      <c r="P2" s="276" t="s">
        <v>175</v>
      </c>
      <c r="Q2" s="294">
        <f>COUNTIF($C$20:$C$1002,"SIBA")</f>
        <v>0</v>
      </c>
    </row>
    <row r="3" spans="1:18" ht="36.75" customHeight="1">
      <c r="A3" s="433" t="s">
        <v>307</v>
      </c>
      <c r="B3" s="427">
        <f>SUM(I20:I1116)</f>
        <v>42</v>
      </c>
      <c r="C3" s="405"/>
      <c r="D3" s="353" t="s">
        <v>199</v>
      </c>
      <c r="E3" s="420">
        <f>COUNTIF($F$20:$F$62,"JABODETABEK")</f>
        <v>20</v>
      </c>
      <c r="F3" s="318">
        <f>SUMIF($F$20:$F$62, "JABODETABEK", $G$20:$G$1022)</f>
        <v>490909.973</v>
      </c>
      <c r="G3" s="343"/>
      <c r="H3" s="424" t="s">
        <v>199</v>
      </c>
      <c r="I3" s="425" cm="1">
        <f t="array" ref="I3">SUMPRODUCT(--(RIGHT($F$20:$F$62,20)="JABODETABEK NEXT DAY"))</f>
        <v>0</v>
      </c>
      <c r="J3" s="423">
        <f>SUMIF(F20:F1022, "JABODETABEK NEXT DAY", G20:G1022)</f>
        <v>0</v>
      </c>
      <c r="P3" s="276"/>
      <c r="Q3" s="294"/>
    </row>
    <row r="4" spans="1:18" ht="29.25" customHeight="1">
      <c r="A4" s="432" t="s">
        <v>201</v>
      </c>
      <c r="B4" s="434">
        <f>SUM(J20:J1150)</f>
        <v>42</v>
      </c>
      <c r="D4" s="353" t="s">
        <v>203</v>
      </c>
      <c r="E4" s="245">
        <f>COUNTIF($F$20:$F$62, "JAWA TENGAH")</f>
        <v>2</v>
      </c>
      <c r="F4" s="318">
        <f>SUMIF($F$20:F62, "JAWA TENGAH", $G$20:$G$1023)</f>
        <v>77841.766000000003</v>
      </c>
      <c r="H4" s="354" t="s">
        <v>203</v>
      </c>
      <c r="I4" s="425" cm="1">
        <f t="array" ref="I4">SUMPRODUCT(--(RIGHT($F$20:$F$62,20)="JAWA TENGAH NEXT DAY"))</f>
        <v>5</v>
      </c>
      <c r="J4" s="423">
        <f>SUMIF($F$20:$F$62, "JAWA TENGAH NEXT DAY", $G$20:$G$1023)</f>
        <v>177961.326</v>
      </c>
      <c r="P4" s="276"/>
      <c r="Q4" s="294"/>
    </row>
    <row r="5" spans="1:18" ht="33.6">
      <c r="A5" s="351" t="s">
        <v>265</v>
      </c>
      <c r="B5" s="315">
        <f>COUNTIF($K$20:$K$999,"MASUK")</f>
        <v>36</v>
      </c>
      <c r="C5" s="400"/>
      <c r="D5" s="439" t="s">
        <v>205</v>
      </c>
      <c r="E5" s="247">
        <f>COUNTIF($F$20:$F$62, "JAWA TIMUR")</f>
        <v>6</v>
      </c>
      <c r="F5" s="318">
        <f>SUMIF($F$20:$F$62, "JAWA TIMUR", $G$20:$G$1024)</f>
        <v>178399.83299999998</v>
      </c>
      <c r="H5" s="353" t="s">
        <v>205</v>
      </c>
      <c r="I5" s="245" cm="1">
        <f t="array" ref="I5">SUMPRODUCT(--(RIGHT($F$20:$F$62,20)="JAWA TIMUR NEXT DAY"))</f>
        <v>0</v>
      </c>
      <c r="J5" s="423">
        <f>SUMIF($F$20:$F$62, "JAWA TIMUR NEXT DAY", $G$20:$G$1024)</f>
        <v>0</v>
      </c>
      <c r="P5" s="282"/>
      <c r="Q5" s="294"/>
    </row>
    <row r="6" spans="1:18" ht="33.6">
      <c r="A6" s="351" t="s">
        <v>207</v>
      </c>
      <c r="B6" s="315">
        <f>COUNTIF($K$20:$K$999,"BELUM MASUK")</f>
        <v>7</v>
      </c>
      <c r="C6" s="396"/>
      <c r="D6" s="497" t="s">
        <v>312</v>
      </c>
      <c r="E6" s="498">
        <f>SUM(E3:E5)</f>
        <v>28</v>
      </c>
      <c r="F6" s="496">
        <f>SUM(F3:F5)</f>
        <v>747151.57200000004</v>
      </c>
      <c r="H6" s="201" t="s">
        <v>313</v>
      </c>
      <c r="I6" s="499">
        <f>SUM(I3:I5)</f>
        <v>5</v>
      </c>
      <c r="J6" s="496">
        <f>SUM($J$3:$J$5)</f>
        <v>177961.326</v>
      </c>
      <c r="K6" s="398"/>
      <c r="L6" s="397"/>
      <c r="P6" s="293"/>
      <c r="Q6" s="294"/>
    </row>
    <row r="7" spans="1:18" ht="27" customHeight="1">
      <c r="A7" s="352" t="s">
        <v>249</v>
      </c>
      <c r="B7" s="314">
        <f>(B3-B4)</f>
        <v>0</v>
      </c>
      <c r="C7" s="251"/>
      <c r="E7" s="361"/>
      <c r="F7" s="327"/>
      <c r="G7" s="253"/>
      <c r="K7" s="349"/>
      <c r="L7" s="397"/>
      <c r="M7" s="308"/>
      <c r="N7" s="307"/>
      <c r="P7" s="293"/>
      <c r="Q7" s="294"/>
    </row>
    <row r="8" spans="1:18" ht="27" customHeight="1">
      <c r="A8" s="295"/>
      <c r="B8" s="296"/>
      <c r="D8" s="1509" t="s">
        <v>314</v>
      </c>
      <c r="E8" s="1552"/>
      <c r="F8" s="1510"/>
      <c r="G8" s="253"/>
      <c r="H8" s="1509" t="s">
        <v>315</v>
      </c>
      <c r="I8" s="1552"/>
      <c r="J8" s="1510"/>
      <c r="K8" s="307"/>
      <c r="L8" s="195"/>
      <c r="Q8" s="275"/>
    </row>
    <row r="9" spans="1:18" ht="27" customHeight="1">
      <c r="A9" s="1517" t="s">
        <v>316</v>
      </c>
      <c r="B9" s="1519"/>
      <c r="D9" s="322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 s="195"/>
      <c r="Q9" s="275"/>
    </row>
    <row r="10" spans="1:18" ht="27" customHeight="1">
      <c r="A10" s="377" t="s">
        <v>197</v>
      </c>
      <c r="B10" s="378">
        <f ca="1">SUMIF($H$20:$H$1022, "TRAILER", $I$20:$I$1021)</f>
        <v>13</v>
      </c>
      <c r="D10" s="353" t="s">
        <v>199</v>
      </c>
      <c r="E10" s="243">
        <f>COUNTIF($F$63:$F$1029,"JABODETABEK")</f>
        <v>1</v>
      </c>
      <c r="F10" s="318">
        <f>SUMIF(F136:F1029,"JABODETABEK", G22:G1029)</f>
        <v>0</v>
      </c>
      <c r="G10" s="253"/>
      <c r="H10" s="196" t="s">
        <v>317</v>
      </c>
      <c r="I10" s="500">
        <v>3</v>
      </c>
      <c r="J10" s="496">
        <v>74</v>
      </c>
      <c r="K10" s="307"/>
      <c r="L10" s="195"/>
      <c r="Q10" s="275"/>
    </row>
    <row r="11" spans="1:18" ht="27" customHeight="1">
      <c r="A11" s="430" t="s">
        <v>200</v>
      </c>
      <c r="B11" s="380">
        <f ca="1">SUMIF($H$20:$H$1023, "TRONTON", $I$20:$I$1022)</f>
        <v>26</v>
      </c>
      <c r="D11" s="353" t="s">
        <v>203</v>
      </c>
      <c r="E11" s="243">
        <f>COUNTIF($F$63:$F$1030,"JAWA TENGAH")</f>
        <v>0</v>
      </c>
      <c r="F11" s="318">
        <f>SUMIF(F22:F1030, "JAWA TENGAH", G22:G1030)</f>
        <v>0</v>
      </c>
      <c r="G11" s="253"/>
      <c r="H11" s="44"/>
      <c r="I11" s="442"/>
      <c r="J11" s="443"/>
      <c r="K11" s="307"/>
      <c r="L11" s="195"/>
      <c r="Q11" s="275"/>
    </row>
    <row r="12" spans="1:18" ht="27" customHeight="1">
      <c r="A12" s="430" t="s">
        <v>365</v>
      </c>
      <c r="B12" s="380">
        <f ca="1">SUMIF($H$20:$H$1023, "CN 40 HC", $I$20:$I$1022)</f>
        <v>3</v>
      </c>
      <c r="D12" s="354" t="s">
        <v>319</v>
      </c>
      <c r="E12" s="243">
        <f>COUNTIF($F$63:$F$1031,"JAWA TIMUR NEXT DAY")</f>
        <v>4</v>
      </c>
      <c r="F12" s="318">
        <f>SUMIF(F22:F1031, "JAWA TIMUR NEXT DAY", G22:G1031)</f>
        <v>163979.51100000003</v>
      </c>
      <c r="G12" s="253"/>
      <c r="H12" s="1517" t="s">
        <v>434</v>
      </c>
      <c r="I12" s="1518"/>
      <c r="J12" s="1519"/>
      <c r="K12" s="307"/>
      <c r="L12" s="195"/>
      <c r="Q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f>SUM(E10:E12)</f>
        <v>5</v>
      </c>
      <c r="F13" s="496">
        <f>SUM(F10:F12)</f>
        <v>163979.51100000003</v>
      </c>
      <c r="G13" s="253"/>
      <c r="H13" s="441" t="s">
        <v>247</v>
      </c>
      <c r="I13" s="417" t="s">
        <v>195</v>
      </c>
      <c r="J13" s="441" t="s">
        <v>196</v>
      </c>
      <c r="K13" s="307"/>
      <c r="L13" s="195"/>
      <c r="Q13" s="275"/>
    </row>
    <row r="14" spans="1:18" ht="27" customHeight="1">
      <c r="A14" s="428" t="s">
        <v>325</v>
      </c>
      <c r="B14" s="429">
        <v>0</v>
      </c>
      <c r="E14" s="361"/>
      <c r="F14" s="327"/>
      <c r="G14" s="253"/>
      <c r="H14" s="196" t="s">
        <v>434</v>
      </c>
      <c r="I14" s="500">
        <f>COUNTIF($F$20:$F$108,"COKOT SORANGAN")</f>
        <v>1</v>
      </c>
      <c r="J14" s="496">
        <f>SUMIF(F24:F1028,"COKOT SORANGAN",G24:G1028)</f>
        <v>27404.34</v>
      </c>
      <c r="K14" s="307"/>
      <c r="L14" s="195"/>
      <c r="Q14" s="275"/>
    </row>
    <row r="15" spans="1:18" ht="27" customHeight="1">
      <c r="A15" s="428" t="s">
        <v>321</v>
      </c>
      <c r="B15" s="429">
        <v>0</v>
      </c>
      <c r="D15" s="435" t="s">
        <v>328</v>
      </c>
      <c r="E15" s="437">
        <f>E6+I6+I10+I14+E13</f>
        <v>42</v>
      </c>
      <c r="F15" s="327"/>
      <c r="G15" s="253"/>
      <c r="I15" s="281"/>
      <c r="J15" s="348"/>
      <c r="K15" s="307"/>
      <c r="L15" s="195"/>
      <c r="Q15" s="275"/>
    </row>
    <row r="16" spans="1:18" ht="27" customHeight="1">
      <c r="A16" s="428" t="s">
        <v>330</v>
      </c>
      <c r="B16" s="429"/>
      <c r="D16" s="435" t="s">
        <v>331</v>
      </c>
      <c r="E16" s="436">
        <f>F6+J6+F13+J10+J14</f>
        <v>1116570.7490000001</v>
      </c>
      <c r="F16" s="327"/>
      <c r="G16" s="253"/>
      <c r="I16" s="281"/>
      <c r="J16" s="348"/>
      <c r="K16" s="307"/>
      <c r="L16" s="195"/>
      <c r="Q16" s="275"/>
    </row>
    <row r="17" spans="1:19" ht="27" customHeight="1">
      <c r="A17" s="428" t="s">
        <v>333</v>
      </c>
      <c r="B17" s="429"/>
      <c r="E17" s="361"/>
      <c r="F17" s="327"/>
      <c r="G17" s="253"/>
      <c r="I17" s="281"/>
      <c r="J17" s="348"/>
      <c r="K17" s="307"/>
      <c r="L17" s="195"/>
      <c r="Q17" s="275"/>
    </row>
    <row r="19" spans="1:19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9" s="44" customFormat="1" ht="15.6">
      <c r="A20" s="452" t="s">
        <v>370</v>
      </c>
      <c r="B20" s="592">
        <v>3331552405</v>
      </c>
      <c r="C20" s="452" t="s">
        <v>206</v>
      </c>
      <c r="D20" s="452">
        <v>24140598</v>
      </c>
      <c r="E20" s="882" t="s">
        <v>226</v>
      </c>
      <c r="F20" s="456" t="s">
        <v>203</v>
      </c>
      <c r="G20" s="453">
        <v>38748.857000000004</v>
      </c>
      <c r="H20" s="492" t="str">
        <f>IF(Table134[[#This Row],[TOTAL WEIGHT]]&gt;28000,"TRAILER","TRONTON")</f>
        <v>TRAILER</v>
      </c>
      <c r="I20" s="452">
        <v>1</v>
      </c>
      <c r="J20" s="452">
        <v>1</v>
      </c>
      <c r="K20" s="476" t="s">
        <v>204</v>
      </c>
      <c r="L20"/>
      <c r="M20"/>
      <c r="N20"/>
      <c r="O20"/>
      <c r="P20"/>
      <c r="Q20"/>
      <c r="R20"/>
      <c r="S20"/>
    </row>
    <row r="21" spans="1:19" s="44" customFormat="1" ht="15.6">
      <c r="A21" s="480" t="s">
        <v>370</v>
      </c>
      <c r="B21" s="887">
        <v>3331552415</v>
      </c>
      <c r="C21" s="480" t="s">
        <v>206</v>
      </c>
      <c r="D21" s="480">
        <v>24140599</v>
      </c>
      <c r="E21" s="888" t="s">
        <v>226</v>
      </c>
      <c r="F21" s="481" t="s">
        <v>203</v>
      </c>
      <c r="G21" s="487">
        <v>39092.909</v>
      </c>
      <c r="H21" s="489" t="str">
        <f>IF(Table134[[#This Row],[TOTAL WEIGHT]]&gt;28000,"TRAILER","TRONTON")</f>
        <v>TRAILER</v>
      </c>
      <c r="I21" s="480">
        <v>1</v>
      </c>
      <c r="J21" s="480">
        <v>1</v>
      </c>
      <c r="K21" s="482" t="s">
        <v>207</v>
      </c>
      <c r="L21"/>
      <c r="M21"/>
      <c r="N21"/>
      <c r="O21"/>
      <c r="P21"/>
      <c r="Q21"/>
      <c r="R21"/>
      <c r="S21"/>
    </row>
    <row r="22" spans="1:19" ht="15.6">
      <c r="A22" s="880" t="s">
        <v>370</v>
      </c>
      <c r="B22" s="452">
        <v>3331552650</v>
      </c>
      <c r="C22" s="592" t="s">
        <v>27</v>
      </c>
      <c r="D22" s="452">
        <v>24140603</v>
      </c>
      <c r="E22" s="452" t="s">
        <v>165</v>
      </c>
      <c r="F22" s="882" t="s">
        <v>199</v>
      </c>
      <c r="G22" s="456">
        <v>26147.952000000001</v>
      </c>
      <c r="H22" s="492" t="str">
        <f>IF(Table134[[#This Row],[TOTAL WEIGHT]]&gt;28000,"TRAILER","TRONTON")</f>
        <v>TRONTON</v>
      </c>
      <c r="I22" s="452">
        <v>1</v>
      </c>
      <c r="J22" s="452">
        <v>1</v>
      </c>
      <c r="K22" s="476" t="s">
        <v>204</v>
      </c>
    </row>
    <row r="23" spans="1:19" ht="15.6">
      <c r="A23" s="880" t="s">
        <v>370</v>
      </c>
      <c r="B23" s="452">
        <v>3331552652</v>
      </c>
      <c r="C23" s="592" t="s">
        <v>27</v>
      </c>
      <c r="D23" s="452">
        <v>24140604</v>
      </c>
      <c r="E23" s="452" t="s">
        <v>165</v>
      </c>
      <c r="F23" s="882" t="s">
        <v>199</v>
      </c>
      <c r="G23" s="456">
        <v>25054.43</v>
      </c>
      <c r="H23" s="492" t="str">
        <f>IF(Table134[[#This Row],[TOTAL WEIGHT]]&gt;28000,"TRAILER","TRONTON")</f>
        <v>TRONTON</v>
      </c>
      <c r="I23" s="452">
        <v>1</v>
      </c>
      <c r="J23" s="452">
        <v>1</v>
      </c>
      <c r="K23" s="476" t="s">
        <v>204</v>
      </c>
    </row>
    <row r="24" spans="1:19" ht="15.6">
      <c r="A24" s="880" t="s">
        <v>370</v>
      </c>
      <c r="B24" s="452">
        <v>3331552655</v>
      </c>
      <c r="C24" s="592" t="s">
        <v>27</v>
      </c>
      <c r="D24" s="452">
        <v>24140605</v>
      </c>
      <c r="E24" s="452" t="s">
        <v>165</v>
      </c>
      <c r="F24" s="882" t="s">
        <v>199</v>
      </c>
      <c r="G24" s="456">
        <v>23603.275000000001</v>
      </c>
      <c r="H24" s="492" t="str">
        <f>IF(Table134[[#This Row],[TOTAL WEIGHT]]&gt;28000,"TRAILER","TRONTON")</f>
        <v>TRONTON</v>
      </c>
      <c r="I24" s="452">
        <v>1</v>
      </c>
      <c r="J24" s="452">
        <v>1</v>
      </c>
      <c r="K24" s="476" t="s">
        <v>204</v>
      </c>
    </row>
    <row r="25" spans="1:19" ht="15.6">
      <c r="A25" s="880" t="s">
        <v>370</v>
      </c>
      <c r="B25" s="452">
        <v>3331552657</v>
      </c>
      <c r="C25" s="592" t="s">
        <v>27</v>
      </c>
      <c r="D25" s="452">
        <v>24140606</v>
      </c>
      <c r="E25" s="452" t="s">
        <v>165</v>
      </c>
      <c r="F25" s="882" t="s">
        <v>199</v>
      </c>
      <c r="G25" s="456">
        <v>24498.615000000002</v>
      </c>
      <c r="H25" s="492" t="str">
        <f>IF(Table134[[#This Row],[TOTAL WEIGHT]]&gt;28000,"TRAILER","TRONTON")</f>
        <v>TRONTON</v>
      </c>
      <c r="I25" s="452">
        <v>1</v>
      </c>
      <c r="J25" s="452">
        <v>1</v>
      </c>
      <c r="K25" s="476" t="s">
        <v>204</v>
      </c>
    </row>
    <row r="26" spans="1:19" ht="15.6">
      <c r="A26" s="880" t="s">
        <v>370</v>
      </c>
      <c r="B26" s="452">
        <v>3331552651</v>
      </c>
      <c r="C26" s="592" t="s">
        <v>27</v>
      </c>
      <c r="D26" s="452">
        <v>24140612</v>
      </c>
      <c r="E26" s="452" t="s">
        <v>156</v>
      </c>
      <c r="F26" s="882" t="s">
        <v>199</v>
      </c>
      <c r="G26" s="456">
        <f>1850.034+7053.066+16085.94</f>
        <v>24989.040000000001</v>
      </c>
      <c r="H26" s="452" t="s">
        <v>200</v>
      </c>
      <c r="I26" s="452">
        <v>1</v>
      </c>
      <c r="J26" s="452">
        <v>1</v>
      </c>
      <c r="K26" s="476" t="s">
        <v>204</v>
      </c>
    </row>
    <row r="27" spans="1:19" ht="15.6">
      <c r="A27" s="880" t="s">
        <v>370</v>
      </c>
      <c r="B27" s="452">
        <v>3331552659</v>
      </c>
      <c r="C27" s="592" t="s">
        <v>256</v>
      </c>
      <c r="D27" s="452" t="s">
        <v>256</v>
      </c>
      <c r="E27" s="452" t="s">
        <v>256</v>
      </c>
      <c r="F27" s="882" t="s">
        <v>256</v>
      </c>
      <c r="G27" s="456" t="s">
        <v>256</v>
      </c>
      <c r="H27" s="452" t="s">
        <v>256</v>
      </c>
      <c r="I27" s="452" t="s">
        <v>256</v>
      </c>
      <c r="J27" s="452" t="s">
        <v>256</v>
      </c>
      <c r="K27" s="476" t="s">
        <v>256</v>
      </c>
    </row>
    <row r="28" spans="1:19" ht="15.6">
      <c r="A28" s="880" t="s">
        <v>370</v>
      </c>
      <c r="B28" s="452">
        <v>3331552671</v>
      </c>
      <c r="C28" s="592" t="s">
        <v>256</v>
      </c>
      <c r="D28" s="452" t="s">
        <v>256</v>
      </c>
      <c r="E28" s="452" t="s">
        <v>256</v>
      </c>
      <c r="F28" s="882" t="s">
        <v>256</v>
      </c>
      <c r="G28" s="456" t="s">
        <v>256</v>
      </c>
      <c r="H28" s="452" t="s">
        <v>256</v>
      </c>
      <c r="I28" s="452" t="s">
        <v>256</v>
      </c>
      <c r="J28" s="452" t="s">
        <v>256</v>
      </c>
      <c r="K28" s="476" t="s">
        <v>256</v>
      </c>
    </row>
    <row r="29" spans="1:19" ht="15.6">
      <c r="A29" s="880" t="s">
        <v>370</v>
      </c>
      <c r="B29" s="452">
        <v>3331552661</v>
      </c>
      <c r="C29" s="592" t="s">
        <v>34</v>
      </c>
      <c r="D29" s="452">
        <v>24140608</v>
      </c>
      <c r="E29" s="452" t="s">
        <v>368</v>
      </c>
      <c r="F29" s="882" t="s">
        <v>199</v>
      </c>
      <c r="G29" s="456">
        <v>24970.087</v>
      </c>
      <c r="H29" s="492" t="str">
        <f>IF(Table134[[#This Row],[TOTAL WEIGHT]]&gt;28000,"TRAILER","TRONTON")</f>
        <v>TRONTON</v>
      </c>
      <c r="I29" s="452">
        <v>1</v>
      </c>
      <c r="J29" s="452">
        <v>1</v>
      </c>
      <c r="K29" s="476" t="s">
        <v>204</v>
      </c>
    </row>
    <row r="30" spans="1:19" ht="15.6">
      <c r="A30" s="880" t="s">
        <v>370</v>
      </c>
      <c r="B30" s="452">
        <v>3331552662</v>
      </c>
      <c r="C30" s="592" t="s">
        <v>27</v>
      </c>
      <c r="D30" s="452">
        <v>24140609</v>
      </c>
      <c r="E30" s="452" t="s">
        <v>366</v>
      </c>
      <c r="F30" s="882" t="s">
        <v>199</v>
      </c>
      <c r="G30" s="456">
        <v>26935.65</v>
      </c>
      <c r="H30" s="492" t="str">
        <f>IF(Table134[[#This Row],[TOTAL WEIGHT]]&gt;28000,"TRAILER","TRONTON")</f>
        <v>TRONTON</v>
      </c>
      <c r="I30" s="452">
        <v>1</v>
      </c>
      <c r="J30" s="452">
        <v>1</v>
      </c>
      <c r="K30" s="476" t="s">
        <v>204</v>
      </c>
    </row>
    <row r="31" spans="1:19" ht="15.6">
      <c r="A31" s="880" t="s">
        <v>370</v>
      </c>
      <c r="B31" s="452">
        <v>3331552665</v>
      </c>
      <c r="C31" s="592" t="s">
        <v>34</v>
      </c>
      <c r="D31" s="452">
        <v>24140610</v>
      </c>
      <c r="E31" s="452" t="s">
        <v>368</v>
      </c>
      <c r="F31" s="882" t="s">
        <v>199</v>
      </c>
      <c r="G31" s="456">
        <v>24638.269</v>
      </c>
      <c r="H31" s="492" t="str">
        <f>IF(Table134[[#This Row],[TOTAL WEIGHT]]&gt;28000,"TRAILER","TRONTON")</f>
        <v>TRONTON</v>
      </c>
      <c r="I31" s="452">
        <v>1</v>
      </c>
      <c r="J31" s="452">
        <v>1</v>
      </c>
      <c r="K31" s="476" t="s">
        <v>204</v>
      </c>
    </row>
    <row r="32" spans="1:19" ht="15.6">
      <c r="A32" s="880" t="s">
        <v>370</v>
      </c>
      <c r="B32" s="452">
        <v>3331552670</v>
      </c>
      <c r="C32" s="592" t="s">
        <v>27</v>
      </c>
      <c r="D32" s="452">
        <v>24140611</v>
      </c>
      <c r="E32" s="452" t="s">
        <v>366</v>
      </c>
      <c r="F32" s="882" t="s">
        <v>199</v>
      </c>
      <c r="G32" s="456">
        <v>26465.848000000002</v>
      </c>
      <c r="H32" s="492" t="str">
        <f>IF(Table134[[#This Row],[TOTAL WEIGHT]]&gt;28000,"TRAILER","TRONTON")</f>
        <v>TRONTON</v>
      </c>
      <c r="I32" s="452">
        <v>1</v>
      </c>
      <c r="J32" s="452">
        <v>1</v>
      </c>
      <c r="K32" s="476" t="s">
        <v>204</v>
      </c>
    </row>
    <row r="33" spans="1:11" ht="15.6">
      <c r="A33" s="880" t="s">
        <v>370</v>
      </c>
      <c r="B33" s="452">
        <v>3331552668</v>
      </c>
      <c r="C33" s="592" t="s">
        <v>34</v>
      </c>
      <c r="D33" s="452">
        <v>24140613</v>
      </c>
      <c r="E33" s="452" t="s">
        <v>469</v>
      </c>
      <c r="F33" s="882" t="s">
        <v>199</v>
      </c>
      <c r="G33" s="456">
        <f>5985.7+17710.109</f>
        <v>23695.809000000001</v>
      </c>
      <c r="H33" s="492" t="str">
        <f>IF(Table134[[#This Row],[TOTAL WEIGHT]]&gt;28000,"TRAILER","TRONTON")</f>
        <v>TRONTON</v>
      </c>
      <c r="I33" s="452">
        <v>1</v>
      </c>
      <c r="J33" s="452">
        <v>1</v>
      </c>
      <c r="K33" s="476" t="s">
        <v>204</v>
      </c>
    </row>
    <row r="34" spans="1:11" ht="15.6">
      <c r="A34" s="880" t="s">
        <v>370</v>
      </c>
      <c r="B34" s="452">
        <v>3331552669</v>
      </c>
      <c r="C34" s="592" t="s">
        <v>256</v>
      </c>
      <c r="D34" s="452" t="s">
        <v>256</v>
      </c>
      <c r="E34" s="452" t="s">
        <v>256</v>
      </c>
      <c r="F34" s="882" t="s">
        <v>256</v>
      </c>
      <c r="G34" s="456" t="s">
        <v>256</v>
      </c>
      <c r="H34" s="452" t="s">
        <v>256</v>
      </c>
      <c r="I34" s="452" t="s">
        <v>256</v>
      </c>
      <c r="J34" s="452" t="s">
        <v>256</v>
      </c>
      <c r="K34" s="476" t="s">
        <v>256</v>
      </c>
    </row>
    <row r="35" spans="1:11" ht="15.6">
      <c r="A35" s="880" t="s">
        <v>370</v>
      </c>
      <c r="B35" s="452">
        <v>3331552676</v>
      </c>
      <c r="C35" s="592" t="s">
        <v>336</v>
      </c>
      <c r="D35" s="452">
        <v>24140614</v>
      </c>
      <c r="E35" s="452" t="s">
        <v>413</v>
      </c>
      <c r="F35" s="882" t="s">
        <v>205</v>
      </c>
      <c r="G35" s="456">
        <f>6584.27+31220.021</f>
        <v>37804.290999999997</v>
      </c>
      <c r="H35" s="452" t="s">
        <v>128</v>
      </c>
      <c r="I35" s="452">
        <v>1</v>
      </c>
      <c r="J35" s="452">
        <v>1</v>
      </c>
      <c r="K35" s="476" t="s">
        <v>204</v>
      </c>
    </row>
    <row r="36" spans="1:11" ht="15.6">
      <c r="A36" s="880" t="s">
        <v>370</v>
      </c>
      <c r="B36" s="452">
        <v>3331552679</v>
      </c>
      <c r="C36" s="592" t="s">
        <v>256</v>
      </c>
      <c r="D36" s="452" t="s">
        <v>256</v>
      </c>
      <c r="E36" s="452" t="s">
        <v>256</v>
      </c>
      <c r="F36" s="88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</row>
    <row r="37" spans="1:11" ht="15.6">
      <c r="A37" s="880" t="s">
        <v>370</v>
      </c>
      <c r="B37" s="452">
        <v>3331552685</v>
      </c>
      <c r="C37" s="592" t="s">
        <v>27</v>
      </c>
      <c r="D37" s="452">
        <v>24140615</v>
      </c>
      <c r="E37" s="452" t="s">
        <v>368</v>
      </c>
      <c r="F37" s="882" t="s">
        <v>199</v>
      </c>
      <c r="G37" s="456">
        <v>21823.704000000002</v>
      </c>
      <c r="H37" s="492" t="str">
        <f>IF(Table134[[#This Row],[TOTAL WEIGHT]]&gt;28000,"TRAILER","TRONTON")</f>
        <v>TRONTON</v>
      </c>
      <c r="I37" s="452">
        <v>1</v>
      </c>
      <c r="J37" s="452">
        <v>1</v>
      </c>
      <c r="K37" s="476" t="s">
        <v>204</v>
      </c>
    </row>
    <row r="38" spans="1:11" ht="15.6">
      <c r="A38" s="880" t="s">
        <v>370</v>
      </c>
      <c r="B38" s="452">
        <v>3331552680</v>
      </c>
      <c r="C38" s="592" t="s">
        <v>287</v>
      </c>
      <c r="D38" s="452">
        <v>24140616</v>
      </c>
      <c r="E38" s="452" t="s">
        <v>219</v>
      </c>
      <c r="F38" s="882" t="s">
        <v>199</v>
      </c>
      <c r="G38" s="456">
        <f>11565.395+15139.294</f>
        <v>26704.688999999998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1" ht="15.6">
      <c r="A39" s="880" t="s">
        <v>370</v>
      </c>
      <c r="B39" s="452">
        <v>3331552689</v>
      </c>
      <c r="C39" s="592" t="s">
        <v>256</v>
      </c>
      <c r="D39" s="452" t="s">
        <v>256</v>
      </c>
      <c r="E39" s="452" t="s">
        <v>256</v>
      </c>
      <c r="F39" s="882" t="s">
        <v>256</v>
      </c>
      <c r="G39" s="456" t="s">
        <v>256</v>
      </c>
      <c r="H39" s="452" t="s">
        <v>256</v>
      </c>
      <c r="I39" s="452" t="s">
        <v>256</v>
      </c>
      <c r="J39" s="452" t="s">
        <v>256</v>
      </c>
      <c r="K39" s="476" t="s">
        <v>256</v>
      </c>
    </row>
    <row r="40" spans="1:11" ht="15.6">
      <c r="A40" s="880" t="s">
        <v>370</v>
      </c>
      <c r="B40" s="452">
        <v>3331552703</v>
      </c>
      <c r="C40" s="592" t="s">
        <v>336</v>
      </c>
      <c r="D40" s="452">
        <v>24140617</v>
      </c>
      <c r="E40" s="452" t="s">
        <v>413</v>
      </c>
      <c r="F40" s="882" t="s">
        <v>205</v>
      </c>
      <c r="G40" s="456">
        <v>39479.966999999997</v>
      </c>
      <c r="H40" s="492" t="str">
        <f>IF(Table134[[#This Row],[TOTAL WEIGHT]]&gt;28000,"TRAILER","TRONTON")</f>
        <v>TRAILER</v>
      </c>
      <c r="I40" s="452">
        <v>1</v>
      </c>
      <c r="J40" s="452">
        <v>1</v>
      </c>
      <c r="K40" s="476" t="s">
        <v>204</v>
      </c>
    </row>
    <row r="41" spans="1:11" ht="15.6">
      <c r="A41" s="880" t="s">
        <v>370</v>
      </c>
      <c r="B41" s="452">
        <v>3331552709</v>
      </c>
      <c r="C41" s="592" t="s">
        <v>27</v>
      </c>
      <c r="D41" s="452">
        <v>24140618</v>
      </c>
      <c r="E41" s="452" t="s">
        <v>156</v>
      </c>
      <c r="F41" s="882" t="s">
        <v>199</v>
      </c>
      <c r="G41" s="456">
        <v>25825.026000000002</v>
      </c>
      <c r="H41" s="492" t="str">
        <f>IF(Table134[[#This Row],[TOTAL WEIGHT]]&gt;28000,"TRAILER","TRONTON")</f>
        <v>TRONTON</v>
      </c>
      <c r="I41" s="452">
        <v>1</v>
      </c>
      <c r="J41" s="452">
        <v>1</v>
      </c>
      <c r="K41" s="476" t="s">
        <v>204</v>
      </c>
    </row>
    <row r="42" spans="1:11" ht="15.6">
      <c r="A42" s="880" t="s">
        <v>370</v>
      </c>
      <c r="B42" s="452">
        <v>3331552710</v>
      </c>
      <c r="C42" s="592" t="s">
        <v>34</v>
      </c>
      <c r="D42" s="452">
        <v>24140619</v>
      </c>
      <c r="E42" s="452" t="s">
        <v>156</v>
      </c>
      <c r="F42" s="882" t="s">
        <v>199</v>
      </c>
      <c r="G42" s="456">
        <v>24931.698</v>
      </c>
      <c r="H42" s="492" t="str">
        <f>IF(Table134[[#This Row],[TOTAL WEIGHT]]&gt;28000,"TRAILER","TRONTON")</f>
        <v>TRONTON</v>
      </c>
      <c r="I42" s="452">
        <v>1</v>
      </c>
      <c r="J42" s="452">
        <v>1</v>
      </c>
      <c r="K42" s="476" t="s">
        <v>204</v>
      </c>
    </row>
    <row r="43" spans="1:11" ht="15.6">
      <c r="A43" s="880" t="s">
        <v>370</v>
      </c>
      <c r="B43" s="452">
        <v>3331552718</v>
      </c>
      <c r="C43" s="592" t="s">
        <v>11</v>
      </c>
      <c r="D43" s="452">
        <v>24140620</v>
      </c>
      <c r="E43" s="452" t="s">
        <v>156</v>
      </c>
      <c r="F43" s="882" t="s">
        <v>199</v>
      </c>
      <c r="G43" s="456">
        <v>24757.66</v>
      </c>
      <c r="H43" s="492" t="str">
        <f>IF(Table134[[#This Row],[TOTAL WEIGHT]]&gt;28000,"TRAILER","TRONTON")</f>
        <v>TRONTON</v>
      </c>
      <c r="I43" s="452">
        <v>1</v>
      </c>
      <c r="J43" s="452">
        <v>1</v>
      </c>
      <c r="K43" s="476" t="s">
        <v>204</v>
      </c>
    </row>
    <row r="44" spans="1:11" ht="15.6">
      <c r="A44" s="880" t="s">
        <v>370</v>
      </c>
      <c r="B44" s="452">
        <v>3331552721</v>
      </c>
      <c r="C44" s="592" t="s">
        <v>206</v>
      </c>
      <c r="D44" s="452">
        <v>24140621</v>
      </c>
      <c r="E44" s="452" t="s">
        <v>226</v>
      </c>
      <c r="F44" s="882" t="s">
        <v>344</v>
      </c>
      <c r="G44" s="456">
        <v>35652.389000000003</v>
      </c>
      <c r="H44" s="492" t="str">
        <f>IF(Table134[[#This Row],[TOTAL WEIGHT]]&gt;28000,"TRAILER","TRONTON")</f>
        <v>TRAILER</v>
      </c>
      <c r="I44" s="452">
        <v>1</v>
      </c>
      <c r="J44" s="452">
        <v>1</v>
      </c>
      <c r="K44" s="476" t="s">
        <v>204</v>
      </c>
    </row>
    <row r="45" spans="1:11" ht="15.6">
      <c r="A45" s="880" t="s">
        <v>370</v>
      </c>
      <c r="B45" s="452">
        <v>3331552723</v>
      </c>
      <c r="C45" s="592" t="s">
        <v>11</v>
      </c>
      <c r="D45" s="452">
        <v>24140622</v>
      </c>
      <c r="E45" s="452" t="s">
        <v>156</v>
      </c>
      <c r="F45" s="882" t="s">
        <v>199</v>
      </c>
      <c r="G45" s="456">
        <v>26038.297999999999</v>
      </c>
      <c r="H45" s="452" t="s">
        <v>200</v>
      </c>
      <c r="I45" s="452">
        <v>1</v>
      </c>
      <c r="J45" s="452">
        <v>1</v>
      </c>
      <c r="K45" s="476" t="s">
        <v>204</v>
      </c>
    </row>
    <row r="46" spans="1:11" ht="15.6">
      <c r="A46" s="889" t="s">
        <v>370</v>
      </c>
      <c r="B46" s="480">
        <v>3331552733</v>
      </c>
      <c r="C46" s="887" t="s">
        <v>470</v>
      </c>
      <c r="D46" s="480">
        <v>24140633</v>
      </c>
      <c r="E46" s="480" t="s">
        <v>354</v>
      </c>
      <c r="F46" s="888" t="s">
        <v>353</v>
      </c>
      <c r="G46" s="481">
        <v>24941.376</v>
      </c>
      <c r="H46" s="502" t="s">
        <v>471</v>
      </c>
      <c r="I46" s="480">
        <v>1</v>
      </c>
      <c r="J46" s="480">
        <v>1</v>
      </c>
      <c r="K46" s="482" t="s">
        <v>207</v>
      </c>
    </row>
    <row r="47" spans="1:11" ht="15.6">
      <c r="A47" s="889" t="s">
        <v>370</v>
      </c>
      <c r="B47" s="480">
        <v>3331552742</v>
      </c>
      <c r="C47" s="887" t="s">
        <v>470</v>
      </c>
      <c r="D47" s="480">
        <v>24140634</v>
      </c>
      <c r="E47" s="480" t="s">
        <v>354</v>
      </c>
      <c r="F47" s="888" t="s">
        <v>353</v>
      </c>
      <c r="G47" s="481">
        <v>21737.101999999999</v>
      </c>
      <c r="H47" s="480" t="s">
        <v>471</v>
      </c>
      <c r="I47" s="480">
        <v>1</v>
      </c>
      <c r="J47" s="480">
        <v>1</v>
      </c>
      <c r="K47" s="482" t="s">
        <v>207</v>
      </c>
    </row>
    <row r="48" spans="1:11" ht="15.6">
      <c r="A48" s="889" t="s">
        <v>370</v>
      </c>
      <c r="B48" s="480">
        <v>3331552743</v>
      </c>
      <c r="C48" s="887" t="s">
        <v>470</v>
      </c>
      <c r="D48" s="480">
        <v>24140635</v>
      </c>
      <c r="E48" s="480" t="s">
        <v>354</v>
      </c>
      <c r="F48" s="888" t="s">
        <v>353</v>
      </c>
      <c r="G48" s="481">
        <v>24162.965</v>
      </c>
      <c r="H48" s="480" t="s">
        <v>471</v>
      </c>
      <c r="I48" s="480">
        <v>1</v>
      </c>
      <c r="J48" s="480">
        <v>1</v>
      </c>
      <c r="K48" s="482" t="s">
        <v>207</v>
      </c>
    </row>
    <row r="49" spans="1:11" ht="15.6">
      <c r="A49" s="880" t="s">
        <v>370</v>
      </c>
      <c r="B49" s="452">
        <v>3331552730</v>
      </c>
      <c r="C49" s="592" t="s">
        <v>206</v>
      </c>
      <c r="D49" s="452">
        <v>24140623</v>
      </c>
      <c r="E49" s="452" t="s">
        <v>226</v>
      </c>
      <c r="F49" s="882" t="s">
        <v>344</v>
      </c>
      <c r="G49" s="456">
        <v>34749.252999999997</v>
      </c>
      <c r="H49" s="452" t="s">
        <v>128</v>
      </c>
      <c r="I49" s="452">
        <v>1</v>
      </c>
      <c r="J49" s="452">
        <v>1</v>
      </c>
      <c r="K49" s="476" t="s">
        <v>204</v>
      </c>
    </row>
    <row r="50" spans="1:11" ht="15.6">
      <c r="A50" s="880" t="s">
        <v>370</v>
      </c>
      <c r="B50" s="452">
        <v>3331552732</v>
      </c>
      <c r="C50" s="592" t="s">
        <v>206</v>
      </c>
      <c r="D50" s="452">
        <v>24140624</v>
      </c>
      <c r="E50" s="452" t="s">
        <v>226</v>
      </c>
      <c r="F50" s="882" t="s">
        <v>344</v>
      </c>
      <c r="G50" s="456">
        <v>35853.228000000003</v>
      </c>
      <c r="H50" s="452" t="s">
        <v>128</v>
      </c>
      <c r="I50" s="452">
        <v>1</v>
      </c>
      <c r="J50" s="452">
        <v>1</v>
      </c>
      <c r="K50" s="476" t="s">
        <v>204</v>
      </c>
    </row>
    <row r="51" spans="1:11" ht="15.6">
      <c r="A51" s="889" t="s">
        <v>370</v>
      </c>
      <c r="B51" s="480">
        <v>3331552734</v>
      </c>
      <c r="C51" s="887" t="s">
        <v>206</v>
      </c>
      <c r="D51" s="480">
        <v>24140625</v>
      </c>
      <c r="E51" s="480" t="s">
        <v>226</v>
      </c>
      <c r="F51" s="888" t="s">
        <v>344</v>
      </c>
      <c r="G51" s="481">
        <v>33601.576000000001</v>
      </c>
      <c r="H51" s="480" t="s">
        <v>128</v>
      </c>
      <c r="I51" s="480">
        <v>1</v>
      </c>
      <c r="J51" s="480">
        <v>1</v>
      </c>
      <c r="K51" s="482" t="s">
        <v>207</v>
      </c>
    </row>
    <row r="52" spans="1:11" ht="15.6">
      <c r="A52" s="880" t="s">
        <v>370</v>
      </c>
      <c r="B52" s="452">
        <v>3331552774</v>
      </c>
      <c r="C52" s="592" t="s">
        <v>206</v>
      </c>
      <c r="D52" s="452">
        <v>24140630</v>
      </c>
      <c r="E52" s="452" t="s">
        <v>226</v>
      </c>
      <c r="F52" s="894" t="s">
        <v>344</v>
      </c>
      <c r="G52" s="456">
        <v>38104.879999999997</v>
      </c>
      <c r="H52" s="492" t="str">
        <f>IF(Table134[[#This Row],[TOTAL WEIGHT]]&gt;28000,"TRAILER","TRONTON")</f>
        <v>TRAILER</v>
      </c>
      <c r="I52" s="452">
        <v>1</v>
      </c>
      <c r="J52" s="452">
        <v>1</v>
      </c>
      <c r="K52" s="476" t="s">
        <v>204</v>
      </c>
    </row>
    <row r="53" spans="1:11" ht="15.6">
      <c r="A53" s="880" t="s">
        <v>370</v>
      </c>
      <c r="B53" s="452">
        <v>3331552756</v>
      </c>
      <c r="C53" s="592" t="s">
        <v>287</v>
      </c>
      <c r="D53" s="452">
        <v>24140626</v>
      </c>
      <c r="E53" s="452" t="s">
        <v>472</v>
      </c>
      <c r="F53" s="882" t="s">
        <v>205</v>
      </c>
      <c r="G53" s="456">
        <v>25738.51</v>
      </c>
      <c r="H53" s="452" t="s">
        <v>200</v>
      </c>
      <c r="I53" s="452">
        <v>1</v>
      </c>
      <c r="J53" s="452">
        <v>1</v>
      </c>
      <c r="K53" s="476" t="s">
        <v>204</v>
      </c>
    </row>
    <row r="54" spans="1:11" ht="15.6">
      <c r="A54" s="880" t="s">
        <v>370</v>
      </c>
      <c r="B54" s="452">
        <v>3331552757</v>
      </c>
      <c r="C54" s="592" t="s">
        <v>287</v>
      </c>
      <c r="D54" s="452">
        <v>24140627</v>
      </c>
      <c r="E54" s="452" t="s">
        <v>472</v>
      </c>
      <c r="F54" s="882" t="s">
        <v>205</v>
      </c>
      <c r="G54" s="456">
        <v>25738.51</v>
      </c>
      <c r="H54" s="452" t="s">
        <v>200</v>
      </c>
      <c r="I54" s="452">
        <v>1</v>
      </c>
      <c r="J54" s="452">
        <v>1</v>
      </c>
      <c r="K54" s="476" t="s">
        <v>204</v>
      </c>
    </row>
    <row r="55" spans="1:11" ht="15.6">
      <c r="A55" s="880" t="s">
        <v>370</v>
      </c>
      <c r="B55" s="452">
        <v>3331552758</v>
      </c>
      <c r="C55" s="592" t="s">
        <v>27</v>
      </c>
      <c r="D55" s="452">
        <v>24140628</v>
      </c>
      <c r="E55" s="452" t="s">
        <v>472</v>
      </c>
      <c r="F55" s="882" t="s">
        <v>205</v>
      </c>
      <c r="G55" s="456">
        <v>23900.044999999998</v>
      </c>
      <c r="H55" s="452" t="s">
        <v>200</v>
      </c>
      <c r="I55" s="452">
        <v>1</v>
      </c>
      <c r="J55" s="452">
        <v>1</v>
      </c>
      <c r="K55" s="476" t="s">
        <v>204</v>
      </c>
    </row>
    <row r="56" spans="1:11" ht="15.6">
      <c r="A56" s="880" t="s">
        <v>370</v>
      </c>
      <c r="B56" s="452">
        <v>3331552759</v>
      </c>
      <c r="C56" s="592" t="s">
        <v>27</v>
      </c>
      <c r="D56" s="452">
        <v>24140629</v>
      </c>
      <c r="E56" s="452" t="s">
        <v>472</v>
      </c>
      <c r="F56" s="882" t="s">
        <v>205</v>
      </c>
      <c r="G56" s="456">
        <v>25738.51</v>
      </c>
      <c r="H56" s="452" t="s">
        <v>200</v>
      </c>
      <c r="I56" s="452">
        <v>1</v>
      </c>
      <c r="J56" s="452">
        <v>1</v>
      </c>
      <c r="K56" s="476" t="s">
        <v>204</v>
      </c>
    </row>
    <row r="57" spans="1:11" ht="15.6">
      <c r="A57" s="880" t="s">
        <v>370</v>
      </c>
      <c r="B57" s="452">
        <v>3331552791</v>
      </c>
      <c r="C57" s="592" t="s">
        <v>11</v>
      </c>
      <c r="D57" s="452">
        <v>24140631</v>
      </c>
      <c r="E57" s="452" t="s">
        <v>219</v>
      </c>
      <c r="F57" s="882" t="s">
        <v>199</v>
      </c>
      <c r="G57" s="456">
        <v>25765.101999999999</v>
      </c>
      <c r="H57" s="452" t="s">
        <v>200</v>
      </c>
      <c r="I57" s="452">
        <v>1</v>
      </c>
      <c r="J57" s="452">
        <v>1</v>
      </c>
      <c r="K57" s="476" t="s">
        <v>204</v>
      </c>
    </row>
    <row r="58" spans="1:11" ht="15.6">
      <c r="A58" s="880" t="s">
        <v>347</v>
      </c>
      <c r="B58" s="452">
        <v>3331552313</v>
      </c>
      <c r="C58" s="592" t="s">
        <v>34</v>
      </c>
      <c r="D58" s="452">
        <v>24140632</v>
      </c>
      <c r="E58" s="452" t="s">
        <v>261</v>
      </c>
      <c r="F58" s="882" t="s">
        <v>199</v>
      </c>
      <c r="G58" s="456">
        <f>6028.492+8952.152</f>
        <v>14980.644</v>
      </c>
      <c r="H58" s="452" t="s">
        <v>200</v>
      </c>
      <c r="I58" s="452">
        <v>1</v>
      </c>
      <c r="J58" s="452">
        <v>1</v>
      </c>
      <c r="K58" s="476" t="s">
        <v>204</v>
      </c>
    </row>
    <row r="59" spans="1:11" ht="15.6">
      <c r="A59" s="880" t="s">
        <v>347</v>
      </c>
      <c r="B59" s="452">
        <v>3331552324</v>
      </c>
      <c r="C59" s="592" t="s">
        <v>256</v>
      </c>
      <c r="D59" s="452" t="s">
        <v>256</v>
      </c>
      <c r="E59" s="452" t="s">
        <v>256</v>
      </c>
      <c r="F59" s="882" t="s">
        <v>256</v>
      </c>
      <c r="G59" s="456" t="s">
        <v>256</v>
      </c>
      <c r="H59" s="452" t="s">
        <v>256</v>
      </c>
      <c r="I59" s="452" t="s">
        <v>256</v>
      </c>
      <c r="J59" s="452" t="s">
        <v>256</v>
      </c>
      <c r="K59" s="476" t="s">
        <v>204</v>
      </c>
    </row>
    <row r="60" spans="1:11" ht="15.6">
      <c r="A60" s="880" t="s">
        <v>370</v>
      </c>
      <c r="B60" s="452">
        <v>3331552810</v>
      </c>
      <c r="C60" s="592" t="s">
        <v>11</v>
      </c>
      <c r="D60" s="452">
        <v>24140636</v>
      </c>
      <c r="E60" s="452" t="s">
        <v>473</v>
      </c>
      <c r="F60" s="882" t="s">
        <v>199</v>
      </c>
      <c r="G60" s="456">
        <f>18934.177+5653.125</f>
        <v>24587.302</v>
      </c>
      <c r="H60" s="452" t="s">
        <v>200</v>
      </c>
      <c r="I60" s="452">
        <v>1</v>
      </c>
      <c r="J60" s="452">
        <v>1</v>
      </c>
      <c r="K60" s="476" t="s">
        <v>204</v>
      </c>
    </row>
    <row r="61" spans="1:11" ht="15.6">
      <c r="A61" s="880" t="s">
        <v>370</v>
      </c>
      <c r="B61" s="452">
        <v>3331552811</v>
      </c>
      <c r="C61" s="592" t="s">
        <v>256</v>
      </c>
      <c r="D61" s="452" t="s">
        <v>256</v>
      </c>
      <c r="E61" s="452" t="s">
        <v>256</v>
      </c>
      <c r="F61" s="882" t="s">
        <v>256</v>
      </c>
      <c r="G61" s="456" t="s">
        <v>256</v>
      </c>
      <c r="H61" s="452" t="s">
        <v>256</v>
      </c>
      <c r="I61" s="452" t="s">
        <v>256</v>
      </c>
      <c r="J61" s="452" t="s">
        <v>256</v>
      </c>
      <c r="K61" s="476" t="s">
        <v>256</v>
      </c>
    </row>
    <row r="62" spans="1:11" ht="15.6">
      <c r="A62" s="880" t="s">
        <v>370</v>
      </c>
      <c r="B62" s="452">
        <v>3331552809</v>
      </c>
      <c r="C62" s="592" t="s">
        <v>11</v>
      </c>
      <c r="D62" s="452">
        <v>24140637</v>
      </c>
      <c r="E62" s="452" t="s">
        <v>473</v>
      </c>
      <c r="F62" s="882" t="s">
        <v>199</v>
      </c>
      <c r="G62" s="456">
        <v>24496.875</v>
      </c>
      <c r="H62" s="452" t="s">
        <v>200</v>
      </c>
      <c r="I62" s="452">
        <v>1</v>
      </c>
      <c r="J62" s="452">
        <v>1</v>
      </c>
      <c r="K62" s="476" t="s">
        <v>204</v>
      </c>
    </row>
    <row r="63" spans="1:11" ht="15.6">
      <c r="A63" s="880" t="s">
        <v>370</v>
      </c>
      <c r="B63" s="452">
        <v>3331552800</v>
      </c>
      <c r="C63" s="592" t="s">
        <v>342</v>
      </c>
      <c r="D63" s="452">
        <v>24140638</v>
      </c>
      <c r="E63" s="452" t="s">
        <v>444</v>
      </c>
      <c r="F63" s="882" t="s">
        <v>474</v>
      </c>
      <c r="G63" s="456">
        <f>1608+25796.34</f>
        <v>27404.34</v>
      </c>
      <c r="H63" s="452" t="s">
        <v>200</v>
      </c>
      <c r="I63" s="452">
        <v>1</v>
      </c>
      <c r="J63" s="452">
        <v>1</v>
      </c>
      <c r="K63" s="476" t="s">
        <v>204</v>
      </c>
    </row>
    <row r="64" spans="1:11" ht="15.6">
      <c r="A64" s="880" t="s">
        <v>370</v>
      </c>
      <c r="B64" s="452">
        <v>3331552829</v>
      </c>
      <c r="C64" s="592" t="s">
        <v>256</v>
      </c>
      <c r="D64" s="452" t="s">
        <v>256</v>
      </c>
      <c r="E64" s="452" t="s">
        <v>256</v>
      </c>
      <c r="F64" s="882" t="s">
        <v>256</v>
      </c>
      <c r="G64" s="456" t="s">
        <v>256</v>
      </c>
      <c r="H64" s="452" t="s">
        <v>256</v>
      </c>
      <c r="I64" s="452" t="s">
        <v>256</v>
      </c>
      <c r="J64" s="452" t="s">
        <v>256</v>
      </c>
      <c r="K64" s="476" t="s">
        <v>256</v>
      </c>
    </row>
    <row r="65" spans="1:11" ht="15.6">
      <c r="A65" s="880" t="s">
        <v>370</v>
      </c>
      <c r="B65" s="452">
        <v>3331552789</v>
      </c>
      <c r="C65" s="592" t="s">
        <v>359</v>
      </c>
      <c r="D65" s="452">
        <v>24140639</v>
      </c>
      <c r="E65" s="452" t="s">
        <v>290</v>
      </c>
      <c r="F65" s="882" t="s">
        <v>199</v>
      </c>
      <c r="G65" s="456">
        <f>5123.239+13793.094+6337.811</f>
        <v>25254.144</v>
      </c>
      <c r="H65" s="452" t="s">
        <v>200</v>
      </c>
      <c r="I65" s="452">
        <v>1</v>
      </c>
      <c r="J65" s="452">
        <v>1</v>
      </c>
      <c r="K65" s="476" t="s">
        <v>204</v>
      </c>
    </row>
    <row r="66" spans="1:11" ht="15.6">
      <c r="A66" s="880" t="s">
        <v>370</v>
      </c>
      <c r="B66" s="452">
        <v>3331552792</v>
      </c>
      <c r="C66" s="592" t="s">
        <v>256</v>
      </c>
      <c r="D66" s="452" t="s">
        <v>256</v>
      </c>
      <c r="E66" s="452" t="s">
        <v>256</v>
      </c>
      <c r="F66" s="882" t="s">
        <v>256</v>
      </c>
      <c r="G66" s="456" t="s">
        <v>256</v>
      </c>
      <c r="H66" s="452" t="s">
        <v>256</v>
      </c>
      <c r="I66" s="452" t="s">
        <v>256</v>
      </c>
      <c r="J66" s="452" t="s">
        <v>256</v>
      </c>
      <c r="K66" s="476" t="s">
        <v>256</v>
      </c>
    </row>
    <row r="67" spans="1:11" ht="15.6">
      <c r="A67" s="880" t="s">
        <v>370</v>
      </c>
      <c r="B67" s="452">
        <v>3331552806</v>
      </c>
      <c r="C67" s="592" t="s">
        <v>256</v>
      </c>
      <c r="D67" s="452" t="s">
        <v>256</v>
      </c>
      <c r="E67" s="452" t="s">
        <v>256</v>
      </c>
      <c r="F67" s="882" t="s">
        <v>256</v>
      </c>
      <c r="G67" s="456" t="s">
        <v>256</v>
      </c>
      <c r="H67" s="452" t="s">
        <v>256</v>
      </c>
      <c r="I67" s="452" t="s">
        <v>256</v>
      </c>
      <c r="J67" s="452" t="s">
        <v>256</v>
      </c>
      <c r="K67" s="476" t="s">
        <v>256</v>
      </c>
    </row>
    <row r="68" spans="1:11" ht="15.6">
      <c r="A68" s="889" t="s">
        <v>370</v>
      </c>
      <c r="B68" s="480">
        <v>3331552845</v>
      </c>
      <c r="C68" s="887" t="s">
        <v>336</v>
      </c>
      <c r="D68" s="480">
        <v>24140640</v>
      </c>
      <c r="E68" s="480" t="s">
        <v>475</v>
      </c>
      <c r="F68" s="888" t="s">
        <v>338</v>
      </c>
      <c r="G68" s="481">
        <f>31420.901+5848.884</f>
        <v>37269.785000000003</v>
      </c>
      <c r="H68" s="489" t="str">
        <f>IF(Table134[[#This Row],[TOTAL WEIGHT]]&gt;28000,"TRAILER","TRONTON")</f>
        <v>TRAILER</v>
      </c>
      <c r="I68" s="480">
        <v>1</v>
      </c>
      <c r="J68" s="480">
        <v>1</v>
      </c>
      <c r="K68" s="482" t="s">
        <v>207</v>
      </c>
    </row>
    <row r="69" spans="1:11" ht="15.6">
      <c r="A69" s="889" t="s">
        <v>370</v>
      </c>
      <c r="B69" s="480">
        <v>3331552848</v>
      </c>
      <c r="C69" s="887" t="s">
        <v>256</v>
      </c>
      <c r="D69" s="480" t="s">
        <v>256</v>
      </c>
      <c r="E69" s="480" t="s">
        <v>256</v>
      </c>
      <c r="F69" s="888" t="s">
        <v>256</v>
      </c>
      <c r="G69" s="481" t="s">
        <v>256</v>
      </c>
      <c r="H69" s="480" t="s">
        <v>256</v>
      </c>
      <c r="I69" s="480" t="s">
        <v>256</v>
      </c>
      <c r="J69" s="480" t="s">
        <v>256</v>
      </c>
      <c r="K69" s="482" t="s">
        <v>256</v>
      </c>
    </row>
    <row r="70" spans="1:11" ht="15.6">
      <c r="A70" s="880" t="s">
        <v>370</v>
      </c>
      <c r="B70" s="452">
        <v>3331552849</v>
      </c>
      <c r="C70" s="592" t="s">
        <v>336</v>
      </c>
      <c r="D70" s="452">
        <v>24140641</v>
      </c>
      <c r="E70" s="452" t="s">
        <v>476</v>
      </c>
      <c r="F70" s="882" t="s">
        <v>338</v>
      </c>
      <c r="G70" s="456">
        <v>41728.879999999997</v>
      </c>
      <c r="H70" s="492" t="str">
        <f>IF(Table134[[#This Row],[TOTAL WEIGHT]]&gt;28000,"TRAILER","TRONTON")</f>
        <v>TRAILER</v>
      </c>
      <c r="I70" s="452">
        <v>1</v>
      </c>
      <c r="J70" s="452">
        <v>1</v>
      </c>
      <c r="K70" s="476" t="s">
        <v>204</v>
      </c>
    </row>
    <row r="71" spans="1:11" ht="15.6">
      <c r="A71" s="889" t="s">
        <v>370</v>
      </c>
      <c r="B71" s="480">
        <v>3331552850</v>
      </c>
      <c r="C71" s="887" t="s">
        <v>336</v>
      </c>
      <c r="D71" s="480">
        <v>24140642</v>
      </c>
      <c r="E71" s="480" t="s">
        <v>476</v>
      </c>
      <c r="F71" s="888" t="s">
        <v>338</v>
      </c>
      <c r="G71" s="481">
        <v>42490.423000000003</v>
      </c>
      <c r="H71" s="489" t="str">
        <f>IF(Table134[[#This Row],[TOTAL WEIGHT]]&gt;28000,"TRAILER","TRONTON")</f>
        <v>TRAILER</v>
      </c>
      <c r="I71" s="480">
        <v>1</v>
      </c>
      <c r="J71" s="480">
        <v>1</v>
      </c>
      <c r="K71" s="482" t="s">
        <v>207</v>
      </c>
    </row>
    <row r="72" spans="1:11" ht="15.6">
      <c r="A72" s="880" t="s">
        <v>355</v>
      </c>
      <c r="B72" s="452">
        <v>3331552852</v>
      </c>
      <c r="C72" s="592" t="s">
        <v>336</v>
      </c>
      <c r="D72" s="452">
        <v>24140643</v>
      </c>
      <c r="E72" s="452" t="s">
        <v>476</v>
      </c>
      <c r="F72" s="882" t="s">
        <v>338</v>
      </c>
      <c r="G72" s="456">
        <v>42490.423000000003</v>
      </c>
      <c r="H72" s="492" t="str">
        <f>IF(Table134[[#This Row],[TOTAL WEIGHT]]&gt;28000,"TRAILER","TRONTON")</f>
        <v>TRAILER</v>
      </c>
      <c r="I72" s="452">
        <v>1</v>
      </c>
      <c r="J72" s="452">
        <v>1</v>
      </c>
      <c r="K72" s="476" t="s">
        <v>204</v>
      </c>
    </row>
    <row r="73" spans="1:11" ht="15.6">
      <c r="A73" s="889"/>
      <c r="B73" s="480"/>
      <c r="C73" s="887"/>
      <c r="D73" s="480"/>
      <c r="E73" s="480"/>
      <c r="F73" s="888"/>
      <c r="G73" s="481"/>
      <c r="H73" s="480"/>
      <c r="I73" s="480"/>
      <c r="J73" s="480"/>
      <c r="K73" s="482"/>
    </row>
    <row r="74" spans="1:11" ht="15.6">
      <c r="A74" s="889"/>
      <c r="B74" s="480"/>
      <c r="C74" s="887"/>
      <c r="D74" s="480"/>
      <c r="E74" s="480"/>
      <c r="F74" s="888"/>
      <c r="G74" s="481"/>
      <c r="H74" s="480"/>
      <c r="I74" s="480"/>
      <c r="J74" s="480"/>
      <c r="K74" s="482"/>
    </row>
    <row r="75" spans="1:11" ht="15.6">
      <c r="A75" s="889"/>
      <c r="B75" s="480"/>
      <c r="C75" s="887"/>
      <c r="D75" s="480"/>
      <c r="E75" s="480"/>
      <c r="F75" s="888"/>
      <c r="G75" s="481"/>
      <c r="H75" s="480"/>
      <c r="I75" s="480"/>
      <c r="J75" s="480"/>
      <c r="K75" s="482"/>
    </row>
    <row r="76" spans="1:11" ht="15.6">
      <c r="A76" s="889"/>
      <c r="B76" s="480"/>
      <c r="C76" s="887"/>
      <c r="D76" s="480"/>
      <c r="E76" s="480"/>
      <c r="F76" s="888"/>
      <c r="G76" s="481"/>
      <c r="H76" s="480"/>
      <c r="I76" s="480"/>
      <c r="J76" s="480"/>
      <c r="K76" s="482"/>
    </row>
    <row r="77" spans="1:11" ht="15.6">
      <c r="A77" s="889"/>
      <c r="B77" s="480"/>
      <c r="C77" s="887"/>
      <c r="D77" s="480"/>
      <c r="E77" s="480"/>
      <c r="F77" s="888"/>
      <c r="G77" s="481"/>
      <c r="H77" s="480"/>
      <c r="I77" s="480"/>
      <c r="J77" s="480"/>
      <c r="K77" s="482"/>
    </row>
    <row r="78" spans="1:11" ht="15.6">
      <c r="A78" s="889"/>
      <c r="B78" s="480"/>
      <c r="C78" s="887"/>
      <c r="D78" s="480"/>
      <c r="E78" s="480"/>
      <c r="F78" s="888"/>
      <c r="G78" s="481"/>
      <c r="H78" s="480"/>
      <c r="I78" s="480"/>
      <c r="J78" s="480"/>
      <c r="K78" s="482"/>
    </row>
    <row r="79" spans="1:11" ht="15.6">
      <c r="A79" s="889"/>
      <c r="B79" s="480"/>
      <c r="C79" s="887"/>
      <c r="D79" s="480"/>
      <c r="E79" s="480"/>
      <c r="F79" s="888"/>
      <c r="G79" s="481"/>
      <c r="H79" s="480"/>
      <c r="I79" s="480"/>
      <c r="J79" s="480"/>
      <c r="K79" s="482"/>
    </row>
    <row r="80" spans="1:11" ht="15.6">
      <c r="A80" s="890"/>
      <c r="B80" s="480"/>
      <c r="C80" s="887"/>
      <c r="D80" s="480"/>
      <c r="E80" s="480"/>
      <c r="F80" s="891"/>
      <c r="G80" s="481"/>
      <c r="H80" s="480"/>
      <c r="I80" s="480"/>
      <c r="J80" s="480"/>
      <c r="K80" s="482"/>
    </row>
    <row r="81" spans="1:11">
      <c r="A81" s="300"/>
      <c r="B81" s="300"/>
      <c r="C81" s="297"/>
      <c r="D81" s="297"/>
      <c r="E81" s="371"/>
      <c r="F81" s="301"/>
      <c r="G81" s="302"/>
      <c r="H81" s="301"/>
      <c r="I81" s="300"/>
      <c r="J81" s="300"/>
      <c r="K81" s="303"/>
    </row>
    <row r="83" spans="1:11" ht="21">
      <c r="B83" s="422" t="s">
        <v>244</v>
      </c>
    </row>
    <row r="84" spans="1:11" ht="25.8">
      <c r="A84" s="44"/>
      <c r="B84" s="251" t="s">
        <v>304</v>
      </c>
      <c r="F84" s="1506" t="s">
        <v>305</v>
      </c>
      <c r="G84" s="1507"/>
      <c r="I84" s="373"/>
    </row>
    <row r="85" spans="1:11" ht="23.4">
      <c r="B85" s="251" t="s">
        <v>361</v>
      </c>
      <c r="F85" s="503" t="s">
        <v>197</v>
      </c>
      <c r="G85" s="381">
        <f ca="1">SUMIF(H20:H1177, "TRAILER", I20:I1176)</f>
        <v>13</v>
      </c>
    </row>
    <row r="86" spans="1:11" ht="23.4">
      <c r="F86" s="504" t="s">
        <v>200</v>
      </c>
      <c r="G86" s="381">
        <f ca="1">SUMIF(H20:H1178,"TRONTON",I20:I1177)</f>
        <v>26</v>
      </c>
    </row>
    <row r="87" spans="1:11" ht="23.4">
      <c r="F87" s="505" t="s">
        <v>266</v>
      </c>
      <c r="G87" s="382">
        <f ca="1">SUM(G85:G86)</f>
        <v>39</v>
      </c>
    </row>
    <row r="88" spans="1:11" ht="36">
      <c r="F88" s="501" t="s">
        <v>477</v>
      </c>
      <c r="G88" s="382">
        <v>0</v>
      </c>
    </row>
    <row r="89" spans="1:11" ht="23.4">
      <c r="F89" s="445" t="s">
        <v>362</v>
      </c>
      <c r="G89" s="446">
        <f>I10</f>
        <v>3</v>
      </c>
    </row>
    <row r="90" spans="1:11" ht="23.4">
      <c r="F90" s="445" t="s">
        <v>363</v>
      </c>
      <c r="G90" s="446">
        <f ca="1">G88+G89+G87</f>
        <v>42</v>
      </c>
    </row>
  </sheetData>
  <autoFilter ref="A1:F17" xr:uid="{455A03CA-89FF-4485-B032-080DA22FFE43}">
    <filterColumn colId="4" showButton="0"/>
  </autoFilter>
  <mergeCells count="8">
    <mergeCell ref="A9:B9"/>
    <mergeCell ref="F84:G84"/>
    <mergeCell ref="A1:B2"/>
    <mergeCell ref="H8:J8"/>
    <mergeCell ref="H12:J12"/>
    <mergeCell ref="H1:J1"/>
    <mergeCell ref="D1:F1"/>
    <mergeCell ref="D8:F8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A8C8-6D8A-487F-8D09-AC40349098BB}">
  <dimension ref="A1:S92"/>
  <sheetViews>
    <sheetView showGridLines="0" topLeftCell="C64" zoomScale="85" zoomScaleNormal="85" workbookViewId="0">
      <selection activeCell="D74" sqref="D74"/>
    </sheetView>
  </sheetViews>
  <sheetFormatPr defaultColWidth="9.109375" defaultRowHeight="14.4"/>
  <cols>
    <col min="1" max="1" width="37.109375" customWidth="1"/>
    <col min="2" max="2" width="18.44140625" customWidth="1"/>
    <col min="3" max="3" width="13.88671875" customWidth="1"/>
    <col min="4" max="4" width="33.33203125" customWidth="1"/>
    <col min="5" max="5" width="50" style="358" bestFit="1" customWidth="1"/>
    <col min="6" max="6" width="27" customWidth="1"/>
    <col min="7" max="7" width="13.88671875" customWidth="1"/>
    <col min="8" max="8" width="26.44140625" customWidth="1"/>
    <col min="9" max="9" width="20.109375" customWidth="1"/>
    <col min="10" max="10" width="23.33203125" bestFit="1" customWidth="1"/>
    <col min="11" max="11" width="17" customWidth="1"/>
    <col min="12" max="12" width="10.5546875" customWidth="1"/>
    <col min="13" max="13" width="6.5546875" customWidth="1"/>
    <col min="16" max="16" width="10.6640625" hidden="1" customWidth="1"/>
    <col min="17" max="17" width="11.88671875" hidden="1" customWidth="1"/>
    <col min="18" max="18" width="9.109375" hidden="1" customWidth="1"/>
    <col min="19" max="19" width="9.109375" customWidth="1"/>
  </cols>
  <sheetData>
    <row r="1" spans="1:18" ht="31.5" customHeight="1">
      <c r="A1" s="1548">
        <f ca="1">TODAY()</f>
        <v>45977</v>
      </c>
      <c r="B1" s="1548"/>
      <c r="D1" s="1517" t="s">
        <v>309</v>
      </c>
      <c r="E1" s="1517"/>
      <c r="F1" s="1517"/>
      <c r="H1" s="1509" t="s">
        <v>310</v>
      </c>
      <c r="I1" s="1509"/>
      <c r="J1" s="1509"/>
      <c r="P1" s="276" t="s">
        <v>27</v>
      </c>
      <c r="Q1" s="294">
        <f>COUNTIF($C$26:$C$1004,"SILOG")</f>
        <v>8</v>
      </c>
      <c r="R1" s="254" t="str">
        <f>IFERROR(VLOOKUP(J1,'IN OUT'!L:M,2,FALSE), "BELUM MASUK")</f>
        <v>BELUM MASUK</v>
      </c>
    </row>
    <row r="2" spans="1:18" ht="21.75" customHeight="1">
      <c r="A2" s="1548"/>
      <c r="B2" s="1548"/>
      <c r="D2" s="419" t="s">
        <v>247</v>
      </c>
      <c r="E2" s="419" t="s">
        <v>195</v>
      </c>
      <c r="F2" s="322" t="s">
        <v>196</v>
      </c>
      <c r="H2" s="441" t="s">
        <v>247</v>
      </c>
      <c r="I2" s="417" t="s">
        <v>195</v>
      </c>
      <c r="J2" s="418" t="s">
        <v>196</v>
      </c>
      <c r="P2" s="276" t="s">
        <v>175</v>
      </c>
      <c r="Q2" s="294">
        <f>COUNTIF($C$26:$C$1004,"SIBA")</f>
        <v>0</v>
      </c>
    </row>
    <row r="3" spans="1:18" ht="36.75" customHeight="1">
      <c r="A3" s="433" t="s">
        <v>307</v>
      </c>
      <c r="B3" s="427">
        <f>SUM(I23:I1118)</f>
        <v>45</v>
      </c>
      <c r="C3" s="405"/>
      <c r="D3" s="353" t="s">
        <v>199</v>
      </c>
      <c r="E3" s="420">
        <f>COUNTIF($F$23:$F$67,"JABODETABEK")</f>
        <v>17</v>
      </c>
      <c r="F3" s="318">
        <f>SUMIF($F$23:$F$67, "JABODETABEK", $G$23:$G$67)</f>
        <v>426407.01599999995</v>
      </c>
      <c r="G3" s="343"/>
      <c r="H3" s="424" t="s">
        <v>199</v>
      </c>
      <c r="I3" s="425" cm="1">
        <f t="array" ref="I3">SUMPRODUCT(--(RIGHT($F$26:$F$6898,20)="JABODETABEK NEXT DAY"))</f>
        <v>0</v>
      </c>
      <c r="J3" s="423">
        <f ca="1">SUMIF(F23:F67, "JABODETABEK NEXT DAY", G26:G67)</f>
        <v>0</v>
      </c>
      <c r="P3" s="276"/>
      <c r="Q3" s="294"/>
    </row>
    <row r="4" spans="1:18" ht="29.25" customHeight="1">
      <c r="A4" s="432" t="s">
        <v>201</v>
      </c>
      <c r="B4" s="434">
        <f>SUM(J23:J1152)</f>
        <v>43</v>
      </c>
      <c r="D4" s="353" t="s">
        <v>203</v>
      </c>
      <c r="E4" s="245">
        <f>COUNTIF($F$23:$F$67, "JAWA TENGAH")</f>
        <v>3</v>
      </c>
      <c r="F4" s="318">
        <f>SUMIF($F$23:F67, "JAWA TENGAH", $G$23:$G$67)</f>
        <v>110799.36499999999</v>
      </c>
      <c r="H4" s="354" t="s">
        <v>203</v>
      </c>
      <c r="I4" s="425" cm="1">
        <f t="array" ref="I4">SUMPRODUCT(--(RIGHT($F$26:$F$6898,20)="JAWA TENGAH NEXT DAY"))</f>
        <v>9</v>
      </c>
      <c r="J4" s="423">
        <f>SUMIF($F$23:$F$67, "JAWA TENGAH NEXT DAY", $G$23:$G$67)</f>
        <v>242416.69199999998</v>
      </c>
      <c r="P4" s="276"/>
      <c r="Q4" s="294"/>
    </row>
    <row r="5" spans="1:18" ht="33.6">
      <c r="A5" s="351" t="s">
        <v>265</v>
      </c>
      <c r="B5" s="315">
        <f>COUNTIF($K$23:$K$1001,"MASUK")</f>
        <v>31</v>
      </c>
      <c r="C5" s="400"/>
      <c r="D5" s="439" t="s">
        <v>205</v>
      </c>
      <c r="E5" s="247">
        <f>COUNTIF($F$23:$F$67, "JAWA TIMUR")</f>
        <v>2</v>
      </c>
      <c r="F5" s="318">
        <f>SUMIF($F$23:$F$67, "JAWA TIMUR", $G$23:$G$67)</f>
        <v>79760.208000000013</v>
      </c>
      <c r="H5" s="353" t="s">
        <v>205</v>
      </c>
      <c r="I5" s="245" cm="1">
        <f t="array" ref="I5">SUMPRODUCT(--(RIGHT($F$26:$F$6898,20)="JAWA TIMUR NEXT DAY"))</f>
        <v>13</v>
      </c>
      <c r="J5" s="423">
        <f>SUMIF($F$26:$F$67, "JAWA TIMUR NEXT DAY", $G$26:$G$67)</f>
        <v>356775.13500000001</v>
      </c>
      <c r="P5" s="282"/>
      <c r="Q5" s="294"/>
    </row>
    <row r="6" spans="1:18" ht="33.6">
      <c r="A6" s="351" t="s">
        <v>207</v>
      </c>
      <c r="B6" s="315">
        <f>COUNTIF($K$23:$K$1001,"BELUM MASUK")</f>
        <v>14</v>
      </c>
      <c r="C6" s="396"/>
      <c r="D6" s="497" t="s">
        <v>312</v>
      </c>
      <c r="E6" s="498">
        <f>SUM(E3:E5)</f>
        <v>22</v>
      </c>
      <c r="F6" s="496">
        <f>SUM(F3:F5)</f>
        <v>616966.58899999992</v>
      </c>
      <c r="H6" s="201" t="s">
        <v>313</v>
      </c>
      <c r="I6" s="499">
        <f>SUM(I3:I5)</f>
        <v>22</v>
      </c>
      <c r="J6" s="496">
        <f ca="1">SUM($J$3:$J$5)</f>
        <v>599191.82700000005</v>
      </c>
      <c r="K6" s="398"/>
      <c r="L6" s="397"/>
      <c r="P6" s="293"/>
      <c r="Q6" s="294"/>
    </row>
    <row r="7" spans="1:18" ht="27" customHeight="1">
      <c r="A7" s="352" t="s">
        <v>249</v>
      </c>
      <c r="B7" s="314">
        <f>(B3-B4)</f>
        <v>2</v>
      </c>
      <c r="C7" s="251" t="s">
        <v>478</v>
      </c>
      <c r="E7" s="361"/>
      <c r="F7" s="327"/>
      <c r="G7" s="253"/>
      <c r="K7" s="349"/>
      <c r="L7" s="397"/>
      <c r="M7" s="308"/>
      <c r="N7" s="307"/>
      <c r="P7" s="293"/>
      <c r="Q7" s="294"/>
    </row>
    <row r="8" spans="1:18" ht="27" customHeight="1">
      <c r="A8" s="295"/>
      <c r="B8" s="296"/>
      <c r="D8" s="1509" t="s">
        <v>314</v>
      </c>
      <c r="E8" s="1509"/>
      <c r="F8" s="1509"/>
      <c r="G8" s="253"/>
      <c r="H8" s="1509" t="s">
        <v>315</v>
      </c>
      <c r="I8" s="1509"/>
      <c r="J8" s="1509"/>
      <c r="K8" s="307"/>
      <c r="L8" s="195"/>
      <c r="Q8" s="275"/>
    </row>
    <row r="9" spans="1:18" ht="27" customHeight="1">
      <c r="A9" s="1517" t="s">
        <v>316</v>
      </c>
      <c r="B9" s="1517"/>
      <c r="D9" s="322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 s="195"/>
      <c r="Q9" s="275"/>
    </row>
    <row r="10" spans="1:18" ht="27" customHeight="1">
      <c r="A10" s="377" t="s">
        <v>197</v>
      </c>
      <c r="B10" s="378">
        <f ca="1">SUMIF($H$23:$H$1024, "TRAILER", $I$23:$I$1023)</f>
        <v>27</v>
      </c>
      <c r="C10" s="275"/>
      <c r="D10" s="353" t="s">
        <v>199</v>
      </c>
      <c r="E10" s="243">
        <f>COUNTIF($F$68:$F$1031,"JABODETABEK")</f>
        <v>1</v>
      </c>
      <c r="F10" s="318">
        <f>SUMIF(F68:F1031,"JABODETABEK", G68:G1031)</f>
        <v>24957.350999999999</v>
      </c>
      <c r="G10" s="253"/>
      <c r="H10" s="196" t="s">
        <v>317</v>
      </c>
      <c r="I10" s="245">
        <f>COUNTIF($F$20:$F$2846, "INTERISLAND")</f>
        <v>3</v>
      </c>
      <c r="J10" s="496">
        <v>0</v>
      </c>
      <c r="K10" s="307" t="s">
        <v>479</v>
      </c>
      <c r="L10" s="195"/>
      <c r="Q10" s="275"/>
    </row>
    <row r="11" spans="1:18" ht="27" customHeight="1">
      <c r="A11" s="430" t="s">
        <v>200</v>
      </c>
      <c r="B11" s="380">
        <f ca="1">SUMIF($H$23:$H$1025, "TRONTON", $I$23:$I$1024)</f>
        <v>18</v>
      </c>
      <c r="D11" s="353" t="s">
        <v>480</v>
      </c>
      <c r="E11" s="243">
        <f>COUNTIF($F$68:$F$1032,"JAWA TENGAH")</f>
        <v>0</v>
      </c>
      <c r="F11" s="318">
        <f>SUMIF(F68:F1032, "JAWA TENGAH NEXT DAY", G68:G1032)</f>
        <v>63560.9</v>
      </c>
      <c r="G11" s="253"/>
      <c r="H11" s="44"/>
      <c r="I11" s="442"/>
      <c r="J11" s="443"/>
      <c r="K11" s="307"/>
      <c r="L11" s="195"/>
      <c r="Q11" s="275"/>
    </row>
    <row r="12" spans="1:18" ht="27" customHeight="1">
      <c r="A12" s="430" t="s">
        <v>365</v>
      </c>
      <c r="B12" s="380">
        <f ca="1">SUMIF($H$26:$H$1025, "CN 40 HC", $I$26:$I$1024)</f>
        <v>0</v>
      </c>
      <c r="D12" s="354" t="s">
        <v>481</v>
      </c>
      <c r="E12" s="243">
        <f>COUNTIF(F68:F1033,"JAWA TIMUR")</f>
        <v>0</v>
      </c>
      <c r="F12" s="318">
        <f>SUMIF(F68:F1033, "JAWA TIMUR NEXT DAY", G68:G1033)</f>
        <v>166435.644</v>
      </c>
      <c r="G12" s="253"/>
      <c r="H12" s="1517" t="s">
        <v>434</v>
      </c>
      <c r="I12" s="1517"/>
      <c r="J12" s="1517"/>
      <c r="K12" s="307"/>
      <c r="L12" s="195"/>
      <c r="Q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f>SUM(E10:E12)</f>
        <v>1</v>
      </c>
      <c r="F13" s="496">
        <f>SUM(F10:F12)</f>
        <v>254953.89500000002</v>
      </c>
      <c r="G13" s="253"/>
      <c r="H13" s="441" t="s">
        <v>247</v>
      </c>
      <c r="I13" s="417" t="s">
        <v>195</v>
      </c>
      <c r="J13" s="441" t="s">
        <v>196</v>
      </c>
      <c r="K13" s="307"/>
      <c r="L13" s="195"/>
      <c r="Q13" s="275"/>
    </row>
    <row r="14" spans="1:18" ht="27" customHeight="1">
      <c r="A14" s="428" t="s">
        <v>325</v>
      </c>
      <c r="B14" s="429">
        <v>1</v>
      </c>
      <c r="E14" s="361"/>
      <c r="F14" s="327"/>
      <c r="G14" s="253"/>
      <c r="H14" s="196" t="s">
        <v>434</v>
      </c>
      <c r="I14" s="500">
        <f>COUNTIF($F$26:$F$110,"COKOT SORANGAN")</f>
        <v>0</v>
      </c>
      <c r="J14" s="496">
        <f>SUMIF(F27:F1030,"COKOT SORANGAN",G27:G1030)</f>
        <v>0</v>
      </c>
      <c r="K14" s="307"/>
      <c r="L14" s="195"/>
      <c r="Q14" s="275"/>
    </row>
    <row r="15" spans="1:18" ht="27" customHeight="1">
      <c r="A15" s="428" t="s">
        <v>321</v>
      </c>
      <c r="B15" s="429">
        <f>G26</f>
        <v>39092.909</v>
      </c>
      <c r="D15" s="435" t="s">
        <v>307</v>
      </c>
      <c r="E15" s="437">
        <f>E6+I6+I14+E13</f>
        <v>45</v>
      </c>
      <c r="F15" s="327"/>
      <c r="G15" s="253"/>
      <c r="I15" s="281"/>
      <c r="J15" s="348"/>
      <c r="K15" s="307"/>
      <c r="L15" s="195"/>
      <c r="Q15" s="275"/>
    </row>
    <row r="16" spans="1:18" ht="27" customHeight="1">
      <c r="A16" s="428" t="s">
        <v>330</v>
      </c>
      <c r="B16" s="429">
        <v>5</v>
      </c>
      <c r="D16" s="435" t="s">
        <v>331</v>
      </c>
      <c r="E16" s="436">
        <f ca="1">F6+J6+F13+J10+J14</f>
        <v>1471112.311</v>
      </c>
      <c r="F16" s="327"/>
      <c r="G16" s="253"/>
      <c r="I16" s="281"/>
      <c r="J16" s="348"/>
      <c r="K16" s="307"/>
      <c r="L16" s="195"/>
      <c r="Q16" s="275"/>
    </row>
    <row r="17" spans="1:19" ht="27" customHeight="1">
      <c r="A17" s="428" t="s">
        <v>333</v>
      </c>
      <c r="B17" s="429">
        <f>SUM(G23:G28)</f>
        <v>190559.57300000003</v>
      </c>
      <c r="E17" s="361"/>
      <c r="F17" s="327"/>
      <c r="G17" s="253"/>
      <c r="I17" s="281"/>
      <c r="J17" s="348"/>
      <c r="K17" s="307"/>
      <c r="L17" s="195"/>
      <c r="Q17" s="275"/>
    </row>
    <row r="19" spans="1:19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9" ht="15.6">
      <c r="A20" s="889" t="s">
        <v>370</v>
      </c>
      <c r="B20" s="480">
        <v>3331552733</v>
      </c>
      <c r="C20" s="887" t="s">
        <v>470</v>
      </c>
      <c r="D20" s="480">
        <v>24140633</v>
      </c>
      <c r="E20" s="480" t="s">
        <v>354</v>
      </c>
      <c r="F20" s="895" t="s">
        <v>353</v>
      </c>
      <c r="G20" s="481">
        <v>24941.376</v>
      </c>
      <c r="H20" s="502" t="s">
        <v>471</v>
      </c>
      <c r="I20" s="480">
        <v>1</v>
      </c>
      <c r="J20" s="480">
        <v>1</v>
      </c>
      <c r="K20" s="482" t="s">
        <v>207</v>
      </c>
    </row>
    <row r="21" spans="1:19" ht="15.6">
      <c r="A21" s="889" t="s">
        <v>370</v>
      </c>
      <c r="B21" s="480">
        <v>3331552742</v>
      </c>
      <c r="C21" s="887" t="s">
        <v>470</v>
      </c>
      <c r="D21" s="480">
        <v>24140634</v>
      </c>
      <c r="E21" s="480" t="s">
        <v>354</v>
      </c>
      <c r="F21" s="895" t="s">
        <v>353</v>
      </c>
      <c r="G21" s="481">
        <v>21737.101999999999</v>
      </c>
      <c r="H21" s="480" t="s">
        <v>471</v>
      </c>
      <c r="I21" s="480">
        <v>1</v>
      </c>
      <c r="J21" s="480">
        <v>1</v>
      </c>
      <c r="K21" s="482" t="s">
        <v>207</v>
      </c>
    </row>
    <row r="22" spans="1:19" ht="15.6">
      <c r="A22" s="889" t="s">
        <v>370</v>
      </c>
      <c r="B22" s="480">
        <v>3331552743</v>
      </c>
      <c r="C22" s="887" t="s">
        <v>470</v>
      </c>
      <c r="D22" s="480">
        <v>24140635</v>
      </c>
      <c r="E22" s="480" t="s">
        <v>354</v>
      </c>
      <c r="F22" s="895" t="s">
        <v>353</v>
      </c>
      <c r="G22" s="481">
        <v>24162.965</v>
      </c>
      <c r="H22" s="480" t="s">
        <v>471</v>
      </c>
      <c r="I22" s="480">
        <v>1</v>
      </c>
      <c r="J22" s="480">
        <v>1</v>
      </c>
      <c r="K22" s="482" t="s">
        <v>207</v>
      </c>
    </row>
    <row r="23" spans="1:19" ht="15.6">
      <c r="A23" s="889" t="s">
        <v>372</v>
      </c>
      <c r="B23" s="480">
        <v>3331552845</v>
      </c>
      <c r="C23" s="887" t="s">
        <v>27</v>
      </c>
      <c r="D23" s="480">
        <v>24140640</v>
      </c>
      <c r="E23" s="480" t="s">
        <v>475</v>
      </c>
      <c r="F23" s="480" t="s">
        <v>205</v>
      </c>
      <c r="G23" s="481">
        <f>31420.901+5848.884</f>
        <v>37269.785000000003</v>
      </c>
      <c r="H23" s="489" t="str">
        <f>IF(Table1346[[#This Row],[TOTAL WEIGHT]]&gt;28000,"TRAILER","TRONTON")</f>
        <v>TRAILER</v>
      </c>
      <c r="I23" s="480">
        <v>1</v>
      </c>
      <c r="J23" s="480">
        <v>1</v>
      </c>
      <c r="K23" s="482" t="s">
        <v>207</v>
      </c>
    </row>
    <row r="24" spans="1:19" ht="15.6">
      <c r="A24" s="889" t="s">
        <v>372</v>
      </c>
      <c r="B24" s="480">
        <v>3331552848</v>
      </c>
      <c r="C24" s="887" t="s">
        <v>256</v>
      </c>
      <c r="D24" s="480" t="s">
        <v>256</v>
      </c>
      <c r="E24" s="480" t="s">
        <v>256</v>
      </c>
      <c r="F24" s="480" t="s">
        <v>256</v>
      </c>
      <c r="G24" s="481" t="s">
        <v>256</v>
      </c>
      <c r="H24" s="480" t="s">
        <v>256</v>
      </c>
      <c r="I24" s="480" t="s">
        <v>256</v>
      </c>
      <c r="J24" s="480" t="s">
        <v>256</v>
      </c>
      <c r="K24" s="482" t="s">
        <v>256</v>
      </c>
    </row>
    <row r="25" spans="1:19" ht="15.6">
      <c r="A25" s="880" t="s">
        <v>372</v>
      </c>
      <c r="B25" s="452">
        <v>3331552850</v>
      </c>
      <c r="C25" s="592" t="s">
        <v>336</v>
      </c>
      <c r="D25" s="452">
        <v>24140642</v>
      </c>
      <c r="E25" s="452" t="s">
        <v>476</v>
      </c>
      <c r="F25" s="452" t="s">
        <v>205</v>
      </c>
      <c r="G25" s="456">
        <v>42490.423000000003</v>
      </c>
      <c r="H25" s="492" t="str">
        <f>IF(Table1346[[#This Row],[TOTAL WEIGHT]]&gt;28000,"TRAILER","TRONTON")</f>
        <v>TRAILER</v>
      </c>
      <c r="I25" s="452">
        <v>1</v>
      </c>
      <c r="J25" s="452">
        <v>1</v>
      </c>
      <c r="K25" s="476" t="s">
        <v>204</v>
      </c>
    </row>
    <row r="26" spans="1:19" s="44" customFormat="1" ht="15.6">
      <c r="A26" s="507" t="s">
        <v>482</v>
      </c>
      <c r="B26" s="592">
        <v>3331552415</v>
      </c>
      <c r="C26" s="452" t="s">
        <v>206</v>
      </c>
      <c r="D26" s="452">
        <v>24140599</v>
      </c>
      <c r="E26" s="882" t="s">
        <v>226</v>
      </c>
      <c r="F26" s="452" t="s">
        <v>203</v>
      </c>
      <c r="G26" s="453">
        <v>39092.909</v>
      </c>
      <c r="H26" s="492" t="str">
        <f>IF(Table1346[[#This Row],[TOTAL WEIGHT]]&gt;28000,"TRAILER","TRONTON")</f>
        <v>TRAILER</v>
      </c>
      <c r="I26" s="452">
        <v>1</v>
      </c>
      <c r="J26" s="452">
        <v>1</v>
      </c>
      <c r="K26" s="476" t="s">
        <v>204</v>
      </c>
      <c r="L26"/>
      <c r="M26"/>
      <c r="N26"/>
      <c r="O26"/>
      <c r="P26"/>
      <c r="Q26"/>
      <c r="R26"/>
      <c r="S26"/>
    </row>
    <row r="27" spans="1:19" ht="15.6">
      <c r="A27" s="880" t="s">
        <v>372</v>
      </c>
      <c r="B27" s="452">
        <v>3331552734</v>
      </c>
      <c r="C27" s="592" t="s">
        <v>206</v>
      </c>
      <c r="D27" s="452">
        <v>24140625</v>
      </c>
      <c r="E27" s="452" t="s">
        <v>226</v>
      </c>
      <c r="F27" s="452" t="s">
        <v>203</v>
      </c>
      <c r="G27" s="456">
        <v>33601.576000000001</v>
      </c>
      <c r="H27" s="452" t="s">
        <v>128</v>
      </c>
      <c r="I27" s="452">
        <v>1</v>
      </c>
      <c r="J27" s="452">
        <v>1</v>
      </c>
      <c r="K27" s="476" t="s">
        <v>204</v>
      </c>
    </row>
    <row r="28" spans="1:19" s="44" customFormat="1" ht="15.6">
      <c r="A28" s="889" t="s">
        <v>372</v>
      </c>
      <c r="B28" s="480">
        <v>3331552774</v>
      </c>
      <c r="C28" s="887" t="s">
        <v>206</v>
      </c>
      <c r="D28" s="480">
        <v>24140630</v>
      </c>
      <c r="E28" s="480" t="s">
        <v>226</v>
      </c>
      <c r="F28" s="480" t="s">
        <v>203</v>
      </c>
      <c r="G28" s="481">
        <v>38104.879999999997</v>
      </c>
      <c r="H28" s="489" t="str">
        <f>IF(Table1346[[#This Row],[TOTAL WEIGHT]]&gt;28000,"TRAILER","TRONTON")</f>
        <v>TRAILER</v>
      </c>
      <c r="I28" s="480">
        <v>1</v>
      </c>
      <c r="J28" s="480">
        <v>1</v>
      </c>
      <c r="K28" s="482" t="s">
        <v>207</v>
      </c>
    </row>
    <row r="29" spans="1:19" ht="15.6">
      <c r="A29" s="880" t="s">
        <v>483</v>
      </c>
      <c r="B29" s="452">
        <v>3331553037</v>
      </c>
      <c r="C29" s="592" t="s">
        <v>287</v>
      </c>
      <c r="D29" s="452">
        <v>24140646</v>
      </c>
      <c r="E29" s="452" t="s">
        <v>368</v>
      </c>
      <c r="F29" s="452" t="s">
        <v>199</v>
      </c>
      <c r="G29" s="456">
        <v>23933.672999999999</v>
      </c>
      <c r="H29" s="452" t="s">
        <v>200</v>
      </c>
      <c r="I29" s="452">
        <v>1</v>
      </c>
      <c r="J29" s="452">
        <v>1</v>
      </c>
      <c r="K29" s="476" t="s">
        <v>204</v>
      </c>
    </row>
    <row r="30" spans="1:19" ht="15.6">
      <c r="A30" s="880" t="s">
        <v>483</v>
      </c>
      <c r="B30" s="452">
        <v>3331553041</v>
      </c>
      <c r="C30" s="592" t="s">
        <v>287</v>
      </c>
      <c r="D30" s="452">
        <v>24140647</v>
      </c>
      <c r="E30" s="452" t="s">
        <v>368</v>
      </c>
      <c r="F30" s="452" t="s">
        <v>199</v>
      </c>
      <c r="G30" s="456">
        <v>23988.754000000001</v>
      </c>
      <c r="H30" s="452" t="s">
        <v>200</v>
      </c>
      <c r="I30" s="452">
        <v>1</v>
      </c>
      <c r="J30" s="452">
        <v>1</v>
      </c>
      <c r="K30" s="476" t="s">
        <v>204</v>
      </c>
    </row>
    <row r="31" spans="1:19" ht="15.6">
      <c r="A31" s="880" t="s">
        <v>483</v>
      </c>
      <c r="B31" s="452">
        <v>3331553042</v>
      </c>
      <c r="C31" s="592" t="s">
        <v>287</v>
      </c>
      <c r="D31" s="452">
        <v>24140648</v>
      </c>
      <c r="E31" s="452" t="s">
        <v>368</v>
      </c>
      <c r="F31" s="452" t="s">
        <v>199</v>
      </c>
      <c r="G31" s="456">
        <v>23166.035</v>
      </c>
      <c r="H31" s="452" t="s">
        <v>200</v>
      </c>
      <c r="I31" s="452">
        <v>1</v>
      </c>
      <c r="J31" s="452">
        <v>1</v>
      </c>
      <c r="K31" s="476" t="s">
        <v>204</v>
      </c>
    </row>
    <row r="32" spans="1:19" ht="15.6">
      <c r="A32" s="880" t="s">
        <v>483</v>
      </c>
      <c r="B32" s="452">
        <v>3331553043</v>
      </c>
      <c r="C32" s="592" t="s">
        <v>34</v>
      </c>
      <c r="D32" s="452">
        <v>24140649</v>
      </c>
      <c r="E32" s="452" t="s">
        <v>368</v>
      </c>
      <c r="F32" s="452" t="s">
        <v>199</v>
      </c>
      <c r="G32" s="456">
        <v>25331.084999999999</v>
      </c>
      <c r="H32" s="490" t="s">
        <v>200</v>
      </c>
      <c r="I32" s="452">
        <v>1</v>
      </c>
      <c r="J32" s="452">
        <v>1</v>
      </c>
      <c r="K32" s="476" t="s">
        <v>204</v>
      </c>
    </row>
    <row r="33" spans="1:18" ht="15.6">
      <c r="A33" s="880" t="s">
        <v>483</v>
      </c>
      <c r="B33" s="452">
        <v>3331553044</v>
      </c>
      <c r="C33" s="592" t="s">
        <v>27</v>
      </c>
      <c r="D33" s="452">
        <v>24140650</v>
      </c>
      <c r="E33" s="452" t="s">
        <v>484</v>
      </c>
      <c r="F33" s="452" t="s">
        <v>199</v>
      </c>
      <c r="G33" s="456">
        <v>25909.53</v>
      </c>
      <c r="H33" s="452" t="s">
        <v>200</v>
      </c>
      <c r="I33" s="452">
        <v>1</v>
      </c>
      <c r="J33" s="452">
        <v>1</v>
      </c>
      <c r="K33" s="476" t="s">
        <v>204</v>
      </c>
    </row>
    <row r="34" spans="1:18" ht="15.6">
      <c r="A34" s="880" t="s">
        <v>483</v>
      </c>
      <c r="B34" s="452">
        <v>3331553049</v>
      </c>
      <c r="C34" s="592" t="s">
        <v>34</v>
      </c>
      <c r="D34" s="452">
        <v>24140651</v>
      </c>
      <c r="E34" s="452" t="s">
        <v>484</v>
      </c>
      <c r="F34" s="452" t="s">
        <v>199</v>
      </c>
      <c r="G34" s="456">
        <v>26465.848000000002</v>
      </c>
      <c r="H34" s="452" t="s">
        <v>200</v>
      </c>
      <c r="I34" s="452">
        <v>1</v>
      </c>
      <c r="J34" s="452">
        <v>1</v>
      </c>
      <c r="K34" s="476" t="s">
        <v>204</v>
      </c>
    </row>
    <row r="35" spans="1:18" s="108" customFormat="1" ht="15.6">
      <c r="A35" s="880" t="s">
        <v>483</v>
      </c>
      <c r="B35" s="452">
        <v>3331553050</v>
      </c>
      <c r="C35" s="592" t="s">
        <v>206</v>
      </c>
      <c r="D35" s="452">
        <v>24140652</v>
      </c>
      <c r="E35" s="452" t="s">
        <v>226</v>
      </c>
      <c r="F35" s="452" t="s">
        <v>344</v>
      </c>
      <c r="G35" s="456">
        <v>31653.030999999999</v>
      </c>
      <c r="H35" s="452" t="s">
        <v>128</v>
      </c>
      <c r="I35" s="452">
        <v>1</v>
      </c>
      <c r="J35" s="452">
        <v>1</v>
      </c>
      <c r="K35" s="476" t="s">
        <v>204</v>
      </c>
      <c r="P35"/>
      <c r="Q35"/>
      <c r="R35"/>
    </row>
    <row r="36" spans="1:18" ht="15.6">
      <c r="A36" s="880" t="s">
        <v>483</v>
      </c>
      <c r="B36" s="592">
        <v>3331553061</v>
      </c>
      <c r="C36" s="592" t="s">
        <v>27</v>
      </c>
      <c r="D36" s="452">
        <v>24140670</v>
      </c>
      <c r="E36" s="452" t="s">
        <v>226</v>
      </c>
      <c r="F36" s="452" t="s">
        <v>344</v>
      </c>
      <c r="G36" s="456">
        <v>30007.593000000001</v>
      </c>
      <c r="H36" s="490" t="s">
        <v>128</v>
      </c>
      <c r="I36" s="452">
        <v>1</v>
      </c>
      <c r="J36" s="452">
        <v>1</v>
      </c>
      <c r="K36" s="476" t="s">
        <v>204</v>
      </c>
    </row>
    <row r="37" spans="1:18" ht="15.6">
      <c r="A37" s="880" t="s">
        <v>483</v>
      </c>
      <c r="B37" s="452">
        <v>3331553053</v>
      </c>
      <c r="C37" s="592" t="s">
        <v>27</v>
      </c>
      <c r="D37" s="452">
        <v>24140653</v>
      </c>
      <c r="E37" s="452" t="s">
        <v>219</v>
      </c>
      <c r="F37" s="452" t="s">
        <v>199</v>
      </c>
      <c r="G37" s="456">
        <v>25807.396000000001</v>
      </c>
      <c r="H37" s="452" t="s">
        <v>200</v>
      </c>
      <c r="I37" s="452">
        <v>1</v>
      </c>
      <c r="J37" s="452">
        <v>1</v>
      </c>
      <c r="K37" s="476" t="s">
        <v>204</v>
      </c>
    </row>
    <row r="38" spans="1:18" ht="15.6">
      <c r="A38" s="880" t="s">
        <v>483</v>
      </c>
      <c r="B38" s="452">
        <v>3331553057</v>
      </c>
      <c r="C38" s="592" t="s">
        <v>11</v>
      </c>
      <c r="D38" s="452">
        <v>24140655</v>
      </c>
      <c r="E38" s="452" t="s">
        <v>156</v>
      </c>
      <c r="F38" s="452" t="s">
        <v>199</v>
      </c>
      <c r="G38" s="456">
        <v>25654.006000000001</v>
      </c>
      <c r="H38" s="452" t="s">
        <v>200</v>
      </c>
      <c r="I38" s="452">
        <v>1</v>
      </c>
      <c r="J38" s="452">
        <v>1</v>
      </c>
      <c r="K38" s="476" t="s">
        <v>204</v>
      </c>
    </row>
    <row r="39" spans="1:18" s="108" customFormat="1" ht="15.6">
      <c r="A39" s="880" t="s">
        <v>485</v>
      </c>
      <c r="B39" s="452">
        <v>3331553066</v>
      </c>
      <c r="C39" s="592" t="s">
        <v>27</v>
      </c>
      <c r="D39" s="452">
        <v>24140658</v>
      </c>
      <c r="E39" s="452" t="s">
        <v>486</v>
      </c>
      <c r="F39" s="452" t="s">
        <v>338</v>
      </c>
      <c r="G39" s="456">
        <v>40876.798000000003</v>
      </c>
      <c r="H39" s="452" t="s">
        <v>128</v>
      </c>
      <c r="I39" s="452">
        <v>1</v>
      </c>
      <c r="J39" s="452">
        <v>1</v>
      </c>
      <c r="K39" s="476" t="s">
        <v>204</v>
      </c>
    </row>
    <row r="40" spans="1:18" ht="15.6">
      <c r="A40" s="889" t="s">
        <v>370</v>
      </c>
      <c r="B40" s="480">
        <v>3331552865</v>
      </c>
      <c r="C40" s="887" t="s">
        <v>374</v>
      </c>
      <c r="D40" s="480">
        <v>24140644</v>
      </c>
      <c r="E40" s="480" t="s">
        <v>487</v>
      </c>
      <c r="F40" s="480" t="s">
        <v>338</v>
      </c>
      <c r="G40" s="481">
        <f>2137.75+35437.356</f>
        <v>37575.106</v>
      </c>
      <c r="H40" s="480" t="s">
        <v>128</v>
      </c>
      <c r="I40" s="480">
        <v>1</v>
      </c>
      <c r="J40" s="480">
        <v>0</v>
      </c>
      <c r="K40" s="482" t="s">
        <v>207</v>
      </c>
    </row>
    <row r="41" spans="1:18" ht="15.6">
      <c r="A41" s="889" t="s">
        <v>370</v>
      </c>
      <c r="B41" s="480">
        <v>3331552866</v>
      </c>
      <c r="C41" s="887" t="s">
        <v>256</v>
      </c>
      <c r="D41" s="480" t="s">
        <v>256</v>
      </c>
      <c r="E41" s="480" t="s">
        <v>256</v>
      </c>
      <c r="F41" s="480" t="s">
        <v>256</v>
      </c>
      <c r="G41" s="481" t="s">
        <v>256</v>
      </c>
      <c r="H41" s="480" t="s">
        <v>256</v>
      </c>
      <c r="I41" s="480" t="s">
        <v>256</v>
      </c>
      <c r="J41" s="480" t="s">
        <v>256</v>
      </c>
      <c r="K41" s="482" t="s">
        <v>256</v>
      </c>
    </row>
    <row r="42" spans="1:18" ht="15.6">
      <c r="A42" s="889" t="s">
        <v>370</v>
      </c>
      <c r="B42" s="480">
        <v>3331552876</v>
      </c>
      <c r="C42" s="887" t="s">
        <v>374</v>
      </c>
      <c r="D42" s="480">
        <v>24140645</v>
      </c>
      <c r="E42" s="480" t="s">
        <v>487</v>
      </c>
      <c r="F42" s="480" t="s">
        <v>338</v>
      </c>
      <c r="G42" s="481">
        <v>35918.726999999999</v>
      </c>
      <c r="H42" s="480" t="s">
        <v>128</v>
      </c>
      <c r="I42" s="480">
        <v>1</v>
      </c>
      <c r="J42" s="480">
        <v>0</v>
      </c>
      <c r="K42" s="482" t="s">
        <v>207</v>
      </c>
    </row>
    <row r="43" spans="1:18" ht="15.6">
      <c r="A43" s="889" t="s">
        <v>485</v>
      </c>
      <c r="B43" s="480">
        <v>3331553109</v>
      </c>
      <c r="C43" s="887" t="s">
        <v>206</v>
      </c>
      <c r="D43" s="480">
        <v>24140665</v>
      </c>
      <c r="E43" s="480" t="s">
        <v>224</v>
      </c>
      <c r="F43" s="480" t="s">
        <v>344</v>
      </c>
      <c r="G43" s="481">
        <v>39222.934000000001</v>
      </c>
      <c r="H43" s="502" t="s">
        <v>128</v>
      </c>
      <c r="I43" s="480">
        <v>1</v>
      </c>
      <c r="J43" s="480">
        <v>1</v>
      </c>
      <c r="K43" s="482" t="s">
        <v>207</v>
      </c>
    </row>
    <row r="44" spans="1:18" ht="15.6">
      <c r="A44" s="889" t="s">
        <v>485</v>
      </c>
      <c r="B44" s="480">
        <v>3331553096</v>
      </c>
      <c r="C44" s="887" t="s">
        <v>206</v>
      </c>
      <c r="D44" s="502">
        <v>24140661</v>
      </c>
      <c r="E44" s="502" t="s">
        <v>224</v>
      </c>
      <c r="F44" s="502" t="s">
        <v>344</v>
      </c>
      <c r="G44" s="506">
        <v>36556.027999999998</v>
      </c>
      <c r="H44" s="502" t="s">
        <v>128</v>
      </c>
      <c r="I44" s="480">
        <v>1</v>
      </c>
      <c r="J44" s="480">
        <v>1</v>
      </c>
      <c r="K44" s="482" t="s">
        <v>207</v>
      </c>
    </row>
    <row r="45" spans="1:18" ht="15.6">
      <c r="A45" s="880" t="s">
        <v>483</v>
      </c>
      <c r="B45" s="452">
        <v>3331553090</v>
      </c>
      <c r="C45" s="592" t="s">
        <v>11</v>
      </c>
      <c r="D45" s="452">
        <v>24140659</v>
      </c>
      <c r="E45" s="452" t="s">
        <v>488</v>
      </c>
      <c r="F45" s="452" t="s">
        <v>199</v>
      </c>
      <c r="G45" s="456">
        <v>25859.348999999998</v>
      </c>
      <c r="H45" s="452" t="s">
        <v>200</v>
      </c>
      <c r="I45" s="452">
        <v>1</v>
      </c>
      <c r="J45" s="452">
        <v>1</v>
      </c>
      <c r="K45" s="476" t="s">
        <v>204</v>
      </c>
    </row>
    <row r="46" spans="1:18" ht="15.6">
      <c r="A46" s="880" t="s">
        <v>483</v>
      </c>
      <c r="B46" s="452">
        <v>3331553091</v>
      </c>
      <c r="C46" s="592" t="s">
        <v>27</v>
      </c>
      <c r="D46" s="452">
        <v>24140660</v>
      </c>
      <c r="E46" s="452" t="s">
        <v>489</v>
      </c>
      <c r="F46" s="452" t="s">
        <v>199</v>
      </c>
      <c r="G46" s="456">
        <v>27133.406999999999</v>
      </c>
      <c r="H46" s="452" t="s">
        <v>200</v>
      </c>
      <c r="I46" s="452">
        <v>1</v>
      </c>
      <c r="J46" s="452">
        <v>1</v>
      </c>
      <c r="K46" s="476" t="s">
        <v>204</v>
      </c>
    </row>
    <row r="47" spans="1:18" ht="15.6">
      <c r="A47" s="880" t="s">
        <v>483</v>
      </c>
      <c r="B47" s="452">
        <v>3331553104</v>
      </c>
      <c r="C47" s="592" t="s">
        <v>27</v>
      </c>
      <c r="D47" s="452">
        <v>24140662</v>
      </c>
      <c r="E47" s="452" t="s">
        <v>489</v>
      </c>
      <c r="F47" s="452" t="s">
        <v>199</v>
      </c>
      <c r="G47" s="456">
        <v>25980.6</v>
      </c>
      <c r="H47" s="452" t="s">
        <v>200</v>
      </c>
      <c r="I47" s="452">
        <v>1</v>
      </c>
      <c r="J47" s="452">
        <v>1</v>
      </c>
      <c r="K47" s="476" t="s">
        <v>204</v>
      </c>
    </row>
    <row r="48" spans="1:18" ht="15.6">
      <c r="A48" s="880" t="s">
        <v>483</v>
      </c>
      <c r="B48" s="452">
        <v>3331551257</v>
      </c>
      <c r="C48" s="592" t="s">
        <v>34</v>
      </c>
      <c r="D48" s="452">
        <v>24140663</v>
      </c>
      <c r="E48" s="452" t="s">
        <v>490</v>
      </c>
      <c r="F48" s="452" t="s">
        <v>199</v>
      </c>
      <c r="G48" s="456">
        <v>27214.905999999999</v>
      </c>
      <c r="H48" s="452" t="s">
        <v>200</v>
      </c>
      <c r="I48" s="452">
        <v>1</v>
      </c>
      <c r="J48" s="452">
        <v>1</v>
      </c>
      <c r="K48" s="476" t="s">
        <v>204</v>
      </c>
    </row>
    <row r="49" spans="1:11" ht="15.6">
      <c r="A49" s="880" t="s">
        <v>483</v>
      </c>
      <c r="B49" s="452">
        <v>3331553107</v>
      </c>
      <c r="C49" s="592" t="s">
        <v>27</v>
      </c>
      <c r="D49" s="452">
        <v>24140664</v>
      </c>
      <c r="E49" s="452" t="s">
        <v>488</v>
      </c>
      <c r="F49" s="452" t="s">
        <v>199</v>
      </c>
      <c r="G49" s="456">
        <v>25882.32</v>
      </c>
      <c r="H49" s="490" t="s">
        <v>200</v>
      </c>
      <c r="I49" s="452">
        <v>1</v>
      </c>
      <c r="J49" s="452">
        <v>1</v>
      </c>
      <c r="K49" s="476" t="s">
        <v>204</v>
      </c>
    </row>
    <row r="50" spans="1:11" ht="15.6">
      <c r="A50" s="880" t="s">
        <v>255</v>
      </c>
      <c r="B50" s="452">
        <v>3331549325</v>
      </c>
      <c r="C50" s="592" t="s">
        <v>27</v>
      </c>
      <c r="D50" s="452">
        <v>24140666</v>
      </c>
      <c r="E50" s="452" t="s">
        <v>242</v>
      </c>
      <c r="F50" s="452" t="s">
        <v>199</v>
      </c>
      <c r="G50" s="456">
        <f>6524.916+7494.285+1743.051</f>
        <v>15762.252</v>
      </c>
      <c r="H50" s="452" t="s">
        <v>200</v>
      </c>
      <c r="I50" s="452">
        <v>1</v>
      </c>
      <c r="J50" s="452">
        <v>1</v>
      </c>
      <c r="K50" s="476" t="s">
        <v>204</v>
      </c>
    </row>
    <row r="51" spans="1:11" ht="15.6">
      <c r="A51" s="880" t="s">
        <v>483</v>
      </c>
      <c r="B51" s="452">
        <v>3331553094</v>
      </c>
      <c r="C51" s="592" t="s">
        <v>256</v>
      </c>
      <c r="D51" s="452" t="s">
        <v>256</v>
      </c>
      <c r="E51" s="452" t="s">
        <v>256</v>
      </c>
      <c r="F51" s="452" t="s">
        <v>256</v>
      </c>
      <c r="G51" s="456" t="s">
        <v>256</v>
      </c>
      <c r="H51" s="452" t="s">
        <v>256</v>
      </c>
      <c r="I51" s="452" t="s">
        <v>256</v>
      </c>
      <c r="J51" s="452" t="s">
        <v>256</v>
      </c>
      <c r="K51" s="476" t="s">
        <v>256</v>
      </c>
    </row>
    <row r="52" spans="1:11" ht="15.6">
      <c r="A52" s="880" t="s">
        <v>483</v>
      </c>
      <c r="B52" s="452">
        <v>3331553110</v>
      </c>
      <c r="C52" s="592" t="s">
        <v>256</v>
      </c>
      <c r="D52" s="452" t="s">
        <v>256</v>
      </c>
      <c r="E52" s="452" t="s">
        <v>256</v>
      </c>
      <c r="F52" s="452" t="s">
        <v>256</v>
      </c>
      <c r="G52" s="456" t="s">
        <v>256</v>
      </c>
      <c r="H52" s="452" t="s">
        <v>256</v>
      </c>
      <c r="I52" s="452" t="s">
        <v>256</v>
      </c>
      <c r="J52" s="452" t="s">
        <v>256</v>
      </c>
      <c r="K52" s="476" t="s">
        <v>256</v>
      </c>
    </row>
    <row r="53" spans="1:11" ht="15.6">
      <c r="A53" s="889" t="s">
        <v>485</v>
      </c>
      <c r="B53" s="480">
        <v>3331553136</v>
      </c>
      <c r="C53" s="887" t="s">
        <v>206</v>
      </c>
      <c r="D53" s="480">
        <v>24140668</v>
      </c>
      <c r="E53" s="480" t="s">
        <v>224</v>
      </c>
      <c r="F53" s="480" t="s">
        <v>344</v>
      </c>
      <c r="G53" s="481">
        <v>35567.129999999997</v>
      </c>
      <c r="H53" s="480" t="s">
        <v>128</v>
      </c>
      <c r="I53" s="480">
        <v>1</v>
      </c>
      <c r="J53" s="480">
        <v>1</v>
      </c>
      <c r="K53" s="482" t="s">
        <v>207</v>
      </c>
    </row>
    <row r="54" spans="1:11" ht="15.6">
      <c r="A54" s="880" t="s">
        <v>483</v>
      </c>
      <c r="B54" s="452">
        <v>3331553132</v>
      </c>
      <c r="C54" s="592" t="s">
        <v>336</v>
      </c>
      <c r="D54" s="452">
        <v>24140671</v>
      </c>
      <c r="E54" s="452" t="s">
        <v>435</v>
      </c>
      <c r="F54" s="452" t="s">
        <v>338</v>
      </c>
      <c r="G54" s="456">
        <f>16759.96+24126.646</f>
        <v>40886.606</v>
      </c>
      <c r="H54" s="452" t="s">
        <v>128</v>
      </c>
      <c r="I54" s="452">
        <v>1</v>
      </c>
      <c r="J54" s="452">
        <v>1</v>
      </c>
      <c r="K54" s="476" t="s">
        <v>204</v>
      </c>
    </row>
    <row r="55" spans="1:11" ht="15.6">
      <c r="A55" s="880" t="s">
        <v>483</v>
      </c>
      <c r="B55" s="452">
        <v>3331553150</v>
      </c>
      <c r="C55" s="592" t="s">
        <v>256</v>
      </c>
      <c r="D55" s="452" t="s">
        <v>256</v>
      </c>
      <c r="E55" s="452" t="s">
        <v>256</v>
      </c>
      <c r="F55" s="452" t="s">
        <v>256</v>
      </c>
      <c r="G55" s="456" t="s">
        <v>256</v>
      </c>
      <c r="H55" s="452" t="s">
        <v>256</v>
      </c>
      <c r="I55" s="452" t="s">
        <v>256</v>
      </c>
      <c r="J55" s="452" t="s">
        <v>256</v>
      </c>
      <c r="K55" s="476" t="s">
        <v>256</v>
      </c>
    </row>
    <row r="56" spans="1:11" ht="15.6">
      <c r="A56" s="880" t="s">
        <v>483</v>
      </c>
      <c r="B56" s="452">
        <v>3331553135</v>
      </c>
      <c r="C56" s="592" t="s">
        <v>336</v>
      </c>
      <c r="D56" s="452">
        <v>24140672</v>
      </c>
      <c r="E56" s="452" t="s">
        <v>435</v>
      </c>
      <c r="F56" s="452" t="s">
        <v>338</v>
      </c>
      <c r="G56" s="456">
        <f>10261.2+33545.072</f>
        <v>43806.271999999997</v>
      </c>
      <c r="H56" s="452" t="s">
        <v>128</v>
      </c>
      <c r="I56" s="452">
        <v>1</v>
      </c>
      <c r="J56" s="452">
        <v>1</v>
      </c>
      <c r="K56" s="476" t="s">
        <v>204</v>
      </c>
    </row>
    <row r="57" spans="1:11" ht="15.6">
      <c r="A57" s="880" t="s">
        <v>483</v>
      </c>
      <c r="B57" s="452">
        <v>3331553155</v>
      </c>
      <c r="C57" s="592" t="s">
        <v>256</v>
      </c>
      <c r="D57" s="452" t="s">
        <v>256</v>
      </c>
      <c r="E57" s="452" t="s">
        <v>256</v>
      </c>
      <c r="F57" s="452" t="s">
        <v>256</v>
      </c>
      <c r="G57" s="456" t="s">
        <v>256</v>
      </c>
      <c r="H57" s="452" t="s">
        <v>256</v>
      </c>
      <c r="I57" s="452" t="s">
        <v>256</v>
      </c>
      <c r="J57" s="452" t="s">
        <v>256</v>
      </c>
      <c r="K57" s="476" t="s">
        <v>256</v>
      </c>
    </row>
    <row r="58" spans="1:11" ht="15.6">
      <c r="A58" s="880" t="s">
        <v>483</v>
      </c>
      <c r="B58" s="452">
        <v>3331553163</v>
      </c>
      <c r="C58" s="592" t="s">
        <v>34</v>
      </c>
      <c r="D58" s="452">
        <v>24140673</v>
      </c>
      <c r="E58" s="452" t="s">
        <v>491</v>
      </c>
      <c r="F58" s="452" t="s">
        <v>199</v>
      </c>
      <c r="G58" s="456">
        <v>26165.809000000001</v>
      </c>
      <c r="H58" s="452" t="s">
        <v>200</v>
      </c>
      <c r="I58" s="452">
        <v>1</v>
      </c>
      <c r="J58" s="452">
        <v>1</v>
      </c>
      <c r="K58" s="476" t="s">
        <v>204</v>
      </c>
    </row>
    <row r="59" spans="1:11" ht="15.6">
      <c r="A59" s="889" t="s">
        <v>485</v>
      </c>
      <c r="B59" s="480">
        <v>3331553153</v>
      </c>
      <c r="C59" s="887" t="s">
        <v>206</v>
      </c>
      <c r="D59" s="480">
        <v>24140674</v>
      </c>
      <c r="E59" s="480" t="s">
        <v>224</v>
      </c>
      <c r="F59" s="480" t="s">
        <v>344</v>
      </c>
      <c r="G59" s="481">
        <v>35438.362000000001</v>
      </c>
      <c r="H59" s="480" t="s">
        <v>128</v>
      </c>
      <c r="I59" s="480">
        <v>1</v>
      </c>
      <c r="J59" s="480">
        <v>1</v>
      </c>
      <c r="K59" s="482" t="s">
        <v>207</v>
      </c>
    </row>
    <row r="60" spans="1:11" ht="15.6">
      <c r="A60" s="880" t="s">
        <v>355</v>
      </c>
      <c r="B60" s="452">
        <v>3331553175</v>
      </c>
      <c r="C60" s="592" t="s">
        <v>34</v>
      </c>
      <c r="D60" s="452">
        <v>24140675</v>
      </c>
      <c r="E60" s="452" t="s">
        <v>491</v>
      </c>
      <c r="F60" s="452" t="s">
        <v>199</v>
      </c>
      <c r="G60" s="456">
        <v>26587.071</v>
      </c>
      <c r="H60" s="452" t="s">
        <v>200</v>
      </c>
      <c r="I60" s="452">
        <v>1</v>
      </c>
      <c r="J60" s="452">
        <v>1</v>
      </c>
      <c r="K60" s="476" t="s">
        <v>204</v>
      </c>
    </row>
    <row r="61" spans="1:11" ht="15.6">
      <c r="A61" s="880" t="s">
        <v>483</v>
      </c>
      <c r="B61" s="452">
        <v>3331553176</v>
      </c>
      <c r="C61" s="592" t="s">
        <v>34</v>
      </c>
      <c r="D61" s="452">
        <v>24140676</v>
      </c>
      <c r="E61" s="452" t="s">
        <v>491</v>
      </c>
      <c r="F61" s="452" t="s">
        <v>199</v>
      </c>
      <c r="G61" s="456">
        <v>25564.974999999999</v>
      </c>
      <c r="H61" s="452" t="s">
        <v>200</v>
      </c>
      <c r="I61" s="452">
        <v>1</v>
      </c>
      <c r="J61" s="452">
        <v>1</v>
      </c>
      <c r="K61" s="476" t="s">
        <v>204</v>
      </c>
    </row>
    <row r="62" spans="1:11" ht="15.6">
      <c r="A62" s="889" t="s">
        <v>485</v>
      </c>
      <c r="B62" s="480">
        <v>3331553177</v>
      </c>
      <c r="C62" s="887" t="s">
        <v>206</v>
      </c>
      <c r="D62" s="480">
        <v>24140677</v>
      </c>
      <c r="E62" s="480" t="s">
        <v>224</v>
      </c>
      <c r="F62" s="480" t="s">
        <v>344</v>
      </c>
      <c r="G62" s="481">
        <f>1069.378+32902.236</f>
        <v>33971.613999999994</v>
      </c>
      <c r="H62" s="480" t="s">
        <v>128</v>
      </c>
      <c r="I62" s="480">
        <v>1</v>
      </c>
      <c r="J62" s="480">
        <v>1</v>
      </c>
      <c r="K62" s="482" t="s">
        <v>207</v>
      </c>
    </row>
    <row r="63" spans="1:11" ht="15.6">
      <c r="A63" s="889" t="s">
        <v>485</v>
      </c>
      <c r="B63" s="480">
        <v>3331553179</v>
      </c>
      <c r="C63" s="887" t="s">
        <v>256</v>
      </c>
      <c r="D63" s="480" t="s">
        <v>256</v>
      </c>
      <c r="E63" s="480" t="s">
        <v>256</v>
      </c>
      <c r="F63" s="480" t="s">
        <v>256</v>
      </c>
      <c r="G63" s="481" t="s">
        <v>256</v>
      </c>
      <c r="H63" s="480" t="s">
        <v>256</v>
      </c>
      <c r="I63" s="480" t="s">
        <v>256</v>
      </c>
      <c r="J63" s="480" t="s">
        <v>256</v>
      </c>
      <c r="K63" s="482" t="s">
        <v>256</v>
      </c>
    </row>
    <row r="64" spans="1:11" s="108" customFormat="1" ht="15.6">
      <c r="A64" s="880" t="s">
        <v>485</v>
      </c>
      <c r="B64" s="452">
        <v>3331553183</v>
      </c>
      <c r="C64" s="592" t="s">
        <v>336</v>
      </c>
      <c r="D64" s="452">
        <v>24140678</v>
      </c>
      <c r="E64" s="452" t="s">
        <v>486</v>
      </c>
      <c r="F64" s="452" t="s">
        <v>338</v>
      </c>
      <c r="G64" s="456">
        <v>42466.781000000003</v>
      </c>
      <c r="H64" s="452" t="s">
        <v>128</v>
      </c>
      <c r="I64" s="452">
        <v>1</v>
      </c>
      <c r="J64" s="452">
        <v>1</v>
      </c>
      <c r="K64" s="476" t="s">
        <v>204</v>
      </c>
    </row>
    <row r="65" spans="1:18" s="108" customFormat="1" ht="15.6">
      <c r="A65" s="880" t="s">
        <v>483</v>
      </c>
      <c r="B65" s="452">
        <v>3331553185</v>
      </c>
      <c r="C65" s="592" t="s">
        <v>336</v>
      </c>
      <c r="D65" s="452">
        <v>24140679</v>
      </c>
      <c r="E65" s="452" t="s">
        <v>486</v>
      </c>
      <c r="F65" s="452" t="s">
        <v>338</v>
      </c>
      <c r="G65" s="456">
        <v>43288.18</v>
      </c>
      <c r="H65" s="452" t="s">
        <v>128</v>
      </c>
      <c r="I65" s="452">
        <v>1</v>
      </c>
      <c r="J65" s="452">
        <v>1</v>
      </c>
      <c r="K65" s="476" t="s">
        <v>204</v>
      </c>
    </row>
    <row r="66" spans="1:18" ht="15.6">
      <c r="A66" s="889" t="s">
        <v>483</v>
      </c>
      <c r="B66" s="480">
        <v>3331553191</v>
      </c>
      <c r="C66" s="887" t="s">
        <v>336</v>
      </c>
      <c r="D66" s="480">
        <v>24140680</v>
      </c>
      <c r="E66" s="480" t="s">
        <v>446</v>
      </c>
      <c r="F66" s="480" t="s">
        <v>338</v>
      </c>
      <c r="G66" s="481">
        <v>36641.035000000003</v>
      </c>
      <c r="H66" s="480" t="s">
        <v>128</v>
      </c>
      <c r="I66" s="480">
        <v>1</v>
      </c>
      <c r="J66" s="480">
        <v>1</v>
      </c>
      <c r="K66" s="482" t="s">
        <v>207</v>
      </c>
    </row>
    <row r="67" spans="1:18" ht="15.6">
      <c r="A67" s="880" t="s">
        <v>483</v>
      </c>
      <c r="B67" s="452">
        <v>3331553193</v>
      </c>
      <c r="C67" s="592" t="s">
        <v>336</v>
      </c>
      <c r="D67" s="452">
        <v>24140681</v>
      </c>
      <c r="E67" s="452" t="s">
        <v>446</v>
      </c>
      <c r="F67" s="452" t="s">
        <v>338</v>
      </c>
      <c r="G67" s="456">
        <v>35315.629999999997</v>
      </c>
      <c r="H67" s="452" t="s">
        <v>128</v>
      </c>
      <c r="I67" s="452">
        <v>1</v>
      </c>
      <c r="J67" s="452">
        <v>1</v>
      </c>
      <c r="K67" s="476" t="s">
        <v>204</v>
      </c>
    </row>
    <row r="68" spans="1:18" ht="15.6">
      <c r="A68" s="889" t="s">
        <v>483</v>
      </c>
      <c r="B68" s="480">
        <v>3331551973</v>
      </c>
      <c r="C68" s="887" t="s">
        <v>273</v>
      </c>
      <c r="D68" s="480">
        <v>24140682</v>
      </c>
      <c r="E68" s="480" t="s">
        <v>226</v>
      </c>
      <c r="F68" s="480" t="s">
        <v>344</v>
      </c>
      <c r="G68" s="481">
        <f>20178.266+12256.852</f>
        <v>32435.118000000002</v>
      </c>
      <c r="H68" s="480" t="s">
        <v>128</v>
      </c>
      <c r="I68" s="480">
        <v>1</v>
      </c>
      <c r="J68" s="480">
        <v>1</v>
      </c>
      <c r="K68" s="482" t="s">
        <v>207</v>
      </c>
    </row>
    <row r="69" spans="1:18" ht="15.6">
      <c r="A69" s="889" t="s">
        <v>483</v>
      </c>
      <c r="B69" s="480">
        <v>3331553065</v>
      </c>
      <c r="C69" s="887" t="s">
        <v>256</v>
      </c>
      <c r="D69" s="480" t="s">
        <v>256</v>
      </c>
      <c r="E69" s="480" t="s">
        <v>256</v>
      </c>
      <c r="F69" s="480" t="s">
        <v>256</v>
      </c>
      <c r="G69" s="481" t="s">
        <v>256</v>
      </c>
      <c r="H69" s="480" t="s">
        <v>256</v>
      </c>
      <c r="I69" s="480" t="s">
        <v>256</v>
      </c>
      <c r="J69" s="480" t="s">
        <v>256</v>
      </c>
      <c r="K69" s="482" t="s">
        <v>256</v>
      </c>
    </row>
    <row r="70" spans="1:18" s="108" customFormat="1" ht="15.6">
      <c r="A70" s="880" t="s">
        <v>485</v>
      </c>
      <c r="B70" s="452">
        <v>3331553192</v>
      </c>
      <c r="C70" s="592" t="s">
        <v>336</v>
      </c>
      <c r="D70" s="452">
        <v>24140683</v>
      </c>
      <c r="E70" s="452" t="s">
        <v>173</v>
      </c>
      <c r="F70" s="452" t="s">
        <v>338</v>
      </c>
      <c r="G70" s="456">
        <v>42229.351000000002</v>
      </c>
      <c r="H70" s="490" t="s">
        <v>128</v>
      </c>
      <c r="I70" s="452">
        <v>1</v>
      </c>
      <c r="J70" s="452">
        <v>1</v>
      </c>
      <c r="K70" s="476" t="s">
        <v>204</v>
      </c>
      <c r="P70"/>
      <c r="Q70"/>
      <c r="R70"/>
    </row>
    <row r="71" spans="1:18" ht="15.6">
      <c r="A71" s="889" t="s">
        <v>485</v>
      </c>
      <c r="B71" s="480">
        <v>3331553214</v>
      </c>
      <c r="C71" s="887" t="s">
        <v>336</v>
      </c>
      <c r="D71" s="480">
        <v>24140685</v>
      </c>
      <c r="E71" s="480" t="s">
        <v>486</v>
      </c>
      <c r="F71" s="480" t="s">
        <v>338</v>
      </c>
      <c r="G71" s="481">
        <v>43749.934000000001</v>
      </c>
      <c r="H71" s="480" t="s">
        <v>128</v>
      </c>
      <c r="I71" s="480">
        <v>1</v>
      </c>
      <c r="J71" s="480">
        <v>1</v>
      </c>
      <c r="K71" s="482" t="s">
        <v>207</v>
      </c>
    </row>
    <row r="72" spans="1:18" ht="15.6">
      <c r="A72" s="880" t="s">
        <v>483</v>
      </c>
      <c r="B72" s="452">
        <v>3331553215</v>
      </c>
      <c r="C72" s="592" t="s">
        <v>34</v>
      </c>
      <c r="D72" s="452">
        <v>24140684</v>
      </c>
      <c r="E72" s="452" t="s">
        <v>492</v>
      </c>
      <c r="F72" s="452" t="s">
        <v>199</v>
      </c>
      <c r="G72" s="456">
        <v>24957.350999999999</v>
      </c>
      <c r="H72" s="452" t="s">
        <v>200</v>
      </c>
      <c r="I72" s="452">
        <v>1</v>
      </c>
      <c r="J72" s="452">
        <v>1</v>
      </c>
      <c r="K72" s="476" t="s">
        <v>204</v>
      </c>
    </row>
    <row r="73" spans="1:18" s="108" customFormat="1" ht="15.6">
      <c r="A73" s="880" t="s">
        <v>483</v>
      </c>
      <c r="B73" s="452">
        <v>3331553204</v>
      </c>
      <c r="C73" s="592" t="s">
        <v>206</v>
      </c>
      <c r="D73" s="452">
        <v>24140686</v>
      </c>
      <c r="E73" s="452" t="s">
        <v>226</v>
      </c>
      <c r="F73" s="452" t="s">
        <v>344</v>
      </c>
      <c r="G73" s="456">
        <f>13762.081+17363.701</f>
        <v>31125.781999999999</v>
      </c>
      <c r="H73" s="452" t="s">
        <v>128</v>
      </c>
      <c r="I73" s="452">
        <v>1</v>
      </c>
      <c r="J73" s="452">
        <v>1</v>
      </c>
      <c r="K73" s="476" t="s">
        <v>204</v>
      </c>
      <c r="P73"/>
      <c r="Q73"/>
      <c r="R73"/>
    </row>
    <row r="74" spans="1:18" s="108" customFormat="1" ht="15.6">
      <c r="A74" s="880" t="s">
        <v>483</v>
      </c>
      <c r="B74" s="452">
        <v>3331553206</v>
      </c>
      <c r="C74" s="592" t="s">
        <v>256</v>
      </c>
      <c r="D74" s="452" t="s">
        <v>256</v>
      </c>
      <c r="E74" s="452" t="s">
        <v>256</v>
      </c>
      <c r="F74" s="452" t="s">
        <v>256</v>
      </c>
      <c r="G74" s="456" t="s">
        <v>256</v>
      </c>
      <c r="H74" s="452" t="s">
        <v>256</v>
      </c>
      <c r="I74" s="452" t="s">
        <v>256</v>
      </c>
      <c r="J74" s="452" t="s">
        <v>256</v>
      </c>
      <c r="K74" s="476"/>
      <c r="P74"/>
      <c r="Q74"/>
      <c r="R74"/>
    </row>
    <row r="75" spans="1:18" ht="15.6">
      <c r="A75" s="889" t="s">
        <v>483</v>
      </c>
      <c r="B75" s="480">
        <v>3331553216</v>
      </c>
      <c r="C75" s="887" t="s">
        <v>336</v>
      </c>
      <c r="D75" s="480">
        <v>24140687</v>
      </c>
      <c r="E75" s="480" t="s">
        <v>493</v>
      </c>
      <c r="F75" s="480" t="s">
        <v>338</v>
      </c>
      <c r="G75" s="481">
        <v>42780.652999999998</v>
      </c>
      <c r="H75" s="480" t="s">
        <v>128</v>
      </c>
      <c r="I75" s="480">
        <v>1</v>
      </c>
      <c r="J75" s="480">
        <v>1</v>
      </c>
      <c r="K75" s="482" t="s">
        <v>207</v>
      </c>
    </row>
    <row r="76" spans="1:18" ht="15.6">
      <c r="A76" s="889" t="s">
        <v>483</v>
      </c>
      <c r="B76" s="480">
        <v>3331553217</v>
      </c>
      <c r="C76" s="887" t="s">
        <v>336</v>
      </c>
      <c r="D76" s="480">
        <v>24140688</v>
      </c>
      <c r="E76" s="480" t="s">
        <v>493</v>
      </c>
      <c r="F76" s="480" t="s">
        <v>338</v>
      </c>
      <c r="G76" s="481">
        <v>37675.705999999998</v>
      </c>
      <c r="H76" s="480" t="s">
        <v>128</v>
      </c>
      <c r="I76" s="480">
        <v>1</v>
      </c>
      <c r="J76" s="480">
        <v>1</v>
      </c>
      <c r="K76" s="482" t="s">
        <v>207</v>
      </c>
    </row>
    <row r="77" spans="1:18" ht="15.6">
      <c r="A77" s="889"/>
      <c r="B77" s="480"/>
      <c r="C77" s="887"/>
      <c r="D77" s="480"/>
      <c r="E77" s="480"/>
      <c r="F77" s="480"/>
      <c r="G77" s="481"/>
      <c r="H77" s="480"/>
      <c r="I77" s="480"/>
      <c r="J77" s="480"/>
      <c r="K77" s="482"/>
    </row>
    <row r="78" spans="1:18" ht="15.6">
      <c r="A78" s="889"/>
      <c r="B78" s="480"/>
      <c r="C78" s="887"/>
      <c r="D78" s="480"/>
      <c r="E78" s="480"/>
      <c r="F78" s="480"/>
      <c r="G78" s="481"/>
      <c r="H78" s="480"/>
      <c r="I78" s="480"/>
      <c r="J78" s="480"/>
      <c r="K78" s="482"/>
    </row>
    <row r="79" spans="1:18" ht="15.6">
      <c r="A79" s="889"/>
      <c r="B79" s="480"/>
      <c r="C79" s="887"/>
      <c r="D79" s="480"/>
      <c r="E79" s="480"/>
      <c r="F79" s="480"/>
      <c r="G79" s="481"/>
      <c r="H79" s="480"/>
      <c r="I79" s="480"/>
      <c r="J79" s="480"/>
      <c r="K79" s="482"/>
    </row>
    <row r="80" spans="1:18" ht="15.6">
      <c r="A80" s="889"/>
      <c r="B80" s="480"/>
      <c r="C80" s="887"/>
      <c r="D80" s="480"/>
      <c r="E80" s="480"/>
      <c r="F80" s="480"/>
      <c r="G80" s="481"/>
      <c r="H80" s="480"/>
      <c r="I80" s="480"/>
      <c r="J80" s="480"/>
      <c r="K80" s="482"/>
    </row>
    <row r="81" spans="1:11" ht="15.6">
      <c r="A81" s="889"/>
      <c r="B81" s="480"/>
      <c r="C81" s="887"/>
      <c r="D81" s="480"/>
      <c r="E81" s="480"/>
      <c r="F81" s="480"/>
      <c r="G81" s="481"/>
      <c r="H81" s="480"/>
      <c r="I81" s="480"/>
      <c r="J81" s="480"/>
      <c r="K81" s="482"/>
    </row>
    <row r="82" spans="1:11" ht="15.6">
      <c r="A82" s="889"/>
      <c r="B82" s="480"/>
      <c r="C82" s="887"/>
      <c r="D82" s="480"/>
      <c r="E82" s="480"/>
      <c r="F82" s="480"/>
      <c r="G82" s="481"/>
      <c r="H82" s="480"/>
      <c r="I82" s="480"/>
      <c r="J82" s="480"/>
      <c r="K82" s="482"/>
    </row>
    <row r="83" spans="1:11">
      <c r="A83" s="300"/>
      <c r="B83" s="300"/>
      <c r="C83" s="297"/>
      <c r="D83" s="297"/>
      <c r="E83" s="371"/>
      <c r="F83" s="301"/>
      <c r="G83" s="302"/>
      <c r="H83" s="301"/>
      <c r="I83" s="300"/>
      <c r="J83" s="300"/>
      <c r="K83" s="303"/>
    </row>
    <row r="85" spans="1:11" ht="21">
      <c r="B85" s="422" t="s">
        <v>244</v>
      </c>
    </row>
    <row r="86" spans="1:11" ht="25.8">
      <c r="A86" s="44"/>
      <c r="B86" s="251" t="s">
        <v>304</v>
      </c>
      <c r="E86" s="358">
        <v>3032633</v>
      </c>
      <c r="F86" s="1506" t="s">
        <v>305</v>
      </c>
      <c r="G86" s="1507"/>
      <c r="I86" s="373"/>
    </row>
    <row r="87" spans="1:11" ht="23.4">
      <c r="B87" s="251" t="s">
        <v>361</v>
      </c>
      <c r="F87" s="503" t="s">
        <v>197</v>
      </c>
      <c r="G87" s="381">
        <f ca="1">SUMIF(H26:H1179, "TRAILER", I26:I1178)</f>
        <v>25</v>
      </c>
    </row>
    <row r="88" spans="1:11" ht="23.4">
      <c r="F88" s="504" t="s">
        <v>200</v>
      </c>
      <c r="G88" s="381">
        <f ca="1">SUMIF(H26:H1180,"TRONTON",I26:I1179)</f>
        <v>18</v>
      </c>
    </row>
    <row r="89" spans="1:11" ht="23.4">
      <c r="F89" s="505" t="s">
        <v>266</v>
      </c>
      <c r="G89" s="382">
        <f ca="1">SUM(G87:G88)</f>
        <v>43</v>
      </c>
    </row>
    <row r="90" spans="1:11" ht="36">
      <c r="F90" s="501" t="s">
        <v>477</v>
      </c>
      <c r="G90" s="382">
        <v>0</v>
      </c>
    </row>
    <row r="91" spans="1:11" ht="23.4">
      <c r="F91" s="445" t="s">
        <v>362</v>
      </c>
      <c r="G91" s="446">
        <f>I10</f>
        <v>3</v>
      </c>
    </row>
    <row r="92" spans="1:11" ht="23.4">
      <c r="F92" s="445" t="s">
        <v>363</v>
      </c>
      <c r="G92" s="446">
        <f ca="1">G90+G91+G89</f>
        <v>46</v>
      </c>
    </row>
  </sheetData>
  <autoFilter ref="A1:F17" xr:uid="{455A03CA-89FF-4485-B032-080DA22FFE43}">
    <filterColumn colId="4" showButton="0"/>
  </autoFilter>
  <mergeCells count="8">
    <mergeCell ref="H12:J12"/>
    <mergeCell ref="F86:G86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B5E2-DB81-47C5-86D7-589437E73881}">
  <dimension ref="A1:N115"/>
  <sheetViews>
    <sheetView showGridLines="0" topLeftCell="A5" zoomScale="85" zoomScaleNormal="85" workbookViewId="0">
      <selection activeCell="E85" sqref="E85"/>
    </sheetView>
  </sheetViews>
  <sheetFormatPr defaultColWidth="9.109375" defaultRowHeight="14.4"/>
  <cols>
    <col min="1" max="1" width="32.88671875" customWidth="1"/>
    <col min="2" max="2" width="16.109375" customWidth="1"/>
    <col min="3" max="3" width="14.44140625" bestFit="1" customWidth="1"/>
    <col min="4" max="4" width="27.88671875" customWidth="1"/>
    <col min="5" max="5" width="72.88671875" style="358" bestFit="1" customWidth="1"/>
    <col min="6" max="6" width="27" customWidth="1"/>
    <col min="7" max="7" width="13.88671875" customWidth="1"/>
    <col min="8" max="8" width="26.44140625" customWidth="1"/>
    <col min="9" max="9" width="20.109375" customWidth="1"/>
    <col min="10" max="10" width="23.33203125" bestFit="1" customWidth="1"/>
    <col min="11" max="11" width="15.88671875" bestFit="1" customWidth="1"/>
    <col min="12" max="12" width="11" hidden="1" customWidth="1"/>
  </cols>
  <sheetData>
    <row r="1" spans="1:12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</row>
    <row r="2" spans="1:12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</row>
    <row r="3" spans="1:12" ht="36.75" customHeight="1">
      <c r="A3" s="512" t="s">
        <v>307</v>
      </c>
      <c r="B3" s="513">
        <f>SUM(I20:I1146)</f>
        <v>75</v>
      </c>
      <c r="C3" s="405"/>
      <c r="D3" s="353" t="s">
        <v>199</v>
      </c>
      <c r="E3" s="420">
        <f>COUNTIF($F$23:$F$477,"JABODETABEK")</f>
        <v>4</v>
      </c>
      <c r="F3" s="318">
        <f ca="1">SUMIF($F$23:$F$515, "JABODETABEK", $G$23:$G$46)</f>
        <v>97850.477000000014</v>
      </c>
      <c r="G3" s="343"/>
      <c r="H3" s="424" t="s">
        <v>199</v>
      </c>
      <c r="I3" s="425" cm="1">
        <f t="array" ref="I3">SUMPRODUCT(--(RIGHT($F$23:$F$6964,20)="JABODETABEK NEXT DAY"))</f>
        <v>31</v>
      </c>
      <c r="J3" s="423">
        <f>SUMIF(F23:F510, "JABODETABEK NEXT DAY", G23:G510)</f>
        <v>765640.94499999995</v>
      </c>
    </row>
    <row r="4" spans="1:12" ht="29.25" customHeight="1">
      <c r="A4" s="432" t="s">
        <v>201</v>
      </c>
      <c r="B4" s="434">
        <f>SUM(J20:J1180)</f>
        <v>70</v>
      </c>
      <c r="D4" s="353" t="s">
        <v>203</v>
      </c>
      <c r="E4" s="245">
        <f>COUNTIF($F$23:$F$477, "JAWA TENGAH")</f>
        <v>9</v>
      </c>
      <c r="F4" s="318">
        <f ca="1">SUMIF($F$23:$F$515, "JAWA TENGAH", $G$23:$G$46)</f>
        <v>303113.12300000002</v>
      </c>
      <c r="H4" s="354" t="s">
        <v>203</v>
      </c>
      <c r="I4" s="425" cm="1">
        <f t="array" ref="I4">SUMPRODUCT(--(RIGHT($F$23:$F$6926,20)="JAWA TENGAH NEXT DAY"))</f>
        <v>14</v>
      </c>
      <c r="J4" s="423">
        <f ca="1">SUMIF(F20:F520, "JAWA TENGAH NEXT DAY", G23:G520)</f>
        <v>329565.74199999997</v>
      </c>
    </row>
    <row r="5" spans="1:12" ht="33.6">
      <c r="A5" s="351" t="s">
        <v>265</v>
      </c>
      <c r="B5" s="315">
        <f>COUNTIF($K$23:$K$1029,"MASUK")</f>
        <v>73</v>
      </c>
      <c r="C5" s="400"/>
      <c r="D5" s="439" t="s">
        <v>205</v>
      </c>
      <c r="E5" s="247">
        <f>COUNTIF($F$23:$F$477,"JAWA TIMUR")</f>
        <v>8</v>
      </c>
      <c r="F5" s="318">
        <f ca="1">SUMIF($F$23:$F$515, "JAWA TIMUR", $G$23:$G$46)</f>
        <v>296801.12</v>
      </c>
      <c r="H5" s="353" t="s">
        <v>205</v>
      </c>
      <c r="I5" s="245" cm="1">
        <f t="array" ref="I5">SUMPRODUCT(--(RIGHT($F$23:$F$6926,20)="JAWA TIMUR NEXT DAY"))</f>
        <v>6</v>
      </c>
      <c r="J5" s="423">
        <f>SUMIF(F23:F530, "JAWA TIMUR NEXT DAY", G23:G530)</f>
        <v>245335.51300000001</v>
      </c>
    </row>
    <row r="6" spans="1:12" ht="33.6">
      <c r="A6" s="351" t="s">
        <v>207</v>
      </c>
      <c r="B6" s="315">
        <f>COUNTIF($K$23:$K$1029,"BELUM MASUK")</f>
        <v>0</v>
      </c>
      <c r="C6" s="396"/>
      <c r="D6" s="497" t="s">
        <v>312</v>
      </c>
      <c r="E6" s="498">
        <f>SUM(E3:E5)</f>
        <v>21</v>
      </c>
      <c r="F6" s="496">
        <f ca="1">SUM(F3:F5)</f>
        <v>697764.72</v>
      </c>
      <c r="H6" s="201" t="s">
        <v>313</v>
      </c>
      <c r="I6" s="499">
        <f>SUM(I3:I5)</f>
        <v>51</v>
      </c>
      <c r="J6" s="496">
        <f ca="1">SUM($J$3:$J$5)</f>
        <v>1340542.2</v>
      </c>
      <c r="K6" s="398"/>
    </row>
    <row r="7" spans="1:12" ht="27" customHeight="1">
      <c r="A7" s="352" t="s">
        <v>249</v>
      </c>
      <c r="B7" s="314">
        <f>(B3-B4)</f>
        <v>5</v>
      </c>
      <c r="C7" s="251" t="s">
        <v>128</v>
      </c>
      <c r="E7" s="361"/>
      <c r="F7" s="327"/>
      <c r="G7" s="253"/>
      <c r="K7" s="349"/>
      <c r="L7" s="308"/>
    </row>
    <row r="8" spans="1:12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</row>
    <row r="9" spans="1:12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</row>
    <row r="10" spans="1:12" ht="27" customHeight="1">
      <c r="A10" s="510" t="s">
        <v>197</v>
      </c>
      <c r="B10" s="378">
        <f ca="1">SUMIF($H$20:$H$1052, "TRAILER", $I$20:$I$1051)</f>
        <v>30</v>
      </c>
      <c r="C10" s="275"/>
      <c r="D10" s="353" t="s">
        <v>199</v>
      </c>
      <c r="E10" s="243">
        <f>COUNTIF($F$157:$F$1059,"JABODETABEK")</f>
        <v>0</v>
      </c>
      <c r="F10" s="318">
        <f>SUMIF(F141:F1059,"JABODETABEK", G23:G1059)</f>
        <v>0</v>
      </c>
      <c r="G10" s="253"/>
      <c r="H10" s="196" t="s">
        <v>317</v>
      </c>
      <c r="I10" s="245">
        <f>COUNTIF($F$20:$F$23,"INTERISLAND")</f>
        <v>3</v>
      </c>
      <c r="J10" s="496">
        <v>0</v>
      </c>
      <c r="K10" s="307"/>
    </row>
    <row r="11" spans="1:12" ht="27" customHeight="1">
      <c r="A11" s="430" t="s">
        <v>200</v>
      </c>
      <c r="B11" s="380">
        <f ca="1">SUMIF($H$20:$H$1053, "TRONTON", $I$20:$I$1052)</f>
        <v>42</v>
      </c>
      <c r="D11" s="353" t="s">
        <v>480</v>
      </c>
      <c r="E11" s="243">
        <f>COUNTIF($F$157:$F$1060,"JAWA TENGAH")</f>
        <v>0</v>
      </c>
      <c r="F11" s="318">
        <f>SUMIF(F142:F1060,"JABODETABEK", G24:G1060)</f>
        <v>0</v>
      </c>
      <c r="G11" s="253"/>
      <c r="H11" s="44"/>
      <c r="I11" s="442"/>
      <c r="J11" s="443"/>
      <c r="K11" s="307"/>
    </row>
    <row r="12" spans="1:12" ht="27" customHeight="1">
      <c r="A12" s="430" t="s">
        <v>365</v>
      </c>
      <c r="B12" s="380">
        <f ca="1">SUMIF($H$20:$H$1053, "CN 40 HC", $I$20:$I$1052)</f>
        <v>3</v>
      </c>
      <c r="D12" s="354" t="s">
        <v>481</v>
      </c>
      <c r="E12" s="243">
        <f>COUNTIF(F157:F1061,"JAWA TIMUR")</f>
        <v>0</v>
      </c>
      <c r="F12" s="318">
        <f>SUMIF(F143:F1061,"JABODETABEK", G25:G1061)</f>
        <v>0</v>
      </c>
      <c r="G12" s="253"/>
      <c r="H12" s="1517" t="s">
        <v>434</v>
      </c>
      <c r="I12" s="1517"/>
      <c r="J12" s="1553"/>
      <c r="K12" s="307"/>
    </row>
    <row r="13" spans="1:12" ht="27" customHeight="1">
      <c r="A13" s="430" t="s">
        <v>467</v>
      </c>
      <c r="B13" s="380">
        <v>0</v>
      </c>
      <c r="D13" s="201" t="s">
        <v>468</v>
      </c>
      <c r="E13" s="500"/>
      <c r="F13" s="496">
        <f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</row>
    <row r="14" spans="1:12" ht="27" customHeight="1">
      <c r="A14" s="508" t="s">
        <v>325</v>
      </c>
      <c r="B14" s="509"/>
      <c r="E14" s="361"/>
      <c r="F14" s="327"/>
      <c r="G14" s="253"/>
      <c r="H14" s="196" t="s">
        <v>434</v>
      </c>
      <c r="I14" s="500">
        <f>COUNTIF($F$23:$F$138,"AMBIL SENDIRI")</f>
        <v>1</v>
      </c>
      <c r="J14" s="496">
        <f>SUMIF(F23:F1058,"COKOT SORANGAN",G23:G1058)</f>
        <v>0</v>
      </c>
      <c r="K14" s="307"/>
    </row>
    <row r="15" spans="1:12" ht="27" customHeight="1">
      <c r="A15" s="508" t="s">
        <v>348</v>
      </c>
      <c r="B15" s="509"/>
      <c r="D15" s="435" t="s">
        <v>307</v>
      </c>
      <c r="E15" s="437">
        <f>E6+I6+E13+I10+I14</f>
        <v>76</v>
      </c>
      <c r="F15" s="327"/>
      <c r="G15" s="253"/>
      <c r="I15" s="281"/>
      <c r="J15" s="348"/>
      <c r="K15" s="307"/>
    </row>
    <row r="16" spans="1:12" ht="27" customHeight="1">
      <c r="A16" s="508" t="s">
        <v>330</v>
      </c>
      <c r="B16" s="509"/>
      <c r="D16" s="435" t="s">
        <v>331</v>
      </c>
      <c r="E16" s="436">
        <f ca="1">F6+J6+F13+J10+J14</f>
        <v>2038306.92</v>
      </c>
      <c r="F16" s="327"/>
      <c r="G16" s="253"/>
      <c r="I16" s="281"/>
      <c r="J16" s="348">
        <f>28+9+9</f>
        <v>46</v>
      </c>
      <c r="K16" s="307"/>
    </row>
    <row r="17" spans="1:12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s="44" customFormat="1" ht="15.6">
      <c r="A20" s="897" t="s">
        <v>495</v>
      </c>
      <c r="B20" s="592">
        <v>3331552733</v>
      </c>
      <c r="C20" s="592" t="s">
        <v>470</v>
      </c>
      <c r="D20" s="452">
        <v>24140633</v>
      </c>
      <c r="E20" s="452" t="s">
        <v>354</v>
      </c>
      <c r="F20" s="518" t="s">
        <v>353</v>
      </c>
      <c r="G20" s="456">
        <v>24941.376</v>
      </c>
      <c r="H20" s="490" t="s">
        <v>471</v>
      </c>
      <c r="I20" s="592">
        <v>1</v>
      </c>
      <c r="J20" s="592">
        <v>1</v>
      </c>
      <c r="K20" s="476" t="s">
        <v>204</v>
      </c>
      <c r="L20" s="898" t="e">
        <f>VLOOKUP(Table134657[[#This Row],[Delivery]],#REF!,6,FALSE)</f>
        <v>#REF!</v>
      </c>
    </row>
    <row r="21" spans="1:12" s="44" customFormat="1" ht="15.6">
      <c r="A21" s="897" t="s">
        <v>495</v>
      </c>
      <c r="B21" s="592">
        <v>3331552742</v>
      </c>
      <c r="C21" s="592" t="s">
        <v>470</v>
      </c>
      <c r="D21" s="452">
        <v>24140634</v>
      </c>
      <c r="E21" s="452" t="s">
        <v>354</v>
      </c>
      <c r="F21" s="518" t="s">
        <v>353</v>
      </c>
      <c r="G21" s="456">
        <v>21737.101999999999</v>
      </c>
      <c r="H21" s="452" t="s">
        <v>471</v>
      </c>
      <c r="I21" s="592">
        <v>1</v>
      </c>
      <c r="J21" s="592">
        <v>1</v>
      </c>
      <c r="K21" s="476" t="s">
        <v>204</v>
      </c>
      <c r="L21" s="898" t="e">
        <f>VLOOKUP(Table134657[[#This Row],[Delivery]],#REF!,6,FALSE)</f>
        <v>#REF!</v>
      </c>
    </row>
    <row r="22" spans="1:12" s="44" customFormat="1" ht="15.6">
      <c r="A22" s="897" t="s">
        <v>495</v>
      </c>
      <c r="B22" s="592">
        <v>3331552743</v>
      </c>
      <c r="C22" s="592" t="s">
        <v>470</v>
      </c>
      <c r="D22" s="452">
        <v>24140635</v>
      </c>
      <c r="E22" s="452" t="s">
        <v>354</v>
      </c>
      <c r="F22" s="518" t="s">
        <v>353</v>
      </c>
      <c r="G22" s="456">
        <v>24162.965</v>
      </c>
      <c r="H22" s="452" t="s">
        <v>471</v>
      </c>
      <c r="I22" s="592">
        <v>1</v>
      </c>
      <c r="J22" s="592">
        <v>1</v>
      </c>
      <c r="K22" s="476" t="s">
        <v>204</v>
      </c>
      <c r="L22" s="898" t="e">
        <f>VLOOKUP(Table134657[[#This Row],[Delivery]],#REF!,6,FALSE)</f>
        <v>#REF!</v>
      </c>
    </row>
    <row r="23" spans="1:12" s="44" customFormat="1" ht="15.6">
      <c r="A23" s="880" t="s">
        <v>483</v>
      </c>
      <c r="B23" s="452">
        <v>3331553216</v>
      </c>
      <c r="C23" s="592" t="s">
        <v>336</v>
      </c>
      <c r="D23" s="452">
        <v>24140687</v>
      </c>
      <c r="E23" s="452" t="s">
        <v>493</v>
      </c>
      <c r="F23" s="452" t="s">
        <v>205</v>
      </c>
      <c r="G23" s="456">
        <v>42780.652999999998</v>
      </c>
      <c r="H23" s="452" t="s">
        <v>128</v>
      </c>
      <c r="I23" s="452">
        <v>1</v>
      </c>
      <c r="J23" s="452">
        <v>1</v>
      </c>
      <c r="K23" s="476" t="s">
        <v>204</v>
      </c>
      <c r="L23" s="899" t="e">
        <f>VLOOKUP(Table134657[[#This Row],[Delivery]],#REF!,6,FALSE)</f>
        <v>#REF!</v>
      </c>
    </row>
    <row r="24" spans="1:12" s="44" customFormat="1" ht="15.6">
      <c r="A24" s="880" t="s">
        <v>485</v>
      </c>
      <c r="B24" s="452">
        <v>3331553096</v>
      </c>
      <c r="C24" s="592" t="s">
        <v>27</v>
      </c>
      <c r="D24" s="452">
        <v>24140661</v>
      </c>
      <c r="E24" s="452" t="s">
        <v>224</v>
      </c>
      <c r="F24" s="452" t="s">
        <v>203</v>
      </c>
      <c r="G24" s="456">
        <v>36556.027999999998</v>
      </c>
      <c r="H24" s="452" t="s">
        <v>128</v>
      </c>
      <c r="I24" s="452">
        <v>1</v>
      </c>
      <c r="J24" s="452">
        <v>1</v>
      </c>
      <c r="K24" s="476" t="s">
        <v>204</v>
      </c>
      <c r="L24" s="899" t="e">
        <f>VLOOKUP(Table134657[[#This Row],[Delivery]],#REF!,6,FALSE)</f>
        <v>#REF!</v>
      </c>
    </row>
    <row r="25" spans="1:12" s="44" customFormat="1" ht="15.6">
      <c r="A25" s="880" t="s">
        <v>485</v>
      </c>
      <c r="B25" s="452">
        <v>3331553109</v>
      </c>
      <c r="C25" s="592" t="s">
        <v>27</v>
      </c>
      <c r="D25" s="452">
        <v>24140665</v>
      </c>
      <c r="E25" s="452" t="s">
        <v>224</v>
      </c>
      <c r="F25" s="452" t="s">
        <v>203</v>
      </c>
      <c r="G25" s="456">
        <v>39222.934000000001</v>
      </c>
      <c r="H25" s="452" t="s">
        <v>128</v>
      </c>
      <c r="I25" s="452">
        <v>1</v>
      </c>
      <c r="J25" s="452">
        <v>1</v>
      </c>
      <c r="K25" s="476" t="s">
        <v>204</v>
      </c>
      <c r="L25" s="899" t="e">
        <f>VLOOKUP(Table134657[[#This Row],[Delivery]],#REF!,6,FALSE)</f>
        <v>#REF!</v>
      </c>
    </row>
    <row r="26" spans="1:12" s="44" customFormat="1" ht="15.6">
      <c r="A26" s="880" t="s">
        <v>485</v>
      </c>
      <c r="B26" s="452">
        <v>3331553136</v>
      </c>
      <c r="C26" s="592" t="s">
        <v>27</v>
      </c>
      <c r="D26" s="452">
        <v>24140668</v>
      </c>
      <c r="E26" s="452" t="s">
        <v>224</v>
      </c>
      <c r="F26" s="452" t="s">
        <v>203</v>
      </c>
      <c r="G26" s="456">
        <v>35567.129999999997</v>
      </c>
      <c r="H26" s="452" t="s">
        <v>128</v>
      </c>
      <c r="I26" s="452">
        <v>1</v>
      </c>
      <c r="J26" s="452">
        <v>1</v>
      </c>
      <c r="K26" s="476" t="s">
        <v>204</v>
      </c>
      <c r="L26" s="899" t="e">
        <f>VLOOKUP(Table134657[[#This Row],[Delivery]],#REF!,6,FALSE)</f>
        <v>#REF!</v>
      </c>
    </row>
    <row r="27" spans="1:12" s="44" customFormat="1" ht="15.6">
      <c r="A27" s="880" t="s">
        <v>485</v>
      </c>
      <c r="B27" s="452">
        <v>3331553153</v>
      </c>
      <c r="C27" s="592" t="s">
        <v>27</v>
      </c>
      <c r="D27" s="452">
        <v>24140674</v>
      </c>
      <c r="E27" s="452" t="s">
        <v>224</v>
      </c>
      <c r="F27" s="452" t="s">
        <v>203</v>
      </c>
      <c r="G27" s="456">
        <v>35438.362000000001</v>
      </c>
      <c r="H27" s="452" t="s">
        <v>128</v>
      </c>
      <c r="I27" s="452">
        <v>1</v>
      </c>
      <c r="J27" s="452">
        <v>1</v>
      </c>
      <c r="K27" s="476" t="s">
        <v>204</v>
      </c>
      <c r="L27" s="899" t="e">
        <f>VLOOKUP(Table134657[[#This Row],[Delivery]],#REF!,6,FALSE)</f>
        <v>#REF!</v>
      </c>
    </row>
    <row r="28" spans="1:12" s="44" customFormat="1" ht="15.6">
      <c r="A28" s="880" t="s">
        <v>485</v>
      </c>
      <c r="B28" s="452">
        <v>3331553177</v>
      </c>
      <c r="C28" s="592" t="s">
        <v>27</v>
      </c>
      <c r="D28" s="452">
        <v>24140677</v>
      </c>
      <c r="E28" s="452" t="s">
        <v>224</v>
      </c>
      <c r="F28" s="452" t="s">
        <v>203</v>
      </c>
      <c r="G28" s="456">
        <f>1069.378+32902.236</f>
        <v>33971.613999999994</v>
      </c>
      <c r="H28" s="452" t="s">
        <v>128</v>
      </c>
      <c r="I28" s="452">
        <v>1</v>
      </c>
      <c r="J28" s="452">
        <v>1</v>
      </c>
      <c r="K28" s="476" t="s">
        <v>204</v>
      </c>
      <c r="L28" s="898" t="e">
        <f>VLOOKUP(Table134657[[#This Row],[Delivery]],#REF!,6,FALSE)</f>
        <v>#REF!</v>
      </c>
    </row>
    <row r="29" spans="1:12" s="44" customFormat="1" ht="15.6">
      <c r="A29" s="880" t="s">
        <v>485</v>
      </c>
      <c r="B29" s="452">
        <v>3331553179</v>
      </c>
      <c r="C29" s="592" t="s">
        <v>256</v>
      </c>
      <c r="D29" s="452" t="s">
        <v>256</v>
      </c>
      <c r="E29" s="452" t="s">
        <v>256</v>
      </c>
      <c r="F29" s="452" t="s">
        <v>256</v>
      </c>
      <c r="G29" s="456" t="s">
        <v>256</v>
      </c>
      <c r="H29" s="452" t="s">
        <v>256</v>
      </c>
      <c r="I29" s="452" t="s">
        <v>256</v>
      </c>
      <c r="J29" s="452" t="s">
        <v>256</v>
      </c>
      <c r="K29" s="476" t="s">
        <v>256</v>
      </c>
      <c r="L29" s="898" t="e">
        <f>VLOOKUP(Table134657[[#This Row],[Delivery]],#REF!,6,FALSE)</f>
        <v>#REF!</v>
      </c>
    </row>
    <row r="30" spans="1:12" s="44" customFormat="1" ht="15.6">
      <c r="A30" s="880" t="s">
        <v>495</v>
      </c>
      <c r="B30" s="452">
        <v>3331553568</v>
      </c>
      <c r="C30" s="592" t="s">
        <v>27</v>
      </c>
      <c r="D30" s="452">
        <v>24140705</v>
      </c>
      <c r="E30" s="452" t="s">
        <v>224</v>
      </c>
      <c r="F30" s="452" t="s">
        <v>203</v>
      </c>
      <c r="G30" s="456">
        <v>23740.594000000001</v>
      </c>
      <c r="H30" s="452" t="s">
        <v>128</v>
      </c>
      <c r="I30" s="452">
        <v>1</v>
      </c>
      <c r="J30" s="452">
        <v>1</v>
      </c>
      <c r="K30" s="476" t="s">
        <v>204</v>
      </c>
      <c r="L30" s="898" t="e">
        <f>VLOOKUP(Table134657[[#This Row],[Delivery]],#REF!,6,FALSE)</f>
        <v>#REF!</v>
      </c>
    </row>
    <row r="31" spans="1:12" s="44" customFormat="1" ht="15.6">
      <c r="A31" s="880" t="s">
        <v>495</v>
      </c>
      <c r="B31" s="452">
        <v>3331553578</v>
      </c>
      <c r="C31" s="592" t="s">
        <v>287</v>
      </c>
      <c r="D31" s="452">
        <v>24140711</v>
      </c>
      <c r="E31" s="490" t="s">
        <v>224</v>
      </c>
      <c r="F31" s="490" t="s">
        <v>203</v>
      </c>
      <c r="G31" s="456">
        <v>26067.202000000001</v>
      </c>
      <c r="H31" s="452" t="s">
        <v>200</v>
      </c>
      <c r="I31" s="452">
        <v>1</v>
      </c>
      <c r="J31" s="452">
        <v>1</v>
      </c>
      <c r="K31" s="476" t="s">
        <v>204</v>
      </c>
      <c r="L31" s="898" t="e">
        <f>VLOOKUP(Table134657[[#This Row],[Delivery]],#REF!,6,FALSE)</f>
        <v>#REF!</v>
      </c>
    </row>
    <row r="32" spans="1:12" s="44" customFormat="1" ht="15.6">
      <c r="A32" s="880" t="s">
        <v>495</v>
      </c>
      <c r="B32" s="452">
        <v>3331553585</v>
      </c>
      <c r="C32" s="592" t="s">
        <v>496</v>
      </c>
      <c r="D32" s="452">
        <v>24140713</v>
      </c>
      <c r="E32" s="452" t="s">
        <v>224</v>
      </c>
      <c r="F32" s="452" t="s">
        <v>203</v>
      </c>
      <c r="G32" s="456">
        <v>37541.966999999997</v>
      </c>
      <c r="H32" s="452" t="s">
        <v>128</v>
      </c>
      <c r="I32" s="452">
        <v>1</v>
      </c>
      <c r="J32" s="452">
        <v>1</v>
      </c>
      <c r="K32" s="476" t="s">
        <v>204</v>
      </c>
      <c r="L32" s="899" t="e">
        <f>VLOOKUP(Table134657[[#This Row],[Delivery]],#REF!,6,FALSE)</f>
        <v>#REF!</v>
      </c>
    </row>
    <row r="33" spans="1:12" s="44" customFormat="1" ht="15.6">
      <c r="A33" s="880" t="s">
        <v>485</v>
      </c>
      <c r="B33" s="452">
        <v>3331553575</v>
      </c>
      <c r="C33" s="592" t="s">
        <v>11</v>
      </c>
      <c r="D33" s="452">
        <v>24140718</v>
      </c>
      <c r="E33" s="452" t="s">
        <v>173</v>
      </c>
      <c r="F33" s="452" t="s">
        <v>205</v>
      </c>
      <c r="G33" s="456">
        <f>9269.032+36462.656</f>
        <v>45731.688000000002</v>
      </c>
      <c r="H33" s="452" t="s">
        <v>128</v>
      </c>
      <c r="I33" s="452">
        <v>1</v>
      </c>
      <c r="J33" s="452">
        <v>1</v>
      </c>
      <c r="K33" s="476" t="s">
        <v>204</v>
      </c>
      <c r="L33" s="898" t="e">
        <f>VLOOKUP(Table134657[[#This Row],[Delivery]],#REF!,6,FALSE)</f>
        <v>#REF!</v>
      </c>
    </row>
    <row r="34" spans="1:12" s="44" customFormat="1" ht="15.6">
      <c r="A34" s="880" t="s">
        <v>485</v>
      </c>
      <c r="B34" s="452">
        <v>3331553601</v>
      </c>
      <c r="C34" s="592" t="s">
        <v>256</v>
      </c>
      <c r="D34" s="452" t="s">
        <v>256</v>
      </c>
      <c r="E34" s="452" t="s">
        <v>256</v>
      </c>
      <c r="F34" s="452" t="s">
        <v>256</v>
      </c>
      <c r="G34" s="456" t="s">
        <v>256</v>
      </c>
      <c r="H34" s="452" t="s">
        <v>256</v>
      </c>
      <c r="I34" s="452" t="s">
        <v>256</v>
      </c>
      <c r="J34" s="452" t="s">
        <v>256</v>
      </c>
      <c r="K34" s="476" t="s">
        <v>256</v>
      </c>
      <c r="L34" s="898" t="e">
        <f>VLOOKUP(Table134657[[#This Row],[Delivery]],#REF!,6,FALSE)</f>
        <v>#REF!</v>
      </c>
    </row>
    <row r="35" spans="1:12" s="44" customFormat="1" ht="15.6">
      <c r="A35" s="880" t="s">
        <v>485</v>
      </c>
      <c r="B35" s="452">
        <v>3331553550</v>
      </c>
      <c r="C35" s="592" t="s">
        <v>27</v>
      </c>
      <c r="D35" s="452">
        <v>24140704</v>
      </c>
      <c r="E35" s="452" t="s">
        <v>226</v>
      </c>
      <c r="F35" s="452" t="s">
        <v>203</v>
      </c>
      <c r="G35" s="456">
        <f>5504.832+29502.46</f>
        <v>35007.292000000001</v>
      </c>
      <c r="H35" s="452" t="s">
        <v>128</v>
      </c>
      <c r="I35" s="452">
        <v>1</v>
      </c>
      <c r="J35" s="452">
        <v>1</v>
      </c>
      <c r="K35" s="476" t="s">
        <v>204</v>
      </c>
      <c r="L35" s="898" t="e">
        <f>VLOOKUP(Table134657[[#This Row],[Delivery]],#REF!,6,FALSE)</f>
        <v>#REF!</v>
      </c>
    </row>
    <row r="36" spans="1:12" s="44" customFormat="1" ht="15.6">
      <c r="A36" s="880" t="s">
        <v>485</v>
      </c>
      <c r="B36" s="452">
        <v>3331553554</v>
      </c>
      <c r="C36" s="592" t="s">
        <v>256</v>
      </c>
      <c r="D36" s="452" t="s">
        <v>256</v>
      </c>
      <c r="E36" s="452" t="s">
        <v>256</v>
      </c>
      <c r="F36" s="45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  <c r="L36" s="898" t="e">
        <f>VLOOKUP(Table134657[[#This Row],[Delivery]],#REF!,6,FALSE)</f>
        <v>#REF!</v>
      </c>
    </row>
    <row r="37" spans="1:12" s="44" customFormat="1" ht="15.6">
      <c r="A37" s="880" t="s">
        <v>485</v>
      </c>
      <c r="B37" s="452">
        <v>3331553214</v>
      </c>
      <c r="C37" s="592" t="s">
        <v>336</v>
      </c>
      <c r="D37" s="452">
        <v>24140685</v>
      </c>
      <c r="E37" s="452" t="s">
        <v>497</v>
      </c>
      <c r="F37" s="452" t="s">
        <v>205</v>
      </c>
      <c r="G37" s="456">
        <v>43749.934000000001</v>
      </c>
      <c r="H37" s="452" t="s">
        <v>128</v>
      </c>
      <c r="I37" s="452">
        <v>1</v>
      </c>
      <c r="J37" s="452">
        <v>1</v>
      </c>
      <c r="K37" s="476" t="s">
        <v>204</v>
      </c>
      <c r="L37" s="899" t="e">
        <f>VLOOKUP(Table134657[[#This Row],[Delivery]],#REF!,6,FALSE)</f>
        <v>#REF!</v>
      </c>
    </row>
    <row r="38" spans="1:12" s="44" customFormat="1" ht="15.6">
      <c r="A38" s="880" t="s">
        <v>485</v>
      </c>
      <c r="B38" s="452">
        <v>3331552332</v>
      </c>
      <c r="C38" s="592" t="s">
        <v>27</v>
      </c>
      <c r="D38" s="452">
        <v>24140719</v>
      </c>
      <c r="E38" s="452" t="s">
        <v>413</v>
      </c>
      <c r="F38" s="452" t="s">
        <v>205</v>
      </c>
      <c r="G38" s="456">
        <v>38577.584999999999</v>
      </c>
      <c r="H38" s="452" t="s">
        <v>128</v>
      </c>
      <c r="I38" s="452">
        <v>1</v>
      </c>
      <c r="J38" s="452">
        <v>1</v>
      </c>
      <c r="K38" s="476" t="s">
        <v>204</v>
      </c>
      <c r="L38" s="899" t="e">
        <f>VLOOKUP(Table134657[[#This Row],[Delivery]],#REF!,6,FALSE)</f>
        <v>#REF!</v>
      </c>
    </row>
    <row r="39" spans="1:12" s="44" customFormat="1" ht="15.6">
      <c r="A39" s="880" t="s">
        <v>495</v>
      </c>
      <c r="B39" s="452">
        <v>3331553761</v>
      </c>
      <c r="C39" s="592" t="s">
        <v>34</v>
      </c>
      <c r="D39" s="452">
        <v>24140720</v>
      </c>
      <c r="E39" s="452" t="s">
        <v>498</v>
      </c>
      <c r="F39" s="452" t="s">
        <v>199</v>
      </c>
      <c r="G39" s="456">
        <v>23653.575000000001</v>
      </c>
      <c r="H39" s="452" t="s">
        <v>200</v>
      </c>
      <c r="I39" s="452">
        <v>1</v>
      </c>
      <c r="J39" s="452">
        <v>1</v>
      </c>
      <c r="K39" s="476" t="s">
        <v>204</v>
      </c>
      <c r="L39" s="898" t="e">
        <f>VLOOKUP(Table134657[[#This Row],[Delivery]],#REF!,6,FALSE)</f>
        <v>#REF!</v>
      </c>
    </row>
    <row r="40" spans="1:12" s="44" customFormat="1" ht="15.6">
      <c r="A40" s="880" t="s">
        <v>495</v>
      </c>
      <c r="B40" s="452">
        <v>3331553762</v>
      </c>
      <c r="C40" s="592" t="s">
        <v>287</v>
      </c>
      <c r="D40" s="452">
        <v>24140721</v>
      </c>
      <c r="E40" s="452" t="s">
        <v>498</v>
      </c>
      <c r="F40" s="452" t="s">
        <v>340</v>
      </c>
      <c r="G40" s="456">
        <v>25545.861000000001</v>
      </c>
      <c r="H40" s="452" t="s">
        <v>200</v>
      </c>
      <c r="I40" s="452">
        <v>1</v>
      </c>
      <c r="J40" s="452">
        <v>1</v>
      </c>
      <c r="K40" s="476" t="s">
        <v>204</v>
      </c>
      <c r="L40" s="898" t="e">
        <f>VLOOKUP(Table134657[[#This Row],[Delivery]],#REF!,6,FALSE)</f>
        <v>#REF!</v>
      </c>
    </row>
    <row r="41" spans="1:12" s="44" customFormat="1" ht="15.6">
      <c r="A41" s="880" t="s">
        <v>495</v>
      </c>
      <c r="B41" s="452">
        <v>3331553763</v>
      </c>
      <c r="C41" s="592" t="s">
        <v>34</v>
      </c>
      <c r="D41" s="452">
        <v>24140722</v>
      </c>
      <c r="E41" s="452" t="s">
        <v>219</v>
      </c>
      <c r="F41" s="452" t="s">
        <v>199</v>
      </c>
      <c r="G41" s="456">
        <v>25417.687000000002</v>
      </c>
      <c r="H41" s="452" t="s">
        <v>200</v>
      </c>
      <c r="I41" s="452">
        <v>1</v>
      </c>
      <c r="J41" s="452">
        <v>1</v>
      </c>
      <c r="K41" s="476" t="s">
        <v>204</v>
      </c>
      <c r="L41" s="898" t="e">
        <f>VLOOKUP(Table134657[[#This Row],[Delivery]],#REF!,6,FALSE)</f>
        <v>#REF!</v>
      </c>
    </row>
    <row r="42" spans="1:12" s="44" customFormat="1" ht="15.6">
      <c r="A42" s="880" t="s">
        <v>495</v>
      </c>
      <c r="B42" s="452">
        <v>3331553764</v>
      </c>
      <c r="C42" s="592" t="s">
        <v>34</v>
      </c>
      <c r="D42" s="452">
        <v>24140723</v>
      </c>
      <c r="E42" s="452" t="s">
        <v>219</v>
      </c>
      <c r="F42" s="452" t="s">
        <v>340</v>
      </c>
      <c r="G42" s="456">
        <v>25980.6</v>
      </c>
      <c r="H42" s="452" t="s">
        <v>200</v>
      </c>
      <c r="I42" s="452">
        <v>1</v>
      </c>
      <c r="J42" s="452">
        <v>1</v>
      </c>
      <c r="K42" s="476" t="s">
        <v>204</v>
      </c>
      <c r="L42" s="898" t="e">
        <f>VLOOKUP(Table134657[[#This Row],[Delivery]],#REF!,6,FALSE)</f>
        <v>#REF!</v>
      </c>
    </row>
    <row r="43" spans="1:12" s="44" customFormat="1" ht="15.6">
      <c r="A43" s="880" t="s">
        <v>485</v>
      </c>
      <c r="B43" s="452">
        <v>3331553471</v>
      </c>
      <c r="C43" s="592" t="s">
        <v>336</v>
      </c>
      <c r="D43" s="452">
        <v>24140698</v>
      </c>
      <c r="E43" s="452" t="s">
        <v>435</v>
      </c>
      <c r="F43" s="452" t="s">
        <v>205</v>
      </c>
      <c r="G43" s="456">
        <v>45192.035000000003</v>
      </c>
      <c r="H43" s="452" t="s">
        <v>128</v>
      </c>
      <c r="I43" s="452">
        <v>1</v>
      </c>
      <c r="J43" s="452">
        <v>1</v>
      </c>
      <c r="K43" s="476" t="s">
        <v>204</v>
      </c>
      <c r="L43" s="899" t="e">
        <f>VLOOKUP(Table134657[[#This Row],[Delivery]],#REF!,6,FALSE)</f>
        <v>#REF!</v>
      </c>
    </row>
    <row r="44" spans="1:12" s="44" customFormat="1" ht="15.6">
      <c r="A44" s="880" t="s">
        <v>485</v>
      </c>
      <c r="B44" s="452">
        <v>3331553476</v>
      </c>
      <c r="C44" s="592" t="s">
        <v>437</v>
      </c>
      <c r="D44" s="452">
        <v>24140702</v>
      </c>
      <c r="E44" s="452" t="s">
        <v>435</v>
      </c>
      <c r="F44" s="452" t="s">
        <v>205</v>
      </c>
      <c r="G44" s="456">
        <v>39510.65</v>
      </c>
      <c r="H44" s="452" t="s">
        <v>128</v>
      </c>
      <c r="I44" s="452">
        <v>1</v>
      </c>
      <c r="J44" s="452">
        <v>1</v>
      </c>
      <c r="K44" s="476" t="s">
        <v>204</v>
      </c>
      <c r="L44" s="898" t="e">
        <f>VLOOKUP(Table134657[[#This Row],[Delivery]],#REF!,6,FALSE)</f>
        <v>#REF!</v>
      </c>
    </row>
    <row r="45" spans="1:12" s="108" customFormat="1" ht="15.6">
      <c r="A45" s="880" t="s">
        <v>485</v>
      </c>
      <c r="B45" s="452">
        <v>3331553465</v>
      </c>
      <c r="C45" s="592" t="s">
        <v>336</v>
      </c>
      <c r="D45" s="452">
        <v>24140697</v>
      </c>
      <c r="E45" s="452" t="s">
        <v>435</v>
      </c>
      <c r="F45" s="452" t="s">
        <v>205</v>
      </c>
      <c r="G45" s="456">
        <v>41258.574999999997</v>
      </c>
      <c r="H45" s="452" t="s">
        <v>128</v>
      </c>
      <c r="I45" s="452">
        <v>1</v>
      </c>
      <c r="J45" s="452">
        <v>1</v>
      </c>
      <c r="K45" s="476" t="s">
        <v>204</v>
      </c>
      <c r="L45" s="898" t="e">
        <f>VLOOKUP(Table134657[[#This Row],[Delivery]],#REF!,6,FALSE)</f>
        <v>#REF!</v>
      </c>
    </row>
    <row r="46" spans="1:12" s="44" customFormat="1" ht="15.6">
      <c r="A46" s="880" t="s">
        <v>495</v>
      </c>
      <c r="B46" s="592">
        <v>3331553772</v>
      </c>
      <c r="C46" s="592" t="s">
        <v>27</v>
      </c>
      <c r="D46" s="592">
        <v>24140724</v>
      </c>
      <c r="E46" s="592" t="s">
        <v>156</v>
      </c>
      <c r="F46" s="452" t="s">
        <v>340</v>
      </c>
      <c r="G46" s="456">
        <v>24421.763999999999</v>
      </c>
      <c r="H46" s="452" t="s">
        <v>200</v>
      </c>
      <c r="I46" s="452">
        <v>1</v>
      </c>
      <c r="J46" s="452">
        <v>1</v>
      </c>
      <c r="K46" s="476" t="s">
        <v>204</v>
      </c>
      <c r="L46" s="899" t="e">
        <f>VLOOKUP(Table134657[[#This Row],[Delivery]],#REF!,6,FALSE)</f>
        <v>#REF!</v>
      </c>
    </row>
    <row r="47" spans="1:12" s="44" customFormat="1" ht="15.6">
      <c r="A47" s="880" t="s">
        <v>495</v>
      </c>
      <c r="B47" s="592">
        <v>3331553773</v>
      </c>
      <c r="C47" s="592" t="s">
        <v>34</v>
      </c>
      <c r="D47" s="592">
        <v>24140725</v>
      </c>
      <c r="E47" s="592" t="s">
        <v>156</v>
      </c>
      <c r="F47" s="452" t="s">
        <v>340</v>
      </c>
      <c r="G47" s="456">
        <v>24984.677</v>
      </c>
      <c r="H47" s="452" t="s">
        <v>200</v>
      </c>
      <c r="I47" s="452">
        <v>1</v>
      </c>
      <c r="J47" s="452">
        <v>1</v>
      </c>
      <c r="K47" s="476" t="s">
        <v>204</v>
      </c>
      <c r="L47" s="899" t="e">
        <f>VLOOKUP(Table134657[[#This Row],[Delivery]],#REF!,6,FALSE)</f>
        <v>#REF!</v>
      </c>
    </row>
    <row r="48" spans="1:12" s="108" customFormat="1" ht="15.6">
      <c r="A48" s="880" t="s">
        <v>495</v>
      </c>
      <c r="B48" s="592">
        <v>3331553777</v>
      </c>
      <c r="C48" s="592" t="s">
        <v>34</v>
      </c>
      <c r="D48" s="592">
        <v>24140726</v>
      </c>
      <c r="E48" s="592" t="s">
        <v>156</v>
      </c>
      <c r="F48" s="452" t="s">
        <v>340</v>
      </c>
      <c r="G48" s="456">
        <v>25504.289000000001</v>
      </c>
      <c r="H48" s="452" t="s">
        <v>200</v>
      </c>
      <c r="I48" s="452">
        <v>1</v>
      </c>
      <c r="J48" s="452">
        <v>1</v>
      </c>
      <c r="K48" s="476" t="s">
        <v>204</v>
      </c>
      <c r="L48" s="898" t="e">
        <f>VLOOKUP(Table134657[[#This Row],[Delivery]],#REF!,6,FALSE)</f>
        <v>#REF!</v>
      </c>
    </row>
    <row r="49" spans="1:14" s="44" customFormat="1" ht="15.6">
      <c r="A49" s="880" t="s">
        <v>495</v>
      </c>
      <c r="B49" s="592">
        <v>3331553780</v>
      </c>
      <c r="C49" s="592" t="s">
        <v>27</v>
      </c>
      <c r="D49" s="592">
        <v>24140727</v>
      </c>
      <c r="E49" s="592" t="s">
        <v>156</v>
      </c>
      <c r="F49" s="452" t="s">
        <v>340</v>
      </c>
      <c r="G49" s="456">
        <v>25201.182000000001</v>
      </c>
      <c r="H49" s="452" t="s">
        <v>200</v>
      </c>
      <c r="I49" s="452">
        <v>1</v>
      </c>
      <c r="J49" s="452">
        <v>1</v>
      </c>
      <c r="K49" s="476" t="s">
        <v>204</v>
      </c>
      <c r="L49" s="898" t="e">
        <f>VLOOKUP(Table134657[[#This Row],[Delivery]],#REF!,6,FALSE)</f>
        <v>#REF!</v>
      </c>
    </row>
    <row r="50" spans="1:14" s="44" customFormat="1" ht="15.6">
      <c r="A50" s="880" t="s">
        <v>495</v>
      </c>
      <c r="B50" s="592">
        <v>3331553784</v>
      </c>
      <c r="C50" s="592" t="s">
        <v>27</v>
      </c>
      <c r="D50" s="592">
        <v>24140732</v>
      </c>
      <c r="E50" s="592" t="s">
        <v>156</v>
      </c>
      <c r="F50" s="452" t="s">
        <v>340</v>
      </c>
      <c r="G50" s="456">
        <v>25634.191999999999</v>
      </c>
      <c r="H50" s="452" t="s">
        <v>200</v>
      </c>
      <c r="I50" s="452">
        <v>1</v>
      </c>
      <c r="J50" s="452">
        <v>1</v>
      </c>
      <c r="K50" s="476" t="s">
        <v>204</v>
      </c>
      <c r="L50" s="898" t="e">
        <f>VLOOKUP(Table134657[[#This Row],[Delivery]],#REF!,6,FALSE)</f>
        <v>#REF!</v>
      </c>
    </row>
    <row r="51" spans="1:14" s="44" customFormat="1" ht="15.6">
      <c r="A51" s="880" t="s">
        <v>495</v>
      </c>
      <c r="B51" s="592">
        <v>3331553054</v>
      </c>
      <c r="C51" s="592" t="s">
        <v>287</v>
      </c>
      <c r="D51" s="592">
        <v>24140737</v>
      </c>
      <c r="E51" s="592" t="s">
        <v>156</v>
      </c>
      <c r="F51" s="452" t="s">
        <v>340</v>
      </c>
      <c r="G51" s="456">
        <v>25653</v>
      </c>
      <c r="H51" s="452" t="s">
        <v>200</v>
      </c>
      <c r="I51" s="452">
        <v>1</v>
      </c>
      <c r="J51" s="452">
        <v>1</v>
      </c>
      <c r="K51" s="476" t="s">
        <v>204</v>
      </c>
      <c r="L51" s="899" t="e">
        <f>VLOOKUP(Table134657[[#This Row],[Delivery]],#REF!,6,FALSE)</f>
        <v>#REF!</v>
      </c>
    </row>
    <row r="52" spans="1:14" s="108" customFormat="1" ht="15.6">
      <c r="A52" s="880" t="s">
        <v>495</v>
      </c>
      <c r="B52" s="452">
        <v>3331553781</v>
      </c>
      <c r="C52" s="592" t="s">
        <v>27</v>
      </c>
      <c r="D52" s="452">
        <v>24140728</v>
      </c>
      <c r="E52" s="452" t="s">
        <v>165</v>
      </c>
      <c r="F52" s="452" t="s">
        <v>340</v>
      </c>
      <c r="G52" s="456">
        <v>23252.636999999999</v>
      </c>
      <c r="H52" s="452" t="s">
        <v>200</v>
      </c>
      <c r="I52" s="452">
        <v>1</v>
      </c>
      <c r="J52" s="452">
        <v>1</v>
      </c>
      <c r="K52" s="476" t="s">
        <v>204</v>
      </c>
      <c r="L52" s="898" t="e">
        <f>VLOOKUP(Table134657[[#This Row],[Delivery]],#REF!,6,FALSE)</f>
        <v>#REF!</v>
      </c>
    </row>
    <row r="53" spans="1:14" s="44" customFormat="1" ht="15.6">
      <c r="A53" s="880" t="s">
        <v>495</v>
      </c>
      <c r="B53" s="452">
        <v>3331553766</v>
      </c>
      <c r="C53" s="592" t="s">
        <v>27</v>
      </c>
      <c r="D53" s="452">
        <v>24140730</v>
      </c>
      <c r="E53" s="452" t="s">
        <v>165</v>
      </c>
      <c r="F53" s="452" t="s">
        <v>340</v>
      </c>
      <c r="G53" s="456">
        <v>24335.162</v>
      </c>
      <c r="H53" s="452" t="s">
        <v>200</v>
      </c>
      <c r="I53" s="452">
        <v>1</v>
      </c>
      <c r="J53" s="452">
        <v>1</v>
      </c>
      <c r="K53" s="476" t="s">
        <v>204</v>
      </c>
      <c r="L53" s="898" t="e">
        <f>VLOOKUP(Table134657[[#This Row],[Delivery]],#REF!,6,FALSE)</f>
        <v>#REF!</v>
      </c>
    </row>
    <row r="54" spans="1:14" s="44" customFormat="1" ht="15.6">
      <c r="A54" s="880" t="s">
        <v>495</v>
      </c>
      <c r="B54" s="452">
        <v>3331553775</v>
      </c>
      <c r="C54" s="592" t="s">
        <v>27</v>
      </c>
      <c r="D54" s="452">
        <v>24140729</v>
      </c>
      <c r="E54" s="452" t="s">
        <v>165</v>
      </c>
      <c r="F54" s="452" t="s">
        <v>340</v>
      </c>
      <c r="G54" s="456">
        <v>24081.398000000001</v>
      </c>
      <c r="H54" s="452" t="s">
        <v>200</v>
      </c>
      <c r="I54" s="452">
        <v>1</v>
      </c>
      <c r="J54" s="452">
        <v>1</v>
      </c>
      <c r="K54" s="476" t="s">
        <v>204</v>
      </c>
      <c r="L54" s="899" t="e">
        <f>VLOOKUP(Table134657[[#This Row],[Delivery]],#REF!,6,FALSE)</f>
        <v>#REF!</v>
      </c>
    </row>
    <row r="55" spans="1:14" s="44" customFormat="1" ht="15.6">
      <c r="A55" s="880" t="s">
        <v>495</v>
      </c>
      <c r="B55" s="452">
        <v>3331553786</v>
      </c>
      <c r="C55" s="592" t="s">
        <v>11</v>
      </c>
      <c r="D55" s="452">
        <v>24140733</v>
      </c>
      <c r="E55" s="452" t="s">
        <v>165</v>
      </c>
      <c r="F55" s="452" t="s">
        <v>340</v>
      </c>
      <c r="G55" s="456">
        <v>24001.845000000001</v>
      </c>
      <c r="H55" s="452" t="s">
        <v>200</v>
      </c>
      <c r="I55" s="452">
        <v>1</v>
      </c>
      <c r="J55" s="452">
        <v>1</v>
      </c>
      <c r="K55" s="476" t="s">
        <v>204</v>
      </c>
      <c r="L55" s="898" t="e">
        <f>VLOOKUP(Table134657[[#This Row],[Delivery]],#REF!,6,FALSE)</f>
        <v>#REF!</v>
      </c>
    </row>
    <row r="56" spans="1:14" s="44" customFormat="1" ht="15.6">
      <c r="A56" s="880" t="s">
        <v>495</v>
      </c>
      <c r="B56" s="452">
        <v>3331553795</v>
      </c>
      <c r="C56" s="592" t="s">
        <v>34</v>
      </c>
      <c r="D56" s="452">
        <v>24140736</v>
      </c>
      <c r="E56" s="452" t="s">
        <v>165</v>
      </c>
      <c r="F56" s="452" t="s">
        <v>340</v>
      </c>
      <c r="G56" s="456">
        <v>23945.453000000001</v>
      </c>
      <c r="H56" s="452" t="s">
        <v>200</v>
      </c>
      <c r="I56" s="452">
        <v>1</v>
      </c>
      <c r="J56" s="452">
        <v>1</v>
      </c>
      <c r="K56" s="476" t="s">
        <v>204</v>
      </c>
      <c r="L56" s="898" t="e">
        <f>VLOOKUP(Table134657[[#This Row],[Delivery]],#REF!,6,FALSE)</f>
        <v>#REF!</v>
      </c>
    </row>
    <row r="57" spans="1:14" s="44" customFormat="1" ht="15.6">
      <c r="A57" s="880" t="s">
        <v>495</v>
      </c>
      <c r="B57" s="452">
        <v>3331553791</v>
      </c>
      <c r="C57" s="592" t="s">
        <v>287</v>
      </c>
      <c r="D57" s="452">
        <v>24140735</v>
      </c>
      <c r="E57" s="452" t="s">
        <v>366</v>
      </c>
      <c r="F57" s="452" t="s">
        <v>199</v>
      </c>
      <c r="G57" s="456">
        <v>24941.376</v>
      </c>
      <c r="H57" s="452" t="s">
        <v>200</v>
      </c>
      <c r="I57" s="452">
        <v>1</v>
      </c>
      <c r="J57" s="452">
        <v>1</v>
      </c>
      <c r="K57" s="476" t="s">
        <v>204</v>
      </c>
      <c r="L57" s="899" t="e">
        <f>VLOOKUP(Table134657[[#This Row],[Delivery]],#REF!,6,FALSE)</f>
        <v>#REF!</v>
      </c>
    </row>
    <row r="58" spans="1:14" s="44" customFormat="1" ht="15.6">
      <c r="A58" s="880" t="s">
        <v>495</v>
      </c>
      <c r="B58" s="452">
        <v>3331553809</v>
      </c>
      <c r="C58" s="592" t="s">
        <v>287</v>
      </c>
      <c r="D58" s="452">
        <v>24140747</v>
      </c>
      <c r="E58" s="452" t="s">
        <v>499</v>
      </c>
      <c r="F58" s="452" t="s">
        <v>340</v>
      </c>
      <c r="G58" s="456">
        <v>25416.45</v>
      </c>
      <c r="H58" s="452" t="s">
        <v>200</v>
      </c>
      <c r="I58" s="452">
        <v>1</v>
      </c>
      <c r="J58" s="452">
        <v>1</v>
      </c>
      <c r="K58" s="476" t="s">
        <v>204</v>
      </c>
      <c r="L58" s="898" t="e">
        <f>VLOOKUP(Table134657[[#This Row],[Delivery]],#REF!,6,FALSE)</f>
        <v>#REF!</v>
      </c>
    </row>
    <row r="59" spans="1:14" s="108" customFormat="1" ht="15.6">
      <c r="A59" s="880" t="s">
        <v>495</v>
      </c>
      <c r="B59" s="452">
        <v>3331553811</v>
      </c>
      <c r="C59" s="592" t="s">
        <v>437</v>
      </c>
      <c r="D59" s="452">
        <v>24140751</v>
      </c>
      <c r="E59" s="452" t="s">
        <v>493</v>
      </c>
      <c r="F59" s="452" t="s">
        <v>338</v>
      </c>
      <c r="G59" s="456">
        <v>44103.040000000001</v>
      </c>
      <c r="H59" s="452" t="s">
        <v>128</v>
      </c>
      <c r="I59" s="452">
        <v>1</v>
      </c>
      <c r="J59" s="452">
        <v>1</v>
      </c>
      <c r="K59" s="476" t="s">
        <v>204</v>
      </c>
      <c r="L59" s="898" t="e">
        <f>VLOOKUP(Table134657[[#This Row],[Delivery]],#REF!,6,FALSE)</f>
        <v>#REF!</v>
      </c>
    </row>
    <row r="60" spans="1:14" s="44" customFormat="1" ht="15.6">
      <c r="A60" s="880" t="s">
        <v>495</v>
      </c>
      <c r="B60" s="452">
        <v>3331553834</v>
      </c>
      <c r="C60" s="592" t="s">
        <v>437</v>
      </c>
      <c r="D60" s="452">
        <v>24140752</v>
      </c>
      <c r="E60" s="452" t="s">
        <v>493</v>
      </c>
      <c r="F60" s="452" t="s">
        <v>338</v>
      </c>
      <c r="G60" s="456">
        <v>40317.964999999997</v>
      </c>
      <c r="H60" s="452" t="s">
        <v>128</v>
      </c>
      <c r="I60" s="452">
        <v>1</v>
      </c>
      <c r="J60" s="452">
        <v>1</v>
      </c>
      <c r="K60" s="476" t="s">
        <v>204</v>
      </c>
      <c r="L60" s="898" t="e">
        <f>VLOOKUP(Table134657[[#This Row],[Delivery]],#REF!,6,FALSE)</f>
        <v>#REF!</v>
      </c>
    </row>
    <row r="61" spans="1:14" s="44" customFormat="1" ht="15.6">
      <c r="A61" s="526" t="s">
        <v>495</v>
      </c>
      <c r="B61" s="524">
        <v>3331553847</v>
      </c>
      <c r="C61" s="525" t="s">
        <v>336</v>
      </c>
      <c r="D61" s="524">
        <v>24140755</v>
      </c>
      <c r="E61" s="524" t="s">
        <v>173</v>
      </c>
      <c r="F61" s="524" t="s">
        <v>338</v>
      </c>
      <c r="G61" s="900">
        <f>10552.5+23647.931+3580.312</f>
        <v>37780.742999999995</v>
      </c>
      <c r="H61" s="524" t="s">
        <v>128</v>
      </c>
      <c r="I61" s="524">
        <v>1</v>
      </c>
      <c r="J61" s="524">
        <v>0</v>
      </c>
      <c r="K61" s="527" t="s">
        <v>204</v>
      </c>
      <c r="L61" s="522" t="e">
        <f>VLOOKUP(Table134657[[#This Row],[Delivery]],#REF!,6,FALSE)</f>
        <v>#REF!</v>
      </c>
    </row>
    <row r="62" spans="1:14" s="44" customFormat="1" ht="15.6">
      <c r="A62" s="880" t="s">
        <v>495</v>
      </c>
      <c r="B62" s="452">
        <v>3331553850</v>
      </c>
      <c r="C62" s="592" t="s">
        <v>256</v>
      </c>
      <c r="D62" s="452" t="s">
        <v>256</v>
      </c>
      <c r="E62" s="452" t="s">
        <v>256</v>
      </c>
      <c r="F62" s="452" t="s">
        <v>256</v>
      </c>
      <c r="G62" s="456" t="s">
        <v>256</v>
      </c>
      <c r="H62" s="452" t="s">
        <v>256</v>
      </c>
      <c r="I62" s="452" t="s">
        <v>256</v>
      </c>
      <c r="J62" s="452" t="s">
        <v>256</v>
      </c>
      <c r="K62" s="476" t="s">
        <v>256</v>
      </c>
      <c r="L62" s="898" t="e">
        <f>VLOOKUP(Table134657[[#This Row],[Delivery]],#REF!,6,FALSE)</f>
        <v>#REF!</v>
      </c>
      <c r="N62" s="44" t="s">
        <v>500</v>
      </c>
    </row>
    <row r="63" spans="1:14" ht="15.6">
      <c r="A63" s="880" t="s">
        <v>495</v>
      </c>
      <c r="B63" s="452">
        <v>3331553852</v>
      </c>
      <c r="C63" s="592" t="s">
        <v>256</v>
      </c>
      <c r="D63" s="452" t="s">
        <v>256</v>
      </c>
      <c r="E63" s="452" t="s">
        <v>256</v>
      </c>
      <c r="F63" s="452" t="s">
        <v>256</v>
      </c>
      <c r="G63" s="456" t="s">
        <v>256</v>
      </c>
      <c r="H63" s="452" t="s">
        <v>256</v>
      </c>
      <c r="I63" s="452" t="s">
        <v>256</v>
      </c>
      <c r="J63" s="452" t="s">
        <v>256</v>
      </c>
      <c r="K63" s="476" t="s">
        <v>256</v>
      </c>
      <c r="L63" s="898" t="e">
        <f>VLOOKUP(Table134657[[#This Row],[Delivery]],#REF!,6,FALSE)</f>
        <v>#REF!</v>
      </c>
    </row>
    <row r="64" spans="1:14" ht="15.6">
      <c r="A64" s="880" t="s">
        <v>495</v>
      </c>
      <c r="B64" s="452">
        <v>3331553865</v>
      </c>
      <c r="C64" s="592" t="s">
        <v>206</v>
      </c>
      <c r="D64" s="452">
        <v>24140757</v>
      </c>
      <c r="E64" s="452" t="s">
        <v>226</v>
      </c>
      <c r="F64" s="452" t="s">
        <v>344</v>
      </c>
      <c r="G64" s="456">
        <v>34792.258999999998</v>
      </c>
      <c r="H64" s="490" t="s">
        <v>128</v>
      </c>
      <c r="I64" s="452">
        <v>1</v>
      </c>
      <c r="J64" s="452">
        <v>1</v>
      </c>
      <c r="K64" s="476" t="s">
        <v>204</v>
      </c>
      <c r="L64" s="898" t="e">
        <f>VLOOKUP(Table134657[[#This Row],[Delivery]],#REF!,6,FALSE)</f>
        <v>#REF!</v>
      </c>
    </row>
    <row r="65" spans="1:12" ht="15.6">
      <c r="A65" s="880" t="s">
        <v>495</v>
      </c>
      <c r="B65" s="452">
        <v>3331553867</v>
      </c>
      <c r="C65" s="592" t="s">
        <v>437</v>
      </c>
      <c r="D65" s="452">
        <v>24140758</v>
      </c>
      <c r="E65" s="452" t="s">
        <v>226</v>
      </c>
      <c r="F65" s="452" t="s">
        <v>344</v>
      </c>
      <c r="G65" s="456">
        <v>34792.258000000002</v>
      </c>
      <c r="H65" s="490" t="s">
        <v>128</v>
      </c>
      <c r="I65" s="452">
        <v>1</v>
      </c>
      <c r="J65" s="452">
        <v>1</v>
      </c>
      <c r="K65" s="476" t="s">
        <v>204</v>
      </c>
      <c r="L65" s="899" t="e">
        <f>VLOOKUP(Table134657[[#This Row],[Delivery]],#REF!,6,FALSE)</f>
        <v>#REF!</v>
      </c>
    </row>
    <row r="66" spans="1:12" ht="15.6">
      <c r="A66" s="880" t="s">
        <v>495</v>
      </c>
      <c r="B66" s="452">
        <v>3331553871</v>
      </c>
      <c r="C66" s="592" t="s">
        <v>437</v>
      </c>
      <c r="D66" s="452">
        <v>24140759</v>
      </c>
      <c r="E66" s="452" t="s">
        <v>226</v>
      </c>
      <c r="F66" s="452" t="s">
        <v>344</v>
      </c>
      <c r="G66" s="456">
        <v>34663.239000000001</v>
      </c>
      <c r="H66" s="490" t="s">
        <v>128</v>
      </c>
      <c r="I66" s="452">
        <v>1</v>
      </c>
      <c r="J66" s="452">
        <v>1</v>
      </c>
      <c r="K66" s="476" t="s">
        <v>204</v>
      </c>
      <c r="L66" s="898" t="e">
        <f>VLOOKUP(Table134657[[#This Row],[Delivery]],#REF!,6,FALSE)</f>
        <v>#REF!</v>
      </c>
    </row>
    <row r="67" spans="1:12" s="523" customFormat="1" ht="15.6">
      <c r="A67" s="880" t="s">
        <v>495</v>
      </c>
      <c r="B67" s="452">
        <v>3331553920</v>
      </c>
      <c r="C67" s="592" t="s">
        <v>27</v>
      </c>
      <c r="D67" s="452">
        <v>24140762</v>
      </c>
      <c r="E67" s="452" t="s">
        <v>226</v>
      </c>
      <c r="F67" s="452" t="s">
        <v>344</v>
      </c>
      <c r="G67" s="456">
        <v>33803.108999999997</v>
      </c>
      <c r="H67" s="452" t="s">
        <v>128</v>
      </c>
      <c r="I67" s="452">
        <v>1</v>
      </c>
      <c r="J67" s="452">
        <v>1</v>
      </c>
      <c r="K67" s="476" t="s">
        <v>204</v>
      </c>
      <c r="L67" s="898" t="e">
        <f>VLOOKUP(Table134657[[#This Row],[Delivery]],#REF!,6,FALSE)</f>
        <v>#REF!</v>
      </c>
    </row>
    <row r="68" spans="1:12" ht="15.6">
      <c r="A68" s="880" t="s">
        <v>495</v>
      </c>
      <c r="B68" s="524">
        <v>3331553939</v>
      </c>
      <c r="C68" s="525" t="s">
        <v>496</v>
      </c>
      <c r="D68" s="524">
        <v>24140768</v>
      </c>
      <c r="E68" s="524" t="s">
        <v>487</v>
      </c>
      <c r="F68" s="452" t="s">
        <v>338</v>
      </c>
      <c r="G68" s="456">
        <v>44892.75</v>
      </c>
      <c r="H68" s="452" t="s">
        <v>128</v>
      </c>
      <c r="I68" s="452">
        <v>1</v>
      </c>
      <c r="J68" s="452">
        <v>0</v>
      </c>
      <c r="K68" s="476" t="s">
        <v>204</v>
      </c>
      <c r="L68" s="898" t="e">
        <f>VLOOKUP(Table134657[[#This Row],[Delivery]],#REF!,6,FALSE)</f>
        <v>#REF!</v>
      </c>
    </row>
    <row r="69" spans="1:12" ht="15.6">
      <c r="A69" s="526" t="s">
        <v>495</v>
      </c>
      <c r="B69" s="524">
        <v>3331553928</v>
      </c>
      <c r="C69" s="525" t="s">
        <v>437</v>
      </c>
      <c r="D69" s="524">
        <v>24140767</v>
      </c>
      <c r="E69" s="524" t="s">
        <v>501</v>
      </c>
      <c r="F69" s="524" t="s">
        <v>338</v>
      </c>
      <c r="G69" s="900">
        <f>11683.125+30783.6</f>
        <v>42466.724999999999</v>
      </c>
      <c r="H69" s="524" t="s">
        <v>128</v>
      </c>
      <c r="I69" s="524">
        <v>1</v>
      </c>
      <c r="J69" s="524">
        <v>0</v>
      </c>
      <c r="K69" s="527" t="s">
        <v>204</v>
      </c>
      <c r="L69" s="522" t="e">
        <f>VLOOKUP(Table134657[[#This Row],[Delivery]],#REF!,6,FALSE)</f>
        <v>#REF!</v>
      </c>
    </row>
    <row r="70" spans="1:12" ht="15.6">
      <c r="A70" s="880" t="s">
        <v>495</v>
      </c>
      <c r="B70" s="524">
        <v>3331553929</v>
      </c>
      <c r="C70" s="525" t="s">
        <v>256</v>
      </c>
      <c r="D70" s="524" t="s">
        <v>256</v>
      </c>
      <c r="E70" s="524" t="s">
        <v>256</v>
      </c>
      <c r="F70" s="452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 t="s">
        <v>256</v>
      </c>
      <c r="L70" s="898" t="e">
        <f>VLOOKUP(Table134657[[#This Row],[Delivery]],#REF!,6,FALSE)</f>
        <v>#REF!</v>
      </c>
    </row>
    <row r="71" spans="1:12" ht="15.6">
      <c r="A71" s="526" t="s">
        <v>495</v>
      </c>
      <c r="B71" s="524">
        <v>3331553957</v>
      </c>
      <c r="C71" s="525" t="s">
        <v>206</v>
      </c>
      <c r="D71" s="524">
        <v>24140771</v>
      </c>
      <c r="E71" s="524" t="s">
        <v>502</v>
      </c>
      <c r="F71" s="524" t="s">
        <v>338</v>
      </c>
      <c r="G71" s="900">
        <v>35774.29</v>
      </c>
      <c r="H71" s="528" t="s">
        <v>128</v>
      </c>
      <c r="I71" s="524">
        <v>1</v>
      </c>
      <c r="J71" s="524">
        <v>0</v>
      </c>
      <c r="K71" s="527" t="s">
        <v>204</v>
      </c>
      <c r="L71" s="898" t="e">
        <f>VLOOKUP(Table134657[[#This Row],[Delivery]],#REF!,6,FALSE)</f>
        <v>#REF!</v>
      </c>
    </row>
    <row r="72" spans="1:12" ht="15.6">
      <c r="A72" s="880" t="s">
        <v>495</v>
      </c>
      <c r="B72" s="452">
        <v>3331553959</v>
      </c>
      <c r="C72" s="592" t="s">
        <v>503</v>
      </c>
      <c r="D72" s="452">
        <v>24140773</v>
      </c>
      <c r="E72" s="452" t="s">
        <v>444</v>
      </c>
      <c r="F72" s="452" t="s">
        <v>434</v>
      </c>
      <c r="G72" s="456">
        <f>25375.748+1413.281</f>
        <v>26789.028999999999</v>
      </c>
      <c r="H72" s="452" t="s">
        <v>200</v>
      </c>
      <c r="I72" s="452">
        <v>1</v>
      </c>
      <c r="J72" s="452">
        <v>1</v>
      </c>
      <c r="K72" s="476" t="s">
        <v>204</v>
      </c>
      <c r="L72" s="898"/>
    </row>
    <row r="73" spans="1:12" ht="15.6">
      <c r="A73" s="880" t="s">
        <v>495</v>
      </c>
      <c r="B73" s="452">
        <v>3331553960</v>
      </c>
      <c r="C73" s="592" t="s">
        <v>503</v>
      </c>
      <c r="D73" s="452" t="s">
        <v>256</v>
      </c>
      <c r="E73" s="452" t="s">
        <v>256</v>
      </c>
      <c r="F73" s="452" t="s">
        <v>256</v>
      </c>
      <c r="G73" s="456" t="s">
        <v>256</v>
      </c>
      <c r="H73" s="452" t="s">
        <v>256</v>
      </c>
      <c r="I73" s="452" t="s">
        <v>256</v>
      </c>
      <c r="J73" s="452" t="s">
        <v>256</v>
      </c>
      <c r="K73" s="476" t="s">
        <v>256</v>
      </c>
      <c r="L73" s="898"/>
    </row>
    <row r="74" spans="1:12" ht="15.6">
      <c r="A74" s="526" t="s">
        <v>495</v>
      </c>
      <c r="B74" s="524">
        <v>3331553964</v>
      </c>
      <c r="C74" s="525" t="s">
        <v>27</v>
      </c>
      <c r="D74" s="524">
        <v>24140774</v>
      </c>
      <c r="E74" s="524" t="s">
        <v>224</v>
      </c>
      <c r="F74" s="524" t="s">
        <v>344</v>
      </c>
      <c r="G74" s="900">
        <v>33818.080999999998</v>
      </c>
      <c r="H74" s="524" t="s">
        <v>128</v>
      </c>
      <c r="I74" s="524">
        <v>1</v>
      </c>
      <c r="J74" s="524">
        <v>1</v>
      </c>
      <c r="K74" s="527" t="s">
        <v>204</v>
      </c>
      <c r="L74" s="898"/>
    </row>
    <row r="75" spans="1:12" ht="15.6">
      <c r="A75" s="880" t="s">
        <v>495</v>
      </c>
      <c r="B75" s="452">
        <v>3331553967</v>
      </c>
      <c r="C75" s="592" t="s">
        <v>287</v>
      </c>
      <c r="D75" s="452">
        <v>24140775</v>
      </c>
      <c r="E75" s="452" t="s">
        <v>95</v>
      </c>
      <c r="F75" s="452" t="s">
        <v>199</v>
      </c>
      <c r="G75" s="456">
        <f>14660.44+4278.015+4899.384</f>
        <v>23837.839</v>
      </c>
      <c r="H75" s="452" t="s">
        <v>200</v>
      </c>
      <c r="I75" s="452">
        <v>1</v>
      </c>
      <c r="J75" s="452">
        <v>1</v>
      </c>
      <c r="K75" s="476" t="s">
        <v>204</v>
      </c>
      <c r="L75" s="898"/>
    </row>
    <row r="76" spans="1:12" ht="15.6">
      <c r="A76" s="880" t="s">
        <v>495</v>
      </c>
      <c r="B76" s="452">
        <v>3331553971</v>
      </c>
      <c r="C76" s="592" t="s">
        <v>256</v>
      </c>
      <c r="D76" s="452" t="s">
        <v>256</v>
      </c>
      <c r="E76" s="452" t="s">
        <v>256</v>
      </c>
      <c r="F76" s="452" t="s">
        <v>256</v>
      </c>
      <c r="G76" s="456" t="s">
        <v>256</v>
      </c>
      <c r="H76" s="452" t="s">
        <v>256</v>
      </c>
      <c r="I76" s="452" t="s">
        <v>256</v>
      </c>
      <c r="J76" s="452" t="s">
        <v>256</v>
      </c>
      <c r="K76" s="476" t="s">
        <v>256</v>
      </c>
      <c r="L76" s="898"/>
    </row>
    <row r="77" spans="1:12" ht="15.6">
      <c r="A77" s="880" t="s">
        <v>495</v>
      </c>
      <c r="B77" s="452">
        <v>3331553863</v>
      </c>
      <c r="C77" s="592" t="s">
        <v>256</v>
      </c>
      <c r="D77" s="452" t="s">
        <v>256</v>
      </c>
      <c r="E77" s="452" t="s">
        <v>256</v>
      </c>
      <c r="F77" s="452" t="s">
        <v>256</v>
      </c>
      <c r="G77" s="456" t="s">
        <v>256</v>
      </c>
      <c r="H77" s="452" t="s">
        <v>256</v>
      </c>
      <c r="I77" s="452" t="s">
        <v>256</v>
      </c>
      <c r="J77" s="452" t="s">
        <v>256</v>
      </c>
      <c r="K77" s="476" t="s">
        <v>256</v>
      </c>
      <c r="L77" s="898"/>
    </row>
    <row r="78" spans="1:12" ht="15.6">
      <c r="A78" s="880" t="s">
        <v>495</v>
      </c>
      <c r="B78" s="493">
        <v>3331553991</v>
      </c>
      <c r="C78" s="884" t="s">
        <v>11</v>
      </c>
      <c r="D78" s="493">
        <v>24140783</v>
      </c>
      <c r="E78" s="493" t="s">
        <v>290</v>
      </c>
      <c r="F78" s="452" t="s">
        <v>340</v>
      </c>
      <c r="G78" s="456">
        <v>23692.552</v>
      </c>
      <c r="H78" s="452" t="s">
        <v>200</v>
      </c>
      <c r="I78" s="452">
        <v>1</v>
      </c>
      <c r="J78" s="452">
        <v>1</v>
      </c>
      <c r="K78" s="476" t="s">
        <v>204</v>
      </c>
      <c r="L78" s="898" t="e">
        <f>VLOOKUP(Table134657[[#This Row],[Delivery]],#REF!,6,FALSE)</f>
        <v>#REF!</v>
      </c>
    </row>
    <row r="79" spans="1:12" ht="15.6">
      <c r="A79" s="526" t="s">
        <v>495</v>
      </c>
      <c r="B79" s="524">
        <v>3331553992</v>
      </c>
      <c r="C79" s="525" t="s">
        <v>287</v>
      </c>
      <c r="D79" s="524">
        <v>24140784</v>
      </c>
      <c r="E79" s="524" t="s">
        <v>290</v>
      </c>
      <c r="F79" s="524" t="s">
        <v>340</v>
      </c>
      <c r="G79" s="900">
        <v>27562.446</v>
      </c>
      <c r="H79" s="524" t="s">
        <v>200</v>
      </c>
      <c r="I79" s="524">
        <v>1</v>
      </c>
      <c r="J79" s="524">
        <v>1</v>
      </c>
      <c r="K79" s="527" t="s">
        <v>204</v>
      </c>
      <c r="L79" s="898"/>
    </row>
    <row r="80" spans="1:12" ht="15.6">
      <c r="A80" s="880" t="s">
        <v>504</v>
      </c>
      <c r="B80" s="524">
        <v>3331553596</v>
      </c>
      <c r="C80" s="525" t="s">
        <v>287</v>
      </c>
      <c r="D80" s="452">
        <v>24140738</v>
      </c>
      <c r="E80" s="452" t="s">
        <v>224</v>
      </c>
      <c r="F80" s="452" t="s">
        <v>344</v>
      </c>
      <c r="G80" s="456">
        <v>34987.207999999999</v>
      </c>
      <c r="H80" s="452" t="s">
        <v>128</v>
      </c>
      <c r="I80" s="452">
        <v>1</v>
      </c>
      <c r="J80" s="452">
        <v>1</v>
      </c>
      <c r="K80" s="476" t="s">
        <v>204</v>
      </c>
      <c r="L80" s="899" t="e">
        <f>VLOOKUP(Table134657[[#This Row],[Delivery]],#REF!,6,FALSE)</f>
        <v>#REF!</v>
      </c>
    </row>
    <row r="81" spans="1:12" ht="15.6">
      <c r="A81" s="880" t="s">
        <v>504</v>
      </c>
      <c r="B81" s="452">
        <v>3331553602</v>
      </c>
      <c r="C81" s="592" t="s">
        <v>505</v>
      </c>
      <c r="D81" s="452">
        <v>24140739</v>
      </c>
      <c r="E81" s="452" t="s">
        <v>224</v>
      </c>
      <c r="F81" s="452" t="s">
        <v>344</v>
      </c>
      <c r="G81" s="456">
        <v>35420.218000000001</v>
      </c>
      <c r="H81" s="452" t="s">
        <v>128</v>
      </c>
      <c r="I81" s="452">
        <v>1</v>
      </c>
      <c r="J81" s="452">
        <v>1</v>
      </c>
      <c r="K81" s="476" t="s">
        <v>204</v>
      </c>
      <c r="L81" s="899" t="e">
        <f>VLOOKUP(Table134657[[#This Row],[Delivery]],#REF!,6,FALSE)</f>
        <v>#REF!</v>
      </c>
    </row>
    <row r="82" spans="1:12" ht="15.6">
      <c r="A82" s="880" t="s">
        <v>504</v>
      </c>
      <c r="B82" s="452">
        <v>3331553632</v>
      </c>
      <c r="C82" s="592" t="s">
        <v>505</v>
      </c>
      <c r="D82" s="452">
        <v>24140740</v>
      </c>
      <c r="E82" s="452" t="s">
        <v>224</v>
      </c>
      <c r="F82" s="452" t="s">
        <v>344</v>
      </c>
      <c r="G82" s="456">
        <v>34164.489000000001</v>
      </c>
      <c r="H82" s="452" t="s">
        <v>128</v>
      </c>
      <c r="I82" s="452">
        <v>1</v>
      </c>
      <c r="J82" s="452">
        <v>1</v>
      </c>
      <c r="K82" s="476" t="s">
        <v>204</v>
      </c>
      <c r="L82" s="899" t="e">
        <f>VLOOKUP(Table134657[[#This Row],[Delivery]],#REF!,6,FALSE)</f>
        <v>#REF!</v>
      </c>
    </row>
    <row r="83" spans="1:12" ht="15.6">
      <c r="A83" s="880" t="s">
        <v>504</v>
      </c>
      <c r="B83" s="452">
        <v>3331553799</v>
      </c>
      <c r="C83" s="592" t="s">
        <v>287</v>
      </c>
      <c r="D83" s="452">
        <v>24140741</v>
      </c>
      <c r="E83" s="452" t="s">
        <v>224</v>
      </c>
      <c r="F83" s="452" t="s">
        <v>344</v>
      </c>
      <c r="G83" s="456">
        <v>35939.83</v>
      </c>
      <c r="H83" s="452" t="s">
        <v>200</v>
      </c>
      <c r="I83" s="452">
        <v>1</v>
      </c>
      <c r="J83" s="452">
        <v>1</v>
      </c>
      <c r="K83" s="476" t="s">
        <v>204</v>
      </c>
      <c r="L83" s="898" t="e">
        <f>VLOOKUP(Table134657[[#This Row],[Delivery]],#REF!,6,FALSE)</f>
        <v>#REF!</v>
      </c>
    </row>
    <row r="84" spans="1:12" ht="15.6">
      <c r="A84" s="880" t="s">
        <v>504</v>
      </c>
      <c r="B84" s="452">
        <v>3331553899</v>
      </c>
      <c r="C84" s="592" t="s">
        <v>287</v>
      </c>
      <c r="D84" s="452">
        <v>24140760</v>
      </c>
      <c r="E84" s="452" t="s">
        <v>224</v>
      </c>
      <c r="F84" s="452" t="s">
        <v>344</v>
      </c>
      <c r="G84" s="456">
        <v>24724.870999999999</v>
      </c>
      <c r="H84" s="452" t="s">
        <v>200</v>
      </c>
      <c r="I84" s="452">
        <v>1</v>
      </c>
      <c r="J84" s="452">
        <v>1</v>
      </c>
      <c r="K84" s="476" t="s">
        <v>204</v>
      </c>
      <c r="L84" s="898" t="e">
        <f>VLOOKUP(Table134657[[#This Row],[Delivery]],#REF!,6,FALSE)</f>
        <v>#REF!</v>
      </c>
    </row>
    <row r="85" spans="1:12" s="523" customFormat="1" ht="15.6">
      <c r="A85" s="880" t="s">
        <v>504</v>
      </c>
      <c r="B85" s="452">
        <v>3331553906</v>
      </c>
      <c r="C85" s="592" t="s">
        <v>27</v>
      </c>
      <c r="D85" s="452">
        <v>24140761</v>
      </c>
      <c r="E85" s="452" t="s">
        <v>224</v>
      </c>
      <c r="F85" s="452" t="s">
        <v>344</v>
      </c>
      <c r="G85" s="456">
        <v>25807.396000000001</v>
      </c>
      <c r="H85" s="452" t="s">
        <v>200</v>
      </c>
      <c r="I85" s="452">
        <v>1</v>
      </c>
      <c r="J85" s="452">
        <v>1</v>
      </c>
      <c r="K85" s="476" t="s">
        <v>204</v>
      </c>
      <c r="L85" s="898" t="e">
        <f>VLOOKUP(Table134657[[#This Row],[Delivery]],#REF!,6,FALSE)</f>
        <v>#REF!</v>
      </c>
    </row>
    <row r="86" spans="1:12" ht="15.6">
      <c r="A86" s="880" t="s">
        <v>506</v>
      </c>
      <c r="B86" s="452">
        <v>3331553813</v>
      </c>
      <c r="C86" s="592" t="s">
        <v>287</v>
      </c>
      <c r="D86" s="452">
        <v>24140748</v>
      </c>
      <c r="E86" s="452" t="s">
        <v>490</v>
      </c>
      <c r="F86" s="452" t="s">
        <v>340</v>
      </c>
      <c r="G86" s="456">
        <v>23089.873</v>
      </c>
      <c r="H86" s="452" t="s">
        <v>200</v>
      </c>
      <c r="I86" s="452">
        <v>1</v>
      </c>
      <c r="J86" s="452">
        <v>1</v>
      </c>
      <c r="K86" s="476" t="s">
        <v>204</v>
      </c>
      <c r="L86" s="898" t="e">
        <f>VLOOKUP(Table134657[[#This Row],[Delivery]],#REF!,6,FALSE)</f>
        <v>#REF!</v>
      </c>
    </row>
    <row r="87" spans="1:12" ht="15.6">
      <c r="A87" s="880" t="s">
        <v>506</v>
      </c>
      <c r="B87" s="452">
        <v>3331553918</v>
      </c>
      <c r="C87" s="592" t="s">
        <v>287</v>
      </c>
      <c r="D87" s="452">
        <v>24140763</v>
      </c>
      <c r="E87" s="452" t="s">
        <v>224</v>
      </c>
      <c r="F87" s="452" t="s">
        <v>344</v>
      </c>
      <c r="G87" s="456">
        <v>25590.891</v>
      </c>
      <c r="H87" s="452" t="s">
        <v>200</v>
      </c>
      <c r="I87" s="452">
        <v>1</v>
      </c>
      <c r="J87" s="452">
        <v>1</v>
      </c>
      <c r="K87" s="476" t="s">
        <v>204</v>
      </c>
      <c r="L87" s="898" t="e">
        <f>VLOOKUP(Table134657[[#This Row],[Delivery]],#REF!,6,FALSE)</f>
        <v>#REF!</v>
      </c>
    </row>
    <row r="88" spans="1:12" ht="15.6">
      <c r="A88" s="526" t="s">
        <v>506</v>
      </c>
      <c r="B88" s="524">
        <v>3331553571</v>
      </c>
      <c r="C88" s="525" t="s">
        <v>27</v>
      </c>
      <c r="D88" s="524">
        <v>24140772</v>
      </c>
      <c r="E88" s="524" t="s">
        <v>224</v>
      </c>
      <c r="F88" s="524" t="s">
        <v>344</v>
      </c>
      <c r="G88" s="900">
        <f>6495.15+19354.434</f>
        <v>25849.584000000003</v>
      </c>
      <c r="H88" s="524" t="s">
        <v>200</v>
      </c>
      <c r="I88" s="524">
        <v>1</v>
      </c>
      <c r="J88" s="524">
        <v>0</v>
      </c>
      <c r="K88" s="527" t="s">
        <v>204</v>
      </c>
      <c r="L88" s="899" t="e">
        <f>VLOOKUP(Table134657[[#This Row],[Delivery]],#REF!,6,FALSE)</f>
        <v>#REF!</v>
      </c>
    </row>
    <row r="89" spans="1:12" ht="15.6">
      <c r="A89" s="526" t="s">
        <v>506</v>
      </c>
      <c r="B89" s="524">
        <v>3331553958</v>
      </c>
      <c r="C89" s="525" t="s">
        <v>256</v>
      </c>
      <c r="D89" s="524" t="s">
        <v>256</v>
      </c>
      <c r="E89" s="524" t="s">
        <v>256</v>
      </c>
      <c r="F89" s="524" t="s">
        <v>256</v>
      </c>
      <c r="G89" s="900" t="s">
        <v>256</v>
      </c>
      <c r="H89" s="524" t="s">
        <v>256</v>
      </c>
      <c r="I89" s="524" t="s">
        <v>256</v>
      </c>
      <c r="J89" s="524" t="s">
        <v>256</v>
      </c>
      <c r="K89" s="527" t="s">
        <v>256</v>
      </c>
      <c r="L89" s="898"/>
    </row>
    <row r="90" spans="1:12" ht="15.6">
      <c r="A90" s="526" t="s">
        <v>506</v>
      </c>
      <c r="B90" s="524">
        <v>3331553966</v>
      </c>
      <c r="C90" s="525" t="s">
        <v>11</v>
      </c>
      <c r="D90" s="524">
        <v>24140776</v>
      </c>
      <c r="E90" s="524" t="s">
        <v>179</v>
      </c>
      <c r="F90" s="524" t="s">
        <v>340</v>
      </c>
      <c r="G90" s="900">
        <v>24392.485000000001</v>
      </c>
      <c r="H90" s="524" t="s">
        <v>200</v>
      </c>
      <c r="I90" s="524">
        <v>1</v>
      </c>
      <c r="J90" s="524">
        <v>1</v>
      </c>
      <c r="K90" s="527" t="s">
        <v>204</v>
      </c>
      <c r="L90" s="522" t="e">
        <f>VLOOKUP(Table134657[[#This Row],[Delivery]],#REF!,6,FALSE)</f>
        <v>#REF!</v>
      </c>
    </row>
    <row r="91" spans="1:12" ht="15.6">
      <c r="A91" s="880" t="s">
        <v>506</v>
      </c>
      <c r="B91" s="524">
        <v>3331553970</v>
      </c>
      <c r="C91" s="525" t="s">
        <v>34</v>
      </c>
      <c r="D91" s="524">
        <v>24140777</v>
      </c>
      <c r="E91" s="524" t="s">
        <v>179</v>
      </c>
      <c r="F91" s="452" t="s">
        <v>340</v>
      </c>
      <c r="G91" s="456">
        <v>23008.227999999999</v>
      </c>
      <c r="H91" s="490" t="s">
        <v>200</v>
      </c>
      <c r="I91" s="452">
        <v>1</v>
      </c>
      <c r="J91" s="452">
        <v>1</v>
      </c>
      <c r="K91" s="476" t="s">
        <v>204</v>
      </c>
      <c r="L91" s="898"/>
    </row>
    <row r="92" spans="1:12" s="108" customFormat="1" ht="15.6">
      <c r="A92" s="880" t="s">
        <v>506</v>
      </c>
      <c r="B92" s="524">
        <v>3331553975</v>
      </c>
      <c r="C92" s="525" t="s">
        <v>34</v>
      </c>
      <c r="D92" s="524">
        <v>24140778</v>
      </c>
      <c r="E92" s="524" t="s">
        <v>179</v>
      </c>
      <c r="F92" s="452" t="s">
        <v>340</v>
      </c>
      <c r="G92" s="456">
        <v>24427.690999999999</v>
      </c>
      <c r="H92" s="490" t="s">
        <v>200</v>
      </c>
      <c r="I92" s="452">
        <v>1</v>
      </c>
      <c r="J92" s="452">
        <v>1</v>
      </c>
      <c r="K92" s="476" t="s">
        <v>204</v>
      </c>
      <c r="L92" s="898"/>
    </row>
    <row r="93" spans="1:12" ht="15.6">
      <c r="A93" s="880" t="s">
        <v>506</v>
      </c>
      <c r="B93" s="524">
        <v>3331553979</v>
      </c>
      <c r="C93" s="525" t="s">
        <v>34</v>
      </c>
      <c r="D93" s="524">
        <v>24140779</v>
      </c>
      <c r="E93" s="524" t="s">
        <v>179</v>
      </c>
      <c r="F93" s="452" t="s">
        <v>340</v>
      </c>
      <c r="G93" s="456">
        <v>24644.987000000001</v>
      </c>
      <c r="H93" s="490" t="s">
        <v>200</v>
      </c>
      <c r="I93" s="452">
        <v>1</v>
      </c>
      <c r="J93" s="452">
        <v>1</v>
      </c>
      <c r="K93" s="476" t="s">
        <v>204</v>
      </c>
      <c r="L93" s="898"/>
    </row>
    <row r="94" spans="1:12" ht="15.6">
      <c r="A94" s="526" t="s">
        <v>506</v>
      </c>
      <c r="B94" s="452">
        <v>3331553993</v>
      </c>
      <c r="C94" s="592" t="s">
        <v>287</v>
      </c>
      <c r="D94" s="452">
        <v>24140797</v>
      </c>
      <c r="E94" s="524" t="s">
        <v>179</v>
      </c>
      <c r="F94" s="524" t="s">
        <v>340</v>
      </c>
      <c r="G94" s="456">
        <v>24428</v>
      </c>
      <c r="H94" s="524" t="s">
        <v>200</v>
      </c>
      <c r="I94" s="452">
        <v>1</v>
      </c>
      <c r="J94" s="452">
        <v>1</v>
      </c>
      <c r="K94" s="527" t="s">
        <v>204</v>
      </c>
      <c r="L94" s="899"/>
    </row>
    <row r="95" spans="1:12" ht="15.6">
      <c r="A95" s="526" t="s">
        <v>506</v>
      </c>
      <c r="B95" s="452">
        <v>3331554014</v>
      </c>
      <c r="C95" s="592" t="s">
        <v>336</v>
      </c>
      <c r="D95" s="452">
        <v>24140785</v>
      </c>
      <c r="E95" s="452" t="s">
        <v>507</v>
      </c>
      <c r="F95" s="452" t="s">
        <v>205</v>
      </c>
      <c r="G95" s="456"/>
      <c r="H95" s="452" t="s">
        <v>200</v>
      </c>
      <c r="I95" s="452"/>
      <c r="J95" s="452"/>
      <c r="K95" s="476" t="s">
        <v>204</v>
      </c>
      <c r="L95" s="899"/>
    </row>
    <row r="96" spans="1:12" s="523" customFormat="1" ht="15.6">
      <c r="A96" s="880" t="s">
        <v>508</v>
      </c>
      <c r="B96" s="452">
        <v>3331553930</v>
      </c>
      <c r="C96" s="592" t="s">
        <v>11</v>
      </c>
      <c r="D96" s="452">
        <v>24140764</v>
      </c>
      <c r="E96" s="452" t="s">
        <v>165</v>
      </c>
      <c r="F96" s="452" t="s">
        <v>340</v>
      </c>
      <c r="G96" s="456">
        <v>25417.687000000002</v>
      </c>
      <c r="H96" s="452" t="s">
        <v>200</v>
      </c>
      <c r="I96" s="452">
        <v>1</v>
      </c>
      <c r="J96" s="452">
        <v>1</v>
      </c>
      <c r="K96" s="476" t="s">
        <v>204</v>
      </c>
      <c r="L96" s="898" t="e">
        <f>VLOOKUP(Table134657[[#This Row],[Delivery]],#REF!,6,FALSE)</f>
        <v>#REF!</v>
      </c>
    </row>
    <row r="97" spans="1:12" ht="15.6">
      <c r="A97" s="880" t="s">
        <v>508</v>
      </c>
      <c r="B97" s="452">
        <v>3331553933</v>
      </c>
      <c r="C97" s="592" t="s">
        <v>27</v>
      </c>
      <c r="D97" s="452">
        <v>24140765</v>
      </c>
      <c r="E97" s="452" t="s">
        <v>165</v>
      </c>
      <c r="F97" s="452" t="s">
        <v>340</v>
      </c>
      <c r="G97" s="456">
        <v>25421.715</v>
      </c>
      <c r="H97" s="452" t="s">
        <v>200</v>
      </c>
      <c r="I97" s="452">
        <v>1</v>
      </c>
      <c r="J97" s="452">
        <v>1</v>
      </c>
      <c r="K97" s="476" t="s">
        <v>204</v>
      </c>
      <c r="L97" s="898" t="e">
        <f>VLOOKUP(Table134657[[#This Row],[Delivery]],#REF!,6,FALSE)</f>
        <v>#REF!</v>
      </c>
    </row>
    <row r="98" spans="1:12" ht="15.6">
      <c r="A98" s="880" t="s">
        <v>508</v>
      </c>
      <c r="B98" s="452">
        <v>3331553936</v>
      </c>
      <c r="C98" s="592" t="s">
        <v>27</v>
      </c>
      <c r="D98" s="452">
        <v>24140766</v>
      </c>
      <c r="E98" s="452" t="s">
        <v>165</v>
      </c>
      <c r="F98" s="452" t="s">
        <v>340</v>
      </c>
      <c r="G98" s="456">
        <v>23896.11</v>
      </c>
      <c r="H98" s="452" t="s">
        <v>200</v>
      </c>
      <c r="I98" s="452">
        <v>1</v>
      </c>
      <c r="J98" s="452">
        <v>1</v>
      </c>
      <c r="K98" s="476" t="s">
        <v>204</v>
      </c>
      <c r="L98" s="898" t="e">
        <f>VLOOKUP(Table134657[[#This Row],[Delivery]],#REF!,6,FALSE)</f>
        <v>#REF!</v>
      </c>
    </row>
    <row r="99" spans="1:12" ht="15.6">
      <c r="A99" s="526" t="s">
        <v>508</v>
      </c>
      <c r="B99" s="524">
        <v>3331553948</v>
      </c>
      <c r="C99" s="525" t="s">
        <v>27</v>
      </c>
      <c r="D99" s="524">
        <v>24140769</v>
      </c>
      <c r="E99" s="524" t="s">
        <v>165</v>
      </c>
      <c r="F99" s="524" t="s">
        <v>340</v>
      </c>
      <c r="G99" s="456">
        <v>24984.677</v>
      </c>
      <c r="H99" s="490" t="s">
        <v>200</v>
      </c>
      <c r="I99" s="452">
        <v>1</v>
      </c>
      <c r="J99" s="452">
        <v>1</v>
      </c>
      <c r="K99" s="476" t="s">
        <v>204</v>
      </c>
      <c r="L99" s="898" t="e">
        <f>VLOOKUP(Table134657[[#This Row],[Delivery]],#REF!,6,FALSE)</f>
        <v>#REF!</v>
      </c>
    </row>
    <row r="100" spans="1:12" ht="15.6">
      <c r="A100" s="880" t="s">
        <v>508</v>
      </c>
      <c r="B100" s="493">
        <v>3331553956</v>
      </c>
      <c r="C100" s="884" t="s">
        <v>27</v>
      </c>
      <c r="D100" s="493">
        <v>24140770</v>
      </c>
      <c r="E100" s="493" t="s">
        <v>165</v>
      </c>
      <c r="F100" s="452" t="s">
        <v>340</v>
      </c>
      <c r="G100" s="456">
        <v>24778.241999999998</v>
      </c>
      <c r="H100" s="490" t="s">
        <v>200</v>
      </c>
      <c r="I100" s="452">
        <v>1</v>
      </c>
      <c r="J100" s="452">
        <v>1</v>
      </c>
      <c r="K100" s="476" t="s">
        <v>204</v>
      </c>
      <c r="L100" s="898" t="e">
        <f>VLOOKUP(Table134657[[#This Row],[Delivery]],#REF!,6,FALSE)</f>
        <v>#REF!</v>
      </c>
    </row>
    <row r="101" spans="1:12" ht="15.6">
      <c r="A101" s="880" t="s">
        <v>508</v>
      </c>
      <c r="B101" s="493">
        <v>3331553981</v>
      </c>
      <c r="C101" s="884" t="s">
        <v>27</v>
      </c>
      <c r="D101" s="493">
        <v>24140780</v>
      </c>
      <c r="E101" s="493" t="s">
        <v>179</v>
      </c>
      <c r="F101" s="452" t="s">
        <v>340</v>
      </c>
      <c r="G101" s="456">
        <v>24561.49</v>
      </c>
      <c r="H101" s="490" t="s">
        <v>200</v>
      </c>
      <c r="I101" s="452">
        <v>1</v>
      </c>
      <c r="J101" s="452">
        <v>1</v>
      </c>
      <c r="K101" s="476" t="s">
        <v>204</v>
      </c>
      <c r="L101" s="898"/>
    </row>
    <row r="102" spans="1:12" s="108" customFormat="1" ht="15.6">
      <c r="A102" s="526" t="s">
        <v>508</v>
      </c>
      <c r="B102" s="524">
        <v>3331553986</v>
      </c>
      <c r="C102" s="525" t="s">
        <v>34</v>
      </c>
      <c r="D102" s="524">
        <v>24140781</v>
      </c>
      <c r="E102" s="524" t="s">
        <v>179</v>
      </c>
      <c r="F102" s="524" t="s">
        <v>340</v>
      </c>
      <c r="G102" s="900">
        <v>24217.437999999998</v>
      </c>
      <c r="H102" s="528" t="s">
        <v>200</v>
      </c>
      <c r="I102" s="524">
        <v>1</v>
      </c>
      <c r="J102" s="524">
        <v>1</v>
      </c>
      <c r="K102" s="527" t="s">
        <v>204</v>
      </c>
      <c r="L102" s="898"/>
    </row>
    <row r="103" spans="1:12" s="108" customFormat="1" ht="15.6">
      <c r="A103" s="880" t="s">
        <v>508</v>
      </c>
      <c r="B103" s="493">
        <v>3331553989</v>
      </c>
      <c r="C103" s="884" t="s">
        <v>34</v>
      </c>
      <c r="D103" s="493">
        <v>24140782</v>
      </c>
      <c r="E103" s="493" t="s">
        <v>179</v>
      </c>
      <c r="F103" s="452" t="s">
        <v>340</v>
      </c>
      <c r="G103" s="456">
        <v>24217.437999999998</v>
      </c>
      <c r="H103" s="490" t="s">
        <v>200</v>
      </c>
      <c r="I103" s="452">
        <v>1</v>
      </c>
      <c r="J103" s="452">
        <v>1</v>
      </c>
      <c r="K103" s="476" t="s">
        <v>204</v>
      </c>
      <c r="L103" s="899"/>
    </row>
    <row r="104" spans="1:12" ht="15.6">
      <c r="A104" s="880" t="s">
        <v>355</v>
      </c>
      <c r="B104" s="452">
        <v>3331553788</v>
      </c>
      <c r="C104" s="592" t="s">
        <v>34</v>
      </c>
      <c r="D104" s="452">
        <v>24140734</v>
      </c>
      <c r="E104" s="452" t="s">
        <v>366</v>
      </c>
      <c r="F104" s="452" t="s">
        <v>340</v>
      </c>
      <c r="G104" s="456">
        <v>24941.376</v>
      </c>
      <c r="H104" s="452" t="s">
        <v>200</v>
      </c>
      <c r="I104" s="452">
        <v>1</v>
      </c>
      <c r="J104" s="452">
        <v>1</v>
      </c>
      <c r="K104" s="476" t="s">
        <v>204</v>
      </c>
      <c r="L104" s="898" t="e">
        <f>VLOOKUP(Table134657[[#This Row],[Delivery]],#REF!,6,FALSE)</f>
        <v>#REF!</v>
      </c>
    </row>
    <row r="105" spans="1:12" ht="15.6">
      <c r="A105" s="880" t="s">
        <v>355</v>
      </c>
      <c r="B105" s="452">
        <v>3331553864</v>
      </c>
      <c r="C105" s="592" t="s">
        <v>206</v>
      </c>
      <c r="D105" s="452">
        <v>24140756</v>
      </c>
      <c r="E105" s="452" t="s">
        <v>226</v>
      </c>
      <c r="F105" s="452" t="s">
        <v>344</v>
      </c>
      <c r="G105" s="456">
        <v>34792.258000000002</v>
      </c>
      <c r="H105" s="452" t="s">
        <v>128</v>
      </c>
      <c r="I105" s="452">
        <v>1</v>
      </c>
      <c r="J105" s="452">
        <v>1</v>
      </c>
      <c r="K105" s="476" t="s">
        <v>204</v>
      </c>
      <c r="L105" s="898" t="e">
        <f>VLOOKUP(Table134657[[#This Row],[Delivery]],#REF!,6,FALSE)</f>
        <v>#REF!</v>
      </c>
    </row>
    <row r="106" spans="1:12" s="108" customFormat="1" ht="15.6">
      <c r="A106" s="901"/>
      <c r="B106" s="519"/>
      <c r="C106" s="902"/>
      <c r="D106" s="519"/>
      <c r="E106" s="519"/>
      <c r="F106" s="519"/>
      <c r="G106" s="520"/>
      <c r="H106" s="519"/>
      <c r="I106" s="519"/>
      <c r="J106" s="519"/>
      <c r="K106" s="521"/>
      <c r="L106" s="898" t="e">
        <f>VLOOKUP(Table134657[[#This Row],[Delivery]],#REF!,6,FALSE)</f>
        <v>#REF!</v>
      </c>
    </row>
    <row r="107" spans="1:12" ht="15.6">
      <c r="A107" s="889"/>
      <c r="B107" s="480"/>
      <c r="C107" s="887"/>
      <c r="D107" s="480"/>
      <c r="E107" s="480"/>
      <c r="F107" s="480"/>
      <c r="G107" s="481"/>
      <c r="H107" s="480"/>
      <c r="I107" s="480"/>
      <c r="J107" s="480"/>
      <c r="K107" s="482"/>
      <c r="L107" s="898"/>
    </row>
    <row r="108" spans="1:12" ht="15.6">
      <c r="A108" s="889"/>
      <c r="B108" s="480"/>
      <c r="C108" s="887"/>
      <c r="D108" s="480"/>
      <c r="E108" s="480"/>
      <c r="F108" s="480"/>
      <c r="G108" s="481"/>
      <c r="H108" s="480"/>
      <c r="I108" s="480"/>
      <c r="J108" s="480"/>
      <c r="K108" s="482"/>
      <c r="L108" s="898"/>
    </row>
    <row r="109" spans="1:12" ht="15.6">
      <c r="A109" s="889"/>
      <c r="B109" s="480"/>
      <c r="C109" s="887"/>
      <c r="D109" s="480"/>
      <c r="E109" s="480"/>
      <c r="F109" s="480"/>
      <c r="G109" s="481"/>
      <c r="H109" s="480"/>
      <c r="I109" s="480"/>
      <c r="J109" s="480"/>
      <c r="K109" s="482"/>
      <c r="L109" s="898"/>
    </row>
    <row r="110" spans="1:12" ht="15.6">
      <c r="A110" s="889"/>
      <c r="B110" s="480"/>
      <c r="C110" s="887"/>
      <c r="D110" s="480"/>
      <c r="E110" s="480"/>
      <c r="F110" s="480"/>
      <c r="G110" s="481"/>
      <c r="H110" s="480"/>
      <c r="I110" s="480"/>
      <c r="J110" s="480"/>
      <c r="K110" s="482"/>
      <c r="L110" s="898" t="e">
        <f>VLOOKUP(Table134657[[#This Row],[Delivery]],#REF!,6,FALSE)</f>
        <v>#REF!</v>
      </c>
    </row>
    <row r="111" spans="1:12">
      <c r="A111" s="300"/>
      <c r="B111" s="300"/>
      <c r="C111" s="297"/>
      <c r="D111" s="297"/>
      <c r="E111" s="371"/>
      <c r="F111" s="301"/>
      <c r="G111" s="302"/>
      <c r="H111" s="301"/>
      <c r="I111" s="300"/>
      <c r="J111" s="300"/>
      <c r="K111" s="303"/>
    </row>
    <row r="113" spans="1:9" ht="21">
      <c r="B113" s="422" t="s">
        <v>244</v>
      </c>
    </row>
    <row r="114" spans="1:9" ht="18">
      <c r="A114" s="44"/>
      <c r="B114" s="251" t="s">
        <v>304</v>
      </c>
      <c r="I114" s="373"/>
    </row>
    <row r="115" spans="1:9" ht="18">
      <c r="B115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F910-CEA8-4679-8D14-3943FF97BB37}">
  <dimension ref="A1:L71"/>
  <sheetViews>
    <sheetView showGridLines="0" topLeftCell="A38" zoomScale="85" zoomScaleNormal="85" workbookViewId="0">
      <selection activeCell="D55" sqref="D55"/>
    </sheetView>
  </sheetViews>
  <sheetFormatPr defaultColWidth="9.109375" defaultRowHeight="14.4"/>
  <cols>
    <col min="1" max="1" width="32.88671875" customWidth="1"/>
    <col min="2" max="2" width="14.44140625" customWidth="1"/>
    <col min="3" max="3" width="14.44140625" bestFit="1" customWidth="1"/>
    <col min="4" max="4" width="27.88671875" customWidth="1"/>
    <col min="5" max="5" width="52.109375" style="358" customWidth="1"/>
    <col min="6" max="6" width="27" customWidth="1"/>
    <col min="7" max="7" width="13.88671875" customWidth="1"/>
    <col min="8" max="8" width="26.44140625" customWidth="1"/>
    <col min="9" max="9" width="20.109375" customWidth="1"/>
    <col min="10" max="10" width="23.33203125" bestFit="1" customWidth="1"/>
    <col min="11" max="11" width="15.88671875" bestFit="1" customWidth="1"/>
    <col min="12" max="12" width="11" hidden="1" customWidth="1"/>
    <col min="13" max="16384" width="9.109375" style="44"/>
  </cols>
  <sheetData>
    <row r="1" spans="1:12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</row>
    <row r="2" spans="1:12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</row>
    <row r="3" spans="1:12" ht="36.75" customHeight="1">
      <c r="A3" s="512" t="s">
        <v>307</v>
      </c>
      <c r="B3" s="513">
        <f>SUM(I20:I1102)</f>
        <v>32</v>
      </c>
      <c r="C3" s="405"/>
      <c r="D3" s="353" t="s">
        <v>199</v>
      </c>
      <c r="E3" s="420">
        <f>COUNTIF($F$20:$F$433,"JABODETABEK")</f>
        <v>15</v>
      </c>
      <c r="F3" s="318">
        <f ca="1">SUMIF($F$20:$F$557, "JABODETABEK", $G$20:$G$88)</f>
        <v>370708.22499999998</v>
      </c>
      <c r="G3" s="343"/>
      <c r="H3" s="424" t="s">
        <v>199</v>
      </c>
      <c r="I3" s="425" cm="1">
        <f t="array" ref="I3">SUMPRODUCT(--(RIGHT($F$20:$F$6920,20)="JABODETABEK NEXT DAY"))</f>
        <v>0</v>
      </c>
      <c r="J3" s="423">
        <f ca="1">SUMIF(F20:F4282, "JABODETABEK NEXT DAY", G20:G466)</f>
        <v>0</v>
      </c>
    </row>
    <row r="4" spans="1:12" ht="29.25" customHeight="1">
      <c r="A4" s="432" t="s">
        <v>201</v>
      </c>
      <c r="B4" s="434">
        <f>SUM(J20:J1136)</f>
        <v>32</v>
      </c>
      <c r="D4" s="353" t="s">
        <v>203</v>
      </c>
      <c r="E4" s="245">
        <f>COUNTIF($F$20:$F$433, "JAWA TENGAH")</f>
        <v>1</v>
      </c>
      <c r="F4" s="318">
        <f ca="1">SUMIF($F$20:$F$557, "JAWA TENGAH", $G$20:$G$88)</f>
        <v>27352.133999999998</v>
      </c>
      <c r="H4" s="439" t="s">
        <v>203</v>
      </c>
      <c r="I4" s="425" cm="1">
        <f t="array" ref="I4">SUMPRODUCT(--(RIGHT($F$20:$F$6920,20)="JAWA TENGAH NEXT DAY"))</f>
        <v>8</v>
      </c>
      <c r="J4" s="423">
        <f>SUMIF(F20:F476, "JAWA TENGAH NEXT DAY", G20:G476)</f>
        <v>209605.30200000003</v>
      </c>
    </row>
    <row r="5" spans="1:12" ht="33.6">
      <c r="A5" s="351" t="s">
        <v>265</v>
      </c>
      <c r="B5" s="315">
        <f>COUNTIF($K$20:$K$985,"MASUK")</f>
        <v>32</v>
      </c>
      <c r="C5" s="400"/>
      <c r="D5" s="439" t="s">
        <v>205</v>
      </c>
      <c r="E5" s="247">
        <f>COUNTIF($F$20:$F$433,"JAWA TIMUR")</f>
        <v>0</v>
      </c>
      <c r="F5" s="318">
        <f ca="1">SUMIF($F$20:$F$557, "JAWA TIMUR", $G$20:$G$88)</f>
        <v>0</v>
      </c>
      <c r="H5" s="440" t="s">
        <v>205</v>
      </c>
      <c r="I5" s="245" cm="1">
        <f t="array" ref="I5">SUMPRODUCT(--(RIGHT($F$20:$F$6920,20)="JAWA TIMUR NEXT DAY"))</f>
        <v>8</v>
      </c>
      <c r="J5" s="423">
        <f>SUMIF(F20:F486, "JAWA TIMUR NEXT DAY", G20:G486)</f>
        <v>339935.777</v>
      </c>
    </row>
    <row r="6" spans="1:12" ht="33.6">
      <c r="A6" s="351" t="s">
        <v>207</v>
      </c>
      <c r="B6" s="315">
        <f>COUNTIF($K$20:$K$985,"BELUM MASUK")</f>
        <v>0</v>
      </c>
      <c r="C6" s="396"/>
      <c r="D6" s="497" t="s">
        <v>312</v>
      </c>
      <c r="E6" s="498">
        <f>SUM(E3:E5)</f>
        <v>16</v>
      </c>
      <c r="F6" s="496">
        <f ca="1">SUM(F3:F5)</f>
        <v>398060.359</v>
      </c>
      <c r="H6" s="201" t="s">
        <v>313</v>
      </c>
      <c r="I6" s="499">
        <f>SUM(I3:I5)</f>
        <v>16</v>
      </c>
      <c r="J6" s="496">
        <f ca="1">SUM($J$3:$J$5)</f>
        <v>549541.07900000003</v>
      </c>
      <c r="K6" s="398"/>
    </row>
    <row r="7" spans="1:12" ht="27" customHeight="1">
      <c r="A7" s="352" t="s">
        <v>249</v>
      </c>
      <c r="B7" s="314">
        <f>(B3-B4)</f>
        <v>0</v>
      </c>
      <c r="C7" s="251"/>
      <c r="E7" s="361"/>
      <c r="F7" s="327"/>
      <c r="G7" s="253"/>
      <c r="K7" s="349"/>
      <c r="L7" s="308"/>
    </row>
    <row r="8" spans="1:12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</row>
    <row r="9" spans="1:12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</row>
    <row r="10" spans="1:12" ht="27" customHeight="1">
      <c r="A10" s="510" t="s">
        <v>197</v>
      </c>
      <c r="B10" s="378">
        <f ca="1">SUMIF($H$20:$H$1008, "TRAILER", $I$20:$I$1007)</f>
        <v>9</v>
      </c>
      <c r="C10" s="275"/>
      <c r="D10" s="353" t="s">
        <v>199</v>
      </c>
      <c r="E10" s="243">
        <f>COUNTIF($F$113:$F$1015,"JABODETABEK")</f>
        <v>0</v>
      </c>
      <c r="F10" s="318">
        <f>SUMIF(F97:F1015,"JABODETABEK", G20:G1015)</f>
        <v>0</v>
      </c>
      <c r="G10" s="253"/>
      <c r="H10" s="196" t="s">
        <v>317</v>
      </c>
      <c r="I10" s="245">
        <f>COUNTIF($F$20:$F$66,"INTERISLAND")</f>
        <v>0</v>
      </c>
      <c r="J10" s="496">
        <v>0</v>
      </c>
      <c r="K10" s="307"/>
    </row>
    <row r="11" spans="1:12" ht="27" customHeight="1">
      <c r="A11" s="430" t="s">
        <v>200</v>
      </c>
      <c r="B11" s="380">
        <f ca="1">SUMIF($H$20:$H$1009,"TRONTON", $I$20:$I$1008)</f>
        <v>0</v>
      </c>
      <c r="D11" s="353" t="s">
        <v>480</v>
      </c>
      <c r="E11" s="243">
        <f>COUNTIF($F$113:$F$1016,"JAWA TENGAH")</f>
        <v>0</v>
      </c>
      <c r="F11" s="318">
        <f>SUMIF(F98:F1016,"JABODETABEK", G20:G1016)</f>
        <v>0</v>
      </c>
      <c r="G11" s="253"/>
      <c r="H11" s="44"/>
      <c r="I11" s="442"/>
      <c r="J11" s="443"/>
      <c r="K11" s="307"/>
    </row>
    <row r="12" spans="1:12" ht="27" customHeight="1">
      <c r="A12" s="430" t="s">
        <v>365</v>
      </c>
      <c r="B12" s="380">
        <f ca="1">SUMIF($H$20:$H$1009, "CN 40 HC", $I$20:$I$1008)</f>
        <v>0</v>
      </c>
      <c r="D12" s="354" t="s">
        <v>481</v>
      </c>
      <c r="E12" s="243">
        <f>COUNTIF(F113:F1017,"JAWA TIMUR")</f>
        <v>0</v>
      </c>
      <c r="F12" s="318">
        <f>SUMIF(F99:F1017,"JABODETABEK", G20:G1017)</f>
        <v>0</v>
      </c>
      <c r="G12" s="253"/>
      <c r="H12" s="1517" t="s">
        <v>434</v>
      </c>
      <c r="I12" s="1517"/>
      <c r="J12" s="1553"/>
      <c r="K12" s="307"/>
    </row>
    <row r="13" spans="1:12" ht="27" customHeight="1">
      <c r="A13" s="430" t="s">
        <v>467</v>
      </c>
      <c r="B13" s="380">
        <v>0</v>
      </c>
      <c r="D13" s="201" t="s">
        <v>468</v>
      </c>
      <c r="E13" s="500"/>
      <c r="F13" s="496">
        <f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</row>
    <row r="14" spans="1:12" ht="27" customHeight="1">
      <c r="A14" s="508" t="s">
        <v>325</v>
      </c>
      <c r="B14" s="509"/>
      <c r="E14" s="361"/>
      <c r="F14" s="327"/>
      <c r="G14" s="253"/>
      <c r="H14" s="196" t="s">
        <v>434</v>
      </c>
      <c r="I14" s="500">
        <f>COUNTIF($F$20:$F$94,"AMBIL SENDIRI")</f>
        <v>0</v>
      </c>
      <c r="J14" s="496">
        <f>SUMIF(F20:F1014,"COKOT SORANGAN",G20:G1014)</f>
        <v>0</v>
      </c>
      <c r="K14" s="307"/>
    </row>
    <row r="15" spans="1:12" ht="27" customHeight="1">
      <c r="A15" s="508" t="s">
        <v>348</v>
      </c>
      <c r="B15" s="509"/>
      <c r="D15" s="435" t="s">
        <v>307</v>
      </c>
      <c r="E15" s="437">
        <f>E6+I6+E13+I10+I14</f>
        <v>32</v>
      </c>
      <c r="F15" s="327"/>
      <c r="G15" s="253"/>
      <c r="I15" s="281"/>
      <c r="J15" s="348"/>
      <c r="K15" s="307"/>
    </row>
    <row r="16" spans="1:12" ht="27" customHeight="1">
      <c r="A16" s="508" t="s">
        <v>330</v>
      </c>
      <c r="B16" s="509"/>
      <c r="D16" s="435" t="s">
        <v>331</v>
      </c>
      <c r="E16" s="436">
        <f ca="1">F6+J6+F13+J10+J14</f>
        <v>947601.43800000008</v>
      </c>
      <c r="F16" s="327"/>
      <c r="G16" s="253"/>
      <c r="I16" s="281"/>
      <c r="J16" s="348"/>
      <c r="K16" s="307"/>
    </row>
    <row r="17" spans="1:12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ht="15.6">
      <c r="A20" s="769" t="s">
        <v>508</v>
      </c>
      <c r="B20" s="452">
        <v>3331554551</v>
      </c>
      <c r="C20" s="452" t="s">
        <v>287</v>
      </c>
      <c r="D20" s="452">
        <v>24140786</v>
      </c>
      <c r="E20" s="452" t="s">
        <v>150</v>
      </c>
      <c r="F20" s="452" t="s">
        <v>199</v>
      </c>
      <c r="G20" s="456">
        <v>24296.912</v>
      </c>
      <c r="H20" s="452" t="s">
        <v>220</v>
      </c>
      <c r="I20" s="452">
        <v>1</v>
      </c>
      <c r="J20" s="452">
        <v>1</v>
      </c>
      <c r="K20" s="529" t="s">
        <v>204</v>
      </c>
      <c r="L20" s="898"/>
    </row>
    <row r="21" spans="1:12" ht="15.6">
      <c r="A21" s="769" t="s">
        <v>508</v>
      </c>
      <c r="B21" s="452">
        <v>3331554552</v>
      </c>
      <c r="C21" s="452" t="s">
        <v>34</v>
      </c>
      <c r="D21" s="452">
        <v>24140787</v>
      </c>
      <c r="E21" s="452" t="s">
        <v>150</v>
      </c>
      <c r="F21" s="452" t="s">
        <v>199</v>
      </c>
      <c r="G21" s="456">
        <v>25057.448</v>
      </c>
      <c r="H21" s="452" t="s">
        <v>220</v>
      </c>
      <c r="I21" s="452">
        <v>1</v>
      </c>
      <c r="J21" s="452">
        <v>1</v>
      </c>
      <c r="K21" s="529" t="s">
        <v>204</v>
      </c>
      <c r="L21" s="899"/>
    </row>
    <row r="22" spans="1:12" ht="15.6">
      <c r="A22" s="769" t="s">
        <v>508</v>
      </c>
      <c r="B22" s="452">
        <v>3331554553</v>
      </c>
      <c r="C22" s="452" t="s">
        <v>34</v>
      </c>
      <c r="D22" s="452">
        <v>24140788</v>
      </c>
      <c r="E22" s="452" t="s">
        <v>368</v>
      </c>
      <c r="F22" s="452" t="s">
        <v>199</v>
      </c>
      <c r="G22" s="456">
        <v>24513.705000000002</v>
      </c>
      <c r="H22" s="452" t="s">
        <v>220</v>
      </c>
      <c r="I22" s="452">
        <v>1</v>
      </c>
      <c r="J22" s="452">
        <v>1</v>
      </c>
      <c r="K22" s="529" t="s">
        <v>204</v>
      </c>
      <c r="L22" s="899"/>
    </row>
    <row r="23" spans="1:12" ht="15.6">
      <c r="A23" s="769" t="s">
        <v>355</v>
      </c>
      <c r="B23" s="452">
        <v>3331554554</v>
      </c>
      <c r="C23" s="452" t="s">
        <v>34</v>
      </c>
      <c r="D23" s="452">
        <v>24140789</v>
      </c>
      <c r="E23" s="452" t="s">
        <v>368</v>
      </c>
      <c r="F23" s="452" t="s">
        <v>199</v>
      </c>
      <c r="G23" s="456">
        <v>24083.64</v>
      </c>
      <c r="H23" s="452" t="s">
        <v>220</v>
      </c>
      <c r="I23" s="452">
        <v>1</v>
      </c>
      <c r="J23" s="452">
        <v>1</v>
      </c>
      <c r="K23" s="529" t="s">
        <v>204</v>
      </c>
      <c r="L23" s="899"/>
    </row>
    <row r="24" spans="1:12" ht="15.6">
      <c r="A24" s="769" t="s">
        <v>508</v>
      </c>
      <c r="B24" s="452">
        <v>3331554556</v>
      </c>
      <c r="C24" s="452" t="s">
        <v>27</v>
      </c>
      <c r="D24" s="452">
        <v>24140790</v>
      </c>
      <c r="E24" s="452" t="s">
        <v>150</v>
      </c>
      <c r="F24" s="452" t="s">
        <v>199</v>
      </c>
      <c r="G24" s="456">
        <v>25466.89</v>
      </c>
      <c r="H24" s="452" t="s">
        <v>220</v>
      </c>
      <c r="I24" s="452">
        <v>1</v>
      </c>
      <c r="J24" s="452">
        <v>1</v>
      </c>
      <c r="K24" s="529" t="s">
        <v>204</v>
      </c>
      <c r="L24" s="898"/>
    </row>
    <row r="25" spans="1:12" ht="15.6">
      <c r="A25" s="769" t="s">
        <v>508</v>
      </c>
      <c r="B25" s="452">
        <v>3331554559</v>
      </c>
      <c r="C25" s="452" t="s">
        <v>27</v>
      </c>
      <c r="D25" s="452">
        <v>24140791</v>
      </c>
      <c r="E25" s="452" t="s">
        <v>368</v>
      </c>
      <c r="F25" s="452" t="s">
        <v>199</v>
      </c>
      <c r="G25" s="456">
        <v>24255.666000000001</v>
      </c>
      <c r="H25" s="452" t="s">
        <v>220</v>
      </c>
      <c r="I25" s="452">
        <v>1</v>
      </c>
      <c r="J25" s="452">
        <v>1</v>
      </c>
      <c r="K25" s="529" t="s">
        <v>204</v>
      </c>
      <c r="L25" s="898"/>
    </row>
    <row r="26" spans="1:12" ht="15.6">
      <c r="A26" s="769" t="s">
        <v>508</v>
      </c>
      <c r="B26" s="452">
        <v>3331554561</v>
      </c>
      <c r="C26" s="452" t="s">
        <v>27</v>
      </c>
      <c r="D26" s="452">
        <v>24140792</v>
      </c>
      <c r="E26" s="452" t="s">
        <v>368</v>
      </c>
      <c r="F26" s="452" t="s">
        <v>199</v>
      </c>
      <c r="G26" s="456">
        <v>24255.665000000001</v>
      </c>
      <c r="H26" s="452" t="s">
        <v>220</v>
      </c>
      <c r="I26" s="452">
        <v>1</v>
      </c>
      <c r="J26" s="452">
        <v>1</v>
      </c>
      <c r="K26" s="529" t="s">
        <v>204</v>
      </c>
      <c r="L26" s="898"/>
    </row>
    <row r="27" spans="1:12" ht="15.6">
      <c r="A27" s="769" t="s">
        <v>508</v>
      </c>
      <c r="B27" s="452">
        <v>3331554563</v>
      </c>
      <c r="C27" s="452" t="s">
        <v>27</v>
      </c>
      <c r="D27" s="452">
        <v>24140796</v>
      </c>
      <c r="E27" s="452" t="s">
        <v>150</v>
      </c>
      <c r="F27" s="452" t="s">
        <v>199</v>
      </c>
      <c r="G27" s="456">
        <f>5165.81+20731.648</f>
        <v>25897.458000000002</v>
      </c>
      <c r="H27" s="452" t="s">
        <v>220</v>
      </c>
      <c r="I27" s="452">
        <v>1</v>
      </c>
      <c r="J27" s="452">
        <v>1</v>
      </c>
      <c r="K27" s="529" t="s">
        <v>204</v>
      </c>
      <c r="L27" s="898"/>
    </row>
    <row r="28" spans="1:12" ht="15.6">
      <c r="A28" s="769" t="s">
        <v>508</v>
      </c>
      <c r="B28" s="452">
        <v>3331554568</v>
      </c>
      <c r="C28" s="452" t="s">
        <v>256</v>
      </c>
      <c r="D28" s="452" t="s">
        <v>256</v>
      </c>
      <c r="E28" s="452" t="s">
        <v>256</v>
      </c>
      <c r="F28" s="452" t="s">
        <v>256</v>
      </c>
      <c r="G28" s="456" t="s">
        <v>256</v>
      </c>
      <c r="H28" s="452" t="s">
        <v>256</v>
      </c>
      <c r="I28" s="452" t="s">
        <v>256</v>
      </c>
      <c r="J28" s="452" t="s">
        <v>256</v>
      </c>
      <c r="K28" s="529" t="s">
        <v>256</v>
      </c>
      <c r="L28" s="898"/>
    </row>
    <row r="29" spans="1:12" ht="15.6">
      <c r="A29" s="769" t="s">
        <v>508</v>
      </c>
      <c r="B29" s="452">
        <v>3331554565</v>
      </c>
      <c r="C29" s="452" t="s">
        <v>27</v>
      </c>
      <c r="D29" s="452">
        <v>24140793</v>
      </c>
      <c r="E29" s="452" t="s">
        <v>219</v>
      </c>
      <c r="F29" s="452" t="s">
        <v>199</v>
      </c>
      <c r="G29" s="456">
        <v>25287.784</v>
      </c>
      <c r="H29" s="452" t="s">
        <v>220</v>
      </c>
      <c r="I29" s="452">
        <v>1</v>
      </c>
      <c r="J29" s="452">
        <v>1</v>
      </c>
      <c r="K29" s="529" t="s">
        <v>204</v>
      </c>
      <c r="L29" s="898"/>
    </row>
    <row r="30" spans="1:12" ht="15.6">
      <c r="A30" s="769" t="s">
        <v>508</v>
      </c>
      <c r="B30" s="452">
        <v>3331554567</v>
      </c>
      <c r="C30" s="452" t="s">
        <v>27</v>
      </c>
      <c r="D30" s="452">
        <v>24140795</v>
      </c>
      <c r="E30" s="452" t="s">
        <v>219</v>
      </c>
      <c r="F30" s="452" t="s">
        <v>199</v>
      </c>
      <c r="G30" s="456">
        <v>25374.385999999999</v>
      </c>
      <c r="H30" s="452" t="s">
        <v>220</v>
      </c>
      <c r="I30" s="452">
        <v>1</v>
      </c>
      <c r="J30" s="452">
        <v>1</v>
      </c>
      <c r="K30" s="529" t="s">
        <v>204</v>
      </c>
      <c r="L30" s="898"/>
    </row>
    <row r="31" spans="1:12" ht="15.6">
      <c r="A31" s="769" t="s">
        <v>508</v>
      </c>
      <c r="B31" s="452">
        <v>3331554574</v>
      </c>
      <c r="C31" s="452" t="s">
        <v>34</v>
      </c>
      <c r="D31" s="452">
        <v>24140798</v>
      </c>
      <c r="E31" s="452" t="s">
        <v>366</v>
      </c>
      <c r="F31" s="452" t="s">
        <v>199</v>
      </c>
      <c r="G31" s="456">
        <v>25634.191999999999</v>
      </c>
      <c r="H31" s="452" t="s">
        <v>220</v>
      </c>
      <c r="I31" s="452">
        <v>1</v>
      </c>
      <c r="J31" s="452">
        <v>1</v>
      </c>
      <c r="K31" s="529" t="s">
        <v>204</v>
      </c>
      <c r="L31" s="899"/>
    </row>
    <row r="32" spans="1:12" s="108" customFormat="1" ht="15.6">
      <c r="A32" s="769" t="s">
        <v>508</v>
      </c>
      <c r="B32" s="452">
        <v>3331554575</v>
      </c>
      <c r="C32" s="452" t="s">
        <v>34</v>
      </c>
      <c r="D32" s="452">
        <v>24140799</v>
      </c>
      <c r="E32" s="452" t="s">
        <v>366</v>
      </c>
      <c r="F32" s="452" t="s">
        <v>199</v>
      </c>
      <c r="G32" s="456">
        <v>25850.697</v>
      </c>
      <c r="H32" s="490" t="s">
        <v>220</v>
      </c>
      <c r="I32" s="452">
        <v>1</v>
      </c>
      <c r="J32" s="452">
        <v>1</v>
      </c>
      <c r="K32" s="529" t="s">
        <v>204</v>
      </c>
      <c r="L32" s="898"/>
    </row>
    <row r="33" spans="1:12" s="108" customFormat="1" ht="15.6">
      <c r="A33" s="769" t="s">
        <v>509</v>
      </c>
      <c r="B33" s="452">
        <v>3331554576</v>
      </c>
      <c r="C33" s="524" t="s">
        <v>27</v>
      </c>
      <c r="D33" s="452">
        <v>24140800</v>
      </c>
      <c r="E33" s="524" t="s">
        <v>224</v>
      </c>
      <c r="F33" s="452" t="s">
        <v>344</v>
      </c>
      <c r="G33" s="456">
        <v>24988.034</v>
      </c>
      <c r="H33" s="490" t="s">
        <v>220</v>
      </c>
      <c r="I33" s="452">
        <v>1</v>
      </c>
      <c r="J33" s="452">
        <v>1</v>
      </c>
      <c r="K33" s="529" t="s">
        <v>204</v>
      </c>
      <c r="L33" s="899"/>
    </row>
    <row r="34" spans="1:12" ht="15.6">
      <c r="A34" s="769" t="s">
        <v>509</v>
      </c>
      <c r="B34" s="452">
        <v>3331554580</v>
      </c>
      <c r="C34" s="452" t="s">
        <v>27</v>
      </c>
      <c r="D34" s="452">
        <v>24140801</v>
      </c>
      <c r="E34" s="452" t="s">
        <v>413</v>
      </c>
      <c r="F34" s="452" t="s">
        <v>338</v>
      </c>
      <c r="G34" s="456">
        <v>36095.279999999999</v>
      </c>
      <c r="H34" s="452" t="s">
        <v>128</v>
      </c>
      <c r="I34" s="452">
        <v>1</v>
      </c>
      <c r="J34" s="452">
        <v>1</v>
      </c>
      <c r="K34" s="529" t="s">
        <v>204</v>
      </c>
      <c r="L34" s="898"/>
    </row>
    <row r="35" spans="1:12" ht="15.6">
      <c r="A35" s="769" t="s">
        <v>509</v>
      </c>
      <c r="B35" s="452">
        <v>3331554581</v>
      </c>
      <c r="C35" s="524" t="s">
        <v>27</v>
      </c>
      <c r="D35" s="452">
        <v>24140802</v>
      </c>
      <c r="E35" s="524" t="s">
        <v>224</v>
      </c>
      <c r="F35" s="452" t="s">
        <v>344</v>
      </c>
      <c r="G35" s="456">
        <v>25417.596000000001</v>
      </c>
      <c r="H35" s="490" t="s">
        <v>220</v>
      </c>
      <c r="I35" s="452">
        <v>1</v>
      </c>
      <c r="J35" s="452">
        <v>1</v>
      </c>
      <c r="K35" s="529" t="s">
        <v>204</v>
      </c>
      <c r="L35" s="899"/>
    </row>
    <row r="36" spans="1:12" ht="15.6">
      <c r="A36" s="769" t="s">
        <v>508</v>
      </c>
      <c r="B36" s="452">
        <v>3331554586</v>
      </c>
      <c r="C36" s="452" t="s">
        <v>273</v>
      </c>
      <c r="D36" s="452">
        <v>24140804</v>
      </c>
      <c r="E36" s="452" t="s">
        <v>226</v>
      </c>
      <c r="F36" s="452" t="s">
        <v>203</v>
      </c>
      <c r="G36" s="456">
        <v>27352.133999999998</v>
      </c>
      <c r="H36" s="452" t="s">
        <v>220</v>
      </c>
      <c r="I36" s="452">
        <v>1</v>
      </c>
      <c r="J36" s="452">
        <v>1</v>
      </c>
      <c r="K36" s="529" t="s">
        <v>204</v>
      </c>
      <c r="L36" s="898"/>
    </row>
    <row r="37" spans="1:12" ht="15.6">
      <c r="A37" s="769" t="s">
        <v>508</v>
      </c>
      <c r="B37" s="452">
        <v>3331554577</v>
      </c>
      <c r="C37" s="452" t="s">
        <v>287</v>
      </c>
      <c r="D37" s="452">
        <v>24140805</v>
      </c>
      <c r="E37" s="452" t="s">
        <v>490</v>
      </c>
      <c r="F37" s="452" t="s">
        <v>199</v>
      </c>
      <c r="G37" s="456">
        <v>23953.17</v>
      </c>
      <c r="H37" s="452" t="s">
        <v>220</v>
      </c>
      <c r="I37" s="452">
        <v>1</v>
      </c>
      <c r="J37" s="452">
        <v>1</v>
      </c>
      <c r="K37" s="529" t="s">
        <v>204</v>
      </c>
      <c r="L37" s="898"/>
    </row>
    <row r="38" spans="1:12" ht="15.6">
      <c r="A38" s="769" t="s">
        <v>508</v>
      </c>
      <c r="B38" s="452">
        <v>3331554590</v>
      </c>
      <c r="C38" s="452" t="s">
        <v>287</v>
      </c>
      <c r="D38" s="452">
        <v>24140807</v>
      </c>
      <c r="E38" s="452" t="s">
        <v>490</v>
      </c>
      <c r="F38" s="452" t="s">
        <v>199</v>
      </c>
      <c r="G38" s="456">
        <v>23655.69</v>
      </c>
      <c r="H38" s="452" t="s">
        <v>220</v>
      </c>
      <c r="I38" s="452">
        <v>1</v>
      </c>
      <c r="J38" s="452">
        <v>1</v>
      </c>
      <c r="K38" s="529" t="s">
        <v>204</v>
      </c>
      <c r="L38" s="898"/>
    </row>
    <row r="39" spans="1:12" s="108" customFormat="1" ht="15.6">
      <c r="A39" s="769" t="s">
        <v>508</v>
      </c>
      <c r="B39" s="452">
        <v>3331554592</v>
      </c>
      <c r="C39" s="452" t="s">
        <v>287</v>
      </c>
      <c r="D39" s="452">
        <v>24140808</v>
      </c>
      <c r="E39" s="452" t="s">
        <v>491</v>
      </c>
      <c r="F39" s="452" t="s">
        <v>199</v>
      </c>
      <c r="G39" s="456">
        <v>23124.921999999999</v>
      </c>
      <c r="H39" s="452" t="s">
        <v>220</v>
      </c>
      <c r="I39" s="452">
        <v>1</v>
      </c>
      <c r="J39" s="452">
        <v>1</v>
      </c>
      <c r="K39" s="529" t="s">
        <v>204</v>
      </c>
      <c r="L39" s="898"/>
    </row>
    <row r="40" spans="1:12" s="108" customFormat="1" ht="15.6">
      <c r="A40" s="769" t="s">
        <v>509</v>
      </c>
      <c r="B40" s="452">
        <v>3331554591</v>
      </c>
      <c r="C40" s="524" t="s">
        <v>27</v>
      </c>
      <c r="D40" s="452">
        <v>24140809</v>
      </c>
      <c r="E40" s="528" t="s">
        <v>224</v>
      </c>
      <c r="F40" s="452" t="s">
        <v>344</v>
      </c>
      <c r="G40" s="456">
        <f>10002.531+15274.098</f>
        <v>25276.629000000001</v>
      </c>
      <c r="H40" s="452" t="s">
        <v>220</v>
      </c>
      <c r="I40" s="452">
        <v>1</v>
      </c>
      <c r="J40" s="452">
        <v>1</v>
      </c>
      <c r="K40" s="529" t="s">
        <v>204</v>
      </c>
      <c r="L40" s="898"/>
    </row>
    <row r="41" spans="1:12" ht="15.6">
      <c r="A41" s="769" t="s">
        <v>509</v>
      </c>
      <c r="B41" s="452">
        <v>3331554595</v>
      </c>
      <c r="C41" s="452" t="s">
        <v>256</v>
      </c>
      <c r="D41" s="452" t="s">
        <v>256</v>
      </c>
      <c r="E41" s="452" t="s">
        <v>256</v>
      </c>
      <c r="F41" s="452" t="s">
        <v>256</v>
      </c>
      <c r="G41" s="456" t="s">
        <v>256</v>
      </c>
      <c r="H41" s="452" t="s">
        <v>256</v>
      </c>
      <c r="I41" s="452" t="s">
        <v>256</v>
      </c>
      <c r="J41" s="452" t="s">
        <v>256</v>
      </c>
      <c r="K41" s="529" t="s">
        <v>256</v>
      </c>
      <c r="L41" s="899"/>
    </row>
    <row r="42" spans="1:12" s="108" customFormat="1" ht="15.6">
      <c r="A42" s="769" t="s">
        <v>509</v>
      </c>
      <c r="B42" s="452">
        <v>3331554608</v>
      </c>
      <c r="C42" s="524" t="s">
        <v>27</v>
      </c>
      <c r="D42" s="452">
        <v>24140810</v>
      </c>
      <c r="E42" s="528" t="s">
        <v>224</v>
      </c>
      <c r="F42" s="452" t="s">
        <v>344</v>
      </c>
      <c r="G42" s="456">
        <v>25677.492999999999</v>
      </c>
      <c r="H42" s="452" t="s">
        <v>220</v>
      </c>
      <c r="I42" s="452">
        <v>1</v>
      </c>
      <c r="J42" s="452">
        <v>1</v>
      </c>
      <c r="K42" s="529" t="s">
        <v>204</v>
      </c>
      <c r="L42" s="899"/>
    </row>
    <row r="43" spans="1:12" ht="15.6">
      <c r="A43" s="769" t="s">
        <v>509</v>
      </c>
      <c r="B43" s="452">
        <v>3331554615</v>
      </c>
      <c r="C43" s="524" t="s">
        <v>27</v>
      </c>
      <c r="D43" s="452">
        <v>24140812</v>
      </c>
      <c r="E43" s="528" t="s">
        <v>224</v>
      </c>
      <c r="F43" s="452" t="s">
        <v>344</v>
      </c>
      <c r="G43" s="456">
        <v>25807.396000000001</v>
      </c>
      <c r="H43" s="452" t="s">
        <v>220</v>
      </c>
      <c r="I43" s="452">
        <v>1</v>
      </c>
      <c r="J43" s="452">
        <v>1</v>
      </c>
      <c r="K43" s="529" t="s">
        <v>204</v>
      </c>
      <c r="L43" s="899"/>
    </row>
    <row r="44" spans="1:12" s="108" customFormat="1" ht="15.6">
      <c r="A44" s="769" t="s">
        <v>508</v>
      </c>
      <c r="B44" s="452">
        <v>3331554627</v>
      </c>
      <c r="C44" s="524" t="s">
        <v>206</v>
      </c>
      <c r="D44" s="452">
        <v>24140814</v>
      </c>
      <c r="E44" s="524" t="s">
        <v>226</v>
      </c>
      <c r="F44" s="452" t="s">
        <v>344</v>
      </c>
      <c r="G44" s="456">
        <f>12643.911+8807.53+9805.482</f>
        <v>31256.922999999999</v>
      </c>
      <c r="H44" s="452" t="s">
        <v>128</v>
      </c>
      <c r="I44" s="452">
        <v>1</v>
      </c>
      <c r="J44" s="452">
        <v>1</v>
      </c>
      <c r="K44" s="529" t="s">
        <v>204</v>
      </c>
      <c r="L44" s="898"/>
    </row>
    <row r="45" spans="1:12" s="108" customFormat="1" ht="15.6">
      <c r="A45" s="769" t="s">
        <v>508</v>
      </c>
      <c r="B45" s="452">
        <v>3331554634</v>
      </c>
      <c r="C45" s="452" t="s">
        <v>256</v>
      </c>
      <c r="D45" s="452" t="s">
        <v>256</v>
      </c>
      <c r="E45" s="524" t="s">
        <v>256</v>
      </c>
      <c r="F45" s="452" t="s">
        <v>256</v>
      </c>
      <c r="G45" s="456" t="s">
        <v>256</v>
      </c>
      <c r="H45" s="452" t="s">
        <v>256</v>
      </c>
      <c r="I45" s="452" t="s">
        <v>256</v>
      </c>
      <c r="J45" s="452" t="s">
        <v>256</v>
      </c>
      <c r="K45" s="529" t="s">
        <v>256</v>
      </c>
      <c r="L45" s="898"/>
    </row>
    <row r="46" spans="1:12" s="108" customFormat="1" ht="15.6">
      <c r="A46" s="769" t="s">
        <v>508</v>
      </c>
      <c r="B46" s="452">
        <v>3331554663</v>
      </c>
      <c r="C46" s="452" t="s">
        <v>256</v>
      </c>
      <c r="D46" s="452" t="s">
        <v>256</v>
      </c>
      <c r="E46" s="524" t="s">
        <v>256</v>
      </c>
      <c r="F46" s="452" t="s">
        <v>256</v>
      </c>
      <c r="G46" s="456" t="s">
        <v>256</v>
      </c>
      <c r="H46" s="452" t="s">
        <v>256</v>
      </c>
      <c r="I46" s="452" t="s">
        <v>256</v>
      </c>
      <c r="J46" s="452" t="s">
        <v>256</v>
      </c>
      <c r="K46" s="529" t="s">
        <v>256</v>
      </c>
      <c r="L46" s="898"/>
    </row>
    <row r="47" spans="1:12" ht="15.6">
      <c r="A47" s="769" t="s">
        <v>355</v>
      </c>
      <c r="B47" s="452">
        <v>3331553921</v>
      </c>
      <c r="C47" s="452" t="s">
        <v>27</v>
      </c>
      <c r="D47" s="452">
        <v>24140813</v>
      </c>
      <c r="E47" s="524" t="s">
        <v>226</v>
      </c>
      <c r="F47" s="452" t="s">
        <v>344</v>
      </c>
      <c r="G47" s="456">
        <v>25373.834999999999</v>
      </c>
      <c r="H47" s="452" t="s">
        <v>220</v>
      </c>
      <c r="I47" s="452">
        <v>1</v>
      </c>
      <c r="J47" s="452">
        <v>1</v>
      </c>
      <c r="K47" s="529" t="s">
        <v>204</v>
      </c>
      <c r="L47" s="898"/>
    </row>
    <row r="48" spans="1:12" s="108" customFormat="1" ht="15.6">
      <c r="A48" s="769" t="s">
        <v>508</v>
      </c>
      <c r="B48" s="452">
        <v>3331554669</v>
      </c>
      <c r="C48" s="452" t="s">
        <v>27</v>
      </c>
      <c r="D48" s="452">
        <v>24140817</v>
      </c>
      <c r="E48" s="452" t="s">
        <v>413</v>
      </c>
      <c r="F48" s="452" t="s">
        <v>338</v>
      </c>
      <c r="G48" s="456">
        <v>43350.552000000003</v>
      </c>
      <c r="H48" s="452" t="s">
        <v>128</v>
      </c>
      <c r="I48" s="452">
        <v>1</v>
      </c>
      <c r="J48" s="452">
        <v>1</v>
      </c>
      <c r="K48" s="529" t="s">
        <v>204</v>
      </c>
      <c r="L48" s="899"/>
    </row>
    <row r="49" spans="1:12" s="108" customFormat="1" ht="15.6">
      <c r="A49" s="769" t="s">
        <v>508</v>
      </c>
      <c r="B49" s="452">
        <v>3331554671</v>
      </c>
      <c r="C49" s="452" t="s">
        <v>336</v>
      </c>
      <c r="D49" s="452">
        <v>24140818</v>
      </c>
      <c r="E49" s="452" t="s">
        <v>413</v>
      </c>
      <c r="F49" s="452" t="s">
        <v>338</v>
      </c>
      <c r="G49" s="456">
        <v>42920.487999999998</v>
      </c>
      <c r="H49" s="452" t="s">
        <v>128</v>
      </c>
      <c r="I49" s="452">
        <v>1</v>
      </c>
      <c r="J49" s="452">
        <v>1</v>
      </c>
      <c r="K49" s="529" t="s">
        <v>204</v>
      </c>
      <c r="L49" s="898"/>
    </row>
    <row r="50" spans="1:12" s="108" customFormat="1" ht="15.6">
      <c r="A50" s="769" t="s">
        <v>508</v>
      </c>
      <c r="B50" s="452">
        <v>3331554674</v>
      </c>
      <c r="C50" s="452" t="s">
        <v>437</v>
      </c>
      <c r="D50" s="452">
        <v>24140819</v>
      </c>
      <c r="E50" s="452" t="s">
        <v>413</v>
      </c>
      <c r="F50" s="452" t="s">
        <v>338</v>
      </c>
      <c r="G50" s="456">
        <v>43092.512999999999</v>
      </c>
      <c r="H50" s="452" t="s">
        <v>128</v>
      </c>
      <c r="I50" s="452">
        <v>1</v>
      </c>
      <c r="J50" s="452">
        <v>1</v>
      </c>
      <c r="K50" s="529" t="s">
        <v>204</v>
      </c>
      <c r="L50" s="898"/>
    </row>
    <row r="51" spans="1:12" ht="15.6">
      <c r="A51" s="903"/>
      <c r="B51" s="530"/>
      <c r="C51" s="904"/>
      <c r="D51" s="530"/>
      <c r="E51" s="530" t="s">
        <v>510</v>
      </c>
      <c r="F51" s="530"/>
      <c r="G51" s="531"/>
      <c r="H51" s="530"/>
      <c r="I51" s="530"/>
      <c r="J51" s="530"/>
      <c r="K51" s="532"/>
      <c r="L51" s="898"/>
    </row>
    <row r="52" spans="1:12" s="108" customFormat="1" ht="15.6">
      <c r="A52" s="880" t="s">
        <v>508</v>
      </c>
      <c r="B52" s="452">
        <v>3331554722</v>
      </c>
      <c r="C52" s="592" t="s">
        <v>437</v>
      </c>
      <c r="D52" s="452">
        <v>24140820</v>
      </c>
      <c r="E52" s="452" t="s">
        <v>173</v>
      </c>
      <c r="F52" s="452" t="s">
        <v>338</v>
      </c>
      <c r="G52" s="456">
        <f>29490.479+18371.572</f>
        <v>47862.050999999999</v>
      </c>
      <c r="H52" s="452" t="s">
        <v>128</v>
      </c>
      <c r="I52" s="452">
        <v>1</v>
      </c>
      <c r="J52" s="452">
        <v>1</v>
      </c>
      <c r="K52" s="529" t="s">
        <v>204</v>
      </c>
      <c r="L52" s="898"/>
    </row>
    <row r="53" spans="1:12" s="108" customFormat="1" ht="15.6">
      <c r="A53" s="880" t="s">
        <v>508</v>
      </c>
      <c r="B53" s="452">
        <v>3331554724</v>
      </c>
      <c r="C53" s="592" t="s">
        <v>256</v>
      </c>
      <c r="D53" s="452" t="s">
        <v>256</v>
      </c>
      <c r="E53" s="452" t="s">
        <v>256</v>
      </c>
      <c r="F53" s="452" t="s">
        <v>256</v>
      </c>
      <c r="G53" s="456" t="s">
        <v>256</v>
      </c>
      <c r="H53" s="452" t="s">
        <v>256</v>
      </c>
      <c r="I53" s="452" t="s">
        <v>256</v>
      </c>
      <c r="J53" s="452" t="s">
        <v>256</v>
      </c>
      <c r="K53" s="476" t="s">
        <v>256</v>
      </c>
      <c r="L53" s="898"/>
    </row>
    <row r="54" spans="1:12" ht="15.6">
      <c r="A54" s="880" t="s">
        <v>508</v>
      </c>
      <c r="B54" s="452">
        <v>3331554725</v>
      </c>
      <c r="C54" s="592" t="s">
        <v>336</v>
      </c>
      <c r="D54" s="452">
        <v>24140822</v>
      </c>
      <c r="E54" s="452" t="s">
        <v>173</v>
      </c>
      <c r="F54" s="452" t="s">
        <v>338</v>
      </c>
      <c r="G54" s="456">
        <f>7486.532+26663.906+9776.561</f>
        <v>43926.999000000003</v>
      </c>
      <c r="H54" s="452" t="s">
        <v>128</v>
      </c>
      <c r="I54" s="452">
        <v>1</v>
      </c>
      <c r="J54" s="452">
        <v>1</v>
      </c>
      <c r="K54" s="476" t="s">
        <v>204</v>
      </c>
      <c r="L54" s="898"/>
    </row>
    <row r="55" spans="1:12" ht="15.6">
      <c r="A55" s="880" t="s">
        <v>508</v>
      </c>
      <c r="B55" s="452">
        <v>3331554726</v>
      </c>
      <c r="C55" s="592" t="s">
        <v>256</v>
      </c>
      <c r="D55" s="452" t="s">
        <v>256</v>
      </c>
      <c r="E55" s="452" t="s">
        <v>256</v>
      </c>
      <c r="F55" s="452" t="s">
        <v>256</v>
      </c>
      <c r="G55" s="456" t="s">
        <v>256</v>
      </c>
      <c r="H55" s="452" t="s">
        <v>256</v>
      </c>
      <c r="I55" s="452" t="s">
        <v>256</v>
      </c>
      <c r="J55" s="452" t="s">
        <v>256</v>
      </c>
      <c r="K55" s="476" t="s">
        <v>256</v>
      </c>
      <c r="L55" s="898"/>
    </row>
    <row r="56" spans="1:12" ht="15.6">
      <c r="A56" s="880" t="s">
        <v>508</v>
      </c>
      <c r="B56" s="452">
        <v>3331554727</v>
      </c>
      <c r="C56" s="592" t="s">
        <v>256</v>
      </c>
      <c r="D56" s="452" t="s">
        <v>256</v>
      </c>
      <c r="E56" s="452" t="s">
        <v>256</v>
      </c>
      <c r="F56" s="452" t="s">
        <v>256</v>
      </c>
      <c r="G56" s="456" t="s">
        <v>256</v>
      </c>
      <c r="H56" s="452" t="s">
        <v>256</v>
      </c>
      <c r="I56" s="452" t="s">
        <v>256</v>
      </c>
      <c r="J56" s="452" t="s">
        <v>256</v>
      </c>
      <c r="K56" s="476" t="s">
        <v>256</v>
      </c>
      <c r="L56" s="898"/>
    </row>
    <row r="57" spans="1:12" s="108" customFormat="1" ht="15.6">
      <c r="A57" s="880" t="s">
        <v>508</v>
      </c>
      <c r="B57" s="452">
        <v>3331554732</v>
      </c>
      <c r="C57" s="592" t="s">
        <v>27</v>
      </c>
      <c r="D57" s="452">
        <v>24140823</v>
      </c>
      <c r="E57" s="452" t="s">
        <v>430</v>
      </c>
      <c r="F57" s="452" t="s">
        <v>338</v>
      </c>
      <c r="G57" s="456">
        <f>15001.132+32034.374</f>
        <v>47035.506000000001</v>
      </c>
      <c r="H57" s="452" t="s">
        <v>128</v>
      </c>
      <c r="I57" s="452">
        <v>1</v>
      </c>
      <c r="J57" s="452">
        <v>1</v>
      </c>
      <c r="K57" s="476" t="s">
        <v>204</v>
      </c>
      <c r="L57" s="898"/>
    </row>
    <row r="58" spans="1:12" ht="15.6">
      <c r="A58" s="880" t="s">
        <v>508</v>
      </c>
      <c r="B58" s="452">
        <v>3331554739</v>
      </c>
      <c r="C58" s="592" t="s">
        <v>256</v>
      </c>
      <c r="D58" s="452" t="s">
        <v>256</v>
      </c>
      <c r="E58" s="452" t="s">
        <v>256</v>
      </c>
      <c r="F58" s="452" t="s">
        <v>256</v>
      </c>
      <c r="G58" s="456" t="s">
        <v>256</v>
      </c>
      <c r="H58" s="452" t="s">
        <v>256</v>
      </c>
      <c r="I58" s="452" t="s">
        <v>256</v>
      </c>
      <c r="J58" s="452" t="s">
        <v>256</v>
      </c>
      <c r="K58" s="476" t="s">
        <v>256</v>
      </c>
      <c r="L58" s="898"/>
    </row>
    <row r="59" spans="1:12" s="108" customFormat="1" ht="15.6">
      <c r="A59" s="880" t="s">
        <v>508</v>
      </c>
      <c r="B59" s="452">
        <v>3331554751</v>
      </c>
      <c r="C59" s="592" t="s">
        <v>27</v>
      </c>
      <c r="D59" s="452">
        <v>24140824</v>
      </c>
      <c r="E59" s="452" t="s">
        <v>430</v>
      </c>
      <c r="F59" s="452" t="s">
        <v>338</v>
      </c>
      <c r="G59" s="456">
        <v>35652.387999999999</v>
      </c>
      <c r="H59" s="452" t="s">
        <v>128</v>
      </c>
      <c r="I59" s="452">
        <v>1</v>
      </c>
      <c r="J59" s="452">
        <v>1</v>
      </c>
      <c r="K59" s="476" t="s">
        <v>204</v>
      </c>
      <c r="L59" s="898"/>
    </row>
    <row r="60" spans="1:12" customFormat="1" ht="15.6">
      <c r="A60" s="769" t="s">
        <v>509</v>
      </c>
      <c r="B60" s="452">
        <v>3331554613</v>
      </c>
      <c r="C60" s="524" t="s">
        <v>27</v>
      </c>
      <c r="D60" s="452">
        <v>24140811</v>
      </c>
      <c r="E60" s="528" t="s">
        <v>224</v>
      </c>
      <c r="F60" s="452" t="s">
        <v>344</v>
      </c>
      <c r="G60" s="456">
        <v>25807.396000000001</v>
      </c>
      <c r="H60" s="452" t="s">
        <v>220</v>
      </c>
      <c r="I60" s="452">
        <v>1</v>
      </c>
      <c r="J60" s="452">
        <v>1</v>
      </c>
      <c r="K60" s="476" t="s">
        <v>204</v>
      </c>
      <c r="L60" s="898"/>
    </row>
    <row r="61" spans="1:12" ht="15.6">
      <c r="A61" s="889"/>
      <c r="B61" s="480"/>
      <c r="C61" s="887" t="s">
        <v>511</v>
      </c>
      <c r="D61" s="480"/>
      <c r="E61" s="480"/>
      <c r="F61" s="480"/>
      <c r="G61" s="481"/>
      <c r="H61" s="480"/>
      <c r="I61" s="480"/>
      <c r="J61" s="480"/>
      <c r="K61" s="482"/>
      <c r="L61" s="898"/>
    </row>
    <row r="62" spans="1:12" ht="15.6">
      <c r="A62" s="889"/>
      <c r="B62" s="480"/>
      <c r="C62" s="887"/>
      <c r="D62" s="480"/>
      <c r="E62" s="480"/>
      <c r="F62" s="480"/>
      <c r="G62" s="481"/>
      <c r="H62" s="480"/>
      <c r="I62" s="480"/>
      <c r="J62" s="480"/>
      <c r="K62" s="482"/>
      <c r="L62" s="898"/>
    </row>
    <row r="63" spans="1:12" ht="15.6">
      <c r="A63" s="889"/>
      <c r="B63" s="480"/>
      <c r="C63" s="887"/>
      <c r="D63" s="480"/>
      <c r="E63" s="480"/>
      <c r="F63" s="480"/>
      <c r="G63" s="481"/>
      <c r="H63" s="480"/>
      <c r="I63" s="480"/>
      <c r="J63" s="480"/>
      <c r="K63" s="482"/>
      <c r="L63" s="898"/>
    </row>
    <row r="64" spans="1:12" ht="15.6">
      <c r="A64" s="889"/>
      <c r="B64" s="480"/>
      <c r="C64" s="887"/>
      <c r="D64" s="480"/>
      <c r="E64" s="480"/>
      <c r="F64" s="480"/>
      <c r="G64" s="481"/>
      <c r="H64" s="480"/>
      <c r="I64" s="480"/>
      <c r="J64" s="480"/>
      <c r="K64" s="482"/>
      <c r="L64" s="898"/>
    </row>
    <row r="65" spans="1:12" ht="15.6">
      <c r="A65" s="889"/>
      <c r="B65" s="480"/>
      <c r="C65" s="887"/>
      <c r="D65" s="480"/>
      <c r="E65" s="480"/>
      <c r="F65" s="480"/>
      <c r="G65" s="481"/>
      <c r="H65" s="480"/>
      <c r="I65" s="480"/>
      <c r="J65" s="480"/>
      <c r="K65" s="482"/>
      <c r="L65" s="898"/>
    </row>
    <row r="66" spans="1:12" ht="15.6">
      <c r="A66" s="889"/>
      <c r="B66" s="480"/>
      <c r="C66" s="887"/>
      <c r="D66" s="480"/>
      <c r="E66" s="480"/>
      <c r="F66" s="480"/>
      <c r="G66" s="481"/>
      <c r="H66" s="480"/>
      <c r="I66" s="480"/>
      <c r="J66" s="480"/>
      <c r="K66" s="482"/>
      <c r="L66" s="898"/>
    </row>
    <row r="67" spans="1:12">
      <c r="A67" s="300"/>
      <c r="B67" s="300"/>
      <c r="C67" s="297"/>
      <c r="D67" s="297"/>
      <c r="E67" s="371"/>
      <c r="F67" s="301"/>
      <c r="G67" s="302"/>
      <c r="H67" s="301"/>
      <c r="I67" s="300"/>
      <c r="J67" s="300"/>
      <c r="K67" s="303"/>
    </row>
    <row r="69" spans="1:12" ht="21">
      <c r="B69" s="422" t="s">
        <v>244</v>
      </c>
    </row>
    <row r="70" spans="1:12" ht="18">
      <c r="A70" s="44"/>
      <c r="B70" s="251" t="s">
        <v>304</v>
      </c>
      <c r="I70" s="373"/>
    </row>
    <row r="71" spans="1:12" ht="18">
      <c r="B71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EEE8-D529-47AC-8598-73534EF86A28}">
  <dimension ref="A1:L81"/>
  <sheetViews>
    <sheetView showGridLines="0" topLeftCell="A14" zoomScale="85" zoomScaleNormal="85" workbookViewId="0">
      <selection activeCell="B19" sqref="B19"/>
    </sheetView>
  </sheetViews>
  <sheetFormatPr defaultColWidth="9.109375" defaultRowHeight="14.4"/>
  <cols>
    <col min="1" max="1" width="32.88671875" style="44" customWidth="1"/>
    <col min="2" max="2" width="14.44140625" style="44" customWidth="1"/>
    <col min="3" max="3" width="14.44140625" style="44" bestFit="1" customWidth="1"/>
    <col min="4" max="4" width="27.88671875" style="44" customWidth="1"/>
    <col min="5" max="5" width="52.109375" style="358" customWidth="1"/>
    <col min="6" max="6" width="27" style="44" customWidth="1"/>
    <col min="7" max="7" width="13.88671875" style="44" customWidth="1"/>
    <col min="8" max="8" width="26.44140625" style="44" customWidth="1"/>
    <col min="9" max="9" width="20.109375" style="44" customWidth="1"/>
    <col min="10" max="10" width="23.33203125" style="44" bestFit="1" customWidth="1"/>
    <col min="11" max="11" width="15.88671875" style="44" bestFit="1" customWidth="1"/>
    <col min="12" max="12" width="11" style="44" hidden="1" customWidth="1"/>
    <col min="13" max="16384" width="9.10937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310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18" t="s">
        <v>196</v>
      </c>
      <c r="K2"/>
      <c r="L2"/>
    </row>
    <row r="3" spans="1:12" ht="36.75" customHeight="1">
      <c r="A3" s="512" t="s">
        <v>307</v>
      </c>
      <c r="B3" s="513">
        <f>SUM(I20:I1110)</f>
        <v>39</v>
      </c>
      <c r="C3" s="405"/>
      <c r="D3" s="353" t="s">
        <v>199</v>
      </c>
      <c r="E3" s="420">
        <f>COUNTIF($F$20:$F$441,"JABODETABEK")</f>
        <v>22</v>
      </c>
      <c r="F3" s="318">
        <f>SUMIF($F$20:$F$56, "JABODETABEK", $G$20:$G$56)</f>
        <v>520470.72399999999</v>
      </c>
      <c r="G3" s="343"/>
      <c r="H3" s="424" t="s">
        <v>199</v>
      </c>
      <c r="I3" s="425" cm="1">
        <f t="array" ref="I3">SUMPRODUCT(--(RIGHT($F$24:$F$6928,20)="JABODETABEK NEXT DAY"))</f>
        <v>0</v>
      </c>
      <c r="J3" s="423">
        <f ca="1">SUMIF(F20:F4290, "JABODETABEK NEXT DAY", G24:G474)</f>
        <v>0</v>
      </c>
      <c r="K3"/>
      <c r="L3"/>
    </row>
    <row r="4" spans="1:12" ht="29.25" customHeight="1">
      <c r="A4" s="432" t="s">
        <v>201</v>
      </c>
      <c r="B4" s="434">
        <f>SUM(J20:J1144)</f>
        <v>38</v>
      </c>
      <c r="C4"/>
      <c r="D4" s="353" t="s">
        <v>203</v>
      </c>
      <c r="E4" s="245">
        <f>COUNTIF($F$24:$F$56, "JAWA TENGAH")</f>
        <v>0</v>
      </c>
      <c r="F4" s="318">
        <f>SUMIF($F$20:$F$56, "JAWA TENGAH", $G$20:$G$56)</f>
        <v>0</v>
      </c>
      <c r="G4"/>
      <c r="H4" s="439" t="s">
        <v>203</v>
      </c>
      <c r="I4" s="425" cm="1">
        <f t="array" ref="I4">SUMPRODUCT(--(RIGHT($F$20:$F$6928,20)="JAWA TENGAH NEXT DAY"))</f>
        <v>7</v>
      </c>
      <c r="J4" s="423">
        <f>SUMIF(F20:F484, "JAWA TENGAH NEXT DAY", G20:G484)</f>
        <v>204262.58100000003</v>
      </c>
      <c r="K4"/>
      <c r="L4"/>
    </row>
    <row r="5" spans="1:12" ht="33.6">
      <c r="A5" s="351" t="s">
        <v>265</v>
      </c>
      <c r="B5" s="315">
        <f>COUNTIF($K$24:$K$993,"MASUK")</f>
        <v>33</v>
      </c>
      <c r="C5" s="400"/>
      <c r="D5" s="439" t="s">
        <v>205</v>
      </c>
      <c r="E5" s="247">
        <f>COUNTIF($F$20:$F$441,"JAWA TIMUR")</f>
        <v>0</v>
      </c>
      <c r="F5" s="318">
        <f ca="1">SUMIF($F$20:$F$565, "JAWA TIMUR", $G$20:$G$96)</f>
        <v>0</v>
      </c>
      <c r="G5"/>
      <c r="H5" s="440" t="s">
        <v>205</v>
      </c>
      <c r="I5" s="245" cm="1">
        <f t="array" ref="I5">SUMPRODUCT(--(RIGHT($F$20:$F$6928,20)="JAWA TIMUR NEXT DAY"))</f>
        <v>10</v>
      </c>
      <c r="J5" s="423">
        <f>SUMIF(F20:F494, "JAWA TIMUR NEXT DAY", G20:G494)</f>
        <v>386764.80999999994</v>
      </c>
      <c r="K5"/>
      <c r="L5"/>
    </row>
    <row r="6" spans="1:12" ht="33.6">
      <c r="A6" s="351" t="s">
        <v>207</v>
      </c>
      <c r="B6" s="315">
        <f>COUNTIF($K$24:$K$993,"BELUM MASUK")</f>
        <v>2</v>
      </c>
      <c r="C6" s="396"/>
      <c r="D6" s="497" t="s">
        <v>312</v>
      </c>
      <c r="E6" s="498">
        <f>SUM(E3:E5)</f>
        <v>22</v>
      </c>
      <c r="F6" s="496">
        <f ca="1">SUM(F3:F5)</f>
        <v>520470.72399999999</v>
      </c>
      <c r="G6"/>
      <c r="H6" s="201" t="s">
        <v>313</v>
      </c>
      <c r="I6" s="499">
        <f>SUM(I3:I5)</f>
        <v>17</v>
      </c>
      <c r="J6" s="496">
        <f ca="1">SUM($J$3:$J$5)</f>
        <v>591027.39099999995</v>
      </c>
      <c r="K6" s="398"/>
      <c r="L6"/>
    </row>
    <row r="7" spans="1:12" ht="27" customHeight="1">
      <c r="A7" s="352" t="s">
        <v>249</v>
      </c>
      <c r="B7" s="314">
        <f>(B3-B4)</f>
        <v>1</v>
      </c>
      <c r="C7" s="251"/>
      <c r="D7"/>
      <c r="E7" s="361"/>
      <c r="F7" s="327"/>
      <c r="G7" s="253"/>
      <c r="H7"/>
      <c r="I7"/>
      <c r="J7"/>
      <c r="K7" s="349"/>
      <c r="L7" s="308"/>
    </row>
    <row r="8" spans="1:12" ht="27" customHeight="1">
      <c r="A8" s="295"/>
      <c r="B8" s="296"/>
      <c r="C8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  <c r="L8"/>
    </row>
    <row r="9" spans="1:12" ht="27" customHeight="1">
      <c r="A9" s="1517" t="s">
        <v>316</v>
      </c>
      <c r="B9" s="1553"/>
      <c r="C9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L9"/>
    </row>
    <row r="10" spans="1:12" ht="27" customHeight="1">
      <c r="A10" s="510" t="s">
        <v>197</v>
      </c>
      <c r="B10" s="378">
        <f ca="1">SUMIF($H$24:$H$1016, "TRAILER", $I$24:$I$1015)</f>
        <v>8</v>
      </c>
      <c r="C10" s="275"/>
      <c r="D10" s="353" t="s">
        <v>199</v>
      </c>
      <c r="E10" s="420">
        <f>COUNTIF($F$58:$F$441,"JABODETABEK")</f>
        <v>1</v>
      </c>
      <c r="F10" s="318">
        <f>SUMIF($F$58:$F$58, "JABODETABEK", $G$56:$G$58)</f>
        <v>0</v>
      </c>
      <c r="G10" s="253"/>
      <c r="H10" s="196" t="s">
        <v>317</v>
      </c>
      <c r="I10" s="538">
        <f>COUNTIF($F$20:$F$74,"INTERISLAND")</f>
        <v>0</v>
      </c>
      <c r="J10" s="496">
        <v>0</v>
      </c>
      <c r="K10" s="307"/>
      <c r="L10"/>
    </row>
    <row r="11" spans="1:12" ht="27" customHeight="1">
      <c r="A11" s="430" t="s">
        <v>200</v>
      </c>
      <c r="B11" s="380">
        <f ca="1">SUMIF($H$24:$H$1017,"TRONTON", $I$24:$I$1016)</f>
        <v>27</v>
      </c>
      <c r="C11"/>
      <c r="D11" s="353" t="s">
        <v>480</v>
      </c>
      <c r="E11" s="245">
        <f>COUNTIF($F$58:$F$592, "JAWA TENGAH")</f>
        <v>0</v>
      </c>
      <c r="F11" s="318">
        <f>SUMIF($F$58:$F$592, "JAWA TENGAH", $G$58:$G$592)</f>
        <v>0</v>
      </c>
      <c r="G11" s="253"/>
      <c r="I11" s="442"/>
      <c r="J11" s="443"/>
      <c r="K11" s="307"/>
      <c r="L11"/>
    </row>
    <row r="12" spans="1:12" ht="27" customHeight="1">
      <c r="A12" s="430" t="s">
        <v>365</v>
      </c>
      <c r="B12" s="380">
        <f ca="1">SUMIF($H$24:$H$1017, "CN 40 HC", $I$24:$I$1016)</f>
        <v>0</v>
      </c>
      <c r="C12"/>
      <c r="D12" s="354" t="s">
        <v>481</v>
      </c>
      <c r="E12" s="247">
        <f>COUNTIF($F$58:$F$441,"JAWA TIMUR")</f>
        <v>0</v>
      </c>
      <c r="F12" s="318">
        <f ca="1">SUMIF($F$58:$F$565, "JAWA TIMUR", $G$58:$G$96)</f>
        <v>0</v>
      </c>
      <c r="G12" s="253"/>
      <c r="H12" s="1517" t="s">
        <v>434</v>
      </c>
      <c r="I12" s="1517"/>
      <c r="J12" s="1553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468</v>
      </c>
      <c r="E13" s="498">
        <f>SUM(E10:E12)</f>
        <v>1</v>
      </c>
      <c r="F13" s="496">
        <f ca="1">SUM(F10:F12)</f>
        <v>0</v>
      </c>
      <c r="G13" s="253"/>
      <c r="H13" s="441" t="s">
        <v>247</v>
      </c>
      <c r="I13" s="417" t="s">
        <v>195</v>
      </c>
      <c r="J13" s="441" t="s">
        <v>196</v>
      </c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 s="196" t="s">
        <v>434</v>
      </c>
      <c r="I14" s="500">
        <f>COUNTIF($F$24:$F$102,"AMBIL SENDIRI")</f>
        <v>0</v>
      </c>
      <c r="J14" s="496">
        <f>SUMIF(F24:F1022,"COKOT SORANGAN",G24:G1022)</f>
        <v>0</v>
      </c>
      <c r="K14" s="307"/>
      <c r="L14"/>
    </row>
    <row r="15" spans="1:12" ht="27" customHeight="1">
      <c r="A15" s="508" t="s">
        <v>348</v>
      </c>
      <c r="B15" s="509"/>
      <c r="C15"/>
      <c r="D15" s="435" t="s">
        <v>307</v>
      </c>
      <c r="E15" s="437">
        <f>E6+I6+E13+I10+I14</f>
        <v>40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330</v>
      </c>
      <c r="B16" s="509"/>
      <c r="C16"/>
      <c r="D16" s="435" t="s">
        <v>331</v>
      </c>
      <c r="E16" s="436">
        <f ca="1">F6+J6+F13+J10+J14</f>
        <v>1111498.115</v>
      </c>
      <c r="F16" s="327"/>
      <c r="G16" s="253"/>
      <c r="H16"/>
      <c r="I16" s="281"/>
      <c r="J16" s="348"/>
      <c r="K16" s="307"/>
      <c r="L16"/>
    </row>
    <row r="17" spans="1:12" ht="27" customHeight="1">
      <c r="A17" s="508" t="s">
        <v>333</v>
      </c>
      <c r="B17" s="509"/>
      <c r="C17"/>
      <c r="D17"/>
      <c r="E17" s="361"/>
      <c r="F17" s="327"/>
      <c r="G17" s="732">
        <v>3331555041</v>
      </c>
      <c r="H17"/>
      <c r="I17" s="281"/>
      <c r="J17" s="348"/>
      <c r="K17" s="307"/>
      <c r="L17"/>
    </row>
    <row r="19" spans="1:12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  <c r="L19" s="896" t="s">
        <v>494</v>
      </c>
    </row>
    <row r="20" spans="1:12" ht="15.6">
      <c r="A20" s="769" t="s">
        <v>508</v>
      </c>
      <c r="B20" s="452">
        <v>3331554671</v>
      </c>
      <c r="C20" s="452" t="s">
        <v>336</v>
      </c>
      <c r="D20" s="490">
        <v>24140818</v>
      </c>
      <c r="E20" s="490" t="s">
        <v>413</v>
      </c>
      <c r="F20" s="490" t="s">
        <v>338</v>
      </c>
      <c r="G20" s="491">
        <v>42920.487999999998</v>
      </c>
      <c r="H20" s="490" t="s">
        <v>128</v>
      </c>
      <c r="I20" s="452">
        <v>1</v>
      </c>
      <c r="J20" s="452">
        <v>1</v>
      </c>
      <c r="K20" s="529" t="s">
        <v>204</v>
      </c>
      <c r="L20" s="898"/>
    </row>
    <row r="21" spans="1:12" ht="15.6">
      <c r="A21" s="769" t="s">
        <v>508</v>
      </c>
      <c r="B21" s="452">
        <v>3331554674</v>
      </c>
      <c r="C21" s="452" t="s">
        <v>437</v>
      </c>
      <c r="D21" s="490">
        <v>24140819</v>
      </c>
      <c r="E21" s="490" t="s">
        <v>413</v>
      </c>
      <c r="F21" s="490" t="s">
        <v>338</v>
      </c>
      <c r="G21" s="491">
        <v>43092.512999999999</v>
      </c>
      <c r="H21" s="490" t="s">
        <v>128</v>
      </c>
      <c r="I21" s="452">
        <v>1</v>
      </c>
      <c r="J21" s="452">
        <v>1</v>
      </c>
      <c r="K21" s="529" t="s">
        <v>204</v>
      </c>
      <c r="L21" s="898"/>
    </row>
    <row r="22" spans="1:12" s="108" customFormat="1" ht="15.6">
      <c r="A22" s="897" t="s">
        <v>509</v>
      </c>
      <c r="B22" s="592">
        <v>3331555041</v>
      </c>
      <c r="C22" s="592" t="s">
        <v>27</v>
      </c>
      <c r="D22" s="490">
        <v>24140850</v>
      </c>
      <c r="E22" s="452" t="s">
        <v>303</v>
      </c>
      <c r="F22" s="490" t="s">
        <v>338</v>
      </c>
      <c r="G22" s="456">
        <v>46375.370999999999</v>
      </c>
      <c r="H22" s="490" t="s">
        <v>128</v>
      </c>
      <c r="I22" s="592">
        <v>1</v>
      </c>
      <c r="J22" s="592">
        <v>1</v>
      </c>
      <c r="K22" s="476" t="s">
        <v>204</v>
      </c>
      <c r="L22" s="905" t="e">
        <f>VLOOKUP(Table13465789[[#This Row],[Delivery]],#REF!,6,FALSE)</f>
        <v>#REF!</v>
      </c>
    </row>
    <row r="23" spans="1:12" ht="15.6">
      <c r="A23" s="880" t="s">
        <v>508</v>
      </c>
      <c r="B23" s="452">
        <v>3331554725</v>
      </c>
      <c r="C23" s="592" t="s">
        <v>336</v>
      </c>
      <c r="D23" s="490">
        <v>24140822</v>
      </c>
      <c r="E23" s="490" t="s">
        <v>173</v>
      </c>
      <c r="F23" s="490" t="s">
        <v>338</v>
      </c>
      <c r="G23" s="491">
        <f>7486.532+26663.906+9776.561</f>
        <v>43926.999000000003</v>
      </c>
      <c r="H23" s="490" t="s">
        <v>128</v>
      </c>
      <c r="I23" s="452">
        <v>1</v>
      </c>
      <c r="J23" s="452">
        <v>1</v>
      </c>
      <c r="K23" s="476" t="s">
        <v>204</v>
      </c>
      <c r="L23" s="898"/>
    </row>
    <row r="24" spans="1:12" ht="15.6">
      <c r="A24" s="880" t="s">
        <v>509</v>
      </c>
      <c r="B24" s="452">
        <v>3331554953</v>
      </c>
      <c r="C24" s="592" t="s">
        <v>287</v>
      </c>
      <c r="D24" s="490">
        <v>24140826</v>
      </c>
      <c r="E24" s="490" t="s">
        <v>219</v>
      </c>
      <c r="F24" s="490" t="s">
        <v>199</v>
      </c>
      <c r="G24" s="491">
        <v>25893.998</v>
      </c>
      <c r="H24" s="490" t="s">
        <v>200</v>
      </c>
      <c r="I24" s="452">
        <v>1</v>
      </c>
      <c r="J24" s="452">
        <v>1</v>
      </c>
      <c r="K24" s="476" t="s">
        <v>204</v>
      </c>
      <c r="L24" s="898"/>
    </row>
    <row r="25" spans="1:12" s="108" customFormat="1" ht="15.6">
      <c r="A25" s="880" t="s">
        <v>509</v>
      </c>
      <c r="B25" s="452">
        <v>3331554954</v>
      </c>
      <c r="C25" s="592" t="s">
        <v>287</v>
      </c>
      <c r="D25" s="490">
        <v>24140827</v>
      </c>
      <c r="E25" s="490" t="s">
        <v>219</v>
      </c>
      <c r="F25" s="490" t="s">
        <v>199</v>
      </c>
      <c r="G25" s="491">
        <v>25980.6</v>
      </c>
      <c r="H25" s="490" t="s">
        <v>200</v>
      </c>
      <c r="I25" s="452">
        <v>1</v>
      </c>
      <c r="J25" s="452">
        <v>1</v>
      </c>
      <c r="K25" s="476" t="s">
        <v>204</v>
      </c>
      <c r="L25" s="899"/>
    </row>
    <row r="26" spans="1:12" ht="15.6">
      <c r="A26" s="880" t="s">
        <v>509</v>
      </c>
      <c r="B26" s="452">
        <v>3331554955</v>
      </c>
      <c r="C26" s="592" t="s">
        <v>287</v>
      </c>
      <c r="D26" s="490">
        <v>24140828</v>
      </c>
      <c r="E26" s="490" t="s">
        <v>150</v>
      </c>
      <c r="F26" s="490" t="s">
        <v>199</v>
      </c>
      <c r="G26" s="491">
        <v>25460.853999999999</v>
      </c>
      <c r="H26" s="490" t="s">
        <v>200</v>
      </c>
      <c r="I26" s="452">
        <v>1</v>
      </c>
      <c r="J26" s="452">
        <v>1</v>
      </c>
      <c r="K26" s="476" t="s">
        <v>204</v>
      </c>
      <c r="L26" s="898"/>
    </row>
    <row r="27" spans="1:12" ht="15.6">
      <c r="A27" s="880" t="s">
        <v>509</v>
      </c>
      <c r="B27" s="452">
        <v>3331554956</v>
      </c>
      <c r="C27" s="592" t="s">
        <v>11</v>
      </c>
      <c r="D27" s="490">
        <v>24140829</v>
      </c>
      <c r="E27" s="452" t="s">
        <v>366</v>
      </c>
      <c r="F27" s="490" t="s">
        <v>199</v>
      </c>
      <c r="G27" s="491">
        <v>25460.988000000001</v>
      </c>
      <c r="H27" s="490" t="s">
        <v>200</v>
      </c>
      <c r="I27" s="452">
        <v>1</v>
      </c>
      <c r="J27" s="452">
        <v>1</v>
      </c>
      <c r="K27" s="476" t="s">
        <v>204</v>
      </c>
      <c r="L27" s="898"/>
    </row>
    <row r="28" spans="1:12" ht="15.6">
      <c r="A28" s="880" t="s">
        <v>509</v>
      </c>
      <c r="B28" s="452">
        <v>3331554958</v>
      </c>
      <c r="C28" s="592" t="s">
        <v>11</v>
      </c>
      <c r="D28" s="452">
        <v>24140830</v>
      </c>
      <c r="E28" s="452" t="s">
        <v>366</v>
      </c>
      <c r="F28" s="490" t="s">
        <v>199</v>
      </c>
      <c r="G28" s="456">
        <v>26110.503000000001</v>
      </c>
      <c r="H28" s="452" t="s">
        <v>200</v>
      </c>
      <c r="I28" s="452">
        <v>1</v>
      </c>
      <c r="J28" s="452">
        <v>1</v>
      </c>
      <c r="K28" s="476" t="s">
        <v>204</v>
      </c>
      <c r="L28" s="898" t="e">
        <f>VLOOKUP(Table13465789[[#This Row],[Delivery]],#REF!,6,FALSE)</f>
        <v>#REF!</v>
      </c>
    </row>
    <row r="29" spans="1:12" ht="15.6">
      <c r="A29" s="880" t="s">
        <v>509</v>
      </c>
      <c r="B29" s="452">
        <v>3331554957</v>
      </c>
      <c r="C29" s="592" t="s">
        <v>27</v>
      </c>
      <c r="D29" s="452">
        <v>24140831</v>
      </c>
      <c r="E29" s="452" t="s">
        <v>150</v>
      </c>
      <c r="F29" s="490" t="s">
        <v>199</v>
      </c>
      <c r="G29" s="456">
        <v>26149.964</v>
      </c>
      <c r="H29" s="452" t="s">
        <v>200</v>
      </c>
      <c r="I29" s="452">
        <v>1</v>
      </c>
      <c r="J29" s="452">
        <v>1</v>
      </c>
      <c r="K29" s="476" t="s">
        <v>204</v>
      </c>
      <c r="L29" s="898" t="e">
        <f>VLOOKUP(Table13465789[[#This Row],[Delivery]],#REF!,6,FALSE)</f>
        <v>#REF!</v>
      </c>
    </row>
    <row r="30" spans="1:12" ht="15.6">
      <c r="A30" s="880" t="s">
        <v>509</v>
      </c>
      <c r="B30" s="452">
        <v>3331554959</v>
      </c>
      <c r="C30" s="592" t="s">
        <v>27</v>
      </c>
      <c r="D30" s="452">
        <v>24140832</v>
      </c>
      <c r="E30" s="452" t="s">
        <v>150</v>
      </c>
      <c r="F30" s="490" t="s">
        <v>199</v>
      </c>
      <c r="G30" s="456">
        <v>25890.416000000001</v>
      </c>
      <c r="H30" s="452" t="s">
        <v>200</v>
      </c>
      <c r="I30" s="452">
        <v>1</v>
      </c>
      <c r="J30" s="452">
        <v>1</v>
      </c>
      <c r="K30" s="476" t="s">
        <v>204</v>
      </c>
      <c r="L30" s="898" t="e">
        <f>VLOOKUP(Table13465789[[#This Row],[Delivery]],#REF!,6,FALSE)</f>
        <v>#REF!</v>
      </c>
    </row>
    <row r="31" spans="1:12" s="108" customFormat="1" ht="15.6">
      <c r="A31" s="880" t="s">
        <v>509</v>
      </c>
      <c r="B31" s="452">
        <v>3331554624</v>
      </c>
      <c r="C31" s="592" t="s">
        <v>11</v>
      </c>
      <c r="D31" s="452">
        <v>24140833</v>
      </c>
      <c r="E31" s="452" t="s">
        <v>150</v>
      </c>
      <c r="F31" s="490" t="s">
        <v>199</v>
      </c>
      <c r="G31" s="456">
        <v>24768.171999999999</v>
      </c>
      <c r="H31" s="452" t="s">
        <v>200</v>
      </c>
      <c r="I31" s="452">
        <v>1</v>
      </c>
      <c r="J31" s="452">
        <v>1</v>
      </c>
      <c r="K31" s="476" t="s">
        <v>204</v>
      </c>
      <c r="L31" s="899" t="e">
        <f>VLOOKUP(Table13465789[[#This Row],[Delivery]],#REF!,6,FALSE)</f>
        <v>#REF!</v>
      </c>
    </row>
    <row r="32" spans="1:12" ht="15.6">
      <c r="A32" s="880" t="s">
        <v>509</v>
      </c>
      <c r="B32" s="452">
        <v>3331554971</v>
      </c>
      <c r="C32" s="592" t="s">
        <v>287</v>
      </c>
      <c r="D32" s="452">
        <v>24140834</v>
      </c>
      <c r="E32" s="452" t="s">
        <v>368</v>
      </c>
      <c r="F32" s="490" t="s">
        <v>199</v>
      </c>
      <c r="G32" s="456">
        <f>8648.42+15709.193</f>
        <v>24357.612999999998</v>
      </c>
      <c r="H32" s="452" t="s">
        <v>200</v>
      </c>
      <c r="I32" s="452">
        <v>1</v>
      </c>
      <c r="J32" s="452">
        <v>1</v>
      </c>
      <c r="K32" s="476" t="s">
        <v>204</v>
      </c>
      <c r="L32" s="898" t="e">
        <f>VLOOKUP(Table13465789[[#This Row],[Delivery]],#REF!,6,FALSE)</f>
        <v>#REF!</v>
      </c>
    </row>
    <row r="33" spans="1:12" ht="15.6">
      <c r="A33" s="880" t="s">
        <v>509</v>
      </c>
      <c r="B33" s="452">
        <v>3331554973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52" t="s">
        <v>256</v>
      </c>
      <c r="J33" s="452" t="s">
        <v>256</v>
      </c>
      <c r="K33" s="476"/>
      <c r="L33" s="898" t="e">
        <f>VLOOKUP(Table13465789[[#This Row],[Delivery]],#REF!,6,FALSE)</f>
        <v>#REF!</v>
      </c>
    </row>
    <row r="34" spans="1:12" ht="15.6">
      <c r="A34" s="880" t="s">
        <v>509</v>
      </c>
      <c r="B34" s="452">
        <v>3331554972</v>
      </c>
      <c r="C34" s="592" t="s">
        <v>287</v>
      </c>
      <c r="D34" s="452">
        <v>24140835</v>
      </c>
      <c r="E34" s="452" t="s">
        <v>368</v>
      </c>
      <c r="F34" s="490" t="s">
        <v>199</v>
      </c>
      <c r="G34" s="456">
        <f>5196.12+20342.074</f>
        <v>25538.194</v>
      </c>
      <c r="H34" s="452" t="s">
        <v>200</v>
      </c>
      <c r="I34" s="452">
        <v>1</v>
      </c>
      <c r="J34" s="452"/>
      <c r="K34" s="476" t="s">
        <v>204</v>
      </c>
      <c r="L34" s="899" t="e">
        <f>VLOOKUP(Table13465789[[#This Row],[Delivery]],#REF!,6,FALSE)</f>
        <v>#REF!</v>
      </c>
    </row>
    <row r="35" spans="1:12" ht="15.6">
      <c r="A35" s="880" t="s">
        <v>509</v>
      </c>
      <c r="B35" s="452">
        <v>3331554974</v>
      </c>
      <c r="C35" s="592" t="s">
        <v>256</v>
      </c>
      <c r="D35" s="452" t="s">
        <v>256</v>
      </c>
      <c r="E35" s="452" t="s">
        <v>256</v>
      </c>
      <c r="F35" s="490" t="s">
        <v>256</v>
      </c>
      <c r="G35" s="456" t="s">
        <v>256</v>
      </c>
      <c r="H35" s="452" t="s">
        <v>256</v>
      </c>
      <c r="I35" s="452" t="s">
        <v>256</v>
      </c>
      <c r="J35" s="452" t="s">
        <v>256</v>
      </c>
      <c r="K35" s="476"/>
      <c r="L35" s="899" t="e">
        <f>VLOOKUP(Table13465789[[#This Row],[Delivery]],#REF!,6,FALSE)</f>
        <v>#REF!</v>
      </c>
    </row>
    <row r="36" spans="1:12" ht="15.6">
      <c r="A36" s="880" t="s">
        <v>509</v>
      </c>
      <c r="B36" s="452">
        <v>3331554980</v>
      </c>
      <c r="C36" s="592" t="s">
        <v>206</v>
      </c>
      <c r="D36" s="592">
        <v>24140836</v>
      </c>
      <c r="E36" s="452" t="s">
        <v>226</v>
      </c>
      <c r="F36" s="490" t="s">
        <v>344</v>
      </c>
      <c r="G36" s="456">
        <v>40211.076999999997</v>
      </c>
      <c r="H36" s="452" t="s">
        <v>128</v>
      </c>
      <c r="I36" s="452">
        <v>1</v>
      </c>
      <c r="J36" s="452">
        <v>1</v>
      </c>
      <c r="K36" s="476" t="s">
        <v>204</v>
      </c>
      <c r="L36" s="898" t="e">
        <f>VLOOKUP(Table13465789[[#This Row],[Delivery]],#REF!,6,FALSE)</f>
        <v>#REF!</v>
      </c>
    </row>
    <row r="37" spans="1:12" ht="15.6">
      <c r="A37" s="880" t="s">
        <v>509</v>
      </c>
      <c r="B37" s="452">
        <v>3331554982</v>
      </c>
      <c r="C37" s="592" t="s">
        <v>206</v>
      </c>
      <c r="D37" s="490">
        <v>24140843</v>
      </c>
      <c r="E37" s="452" t="s">
        <v>226</v>
      </c>
      <c r="F37" s="490" t="s">
        <v>344</v>
      </c>
      <c r="G37" s="456">
        <f>16454.38+19353.428</f>
        <v>35807.808000000005</v>
      </c>
      <c r="H37" s="452" t="s">
        <v>128</v>
      </c>
      <c r="I37" s="452">
        <v>1</v>
      </c>
      <c r="J37" s="452">
        <v>1</v>
      </c>
      <c r="K37" s="476" t="s">
        <v>204</v>
      </c>
      <c r="L37" s="898" t="e">
        <f>VLOOKUP(Table13465789[[#This Row],[Delivery]],#REF!,6,FALSE)</f>
        <v>#REF!</v>
      </c>
    </row>
    <row r="38" spans="1:12" ht="15.6">
      <c r="A38" s="880" t="s">
        <v>509</v>
      </c>
      <c r="B38" s="452">
        <v>3331555001</v>
      </c>
      <c r="C38" s="592" t="s">
        <v>256</v>
      </c>
      <c r="D38" s="490" t="s">
        <v>256</v>
      </c>
      <c r="E38" s="452" t="s">
        <v>256</v>
      </c>
      <c r="F38" s="490" t="s">
        <v>256</v>
      </c>
      <c r="G38" s="456" t="s">
        <v>256</v>
      </c>
      <c r="H38" s="452" t="s">
        <v>256</v>
      </c>
      <c r="I38" s="452" t="s">
        <v>256</v>
      </c>
      <c r="J38" s="452" t="s">
        <v>256</v>
      </c>
      <c r="K38" s="476" t="s">
        <v>256</v>
      </c>
      <c r="L38" s="898" t="e">
        <f>VLOOKUP(Table13465789[[#This Row],[Delivery]],#REF!,6,FALSE)</f>
        <v>#REF!</v>
      </c>
    </row>
    <row r="39" spans="1:12" s="540" customFormat="1" ht="15.6">
      <c r="A39" s="526" t="s">
        <v>509</v>
      </c>
      <c r="B39" s="524">
        <v>3331554997</v>
      </c>
      <c r="C39" s="525" t="s">
        <v>27</v>
      </c>
      <c r="D39" s="524">
        <v>24140838</v>
      </c>
      <c r="E39" s="524" t="s">
        <v>224</v>
      </c>
      <c r="F39" s="528" t="s">
        <v>344</v>
      </c>
      <c r="G39" s="900">
        <v>26319.977999999999</v>
      </c>
      <c r="H39" s="524" t="s">
        <v>200</v>
      </c>
      <c r="I39" s="524">
        <v>1</v>
      </c>
      <c r="J39" s="524">
        <v>1</v>
      </c>
      <c r="K39" s="527" t="s">
        <v>204</v>
      </c>
      <c r="L39" s="540" t="e">
        <f>VLOOKUP(Table13465789[[#This Row],[Delivery]],#REF!,6,FALSE)</f>
        <v>#REF!</v>
      </c>
    </row>
    <row r="40" spans="1:12" s="540" customFormat="1" ht="15.6">
      <c r="A40" s="526" t="s">
        <v>509</v>
      </c>
      <c r="B40" s="524">
        <v>3331555006</v>
      </c>
      <c r="C40" s="525" t="s">
        <v>27</v>
      </c>
      <c r="D40" s="524">
        <v>24140839</v>
      </c>
      <c r="E40" s="528" t="s">
        <v>224</v>
      </c>
      <c r="F40" s="528" t="s">
        <v>344</v>
      </c>
      <c r="G40" s="900">
        <v>25546.364000000001</v>
      </c>
      <c r="H40" s="524" t="s">
        <v>200</v>
      </c>
      <c r="I40" s="524">
        <v>1</v>
      </c>
      <c r="J40" s="524">
        <v>1</v>
      </c>
      <c r="K40" s="527" t="s">
        <v>204</v>
      </c>
      <c r="L40" s="540" t="e">
        <f>VLOOKUP(Table13465789[[#This Row],[Delivery]],#REF!,6,FALSE)</f>
        <v>#REF!</v>
      </c>
    </row>
    <row r="41" spans="1:12" s="540" customFormat="1" ht="15.6">
      <c r="A41" s="526" t="s">
        <v>509</v>
      </c>
      <c r="B41" s="524">
        <v>3331555011</v>
      </c>
      <c r="C41" s="525" t="s">
        <v>27</v>
      </c>
      <c r="D41" s="524">
        <v>24140840</v>
      </c>
      <c r="E41" s="524" t="s">
        <v>224</v>
      </c>
      <c r="F41" s="528" t="s">
        <v>344</v>
      </c>
      <c r="G41" s="900">
        <v>25375.344000000001</v>
      </c>
      <c r="H41" s="524" t="s">
        <v>200</v>
      </c>
      <c r="I41" s="524">
        <v>1</v>
      </c>
      <c r="J41" s="524">
        <v>1</v>
      </c>
      <c r="K41" s="527" t="s">
        <v>204</v>
      </c>
      <c r="L41" s="540" t="e">
        <f>VLOOKUP(Table13465789[[#This Row],[Delivery]],#REF!,6,FALSE)</f>
        <v>#REF!</v>
      </c>
    </row>
    <row r="42" spans="1:12" s="540" customFormat="1" ht="15.6">
      <c r="A42" s="526" t="s">
        <v>509</v>
      </c>
      <c r="B42" s="524">
        <v>3331555013</v>
      </c>
      <c r="C42" s="525" t="s">
        <v>27</v>
      </c>
      <c r="D42" s="524">
        <v>24140844</v>
      </c>
      <c r="E42" s="524" t="s">
        <v>224</v>
      </c>
      <c r="F42" s="528" t="s">
        <v>344</v>
      </c>
      <c r="G42" s="900">
        <v>24901.518</v>
      </c>
      <c r="H42" s="524" t="s">
        <v>200</v>
      </c>
      <c r="I42" s="524">
        <v>1</v>
      </c>
      <c r="J42" s="524">
        <v>1</v>
      </c>
      <c r="K42" s="527" t="s">
        <v>204</v>
      </c>
      <c r="L42" s="540" t="e">
        <f>VLOOKUP(Table13465789[[#This Row],[Delivery]],#REF!,6,FALSE)</f>
        <v>#REF!</v>
      </c>
    </row>
    <row r="43" spans="1:12" s="540" customFormat="1" ht="15.6">
      <c r="A43" s="526" t="s">
        <v>509</v>
      </c>
      <c r="B43" s="524">
        <v>3331555017</v>
      </c>
      <c r="C43" s="525" t="s">
        <v>27</v>
      </c>
      <c r="D43" s="524">
        <v>24140849</v>
      </c>
      <c r="E43" s="528" t="s">
        <v>224</v>
      </c>
      <c r="F43" s="528" t="s">
        <v>344</v>
      </c>
      <c r="G43" s="900">
        <f>12990.3+8387.022+4723.17</f>
        <v>26100.491999999998</v>
      </c>
      <c r="H43" s="528" t="s">
        <v>200</v>
      </c>
      <c r="I43" s="524">
        <v>1</v>
      </c>
      <c r="J43" s="524">
        <v>1</v>
      </c>
      <c r="K43" s="527" t="s">
        <v>204</v>
      </c>
      <c r="L43" s="540" t="e">
        <f>VLOOKUP(Table13465789[[#This Row],[Delivery]],#REF!,6,FALSE)</f>
        <v>#REF!</v>
      </c>
    </row>
    <row r="44" spans="1:12" s="540" customFormat="1" ht="15.6">
      <c r="A44" s="526" t="s">
        <v>509</v>
      </c>
      <c r="B44" s="524">
        <v>3331555019</v>
      </c>
      <c r="C44" s="525" t="s">
        <v>256</v>
      </c>
      <c r="D44" s="525" t="s">
        <v>256</v>
      </c>
      <c r="E44" s="524" t="s">
        <v>256</v>
      </c>
      <c r="F44" s="528" t="s">
        <v>256</v>
      </c>
      <c r="G44" s="900" t="s">
        <v>256</v>
      </c>
      <c r="H44" s="524" t="s">
        <v>256</v>
      </c>
      <c r="I44" s="524" t="s">
        <v>256</v>
      </c>
      <c r="J44" s="524" t="s">
        <v>256</v>
      </c>
      <c r="K44" s="527" t="s">
        <v>256</v>
      </c>
      <c r="L44" s="540" t="e">
        <f>VLOOKUP(Table13465789[[#This Row],[Delivery]],#REF!,6,FALSE)</f>
        <v>#REF!</v>
      </c>
    </row>
    <row r="45" spans="1:12" s="540" customFormat="1" ht="15.6">
      <c r="A45" s="526" t="s">
        <v>509</v>
      </c>
      <c r="B45" s="524">
        <v>3331555030</v>
      </c>
      <c r="C45" s="525" t="s">
        <v>256</v>
      </c>
      <c r="D45" s="525" t="s">
        <v>256</v>
      </c>
      <c r="E45" s="524" t="s">
        <v>256</v>
      </c>
      <c r="F45" s="528" t="s">
        <v>256</v>
      </c>
      <c r="G45" s="900" t="s">
        <v>256</v>
      </c>
      <c r="H45" s="524" t="s">
        <v>256</v>
      </c>
      <c r="I45" s="524" t="s">
        <v>256</v>
      </c>
      <c r="J45" s="524" t="s">
        <v>256</v>
      </c>
      <c r="K45" s="527" t="s">
        <v>256</v>
      </c>
      <c r="L45" s="540" t="e">
        <f>VLOOKUP(Table13465789[[#This Row],[Delivery]],#REF!,6,FALSE)</f>
        <v>#REF!</v>
      </c>
    </row>
    <row r="46" spans="1:12" customFormat="1" ht="15.6">
      <c r="A46" s="880" t="s">
        <v>509</v>
      </c>
      <c r="B46" s="452">
        <v>3331555007</v>
      </c>
      <c r="C46" s="592" t="s">
        <v>287</v>
      </c>
      <c r="D46" s="452">
        <v>24140837</v>
      </c>
      <c r="E46" s="452" t="s">
        <v>447</v>
      </c>
      <c r="F46" s="490" t="s">
        <v>199</v>
      </c>
      <c r="G46" s="456">
        <v>24162.871999999999</v>
      </c>
      <c r="H46" s="452" t="s">
        <v>200</v>
      </c>
      <c r="I46" s="452">
        <v>1</v>
      </c>
      <c r="J46" s="452">
        <v>1</v>
      </c>
      <c r="K46" s="476" t="s">
        <v>204</v>
      </c>
      <c r="L46" s="906" t="e">
        <f>VLOOKUP(Table13465789[[#This Row],[Delivery]],#REF!,6,FALSE)</f>
        <v>#REF!</v>
      </c>
    </row>
    <row r="47" spans="1:12" customFormat="1" ht="15.6">
      <c r="A47" s="880" t="s">
        <v>509</v>
      </c>
      <c r="B47" s="452">
        <v>3331555012</v>
      </c>
      <c r="C47" s="592" t="s">
        <v>34</v>
      </c>
      <c r="D47" s="452">
        <v>24140841</v>
      </c>
      <c r="E47" s="452" t="s">
        <v>447</v>
      </c>
      <c r="F47" s="490" t="s">
        <v>199</v>
      </c>
      <c r="G47" s="456">
        <v>24801.780999999999</v>
      </c>
      <c r="H47" s="452" t="s">
        <v>200</v>
      </c>
      <c r="I47" s="452">
        <v>1</v>
      </c>
      <c r="J47" s="452">
        <v>1</v>
      </c>
      <c r="K47" s="476" t="s">
        <v>204</v>
      </c>
      <c r="L47" s="906" t="e">
        <f>VLOOKUP(Table13465789[[#This Row],[Delivery]],#REF!,6,FALSE)</f>
        <v>#REF!</v>
      </c>
    </row>
    <row r="48" spans="1:12" customFormat="1" ht="15.6">
      <c r="A48" s="880" t="s">
        <v>509</v>
      </c>
      <c r="B48" s="452">
        <v>3331555014</v>
      </c>
      <c r="C48" s="592" t="s">
        <v>34</v>
      </c>
      <c r="D48" s="452">
        <v>24140842</v>
      </c>
      <c r="E48" s="452" t="s">
        <v>447</v>
      </c>
      <c r="F48" s="490" t="s">
        <v>199</v>
      </c>
      <c r="G48" s="456">
        <v>25681.025000000001</v>
      </c>
      <c r="H48" s="452" t="s">
        <v>200</v>
      </c>
      <c r="I48" s="452">
        <v>1</v>
      </c>
      <c r="J48" s="452">
        <v>1</v>
      </c>
      <c r="K48" s="476" t="s">
        <v>204</v>
      </c>
      <c r="L48" s="906" t="e">
        <f>VLOOKUP(Table13465789[[#This Row],[Delivery]],#REF!,6,FALSE)</f>
        <v>#REF!</v>
      </c>
    </row>
    <row r="49" spans="1:12" customFormat="1" ht="15.6">
      <c r="A49" s="880" t="s">
        <v>509</v>
      </c>
      <c r="B49" s="452">
        <v>3331555020</v>
      </c>
      <c r="C49" s="592" t="s">
        <v>34</v>
      </c>
      <c r="D49" s="452">
        <v>24140845</v>
      </c>
      <c r="E49" s="452" t="s">
        <v>368</v>
      </c>
      <c r="F49" s="490" t="s">
        <v>199</v>
      </c>
      <c r="G49" s="456">
        <v>23472.494999999999</v>
      </c>
      <c r="H49" s="452" t="s">
        <v>200</v>
      </c>
      <c r="I49" s="452">
        <v>1</v>
      </c>
      <c r="J49" s="452">
        <v>1</v>
      </c>
      <c r="K49" s="476" t="s">
        <v>204</v>
      </c>
      <c r="L49" s="906" t="e">
        <f>VLOOKUP(Table13465789[[#This Row],[Delivery]],#REF!,6,FALSE)</f>
        <v>#REF!</v>
      </c>
    </row>
    <row r="50" spans="1:12" s="108" customFormat="1" ht="15.6">
      <c r="A50" s="880" t="s">
        <v>509</v>
      </c>
      <c r="B50" s="452">
        <v>3331555021</v>
      </c>
      <c r="C50" s="592" t="s">
        <v>34</v>
      </c>
      <c r="D50" s="452">
        <v>24140846</v>
      </c>
      <c r="E50" s="452" t="s">
        <v>368</v>
      </c>
      <c r="F50" s="490" t="s">
        <v>199</v>
      </c>
      <c r="G50" s="456">
        <v>23771.78</v>
      </c>
      <c r="H50" s="490" t="s">
        <v>200</v>
      </c>
      <c r="I50" s="452">
        <v>1</v>
      </c>
      <c r="J50" s="452">
        <v>1</v>
      </c>
      <c r="K50" s="476" t="s">
        <v>204</v>
      </c>
      <c r="L50" s="899" t="e">
        <f>VLOOKUP(Table13465789[[#This Row],[Delivery]],#REF!,6,FALSE)</f>
        <v>#REF!</v>
      </c>
    </row>
    <row r="51" spans="1:12" s="108" customFormat="1" ht="15.6">
      <c r="A51" s="880" t="s">
        <v>509</v>
      </c>
      <c r="B51" s="452">
        <v>3331555029</v>
      </c>
      <c r="C51" s="592" t="s">
        <v>34</v>
      </c>
      <c r="D51" s="452">
        <v>24140847</v>
      </c>
      <c r="E51" s="452" t="s">
        <v>150</v>
      </c>
      <c r="F51" s="490" t="s">
        <v>199</v>
      </c>
      <c r="G51" s="456">
        <v>25244.483</v>
      </c>
      <c r="H51" s="452" t="s">
        <v>200</v>
      </c>
      <c r="I51" s="452">
        <v>1</v>
      </c>
      <c r="J51" s="452">
        <v>1</v>
      </c>
      <c r="K51" s="476" t="s">
        <v>204</v>
      </c>
      <c r="L51" s="899" t="e">
        <f>VLOOKUP(Table13465789[[#This Row],[Delivery]],#REF!,6,FALSE)</f>
        <v>#REF!</v>
      </c>
    </row>
    <row r="52" spans="1:12" s="108" customFormat="1" ht="15.6">
      <c r="A52" s="880" t="s">
        <v>509</v>
      </c>
      <c r="B52" s="452">
        <v>3331555062</v>
      </c>
      <c r="C52" s="592" t="s">
        <v>34</v>
      </c>
      <c r="D52" s="452">
        <v>24140852</v>
      </c>
      <c r="E52" s="452" t="s">
        <v>243</v>
      </c>
      <c r="F52" s="490" t="s">
        <v>199</v>
      </c>
      <c r="G52" s="456">
        <v>24803.936000000002</v>
      </c>
      <c r="H52" s="452" t="s">
        <v>200</v>
      </c>
      <c r="I52" s="452">
        <v>1</v>
      </c>
      <c r="J52" s="452">
        <v>1</v>
      </c>
      <c r="K52" s="476" t="s">
        <v>204</v>
      </c>
      <c r="L52" s="899" t="e">
        <f>VLOOKUP(Table13465789[[#This Row],[Delivery]],#REF!,6,FALSE)</f>
        <v>#REF!</v>
      </c>
    </row>
    <row r="53" spans="1:12" s="108" customFormat="1" ht="15.6">
      <c r="A53" s="880" t="s">
        <v>509</v>
      </c>
      <c r="B53" s="452">
        <v>3331555067</v>
      </c>
      <c r="C53" s="592" t="s">
        <v>34</v>
      </c>
      <c r="D53" s="452">
        <v>24140853</v>
      </c>
      <c r="E53" s="452" t="s">
        <v>243</v>
      </c>
      <c r="F53" s="490" t="s">
        <v>199</v>
      </c>
      <c r="G53" s="456">
        <v>26115.42</v>
      </c>
      <c r="H53" s="452" t="s">
        <v>200</v>
      </c>
      <c r="I53" s="452">
        <v>1</v>
      </c>
      <c r="J53" s="452">
        <v>1</v>
      </c>
      <c r="K53" s="476" t="s">
        <v>204</v>
      </c>
      <c r="L53" s="899" t="e">
        <f>VLOOKUP(Table13465789[[#This Row],[Delivery]],#REF!,6,FALSE)</f>
        <v>#REF!</v>
      </c>
    </row>
    <row r="54" spans="1:12" s="108" customFormat="1" ht="15.6">
      <c r="A54" s="880" t="s">
        <v>509</v>
      </c>
      <c r="B54" s="452">
        <v>3331555072</v>
      </c>
      <c r="C54" s="592" t="s">
        <v>11</v>
      </c>
      <c r="D54" s="452">
        <v>24140854</v>
      </c>
      <c r="E54" s="452" t="s">
        <v>243</v>
      </c>
      <c r="F54" s="490" t="s">
        <v>199</v>
      </c>
      <c r="G54" s="456">
        <v>25297.739000000001</v>
      </c>
      <c r="H54" s="452" t="s">
        <v>200</v>
      </c>
      <c r="I54" s="452">
        <v>1</v>
      </c>
      <c r="J54" s="452">
        <v>1</v>
      </c>
      <c r="K54" s="476" t="s">
        <v>204</v>
      </c>
      <c r="L54" s="899" t="e">
        <f>VLOOKUP(Table13465789[[#This Row],[Delivery]],#REF!,6,FALSE)</f>
        <v>#REF!</v>
      </c>
    </row>
    <row r="55" spans="1:12" s="108" customFormat="1" ht="15.6">
      <c r="A55" s="880" t="s">
        <v>509</v>
      </c>
      <c r="B55" s="452">
        <v>3331555082</v>
      </c>
      <c r="C55" s="592" t="s">
        <v>11</v>
      </c>
      <c r="D55" s="452">
        <v>24140856</v>
      </c>
      <c r="E55" s="452" t="s">
        <v>491</v>
      </c>
      <c r="F55" s="490" t="s">
        <v>199</v>
      </c>
      <c r="G55" s="456">
        <v>24642.724999999999</v>
      </c>
      <c r="H55" s="452" t="s">
        <v>200</v>
      </c>
      <c r="I55" s="452">
        <v>1</v>
      </c>
      <c r="J55" s="452">
        <v>1</v>
      </c>
      <c r="K55" s="476" t="s">
        <v>204</v>
      </c>
      <c r="L55" s="899" t="e">
        <f>VLOOKUP(Table13465789[[#This Row],[Delivery]],#REF!,6,FALSE)</f>
        <v>#REF!</v>
      </c>
    </row>
    <row r="56" spans="1:12" s="108" customFormat="1" ht="15.6">
      <c r="A56" s="880" t="s">
        <v>509</v>
      </c>
      <c r="B56" s="452">
        <v>3331555091</v>
      </c>
      <c r="C56" s="592" t="s">
        <v>11</v>
      </c>
      <c r="D56" s="452">
        <v>24140857</v>
      </c>
      <c r="E56" s="452" t="s">
        <v>490</v>
      </c>
      <c r="F56" s="490" t="s">
        <v>199</v>
      </c>
      <c r="G56" s="456">
        <v>16865.166000000001</v>
      </c>
      <c r="H56" s="452" t="s">
        <v>200</v>
      </c>
      <c r="I56" s="452">
        <v>1</v>
      </c>
      <c r="J56" s="452">
        <v>1</v>
      </c>
      <c r="K56" s="476" t="s">
        <v>204</v>
      </c>
      <c r="L56" s="899" t="e">
        <f>VLOOKUP(Table13465789[[#This Row],[Delivery]],#REF!,6,FALSE)</f>
        <v>#REF!</v>
      </c>
    </row>
    <row r="57" spans="1:12" ht="15.6">
      <c r="A57" s="533"/>
      <c r="B57" s="534"/>
      <c r="C57" s="535"/>
      <c r="D57" s="534"/>
      <c r="E57" s="534" t="s">
        <v>512</v>
      </c>
      <c r="F57" s="536"/>
      <c r="G57" s="907"/>
      <c r="H57" s="534"/>
      <c r="I57" s="534"/>
      <c r="J57" s="534"/>
      <c r="K57" s="537"/>
      <c r="L57" s="898" t="e">
        <f>VLOOKUP(Table13465789[[#This Row],[Delivery]],#REF!,6,FALSE)</f>
        <v>#REF!</v>
      </c>
    </row>
    <row r="58" spans="1:12" s="108" customFormat="1" ht="15.6">
      <c r="A58" s="769" t="s">
        <v>513</v>
      </c>
      <c r="B58" s="592">
        <v>3331555145</v>
      </c>
      <c r="C58" s="592" t="s">
        <v>336</v>
      </c>
      <c r="D58" s="452">
        <v>24140859</v>
      </c>
      <c r="E58" s="452" t="s">
        <v>497</v>
      </c>
      <c r="F58" s="490" t="s">
        <v>338</v>
      </c>
      <c r="G58" s="456">
        <v>33217.114000000001</v>
      </c>
      <c r="H58" s="452" t="s">
        <v>128</v>
      </c>
      <c r="I58" s="452">
        <v>1</v>
      </c>
      <c r="J58" s="452">
        <v>1</v>
      </c>
      <c r="K58" s="529" t="s">
        <v>204</v>
      </c>
      <c r="L58" s="899" t="e">
        <f>VLOOKUP(Table13465789[[#This Row],[Delivery]],#REF!,6,FALSE)</f>
        <v>#REF!</v>
      </c>
    </row>
    <row r="59" spans="1:12" s="108" customFormat="1" ht="15.6">
      <c r="A59" s="769" t="s">
        <v>513</v>
      </c>
      <c r="B59" s="592">
        <v>3331555152</v>
      </c>
      <c r="C59" s="452" t="s">
        <v>256</v>
      </c>
      <c r="D59" s="452" t="s">
        <v>256</v>
      </c>
      <c r="E59" s="452" t="s">
        <v>256</v>
      </c>
      <c r="F59" s="490" t="s">
        <v>256</v>
      </c>
      <c r="G59" s="456" t="s">
        <v>256</v>
      </c>
      <c r="H59" s="452" t="s">
        <v>256</v>
      </c>
      <c r="I59" s="452" t="s">
        <v>256</v>
      </c>
      <c r="J59" s="452" t="s">
        <v>256</v>
      </c>
      <c r="K59" s="529" t="s">
        <v>256</v>
      </c>
      <c r="L59" s="899" t="e">
        <f>VLOOKUP(Table13465789[[#This Row],[Delivery]],#REF!,6,FALSE)</f>
        <v>#REF!</v>
      </c>
    </row>
    <row r="60" spans="1:12" ht="15.6">
      <c r="A60" s="908" t="s">
        <v>509</v>
      </c>
      <c r="B60" s="887">
        <v>3331555128</v>
      </c>
      <c r="C60" s="480" t="s">
        <v>27</v>
      </c>
      <c r="D60" s="480">
        <v>24140858</v>
      </c>
      <c r="E60" s="480" t="s">
        <v>430</v>
      </c>
      <c r="F60" s="502" t="s">
        <v>338</v>
      </c>
      <c r="G60" s="481">
        <f>33400.421+9461.43+1410.915</f>
        <v>44272.766000000003</v>
      </c>
      <c r="H60" s="480" t="s">
        <v>128</v>
      </c>
      <c r="I60" s="480">
        <v>1</v>
      </c>
      <c r="J60" s="480">
        <v>1</v>
      </c>
      <c r="K60" s="539" t="s">
        <v>207</v>
      </c>
      <c r="L60" s="898"/>
    </row>
    <row r="61" spans="1:12" ht="15.6">
      <c r="A61" s="908" t="s">
        <v>514</v>
      </c>
      <c r="B61" s="887">
        <v>3331555143</v>
      </c>
      <c r="C61" s="480" t="s">
        <v>256</v>
      </c>
      <c r="D61" s="480" t="s">
        <v>256</v>
      </c>
      <c r="E61" s="480" t="s">
        <v>256</v>
      </c>
      <c r="F61" s="502" t="s">
        <v>256</v>
      </c>
      <c r="G61" s="481" t="s">
        <v>256</v>
      </c>
      <c r="H61" s="480" t="s">
        <v>256</v>
      </c>
      <c r="I61" s="480" t="s">
        <v>256</v>
      </c>
      <c r="J61" s="480" t="s">
        <v>256</v>
      </c>
      <c r="K61" s="539" t="s">
        <v>256</v>
      </c>
      <c r="L61" s="898"/>
    </row>
    <row r="62" spans="1:12" ht="15.6">
      <c r="A62" s="908" t="s">
        <v>355</v>
      </c>
      <c r="B62" s="887">
        <v>3331555144</v>
      </c>
      <c r="C62" s="480" t="s">
        <v>256</v>
      </c>
      <c r="D62" s="480" t="s">
        <v>256</v>
      </c>
      <c r="E62" s="480" t="s">
        <v>256</v>
      </c>
      <c r="F62" s="502" t="s">
        <v>256</v>
      </c>
      <c r="G62" s="481" t="s">
        <v>256</v>
      </c>
      <c r="H62" s="480" t="s">
        <v>256</v>
      </c>
      <c r="I62" s="480" t="s">
        <v>256</v>
      </c>
      <c r="J62" s="480" t="s">
        <v>256</v>
      </c>
      <c r="K62" s="539" t="s">
        <v>256</v>
      </c>
      <c r="L62" s="898"/>
    </row>
    <row r="63" spans="1:12" ht="15.6">
      <c r="A63" s="909" t="s">
        <v>509</v>
      </c>
      <c r="B63" s="910">
        <v>3331555150</v>
      </c>
      <c r="C63" s="541" t="s">
        <v>515</v>
      </c>
      <c r="D63" s="541">
        <v>24140860</v>
      </c>
      <c r="E63" s="541" t="s">
        <v>413</v>
      </c>
      <c r="F63" s="542" t="s">
        <v>338</v>
      </c>
      <c r="G63" s="543">
        <f>2394.28+34251.091</f>
        <v>36645.370999999999</v>
      </c>
      <c r="H63" s="541" t="s">
        <v>128</v>
      </c>
      <c r="I63" s="541">
        <v>1</v>
      </c>
      <c r="J63" s="541">
        <v>1</v>
      </c>
      <c r="K63" s="544" t="s">
        <v>204</v>
      </c>
      <c r="L63" s="911"/>
    </row>
    <row r="64" spans="1:12" ht="15.6">
      <c r="A64" s="909" t="s">
        <v>509</v>
      </c>
      <c r="B64" s="910">
        <v>3331555165</v>
      </c>
      <c r="C64" s="541" t="s">
        <v>256</v>
      </c>
      <c r="D64" s="541" t="s">
        <v>256</v>
      </c>
      <c r="E64" s="541" t="s">
        <v>256</v>
      </c>
      <c r="F64" s="542" t="s">
        <v>256</v>
      </c>
      <c r="G64" s="543" t="s">
        <v>256</v>
      </c>
      <c r="H64" s="541" t="s">
        <v>256</v>
      </c>
      <c r="I64" s="541" t="s">
        <v>256</v>
      </c>
      <c r="J64" s="541" t="s">
        <v>256</v>
      </c>
      <c r="K64" s="544" t="s">
        <v>256</v>
      </c>
      <c r="L64" s="911" t="e">
        <f>VLOOKUP(Table13465789[[#This Row],[Delivery]],#REF!,6,FALSE)</f>
        <v>#REF!</v>
      </c>
    </row>
    <row r="65" spans="1:12" ht="15.6">
      <c r="A65" s="769" t="s">
        <v>513</v>
      </c>
      <c r="B65" s="592">
        <v>3331555149</v>
      </c>
      <c r="C65" s="452" t="s">
        <v>206</v>
      </c>
      <c r="D65" s="452">
        <v>24140861</v>
      </c>
      <c r="E65" s="452" t="s">
        <v>430</v>
      </c>
      <c r="F65" s="490" t="s">
        <v>338</v>
      </c>
      <c r="G65" s="456">
        <f>17030.574+26550.855</f>
        <v>43581.429000000004</v>
      </c>
      <c r="H65" s="452" t="s">
        <v>128</v>
      </c>
      <c r="I65" s="452">
        <v>1</v>
      </c>
      <c r="J65" s="452">
        <v>1</v>
      </c>
      <c r="K65" s="529" t="s">
        <v>204</v>
      </c>
      <c r="L65" s="899"/>
    </row>
    <row r="66" spans="1:12" ht="15.6">
      <c r="A66" s="769" t="s">
        <v>509</v>
      </c>
      <c r="B66" s="592">
        <v>3331555157</v>
      </c>
      <c r="C66" s="452" t="s">
        <v>256</v>
      </c>
      <c r="D66" s="452" t="s">
        <v>256</v>
      </c>
      <c r="E66" s="452" t="s">
        <v>256</v>
      </c>
      <c r="F66" s="490" t="s">
        <v>256</v>
      </c>
      <c r="G66" s="456" t="s">
        <v>256</v>
      </c>
      <c r="H66" s="452" t="s">
        <v>256</v>
      </c>
      <c r="I66" s="452" t="s">
        <v>256</v>
      </c>
      <c r="J66" s="452" t="s">
        <v>256</v>
      </c>
      <c r="K66" s="529" t="s">
        <v>256</v>
      </c>
      <c r="L66" s="899" t="e">
        <f>VLOOKUP(Table13465789[[#This Row],[Delivery]],#REF!,6,FALSE)</f>
        <v>#REF!</v>
      </c>
    </row>
    <row r="67" spans="1:12" ht="15.6">
      <c r="A67" s="880" t="s">
        <v>513</v>
      </c>
      <c r="B67" s="884">
        <v>3331555158</v>
      </c>
      <c r="C67" s="884" t="s">
        <v>515</v>
      </c>
      <c r="D67" s="493">
        <v>24140862</v>
      </c>
      <c r="E67" s="493" t="s">
        <v>516</v>
      </c>
      <c r="F67" s="490" t="s">
        <v>338</v>
      </c>
      <c r="G67" s="456">
        <f>29920.955+11759.134</f>
        <v>41680.089</v>
      </c>
      <c r="H67" s="452" t="s">
        <v>128</v>
      </c>
      <c r="I67" s="452">
        <v>1</v>
      </c>
      <c r="J67" s="452">
        <v>1</v>
      </c>
      <c r="K67" s="529" t="s">
        <v>207</v>
      </c>
      <c r="L67" s="898"/>
    </row>
    <row r="68" spans="1:12" ht="15.6">
      <c r="A68" s="880" t="s">
        <v>513</v>
      </c>
      <c r="B68" s="884">
        <v>3331555167</v>
      </c>
      <c r="C68" s="884" t="s">
        <v>256</v>
      </c>
      <c r="D68" s="493" t="s">
        <v>256</v>
      </c>
      <c r="E68" s="493" t="s">
        <v>256</v>
      </c>
      <c r="F68" s="490" t="s">
        <v>256</v>
      </c>
      <c r="G68" s="456" t="s">
        <v>256</v>
      </c>
      <c r="H68" s="452" t="s">
        <v>256</v>
      </c>
      <c r="I68" s="452" t="s">
        <v>256</v>
      </c>
      <c r="J68" s="452" t="s">
        <v>256</v>
      </c>
      <c r="K68" s="529" t="s">
        <v>256</v>
      </c>
      <c r="L68" s="898"/>
    </row>
    <row r="69" spans="1:12" ht="15.6">
      <c r="A69" s="880" t="s">
        <v>509</v>
      </c>
      <c r="B69" s="592">
        <v>3331555172</v>
      </c>
      <c r="C69" s="592" t="s">
        <v>11</v>
      </c>
      <c r="D69" s="452">
        <v>24140864</v>
      </c>
      <c r="E69" s="452" t="s">
        <v>290</v>
      </c>
      <c r="F69" s="490" t="s">
        <v>199</v>
      </c>
      <c r="G69" s="456">
        <f>1733.625+21412.611+1940.957</f>
        <v>25087.192999999999</v>
      </c>
      <c r="H69" s="452" t="s">
        <v>200</v>
      </c>
      <c r="I69" s="452">
        <v>1</v>
      </c>
      <c r="J69" s="452">
        <v>1</v>
      </c>
      <c r="K69" s="476" t="s">
        <v>204</v>
      </c>
      <c r="L69" s="898"/>
    </row>
    <row r="70" spans="1:12" ht="15.6">
      <c r="A70" s="880" t="s">
        <v>509</v>
      </c>
      <c r="B70" s="452">
        <v>3331555173</v>
      </c>
      <c r="C70" s="592"/>
      <c r="D70" s="452" t="s">
        <v>256</v>
      </c>
      <c r="E70" s="452" t="s">
        <v>256</v>
      </c>
      <c r="F70" s="490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/>
      <c r="L70" s="898" t="e">
        <f>VLOOKUP(Table13465789[[#This Row],[Delivery]],#REF!,6,FALSE)</f>
        <v>#REF!</v>
      </c>
    </row>
    <row r="71" spans="1:12" ht="15.6">
      <c r="A71" s="880" t="s">
        <v>509</v>
      </c>
      <c r="B71" s="452">
        <v>3331555174</v>
      </c>
      <c r="C71" s="592"/>
      <c r="D71" s="490" t="s">
        <v>256</v>
      </c>
      <c r="E71" s="490" t="s">
        <v>256</v>
      </c>
      <c r="F71" s="490" t="s">
        <v>256</v>
      </c>
      <c r="G71" s="491" t="s">
        <v>256</v>
      </c>
      <c r="H71" s="490" t="s">
        <v>256</v>
      </c>
      <c r="I71" s="452" t="s">
        <v>256</v>
      </c>
      <c r="J71" s="452" t="s">
        <v>256</v>
      </c>
      <c r="K71" s="476"/>
      <c r="L71" s="898"/>
    </row>
    <row r="72" spans="1:12" ht="15.6">
      <c r="A72" s="880" t="s">
        <v>513</v>
      </c>
      <c r="B72" s="452">
        <v>3331554682</v>
      </c>
      <c r="C72" s="592" t="s">
        <v>336</v>
      </c>
      <c r="D72" s="452">
        <v>24140860</v>
      </c>
      <c r="E72" s="452" t="s">
        <v>303</v>
      </c>
      <c r="F72" s="490" t="s">
        <v>338</v>
      </c>
      <c r="G72" s="456">
        <v>11052.67</v>
      </c>
      <c r="H72" s="452" t="s">
        <v>128</v>
      </c>
      <c r="I72" s="452">
        <v>1</v>
      </c>
      <c r="J72" s="452">
        <v>1</v>
      </c>
      <c r="K72" s="476" t="s">
        <v>204</v>
      </c>
      <c r="L72" s="899" t="e">
        <f>VLOOKUP(Table13465789[[#This Row],[Delivery]],#REF!,6,FALSE)</f>
        <v>#REF!</v>
      </c>
    </row>
    <row r="73" spans="1:12">
      <c r="A73" s="880" t="s">
        <v>513</v>
      </c>
      <c r="B73" s="452">
        <v>3331555044</v>
      </c>
      <c r="C73" s="592" t="s">
        <v>336</v>
      </c>
      <c r="D73" s="490" t="s">
        <v>256</v>
      </c>
      <c r="E73" s="490" t="s">
        <v>256</v>
      </c>
      <c r="F73" s="490" t="s">
        <v>256</v>
      </c>
      <c r="G73" s="490" t="s">
        <v>256</v>
      </c>
      <c r="H73" s="490" t="s">
        <v>256</v>
      </c>
      <c r="I73" s="490" t="s">
        <v>256</v>
      </c>
      <c r="J73" s="490" t="s">
        <v>256</v>
      </c>
      <c r="K73" s="490" t="s">
        <v>256</v>
      </c>
      <c r="L73" s="899" t="e">
        <f>VLOOKUP(Table13465789[[#This Row],[Delivery]],#REF!,6,FALSE)</f>
        <v>#REF!</v>
      </c>
    </row>
    <row r="74" spans="1:12">
      <c r="A74" s="880" t="s">
        <v>513</v>
      </c>
      <c r="B74" s="452">
        <v>3331555150</v>
      </c>
      <c r="C74" s="592" t="s">
        <v>336</v>
      </c>
      <c r="D74" s="490" t="s">
        <v>256</v>
      </c>
      <c r="E74" s="490" t="s">
        <v>256</v>
      </c>
      <c r="F74" s="490" t="s">
        <v>256</v>
      </c>
      <c r="G74" s="490" t="s">
        <v>256</v>
      </c>
      <c r="H74" s="490" t="s">
        <v>256</v>
      </c>
      <c r="I74" s="490" t="s">
        <v>256</v>
      </c>
      <c r="J74" s="490" t="s">
        <v>256</v>
      </c>
      <c r="K74" s="490" t="s">
        <v>256</v>
      </c>
      <c r="L74" s="899" t="e">
        <f>VLOOKUP(Table13465789[[#This Row],[Delivery]],#REF!,6,FALSE)</f>
        <v>#REF!</v>
      </c>
    </row>
    <row r="77" spans="1:12" ht="21">
      <c r="A77"/>
      <c r="B77" s="422" t="s">
        <v>244</v>
      </c>
      <c r="C77"/>
      <c r="D77"/>
      <c r="F77"/>
      <c r="G77"/>
      <c r="H77"/>
      <c r="I77"/>
      <c r="J77"/>
      <c r="K77"/>
      <c r="L77"/>
    </row>
    <row r="78" spans="1:12" ht="18">
      <c r="B78" s="251" t="s">
        <v>304</v>
      </c>
      <c r="C78"/>
      <c r="D78"/>
      <c r="F78"/>
      <c r="G78"/>
      <c r="H78"/>
      <c r="I78" s="373"/>
      <c r="J78"/>
      <c r="K78"/>
      <c r="L78"/>
    </row>
    <row r="79" spans="1:12" ht="18">
      <c r="A79"/>
      <c r="B79" s="251" t="s">
        <v>361</v>
      </c>
      <c r="C79"/>
      <c r="D79"/>
      <c r="F79"/>
      <c r="G79"/>
      <c r="H79"/>
      <c r="I79"/>
      <c r="J79"/>
      <c r="K79"/>
      <c r="L79"/>
    </row>
    <row r="80" spans="1:12">
      <c r="A80"/>
      <c r="B80"/>
      <c r="C80"/>
      <c r="D80"/>
      <c r="F80"/>
      <c r="G80"/>
      <c r="H80"/>
      <c r="I80"/>
      <c r="J80"/>
      <c r="K80"/>
      <c r="L80"/>
    </row>
    <row r="81" spans="1:12">
      <c r="A81"/>
      <c r="B81"/>
      <c r="C81"/>
      <c r="D81"/>
      <c r="F81"/>
      <c r="G81"/>
      <c r="H81"/>
      <c r="I81"/>
      <c r="J81"/>
      <c r="K81"/>
      <c r="L81"/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7728-494B-4285-9128-78547FC79498}">
  <dimension ref="A1:L74"/>
  <sheetViews>
    <sheetView showGridLines="0" topLeftCell="A40" zoomScale="85" zoomScaleNormal="85" workbookViewId="0">
      <selection activeCell="E35" sqref="E35"/>
    </sheetView>
  </sheetViews>
  <sheetFormatPr defaultColWidth="9.109375" defaultRowHeight="14.4"/>
  <cols>
    <col min="1" max="1" width="32.88671875" style="44" customWidth="1"/>
    <col min="2" max="2" width="14.44140625" style="44" customWidth="1"/>
    <col min="3" max="3" width="14.44140625" style="44" bestFit="1" customWidth="1"/>
    <col min="4" max="4" width="27.88671875" style="44" customWidth="1"/>
    <col min="5" max="5" width="52.109375" style="358" customWidth="1"/>
    <col min="6" max="6" width="27" style="44" customWidth="1"/>
    <col min="7" max="7" width="13.88671875" style="44" customWidth="1"/>
    <col min="8" max="8" width="26.44140625" style="44" customWidth="1"/>
    <col min="9" max="9" width="20.109375" style="44" customWidth="1"/>
    <col min="10" max="10" width="23.33203125" style="44" bestFit="1" customWidth="1"/>
    <col min="11" max="11" width="15.88671875" style="44" bestFit="1" customWidth="1"/>
    <col min="12" max="12" width="11" style="44" hidden="1" customWidth="1"/>
    <col min="13" max="16384" width="9.10937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SUM(I19:I1103)</f>
        <v>36</v>
      </c>
      <c r="C3" s="405"/>
      <c r="D3" s="353" t="s">
        <v>199</v>
      </c>
      <c r="E3" s="420">
        <f>COUNTIF($F$19:$F$55,"JABODETABEK")</f>
        <v>17</v>
      </c>
      <c r="F3" s="318">
        <f>SUMIF($F$22:$F$55, "JABODETABEK", $G$22:$G$55)</f>
        <v>427773.15499999997</v>
      </c>
      <c r="G3" s="343"/>
      <c r="H3" s="196" t="s">
        <v>317</v>
      </c>
      <c r="I3" s="538">
        <f>COUNTIF($F$19:$F$67,"INTERISLAND")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SUM(J19:J1137)</f>
        <v>31</v>
      </c>
      <c r="C4"/>
      <c r="D4" s="353" t="s">
        <v>203</v>
      </c>
      <c r="E4" s="245">
        <f>COUNTIF($F$19:$F$55, "JAWA TENGAH")</f>
        <v>6</v>
      </c>
      <c r="F4" s="318">
        <f>SUMIF($F$22:$F$55, "JAWA TENGAH", $G$22:$G$55)</f>
        <v>161979.20299999998</v>
      </c>
      <c r="G4"/>
      <c r="K4"/>
      <c r="L4"/>
    </row>
    <row r="5" spans="1:12" ht="33.6">
      <c r="A5" s="351" t="s">
        <v>265</v>
      </c>
      <c r="B5" s="315">
        <f>COUNTIF($K$19:$K$986,"MASUK")</f>
        <v>32</v>
      </c>
      <c r="C5" s="400"/>
      <c r="D5" s="439" t="s">
        <v>205</v>
      </c>
      <c r="E5" s="247">
        <f>COUNTIF($F$19:$F$55,"JAWA TIMUR")</f>
        <v>7</v>
      </c>
      <c r="F5" s="318">
        <f>SUMIF($F$22:$F$55, "JAWA TIMUR", $G$22:$G$55)</f>
        <v>255655.48799999998</v>
      </c>
      <c r="G5"/>
      <c r="K5"/>
      <c r="L5"/>
    </row>
    <row r="6" spans="1:12" ht="33.6">
      <c r="A6" s="351" t="s">
        <v>207</v>
      </c>
      <c r="B6" s="315">
        <f>COUNTIF($K$22:$K$986,"BELUM MASUK")</f>
        <v>4</v>
      </c>
      <c r="C6" s="396"/>
      <c r="D6" s="497" t="s">
        <v>312</v>
      </c>
      <c r="E6" s="498">
        <f>SUM(E3:E5)</f>
        <v>30</v>
      </c>
      <c r="F6" s="496">
        <f>SUM(F3:F5)</f>
        <v>845407.84600000002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5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COUNTIF($F$22:$F$95,"COKOT SORANGAN")</f>
        <v>1</v>
      </c>
      <c r="J8" s="496">
        <f>SUMIF(F14:F1009,"COKOT SORANGAN",G14:G1009)</f>
        <v>26599.333999999999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SUMIF($H$22:$H$1009, "TRAILER", $I$22:$I$1008)</f>
        <v>11</v>
      </c>
      <c r="C10" s="275"/>
      <c r="D10" s="424" t="s">
        <v>199</v>
      </c>
      <c r="E10" s="425" cm="1">
        <f t="array" ref="E10">SUMPRODUCT(--(RIGHT($F$57:$F$6921,20)="JABODETABEK NEXT DAY"))</f>
        <v>0</v>
      </c>
      <c r="F10" s="423">
        <f ca="1">SUMIF(F57:F4290, "JABODETABEK NEXT DAY", G57:G474)</f>
        <v>0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SUMIF($H$22:$H$1010,"TRONTON", $I$22:$I$1009)</f>
        <v>23</v>
      </c>
      <c r="C11"/>
      <c r="D11" s="439" t="s">
        <v>203</v>
      </c>
      <c r="E11" s="425" cm="1">
        <f t="array" ref="E11">SUMPRODUCT(--(RIGHT($F$57:$F$6921,20)="JAWA TENGAH NEXT DAY"))</f>
        <v>0</v>
      </c>
      <c r="F11" s="423">
        <f>SUMIF(F57:F484, "JAWA TENGAH NEXT DAY", G57:G484)</f>
        <v>0</v>
      </c>
      <c r="G11" s="253"/>
      <c r="H11" s="281"/>
      <c r="I11" s="442"/>
      <c r="J11" s="443"/>
      <c r="K11" s="307"/>
      <c r="L11"/>
    </row>
    <row r="12" spans="1:12" ht="27" customHeight="1">
      <c r="A12" s="430" t="s">
        <v>365</v>
      </c>
      <c r="B12" s="380">
        <f ca="1">SUMIF($H$22:$H$1010, "CN 40 HC", $I$22:$I$1009)</f>
        <v>0</v>
      </c>
      <c r="C12"/>
      <c r="D12" s="440" t="s">
        <v>205</v>
      </c>
      <c r="E12" s="245" cm="1">
        <f t="array" ref="E12">SUMPRODUCT(--(RIGHT($F$57:$F$6921,20)="JAWA TIMUR NEXT DAY"))</f>
        <v>5</v>
      </c>
      <c r="F12" s="423">
        <f>SUMIF(F57:F494, "JAWA TIMUR NEXT DAY", G57:G494)</f>
        <v>217280.24799999999</v>
      </c>
      <c r="G12" s="253"/>
      <c r="H12"/>
      <c r="I12" s="281"/>
      <c r="J12" s="348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313</v>
      </c>
      <c r="E13" s="499">
        <f>SUM(E10:E12)</f>
        <v>5</v>
      </c>
      <c r="F13" s="496">
        <f>SUM($J$3:$J$5)</f>
        <v>0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36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>F6+J6+F13+J10+J14</f>
        <v>845407.84600000002</v>
      </c>
      <c r="F16" s="327"/>
      <c r="G16" s="253"/>
      <c r="H16"/>
      <c r="I16" s="281"/>
      <c r="J16" s="348"/>
      <c r="K16" s="307"/>
      <c r="L16"/>
    </row>
    <row r="18" spans="1:12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</row>
    <row r="19" spans="1:12" ht="15.6">
      <c r="A19" s="897" t="s">
        <v>513</v>
      </c>
      <c r="B19" s="592">
        <v>3331555128</v>
      </c>
      <c r="C19" s="592" t="s">
        <v>27</v>
      </c>
      <c r="D19" s="452">
        <v>24140858</v>
      </c>
      <c r="E19" s="565" t="s">
        <v>430</v>
      </c>
      <c r="F19" s="569" t="s">
        <v>205</v>
      </c>
      <c r="G19" s="456">
        <f>33400.421+9461.43+1410.915</f>
        <v>44272.766000000003</v>
      </c>
      <c r="H19" s="452" t="s">
        <v>128</v>
      </c>
      <c r="I19" s="592">
        <v>1</v>
      </c>
      <c r="J19" s="592">
        <v>1</v>
      </c>
      <c r="K19" s="476" t="s">
        <v>204</v>
      </c>
      <c r="L19" s="912"/>
    </row>
    <row r="20" spans="1:12" ht="15.6">
      <c r="A20" s="897" t="s">
        <v>513</v>
      </c>
      <c r="B20" s="592">
        <v>3331555143</v>
      </c>
      <c r="C20" s="592" t="s">
        <v>256</v>
      </c>
      <c r="D20" s="592" t="s">
        <v>256</v>
      </c>
      <c r="E20" s="592" t="s">
        <v>256</v>
      </c>
      <c r="F20" s="592" t="s">
        <v>256</v>
      </c>
      <c r="G20" s="456" t="s">
        <v>256</v>
      </c>
      <c r="H20" s="452" t="s">
        <v>256</v>
      </c>
      <c r="I20" s="592" t="s">
        <v>256</v>
      </c>
      <c r="J20" s="592" t="s">
        <v>256</v>
      </c>
      <c r="K20" s="476" t="s">
        <v>256</v>
      </c>
      <c r="L20" s="912"/>
    </row>
    <row r="21" spans="1:12" ht="15.6">
      <c r="A21" s="897" t="s">
        <v>513</v>
      </c>
      <c r="B21" s="592">
        <v>3331555144</v>
      </c>
      <c r="C21" s="592" t="s">
        <v>256</v>
      </c>
      <c r="D21" s="592" t="s">
        <v>256</v>
      </c>
      <c r="E21" s="592" t="s">
        <v>256</v>
      </c>
      <c r="F21" s="592" t="s">
        <v>256</v>
      </c>
      <c r="G21" s="456" t="s">
        <v>256</v>
      </c>
      <c r="H21" s="452" t="s">
        <v>256</v>
      </c>
      <c r="I21" s="592" t="s">
        <v>256</v>
      </c>
      <c r="J21" s="592" t="s">
        <v>256</v>
      </c>
      <c r="K21" s="476" t="s">
        <v>256</v>
      </c>
      <c r="L21" s="912"/>
    </row>
    <row r="22" spans="1:12" ht="15.6">
      <c r="A22" s="880" t="s">
        <v>513</v>
      </c>
      <c r="B22" s="452">
        <v>3331555294</v>
      </c>
      <c r="C22" s="592" t="s">
        <v>11</v>
      </c>
      <c r="D22" s="452">
        <v>24140866</v>
      </c>
      <c r="E22" s="452" t="s">
        <v>150</v>
      </c>
      <c r="F22" s="490" t="s">
        <v>199</v>
      </c>
      <c r="G22" s="456">
        <v>24947.418000000001</v>
      </c>
      <c r="H22" s="452" t="s">
        <v>200</v>
      </c>
      <c r="I22" s="452">
        <v>1</v>
      </c>
      <c r="J22" s="452">
        <v>1</v>
      </c>
      <c r="K22" s="476" t="s">
        <v>204</v>
      </c>
      <c r="L22" s="898" t="e">
        <f>VLOOKUP(Table1346578910[[#This Row],[Delivery]],#REF!,6,FALSE)</f>
        <v>#REF!</v>
      </c>
    </row>
    <row r="23" spans="1:12" ht="15.6">
      <c r="A23" s="769" t="s">
        <v>513</v>
      </c>
      <c r="B23" s="592">
        <v>3331555295</v>
      </c>
      <c r="C23" s="592" t="s">
        <v>462</v>
      </c>
      <c r="D23" s="452">
        <v>24140867</v>
      </c>
      <c r="E23" s="452" t="s">
        <v>150</v>
      </c>
      <c r="F23" s="490" t="s">
        <v>199</v>
      </c>
      <c r="G23" s="456">
        <v>24551.667000000001</v>
      </c>
      <c r="H23" s="452" t="s">
        <v>200</v>
      </c>
      <c r="I23" s="452">
        <v>1</v>
      </c>
      <c r="J23" s="452">
        <v>1</v>
      </c>
      <c r="K23" s="529" t="s">
        <v>204</v>
      </c>
      <c r="L23" s="899" t="e">
        <f>VLOOKUP(Table1346578910[[#This Row],[Delivery]],#REF!,6,FALSE)</f>
        <v>#REF!</v>
      </c>
    </row>
    <row r="24" spans="1:12" ht="15.6">
      <c r="A24" s="769" t="s">
        <v>513</v>
      </c>
      <c r="B24" s="592">
        <v>3331555296</v>
      </c>
      <c r="C24" s="592" t="s">
        <v>11</v>
      </c>
      <c r="D24" s="452">
        <v>24140868</v>
      </c>
      <c r="E24" s="452" t="s">
        <v>219</v>
      </c>
      <c r="F24" s="490" t="s">
        <v>199</v>
      </c>
      <c r="G24" s="456">
        <v>24378.463</v>
      </c>
      <c r="H24" s="452" t="s">
        <v>200</v>
      </c>
      <c r="I24" s="452">
        <v>1</v>
      </c>
      <c r="J24" s="452">
        <v>1</v>
      </c>
      <c r="K24" s="529" t="s">
        <v>204</v>
      </c>
      <c r="L24" s="899" t="e">
        <f>VLOOKUP(Table1346578910[[#This Row],[Delivery]],#REF!,6,FALSE)</f>
        <v>#REF!</v>
      </c>
    </row>
    <row r="25" spans="1:12" ht="15.6">
      <c r="A25" s="769" t="s">
        <v>513</v>
      </c>
      <c r="B25" s="592">
        <v>3331555298</v>
      </c>
      <c r="C25" s="592" t="s">
        <v>27</v>
      </c>
      <c r="D25" s="452">
        <v>24140869</v>
      </c>
      <c r="E25" s="452" t="s">
        <v>219</v>
      </c>
      <c r="F25" s="490" t="s">
        <v>199</v>
      </c>
      <c r="G25" s="456">
        <v>25980.6</v>
      </c>
      <c r="H25" s="452" t="s">
        <v>200</v>
      </c>
      <c r="I25" s="452">
        <v>1</v>
      </c>
      <c r="J25" s="452">
        <v>1</v>
      </c>
      <c r="K25" s="529" t="s">
        <v>204</v>
      </c>
      <c r="L25" s="898"/>
    </row>
    <row r="26" spans="1:12" ht="15.6">
      <c r="A26" s="769" t="s">
        <v>513</v>
      </c>
      <c r="B26" s="592">
        <v>3331555297</v>
      </c>
      <c r="C26" s="592" t="s">
        <v>462</v>
      </c>
      <c r="D26" s="452">
        <v>24140870</v>
      </c>
      <c r="E26" s="452" t="s">
        <v>150</v>
      </c>
      <c r="F26" s="490" t="s">
        <v>199</v>
      </c>
      <c r="G26" s="456">
        <v>26192.215</v>
      </c>
      <c r="H26" s="452" t="s">
        <v>200</v>
      </c>
      <c r="I26" s="452">
        <v>1</v>
      </c>
      <c r="J26" s="452">
        <v>1</v>
      </c>
      <c r="K26" s="529" t="s">
        <v>204</v>
      </c>
      <c r="L26" s="898"/>
    </row>
    <row r="27" spans="1:12" ht="15.6">
      <c r="A27" s="769" t="s">
        <v>513</v>
      </c>
      <c r="B27" s="592">
        <v>3331555301</v>
      </c>
      <c r="C27" s="592" t="s">
        <v>49</v>
      </c>
      <c r="D27" s="452">
        <v>24140871</v>
      </c>
      <c r="E27" s="452" t="s">
        <v>150</v>
      </c>
      <c r="F27" s="490" t="s">
        <v>199</v>
      </c>
      <c r="G27" s="456">
        <v>24948.799999999999</v>
      </c>
      <c r="H27" s="452" t="s">
        <v>200</v>
      </c>
      <c r="I27" s="452">
        <v>1</v>
      </c>
      <c r="J27" s="452">
        <v>1</v>
      </c>
      <c r="K27" s="529" t="s">
        <v>204</v>
      </c>
      <c r="L27" s="898"/>
    </row>
    <row r="28" spans="1:12" ht="15.6">
      <c r="A28" s="769" t="s">
        <v>513</v>
      </c>
      <c r="B28" s="592">
        <v>3331555311</v>
      </c>
      <c r="C28" s="592" t="s">
        <v>34</v>
      </c>
      <c r="D28" s="452">
        <v>24140872</v>
      </c>
      <c r="E28" s="452" t="s">
        <v>366</v>
      </c>
      <c r="F28" s="490" t="s">
        <v>199</v>
      </c>
      <c r="G28" s="456">
        <v>25546.364000000001</v>
      </c>
      <c r="H28" s="452" t="s">
        <v>200</v>
      </c>
      <c r="I28" s="452">
        <v>1</v>
      </c>
      <c r="J28" s="452">
        <v>1</v>
      </c>
      <c r="K28" s="529" t="s">
        <v>204</v>
      </c>
      <c r="L28" s="911"/>
    </row>
    <row r="29" spans="1:12" ht="15.6">
      <c r="A29" s="769" t="s">
        <v>513</v>
      </c>
      <c r="B29" s="592">
        <v>3331555315</v>
      </c>
      <c r="C29" s="592" t="s">
        <v>27</v>
      </c>
      <c r="D29" s="452">
        <v>24140873</v>
      </c>
      <c r="E29" s="452" t="s">
        <v>498</v>
      </c>
      <c r="F29" s="490" t="s">
        <v>199</v>
      </c>
      <c r="G29" s="456">
        <f>13676.57+8936.298</f>
        <v>22612.868000000002</v>
      </c>
      <c r="H29" s="452" t="s">
        <v>200</v>
      </c>
      <c r="I29" s="452">
        <v>1</v>
      </c>
      <c r="J29" s="452">
        <v>1</v>
      </c>
      <c r="K29" s="529" t="s">
        <v>204</v>
      </c>
      <c r="L29" s="911" t="e">
        <f>VLOOKUP(Table1346578910[[#This Row],[Delivery]],#REF!,6,FALSE)</f>
        <v>#REF!</v>
      </c>
    </row>
    <row r="30" spans="1:12" ht="15.6">
      <c r="A30" s="769" t="s">
        <v>513</v>
      </c>
      <c r="B30" s="592">
        <v>3331555314</v>
      </c>
      <c r="C30" s="592" t="s">
        <v>256</v>
      </c>
      <c r="D30" s="452" t="s">
        <v>256</v>
      </c>
      <c r="E30" s="452" t="s">
        <v>256</v>
      </c>
      <c r="F30" s="490" t="s">
        <v>256</v>
      </c>
      <c r="G30" s="456" t="s">
        <v>256</v>
      </c>
      <c r="H30" s="452" t="s">
        <v>256</v>
      </c>
      <c r="I30" s="452" t="s">
        <v>256</v>
      </c>
      <c r="J30" s="452" t="s">
        <v>256</v>
      </c>
      <c r="K30" s="529" t="s">
        <v>256</v>
      </c>
      <c r="L30" s="899"/>
    </row>
    <row r="31" spans="1:12" ht="15.6">
      <c r="A31" s="769" t="s">
        <v>513</v>
      </c>
      <c r="B31" s="592">
        <v>3331555322</v>
      </c>
      <c r="C31" s="592" t="s">
        <v>11</v>
      </c>
      <c r="D31" s="452">
        <v>24140874</v>
      </c>
      <c r="E31" s="452" t="s">
        <v>158</v>
      </c>
      <c r="F31" s="490" t="s">
        <v>199</v>
      </c>
      <c r="G31" s="456">
        <v>26490.998</v>
      </c>
      <c r="H31" s="452" t="s">
        <v>200</v>
      </c>
      <c r="I31" s="452">
        <v>1</v>
      </c>
      <c r="J31" s="452">
        <v>1</v>
      </c>
      <c r="K31" s="529" t="s">
        <v>204</v>
      </c>
      <c r="L31" s="899" t="e">
        <f>VLOOKUP(Table1346578910[[#This Row],[Delivery]],#REF!,6,FALSE)</f>
        <v>#REF!</v>
      </c>
    </row>
    <row r="32" spans="1:12" s="516" customFormat="1" ht="15.6">
      <c r="A32" s="880" t="s">
        <v>513</v>
      </c>
      <c r="B32" s="592">
        <v>3331555323</v>
      </c>
      <c r="C32" s="592" t="s">
        <v>287</v>
      </c>
      <c r="D32" s="452">
        <v>24140875</v>
      </c>
      <c r="E32" s="452" t="s">
        <v>158</v>
      </c>
      <c r="F32" s="490" t="s">
        <v>199</v>
      </c>
      <c r="G32" s="456">
        <f>17202.6+9353.016</f>
        <v>26555.615999999998</v>
      </c>
      <c r="H32" s="452" t="s">
        <v>200</v>
      </c>
      <c r="I32" s="452">
        <v>1</v>
      </c>
      <c r="J32" s="452">
        <v>1</v>
      </c>
      <c r="K32" s="529" t="s">
        <v>204</v>
      </c>
      <c r="L32" s="898"/>
    </row>
    <row r="33" spans="1:12" s="516" customFormat="1" ht="15.6">
      <c r="A33" s="880" t="s">
        <v>513</v>
      </c>
      <c r="B33" s="592">
        <v>3331555324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52" t="s">
        <v>256</v>
      </c>
      <c r="J33" s="452" t="s">
        <v>256</v>
      </c>
      <c r="K33" s="529" t="s">
        <v>256</v>
      </c>
      <c r="L33" s="898"/>
    </row>
    <row r="34" spans="1:12" ht="15.6">
      <c r="A34" s="880" t="s">
        <v>513</v>
      </c>
      <c r="B34" s="592">
        <v>3331555326</v>
      </c>
      <c r="C34" s="592" t="s">
        <v>287</v>
      </c>
      <c r="D34" s="490">
        <v>24140876</v>
      </c>
      <c r="E34" s="490" t="s">
        <v>368</v>
      </c>
      <c r="F34" s="490" t="s">
        <v>199</v>
      </c>
      <c r="G34" s="491">
        <v>24541.37</v>
      </c>
      <c r="H34" s="490" t="s">
        <v>200</v>
      </c>
      <c r="I34" s="452">
        <v>1</v>
      </c>
      <c r="J34" s="452">
        <v>1</v>
      </c>
      <c r="K34" s="476" t="s">
        <v>204</v>
      </c>
      <c r="L34" s="898"/>
    </row>
    <row r="35" spans="1:12" s="558" customFormat="1" ht="15.6">
      <c r="A35" s="552" t="s">
        <v>513</v>
      </c>
      <c r="B35" s="553">
        <v>3331555392</v>
      </c>
      <c r="C35" s="553" t="s">
        <v>517</v>
      </c>
      <c r="D35" s="553">
        <v>24140891</v>
      </c>
      <c r="E35" s="553" t="s">
        <v>224</v>
      </c>
      <c r="F35" s="562" t="s">
        <v>203</v>
      </c>
      <c r="G35" s="913">
        <v>27149.726999999999</v>
      </c>
      <c r="H35" s="562" t="s">
        <v>200</v>
      </c>
      <c r="I35" s="553">
        <v>1</v>
      </c>
      <c r="J35" s="553">
        <v>1</v>
      </c>
      <c r="K35" s="557" t="s">
        <v>204</v>
      </c>
      <c r="L35" s="898"/>
    </row>
    <row r="36" spans="1:12" s="558" customFormat="1" ht="15.6">
      <c r="A36" s="552" t="s">
        <v>513</v>
      </c>
      <c r="B36" s="553">
        <v>3331555394</v>
      </c>
      <c r="C36" s="553" t="s">
        <v>517</v>
      </c>
      <c r="D36" s="554">
        <v>24140893</v>
      </c>
      <c r="E36" s="553" t="s">
        <v>224</v>
      </c>
      <c r="F36" s="562" t="s">
        <v>203</v>
      </c>
      <c r="G36" s="556">
        <v>25677.492999999999</v>
      </c>
      <c r="H36" s="562" t="s">
        <v>200</v>
      </c>
      <c r="I36" s="553">
        <v>1</v>
      </c>
      <c r="J36" s="553">
        <v>1</v>
      </c>
      <c r="K36" s="557" t="s">
        <v>204</v>
      </c>
      <c r="L36" s="898"/>
    </row>
    <row r="37" spans="1:12" s="558" customFormat="1" ht="15.6">
      <c r="A37" s="552" t="s">
        <v>513</v>
      </c>
      <c r="B37" s="553">
        <v>3331555396</v>
      </c>
      <c r="C37" s="553" t="s">
        <v>517</v>
      </c>
      <c r="D37" s="554">
        <v>24140894</v>
      </c>
      <c r="E37" s="553" t="s">
        <v>224</v>
      </c>
      <c r="F37" s="562" t="s">
        <v>203</v>
      </c>
      <c r="G37" s="556">
        <v>26110.503000000001</v>
      </c>
      <c r="H37" s="562" t="s">
        <v>200</v>
      </c>
      <c r="I37" s="553">
        <v>1</v>
      </c>
      <c r="J37" s="553">
        <v>1</v>
      </c>
      <c r="K37" s="557" t="s">
        <v>204</v>
      </c>
      <c r="L37" s="898"/>
    </row>
    <row r="38" spans="1:12" s="558" customFormat="1" ht="15.6">
      <c r="A38" s="880" t="s">
        <v>513</v>
      </c>
      <c r="B38" s="592">
        <v>3331555454</v>
      </c>
      <c r="C38" s="553" t="s">
        <v>517</v>
      </c>
      <c r="D38" s="452">
        <v>24140902</v>
      </c>
      <c r="E38" s="553" t="s">
        <v>224</v>
      </c>
      <c r="F38" s="562" t="s">
        <v>203</v>
      </c>
      <c r="G38" s="456">
        <v>27929.145</v>
      </c>
      <c r="H38" s="562" t="s">
        <v>200</v>
      </c>
      <c r="I38" s="592">
        <v>1</v>
      </c>
      <c r="J38" s="592">
        <v>1</v>
      </c>
      <c r="K38" s="557" t="s">
        <v>204</v>
      </c>
      <c r="L38" s="898"/>
    </row>
    <row r="39" spans="1:12" s="559" customFormat="1" ht="15.6">
      <c r="A39" s="552" t="s">
        <v>513</v>
      </c>
      <c r="B39" s="554">
        <v>3331555334</v>
      </c>
      <c r="C39" s="553" t="s">
        <v>336</v>
      </c>
      <c r="D39" s="554">
        <v>24140877</v>
      </c>
      <c r="E39" s="554" t="s">
        <v>413</v>
      </c>
      <c r="F39" s="555" t="s">
        <v>205</v>
      </c>
      <c r="G39" s="556">
        <v>45249.544999999998</v>
      </c>
      <c r="H39" s="554" t="s">
        <v>128</v>
      </c>
      <c r="I39" s="554">
        <v>1</v>
      </c>
      <c r="J39" s="554">
        <v>1</v>
      </c>
      <c r="K39" s="557" t="s">
        <v>204</v>
      </c>
      <c r="L39" s="898" t="e">
        <f>VLOOKUP(Table1346578910[[#This Row],[Delivery]],#REF!,6,FALSE)</f>
        <v>#REF!</v>
      </c>
    </row>
    <row r="40" spans="1:12" s="559" customFormat="1" ht="15.6">
      <c r="A40" s="552" t="s">
        <v>513</v>
      </c>
      <c r="B40" s="554">
        <v>3331555352</v>
      </c>
      <c r="C40" s="553" t="s">
        <v>336</v>
      </c>
      <c r="D40" s="554">
        <v>24140884</v>
      </c>
      <c r="E40" s="554" t="s">
        <v>413</v>
      </c>
      <c r="F40" s="555" t="s">
        <v>205</v>
      </c>
      <c r="G40" s="556">
        <v>42391.678999999996</v>
      </c>
      <c r="H40" s="554" t="s">
        <v>128</v>
      </c>
      <c r="I40" s="554">
        <v>1</v>
      </c>
      <c r="J40" s="554">
        <v>1</v>
      </c>
      <c r="K40" s="557" t="s">
        <v>204</v>
      </c>
      <c r="L40" s="898"/>
    </row>
    <row r="41" spans="1:12" s="559" customFormat="1" ht="15.6">
      <c r="A41" s="549" t="s">
        <v>513</v>
      </c>
      <c r="B41" s="572">
        <v>3331555354</v>
      </c>
      <c r="C41" s="550" t="s">
        <v>336</v>
      </c>
      <c r="D41" s="572">
        <v>24140885</v>
      </c>
      <c r="E41" s="572" t="s">
        <v>413</v>
      </c>
      <c r="F41" s="573" t="s">
        <v>205</v>
      </c>
      <c r="G41" s="574">
        <v>42434.98</v>
      </c>
      <c r="H41" s="572" t="s">
        <v>128</v>
      </c>
      <c r="I41" s="572">
        <v>1</v>
      </c>
      <c r="J41" s="572">
        <v>1</v>
      </c>
      <c r="K41" s="551" t="s">
        <v>207</v>
      </c>
      <c r="L41" s="898"/>
    </row>
    <row r="42" spans="1:12" s="559" customFormat="1" ht="15.6">
      <c r="A42" s="549" t="s">
        <v>513</v>
      </c>
      <c r="B42" s="554">
        <v>3331555357</v>
      </c>
      <c r="C42" s="553" t="s">
        <v>148</v>
      </c>
      <c r="D42" s="554">
        <v>24140887</v>
      </c>
      <c r="E42" s="554" t="s">
        <v>413</v>
      </c>
      <c r="F42" s="555" t="s">
        <v>205</v>
      </c>
      <c r="G42" s="556">
        <f>18234.756+23815.55</f>
        <v>42050.305999999997</v>
      </c>
      <c r="H42" s="554" t="s">
        <v>128</v>
      </c>
      <c r="I42" s="554">
        <v>1</v>
      </c>
      <c r="J42" s="554">
        <v>1</v>
      </c>
      <c r="K42" s="557" t="s">
        <v>204</v>
      </c>
      <c r="L42" s="898"/>
    </row>
    <row r="43" spans="1:12" s="559" customFormat="1">
      <c r="A43" s="549" t="s">
        <v>513</v>
      </c>
      <c r="B43" s="554">
        <v>3331555363</v>
      </c>
      <c r="C43" s="553" t="s">
        <v>256</v>
      </c>
      <c r="D43" s="553" t="s">
        <v>256</v>
      </c>
      <c r="E43" s="553" t="s">
        <v>256</v>
      </c>
      <c r="F43" s="553" t="s">
        <v>256</v>
      </c>
      <c r="G43" s="570" t="s">
        <v>256</v>
      </c>
      <c r="H43" s="553" t="s">
        <v>256</v>
      </c>
      <c r="I43" s="553" t="s">
        <v>256</v>
      </c>
      <c r="J43" s="553" t="s">
        <v>256</v>
      </c>
      <c r="K43" s="553" t="s">
        <v>256</v>
      </c>
      <c r="L43" s="898"/>
    </row>
    <row r="44" spans="1:12" s="558" customFormat="1" ht="15.6">
      <c r="A44" s="552" t="s">
        <v>513</v>
      </c>
      <c r="B44" s="553">
        <v>3331555343</v>
      </c>
      <c r="C44" s="553" t="s">
        <v>517</v>
      </c>
      <c r="D44" s="553">
        <v>24140882</v>
      </c>
      <c r="E44" s="553" t="s">
        <v>226</v>
      </c>
      <c r="F44" s="562" t="s">
        <v>203</v>
      </c>
      <c r="G44" s="913">
        <v>26370.309000000001</v>
      </c>
      <c r="H44" s="553" t="s">
        <v>200</v>
      </c>
      <c r="I44" s="553">
        <v>1</v>
      </c>
      <c r="J44" s="553">
        <v>0</v>
      </c>
      <c r="K44" s="557" t="s">
        <v>204</v>
      </c>
      <c r="L44" s="898"/>
    </row>
    <row r="45" spans="1:12" s="558" customFormat="1" ht="15.6">
      <c r="A45" s="552" t="s">
        <v>513</v>
      </c>
      <c r="B45" s="553">
        <v>3331555393</v>
      </c>
      <c r="C45" s="553" t="s">
        <v>518</v>
      </c>
      <c r="D45" s="554">
        <v>24140892</v>
      </c>
      <c r="E45" s="553" t="s">
        <v>226</v>
      </c>
      <c r="F45" s="562" t="s">
        <v>203</v>
      </c>
      <c r="G45" s="556">
        <f>3827.83+20871.082+4043.114</f>
        <v>28742.025999999998</v>
      </c>
      <c r="H45" s="554" t="s">
        <v>200</v>
      </c>
      <c r="I45" s="553">
        <v>1</v>
      </c>
      <c r="J45" s="553">
        <v>1</v>
      </c>
      <c r="K45" s="557" t="s">
        <v>204</v>
      </c>
      <c r="L45" s="898"/>
    </row>
    <row r="46" spans="1:12" s="558" customFormat="1" ht="15.6">
      <c r="A46" s="552" t="s">
        <v>513</v>
      </c>
      <c r="B46" s="553">
        <v>3331555395</v>
      </c>
      <c r="C46" s="553" t="s">
        <v>256</v>
      </c>
      <c r="D46" s="554" t="s">
        <v>256</v>
      </c>
      <c r="E46" s="554" t="s">
        <v>256</v>
      </c>
      <c r="F46" s="562" t="s">
        <v>256</v>
      </c>
      <c r="G46" s="556" t="s">
        <v>256</v>
      </c>
      <c r="H46" s="554" t="s">
        <v>256</v>
      </c>
      <c r="I46" s="553" t="s">
        <v>256</v>
      </c>
      <c r="J46" s="553" t="s">
        <v>256</v>
      </c>
      <c r="K46" s="557" t="s">
        <v>256</v>
      </c>
      <c r="L46" s="898"/>
    </row>
    <row r="47" spans="1:12" s="558" customFormat="1" ht="15.6">
      <c r="A47" s="880" t="s">
        <v>513</v>
      </c>
      <c r="B47" s="592">
        <v>3331555399</v>
      </c>
      <c r="C47" s="553" t="s">
        <v>256</v>
      </c>
      <c r="D47" s="554" t="s">
        <v>256</v>
      </c>
      <c r="E47" s="554" t="s">
        <v>256</v>
      </c>
      <c r="F47" s="562" t="s">
        <v>256</v>
      </c>
      <c r="G47" s="556" t="s">
        <v>256</v>
      </c>
      <c r="H47" s="554" t="s">
        <v>256</v>
      </c>
      <c r="I47" s="553" t="s">
        <v>256</v>
      </c>
      <c r="J47" s="553" t="s">
        <v>256</v>
      </c>
      <c r="K47" s="557" t="s">
        <v>256</v>
      </c>
      <c r="L47" s="898"/>
    </row>
    <row r="48" spans="1:12" s="558" customFormat="1" ht="15.6">
      <c r="A48" s="552" t="s">
        <v>513</v>
      </c>
      <c r="B48" s="553">
        <v>3331555405</v>
      </c>
      <c r="C48" s="553" t="s">
        <v>152</v>
      </c>
      <c r="D48" s="554">
        <v>24140895</v>
      </c>
      <c r="E48" s="554" t="s">
        <v>253</v>
      </c>
      <c r="F48" s="562" t="s">
        <v>205</v>
      </c>
      <c r="G48" s="556">
        <v>35921.142999999996</v>
      </c>
      <c r="H48" s="554" t="s">
        <v>128</v>
      </c>
      <c r="I48" s="553">
        <v>1</v>
      </c>
      <c r="J48" s="553">
        <v>1</v>
      </c>
      <c r="K48" s="557" t="s">
        <v>204</v>
      </c>
      <c r="L48" s="898"/>
    </row>
    <row r="49" spans="1:12" s="558" customFormat="1" ht="15.6">
      <c r="A49" s="889" t="s">
        <v>513</v>
      </c>
      <c r="B49" s="887">
        <v>3331555406</v>
      </c>
      <c r="C49" s="887" t="s">
        <v>359</v>
      </c>
      <c r="D49" s="887">
        <v>24140896</v>
      </c>
      <c r="E49" s="887" t="s">
        <v>173</v>
      </c>
      <c r="F49" s="548" t="s">
        <v>205</v>
      </c>
      <c r="G49" s="914">
        <v>47607.834999999999</v>
      </c>
      <c r="H49" s="887" t="s">
        <v>128</v>
      </c>
      <c r="I49" s="887">
        <v>1</v>
      </c>
      <c r="J49" s="550">
        <v>1</v>
      </c>
      <c r="K49" s="551" t="s">
        <v>207</v>
      </c>
      <c r="L49" s="898"/>
    </row>
    <row r="50" spans="1:12" ht="15.6">
      <c r="A50" s="880" t="s">
        <v>513</v>
      </c>
      <c r="B50" s="452">
        <v>3331555335</v>
      </c>
      <c r="C50" s="592" t="s">
        <v>58</v>
      </c>
      <c r="D50" s="490">
        <v>24140878</v>
      </c>
      <c r="E50" s="490" t="s">
        <v>519</v>
      </c>
      <c r="F50" s="490" t="s">
        <v>199</v>
      </c>
      <c r="G50" s="491">
        <v>24284.84</v>
      </c>
      <c r="H50" s="490" t="s">
        <v>520</v>
      </c>
      <c r="I50" s="452">
        <v>1</v>
      </c>
      <c r="J50" s="452">
        <v>1</v>
      </c>
      <c r="K50" s="476" t="s">
        <v>204</v>
      </c>
      <c r="L50" s="898"/>
    </row>
    <row r="51" spans="1:12" ht="15.6">
      <c r="A51" s="880" t="s">
        <v>513</v>
      </c>
      <c r="B51" s="452">
        <v>3331555341</v>
      </c>
      <c r="C51" s="592" t="s">
        <v>287</v>
      </c>
      <c r="D51" s="452">
        <v>24140879</v>
      </c>
      <c r="E51" s="452" t="s">
        <v>158</v>
      </c>
      <c r="F51" s="490" t="s">
        <v>199</v>
      </c>
      <c r="G51" s="456">
        <v>25247.582999999999</v>
      </c>
      <c r="H51" s="452" t="s">
        <v>200</v>
      </c>
      <c r="I51" s="452">
        <v>1</v>
      </c>
      <c r="J51" s="452">
        <v>1</v>
      </c>
      <c r="K51" s="476" t="s">
        <v>204</v>
      </c>
      <c r="L51" s="898"/>
    </row>
    <row r="52" spans="1:12" ht="15.6">
      <c r="A52" s="880" t="s">
        <v>513</v>
      </c>
      <c r="B52" s="452">
        <v>3331555342</v>
      </c>
      <c r="C52" s="592" t="s">
        <v>34</v>
      </c>
      <c r="D52" s="452">
        <v>24140881</v>
      </c>
      <c r="E52" s="452" t="s">
        <v>368</v>
      </c>
      <c r="F52" s="490" t="s">
        <v>199</v>
      </c>
      <c r="G52" s="456">
        <v>24113.82</v>
      </c>
      <c r="H52" s="452" t="s">
        <v>200</v>
      </c>
      <c r="I52" s="452">
        <v>1</v>
      </c>
      <c r="J52" s="452">
        <v>1</v>
      </c>
      <c r="K52" s="476" t="s">
        <v>204</v>
      </c>
      <c r="L52" s="898"/>
    </row>
    <row r="53" spans="1:12" ht="15.6">
      <c r="A53" s="880" t="s">
        <v>513</v>
      </c>
      <c r="B53" s="452">
        <v>3331555371</v>
      </c>
      <c r="C53" s="592" t="s">
        <v>287</v>
      </c>
      <c r="D53" s="452">
        <v>24140890</v>
      </c>
      <c r="E53" s="452" t="s">
        <v>243</v>
      </c>
      <c r="F53" s="490" t="s">
        <v>199</v>
      </c>
      <c r="G53" s="456">
        <v>25253.636999999999</v>
      </c>
      <c r="H53" s="452" t="s">
        <v>200</v>
      </c>
      <c r="I53" s="452">
        <v>1</v>
      </c>
      <c r="J53" s="452">
        <v>1</v>
      </c>
      <c r="K53" s="476" t="s">
        <v>204</v>
      </c>
      <c r="L53" s="898"/>
    </row>
    <row r="54" spans="1:12" ht="15.6">
      <c r="A54" s="880" t="s">
        <v>513</v>
      </c>
      <c r="B54" s="452">
        <v>3331555442</v>
      </c>
      <c r="C54" s="592" t="s">
        <v>34</v>
      </c>
      <c r="D54" s="452">
        <v>24140900</v>
      </c>
      <c r="E54" s="452" t="s">
        <v>150</v>
      </c>
      <c r="F54" s="490" t="s">
        <v>199</v>
      </c>
      <c r="G54" s="456">
        <v>26750.545999999998</v>
      </c>
      <c r="H54" s="452" t="s">
        <v>200</v>
      </c>
      <c r="I54" s="452">
        <v>1</v>
      </c>
      <c r="J54" s="452">
        <v>1</v>
      </c>
      <c r="K54" s="476" t="s">
        <v>204</v>
      </c>
      <c r="L54" s="898"/>
    </row>
    <row r="55" spans="1:12" ht="15.6">
      <c r="A55" s="880" t="s">
        <v>513</v>
      </c>
      <c r="B55" s="452">
        <v>3331555448</v>
      </c>
      <c r="C55" s="592" t="s">
        <v>34</v>
      </c>
      <c r="D55" s="452">
        <v>24140901</v>
      </c>
      <c r="E55" s="452" t="s">
        <v>158</v>
      </c>
      <c r="F55" s="490" t="s">
        <v>199</v>
      </c>
      <c r="G55" s="456">
        <v>25376.35</v>
      </c>
      <c r="H55" s="452" t="s">
        <v>200</v>
      </c>
      <c r="I55" s="452">
        <v>1</v>
      </c>
      <c r="J55" s="452">
        <v>1</v>
      </c>
      <c r="K55" s="476" t="s">
        <v>204</v>
      </c>
      <c r="L55" s="899" t="e">
        <f>VLOOKUP(Table1346578910[[#This Row],[Delivery]],#REF!,6,FALSE)</f>
        <v>#REF!</v>
      </c>
    </row>
    <row r="56" spans="1:12" ht="15.6">
      <c r="A56" s="533"/>
      <c r="B56" s="534"/>
      <c r="C56" s="535"/>
      <c r="D56" s="534"/>
      <c r="E56" s="534" t="s">
        <v>512</v>
      </c>
      <c r="F56" s="536"/>
      <c r="G56" s="907"/>
      <c r="H56" s="534"/>
      <c r="I56" s="534"/>
      <c r="J56" s="534"/>
      <c r="K56" s="537"/>
      <c r="L56" s="899" t="e">
        <f>VLOOKUP(Table1346578910[[#This Row],[Delivery]],#REF!,6,FALSE)</f>
        <v>#REF!</v>
      </c>
    </row>
    <row r="57" spans="1:12" ht="15.6">
      <c r="A57" s="889" t="s">
        <v>513</v>
      </c>
      <c r="B57" s="887">
        <v>3331555408</v>
      </c>
      <c r="C57" s="887" t="s">
        <v>359</v>
      </c>
      <c r="D57" s="887">
        <v>24140897</v>
      </c>
      <c r="E57" s="887" t="s">
        <v>173</v>
      </c>
      <c r="F57" s="548" t="s">
        <v>338</v>
      </c>
      <c r="G57" s="914">
        <f>36368.447+9744.367</f>
        <v>46112.813999999998</v>
      </c>
      <c r="H57" s="887" t="s">
        <v>128</v>
      </c>
      <c r="I57" s="887">
        <v>1</v>
      </c>
      <c r="J57" s="560">
        <v>0</v>
      </c>
      <c r="K57" s="561" t="s">
        <v>207</v>
      </c>
      <c r="L57" s="898"/>
    </row>
    <row r="58" spans="1:12" ht="15.6">
      <c r="A58" s="889" t="s">
        <v>513</v>
      </c>
      <c r="B58" s="887">
        <v>3331555413</v>
      </c>
      <c r="C58" s="887" t="s">
        <v>256</v>
      </c>
      <c r="D58" s="480" t="s">
        <v>256</v>
      </c>
      <c r="E58" s="480" t="s">
        <v>256</v>
      </c>
      <c r="F58" s="548" t="s">
        <v>256</v>
      </c>
      <c r="G58" s="481" t="s">
        <v>256</v>
      </c>
      <c r="H58" s="480" t="s">
        <v>256</v>
      </c>
      <c r="I58" s="887" t="s">
        <v>256</v>
      </c>
      <c r="J58" s="560" t="s">
        <v>256</v>
      </c>
      <c r="K58" s="561" t="s">
        <v>256</v>
      </c>
      <c r="L58" s="898"/>
    </row>
    <row r="59" spans="1:12" ht="15.6">
      <c r="A59" s="889" t="s">
        <v>513</v>
      </c>
      <c r="B59" s="887">
        <v>3331555417</v>
      </c>
      <c r="C59" s="887" t="s">
        <v>336</v>
      </c>
      <c r="D59" s="480">
        <v>24140898</v>
      </c>
      <c r="E59" s="480" t="s">
        <v>430</v>
      </c>
      <c r="F59" s="548" t="s">
        <v>338</v>
      </c>
      <c r="G59" s="481">
        <v>45790.813999999998</v>
      </c>
      <c r="H59" s="480" t="s">
        <v>128</v>
      </c>
      <c r="I59" s="887">
        <v>1</v>
      </c>
      <c r="J59" s="560">
        <v>1</v>
      </c>
      <c r="K59" s="561" t="s">
        <v>207</v>
      </c>
      <c r="L59" s="898"/>
    </row>
    <row r="60" spans="1:12" ht="15.6">
      <c r="A60" s="563" t="s">
        <v>513</v>
      </c>
      <c r="B60" s="564">
        <v>3331555426</v>
      </c>
      <c r="C60" s="884" t="s">
        <v>206</v>
      </c>
      <c r="D60" s="525">
        <v>24140899</v>
      </c>
      <c r="E60" s="525" t="s">
        <v>430</v>
      </c>
      <c r="F60" s="571" t="s">
        <v>338</v>
      </c>
      <c r="G60" s="915">
        <v>41081.385999999999</v>
      </c>
      <c r="H60" s="525" t="s">
        <v>128</v>
      </c>
      <c r="I60" s="564">
        <v>1</v>
      </c>
      <c r="J60" s="564">
        <v>0</v>
      </c>
      <c r="K60" s="568" t="s">
        <v>204</v>
      </c>
      <c r="L60" s="898"/>
    </row>
    <row r="61" spans="1:12" ht="15.6">
      <c r="A61" s="563" t="s">
        <v>513</v>
      </c>
      <c r="B61" s="565">
        <v>3331555445</v>
      </c>
      <c r="C61" s="564" t="s">
        <v>342</v>
      </c>
      <c r="D61" s="565">
        <v>24140904</v>
      </c>
      <c r="E61" s="565" t="s">
        <v>444</v>
      </c>
      <c r="F61" s="566" t="s">
        <v>474</v>
      </c>
      <c r="G61" s="567">
        <f>25609.409+989.925</f>
        <v>26599.333999999999</v>
      </c>
      <c r="H61" s="565" t="s">
        <v>200</v>
      </c>
      <c r="I61" s="566">
        <v>1</v>
      </c>
      <c r="J61" s="566">
        <v>1</v>
      </c>
      <c r="K61" s="568" t="s">
        <v>204</v>
      </c>
      <c r="L61" s="898"/>
    </row>
    <row r="62" spans="1:12" ht="15.6">
      <c r="A62" s="563" t="s">
        <v>513</v>
      </c>
      <c r="B62" s="565">
        <v>3331555450</v>
      </c>
      <c r="C62" s="564" t="s">
        <v>256</v>
      </c>
      <c r="D62" s="565" t="s">
        <v>256</v>
      </c>
      <c r="E62" s="565" t="s">
        <v>256</v>
      </c>
      <c r="F62" s="566" t="s">
        <v>256</v>
      </c>
      <c r="G62" s="567" t="s">
        <v>256</v>
      </c>
      <c r="H62" s="565" t="s">
        <v>256</v>
      </c>
      <c r="I62" s="566" t="s">
        <v>256</v>
      </c>
      <c r="J62" s="566" t="s">
        <v>256</v>
      </c>
      <c r="K62" s="568" t="s">
        <v>256</v>
      </c>
      <c r="L62" s="898"/>
    </row>
    <row r="63" spans="1:12" ht="15.6">
      <c r="A63" s="563" t="s">
        <v>513</v>
      </c>
      <c r="B63" s="565">
        <v>3331555491</v>
      </c>
      <c r="C63" s="884" t="s">
        <v>175</v>
      </c>
      <c r="D63" s="525">
        <v>24140905</v>
      </c>
      <c r="E63" s="525" t="s">
        <v>413</v>
      </c>
      <c r="F63" s="571" t="s">
        <v>338</v>
      </c>
      <c r="G63" s="915">
        <v>46072.264000000003</v>
      </c>
      <c r="H63" s="525" t="s">
        <v>128</v>
      </c>
      <c r="I63" s="566">
        <v>1</v>
      </c>
      <c r="J63" s="566">
        <v>0</v>
      </c>
      <c r="K63" s="568" t="s">
        <v>204</v>
      </c>
      <c r="L63" s="898"/>
    </row>
    <row r="64" spans="1:12" ht="15.6">
      <c r="A64" s="563" t="s">
        <v>513</v>
      </c>
      <c r="B64" s="565">
        <v>3331554996</v>
      </c>
      <c r="C64" s="884" t="s">
        <v>27</v>
      </c>
      <c r="D64" s="525">
        <v>24140906</v>
      </c>
      <c r="E64" s="525" t="s">
        <v>446</v>
      </c>
      <c r="F64" s="571" t="s">
        <v>338</v>
      </c>
      <c r="G64" s="915">
        <v>38222.97</v>
      </c>
      <c r="H64" s="525" t="s">
        <v>128</v>
      </c>
      <c r="I64" s="566">
        <v>1</v>
      </c>
      <c r="J64" s="566">
        <v>0</v>
      </c>
      <c r="K64" s="568" t="s">
        <v>204</v>
      </c>
      <c r="L64" s="898"/>
    </row>
    <row r="65" spans="1:12" ht="15.6">
      <c r="A65" s="889"/>
      <c r="B65" s="480"/>
      <c r="C65" s="887"/>
      <c r="D65" s="480"/>
      <c r="E65" s="480"/>
      <c r="F65" s="548"/>
      <c r="G65" s="481"/>
      <c r="H65" s="480"/>
      <c r="I65" s="502"/>
      <c r="J65" s="502"/>
      <c r="K65" s="482"/>
      <c r="L65" s="898"/>
    </row>
    <row r="66" spans="1:12" ht="15.6">
      <c r="A66" s="889"/>
      <c r="B66" s="480"/>
      <c r="C66" s="887"/>
      <c r="D66" s="480"/>
      <c r="E66" s="480"/>
      <c r="F66" s="502"/>
      <c r="G66" s="481"/>
      <c r="H66" s="480"/>
      <c r="I66" s="502"/>
      <c r="J66" s="502"/>
      <c r="K66" s="482"/>
      <c r="L66" s="898"/>
    </row>
    <row r="67" spans="1:12">
      <c r="A67" s="889"/>
      <c r="B67" s="480"/>
      <c r="C67" s="887"/>
      <c r="D67" s="502"/>
      <c r="E67" s="502"/>
      <c r="F67" s="502"/>
      <c r="G67" s="502"/>
      <c r="H67" s="502"/>
      <c r="I67" s="502"/>
      <c r="J67" s="502"/>
      <c r="K67" s="502"/>
      <c r="L67" s="899" t="e">
        <f>VLOOKUP(Table1346578910[[#This Row],[Delivery]],#REF!,6,FALSE)</f>
        <v>#REF!</v>
      </c>
    </row>
    <row r="70" spans="1:12" ht="21">
      <c r="A70"/>
      <c r="B70" s="422" t="s">
        <v>244</v>
      </c>
      <c r="C70"/>
      <c r="D70"/>
      <c r="F70"/>
      <c r="G70"/>
      <c r="H70"/>
      <c r="I70"/>
      <c r="J70"/>
      <c r="K70"/>
      <c r="L70"/>
    </row>
    <row r="71" spans="1:12" ht="18">
      <c r="B71" s="251" t="s">
        <v>304</v>
      </c>
      <c r="C71"/>
      <c r="D71"/>
      <c r="F71"/>
      <c r="G71"/>
      <c r="H71"/>
      <c r="I71" s="373"/>
      <c r="J71"/>
      <c r="K71"/>
      <c r="L71"/>
    </row>
    <row r="72" spans="1:12" ht="18">
      <c r="A72"/>
      <c r="B72" s="251" t="s">
        <v>361</v>
      </c>
      <c r="C72"/>
      <c r="D72"/>
      <c r="F72"/>
      <c r="G72"/>
      <c r="H72"/>
      <c r="I72"/>
      <c r="J72"/>
      <c r="K72"/>
      <c r="L72"/>
    </row>
    <row r="73" spans="1:12">
      <c r="A73"/>
      <c r="B73"/>
      <c r="C73"/>
      <c r="D73"/>
      <c r="F73"/>
      <c r="G73"/>
      <c r="H73"/>
      <c r="I73"/>
      <c r="J73"/>
      <c r="K73"/>
      <c r="L73"/>
    </row>
    <row r="74" spans="1:12">
      <c r="A74"/>
      <c r="B74"/>
      <c r="C74"/>
      <c r="D74"/>
      <c r="F74"/>
      <c r="G74"/>
      <c r="H74"/>
      <c r="I74"/>
      <c r="J74"/>
      <c r="K74"/>
      <c r="L74"/>
    </row>
  </sheetData>
  <autoFilter ref="A1:F16" xr:uid="{455A03CA-89FF-4485-B032-080DA22FFE43}">
    <filterColumn colId="4" showButton="0"/>
  </autoFilter>
  <mergeCells count="6">
    <mergeCell ref="A9:B9"/>
    <mergeCell ref="H6:J6"/>
    <mergeCell ref="A1:B2"/>
    <mergeCell ref="D1:F1"/>
    <mergeCell ref="H1:J1"/>
    <mergeCell ref="D8:F8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A774-519D-4F3B-8BAC-205FA6F9F9FC}">
  <dimension ref="A1:R98"/>
  <sheetViews>
    <sheetView showGridLines="0" topLeftCell="A12" zoomScale="85" zoomScaleNormal="85" workbookViewId="0">
      <selection activeCell="N13" sqref="N13"/>
    </sheetView>
  </sheetViews>
  <sheetFormatPr defaultColWidth="9.109375" defaultRowHeight="14.4"/>
  <cols>
    <col min="1" max="1" width="32.88671875" customWidth="1"/>
    <col min="2" max="2" width="18.44140625" customWidth="1"/>
    <col min="3" max="3" width="13.88671875" customWidth="1"/>
    <col min="4" max="4" width="33.33203125" customWidth="1"/>
    <col min="5" max="5" width="50" style="358" bestFit="1" customWidth="1"/>
    <col min="6" max="6" width="27" customWidth="1"/>
    <col min="7" max="7" width="13.88671875" customWidth="1"/>
    <col min="8" max="8" width="26.44140625" customWidth="1"/>
    <col min="9" max="9" width="20.109375" customWidth="1"/>
    <col min="10" max="10" width="23.33203125" bestFit="1" customWidth="1"/>
    <col min="11" max="11" width="17" customWidth="1"/>
    <col min="12" max="12" width="12.33203125" customWidth="1"/>
    <col min="15" max="15" width="10.6640625" hidden="1" customWidth="1"/>
    <col min="16" max="16" width="11.88671875" hidden="1" customWidth="1"/>
    <col min="17" max="17" width="9.109375" hidden="1" customWidth="1"/>
    <col min="18" max="18" width="9.109375" customWidth="1"/>
  </cols>
  <sheetData>
    <row r="1" spans="1:18" ht="31.5" customHeight="1">
      <c r="A1" s="1548">
        <f ca="1">TODAY()</f>
        <v>45977</v>
      </c>
      <c r="B1" s="1554"/>
      <c r="D1" s="1517" t="s">
        <v>309</v>
      </c>
      <c r="E1" s="1517"/>
      <c r="F1" s="1553"/>
      <c r="H1" s="1509" t="s">
        <v>310</v>
      </c>
      <c r="I1" s="1509"/>
      <c r="J1" s="1557"/>
      <c r="O1" s="276" t="s">
        <v>27</v>
      </c>
      <c r="P1" s="294">
        <f>COUNTIF($C$25:$C$1015,"SILOG")</f>
        <v>16</v>
      </c>
      <c r="Q1" s="254" t="str">
        <f>IFERROR(VLOOKUP(J1,'IN OUT'!L:M,2,FALSE), "BELUM MASUK")</f>
        <v>BELUM MASUK</v>
      </c>
    </row>
    <row r="2" spans="1:18" ht="21.75" customHeight="1">
      <c r="A2" s="1555"/>
      <c r="B2" s="1556"/>
      <c r="D2" s="511" t="s">
        <v>247</v>
      </c>
      <c r="E2" s="511" t="s">
        <v>195</v>
      </c>
      <c r="F2" s="418" t="s">
        <v>196</v>
      </c>
      <c r="H2" s="441" t="s">
        <v>247</v>
      </c>
      <c r="I2" s="417" t="s">
        <v>195</v>
      </c>
      <c r="J2" s="418" t="s">
        <v>196</v>
      </c>
      <c r="O2" s="276" t="s">
        <v>175</v>
      </c>
      <c r="P2" s="294">
        <f>COUNTIF($C$25:$C$1015,"SIBA")</f>
        <v>0</v>
      </c>
    </row>
    <row r="3" spans="1:18" ht="36.75" customHeight="1">
      <c r="A3" s="512" t="s">
        <v>307</v>
      </c>
      <c r="B3" s="513">
        <f>SUM(I23:I1129)-I14</f>
        <v>46</v>
      </c>
      <c r="C3" s="405"/>
      <c r="D3" s="353" t="s">
        <v>199</v>
      </c>
      <c r="E3" s="420">
        <f>COUNTIF($F$23:$F$460,"JABODETABEK")</f>
        <v>18</v>
      </c>
      <c r="F3" s="318">
        <f ca="1">SUMIF($F$23:$F$460, "JABODETABEK", $G$23:$G$47)</f>
        <v>464285.95399999991</v>
      </c>
      <c r="G3" s="343"/>
      <c r="H3" s="424" t="s">
        <v>199</v>
      </c>
      <c r="I3" s="425" cm="1">
        <f t="array" ref="I3">SUMPRODUCT(--(RIGHT($F$23:$F$6909,20)="JABODETABEK NEXT DAY"))</f>
        <v>0</v>
      </c>
      <c r="J3" s="423">
        <f ca="1">SUMIF(F23:F47, "JABODETABEK NEXT DAY", G25:G47)</f>
        <v>0</v>
      </c>
      <c r="N3" s="27">
        <v>15</v>
      </c>
      <c r="O3" s="276"/>
      <c r="P3" s="294"/>
      <c r="Q3" s="27"/>
      <c r="R3" s="27" t="s">
        <v>521</v>
      </c>
    </row>
    <row r="4" spans="1:18" ht="29.25" customHeight="1">
      <c r="A4" s="432" t="s">
        <v>201</v>
      </c>
      <c r="B4" s="434">
        <f>SUM(J23:J1163)-6</f>
        <v>42</v>
      </c>
      <c r="D4" s="353" t="s">
        <v>203</v>
      </c>
      <c r="E4" s="245">
        <f>COUNTIF($F$23:$F$460, "JAWA TENGAH")</f>
        <v>9</v>
      </c>
      <c r="F4" s="318">
        <f ca="1">SUMIF($F$23:F460, "JAWA TENGAH", $G$23:$G$47)</f>
        <v>305978.59899999999</v>
      </c>
      <c r="H4" s="354" t="s">
        <v>203</v>
      </c>
      <c r="I4" s="425" cm="1">
        <f t="array" ref="I4">SUMPRODUCT(--(RIGHT($F$23:$F$6909,20)="JAWA TENGAH NEXT DAY"))</f>
        <v>4</v>
      </c>
      <c r="J4" s="423">
        <f>SUMIF($F$23:$F$47, "JAWA TENGAH NEXT DAY", $G$23:$G$47)</f>
        <v>0</v>
      </c>
      <c r="N4" s="27">
        <v>11</v>
      </c>
      <c r="O4" s="276"/>
      <c r="P4" s="294"/>
      <c r="Q4" s="27"/>
      <c r="R4" s="27" t="s">
        <v>522</v>
      </c>
    </row>
    <row r="5" spans="1:18" ht="33.6">
      <c r="A5" s="351" t="s">
        <v>265</v>
      </c>
      <c r="B5" s="315">
        <f>COUNTIF($K$23:$K$1012,"MASUK")</f>
        <v>47</v>
      </c>
      <c r="C5" s="400"/>
      <c r="D5" s="439" t="s">
        <v>205</v>
      </c>
      <c r="E5" s="247">
        <f>COUNTIF($F$23:$F$460,"JAWA TIMUR")</f>
        <v>10</v>
      </c>
      <c r="F5" s="318">
        <f ca="1">SUMIF($F$23:$F$460, "JAWA TIMUR", $G$23:$G$47)</f>
        <v>373809.234</v>
      </c>
      <c r="H5" s="353" t="s">
        <v>205</v>
      </c>
      <c r="I5" s="245" cm="1">
        <f t="array" ref="I5">SUMPRODUCT(--(RIGHT($F$23:$F$6909,20)="JAWA TIMUR NEXT DAY"))</f>
        <v>5</v>
      </c>
      <c r="J5" s="423">
        <f>SUMIF($F$25:$F$47, "JAWA TIMUR NEXT DAY", $G$25:$G$47)</f>
        <v>0</v>
      </c>
      <c r="N5" s="27">
        <v>2</v>
      </c>
      <c r="O5" s="282"/>
      <c r="P5" s="294"/>
      <c r="Q5" s="27"/>
      <c r="R5" s="27" t="s">
        <v>523</v>
      </c>
    </row>
    <row r="6" spans="1:18" ht="33.6">
      <c r="A6" s="351" t="s">
        <v>207</v>
      </c>
      <c r="B6" s="315">
        <f>COUNTIF($K$23:$K$1012,"BELUM MASUK")</f>
        <v>6</v>
      </c>
      <c r="C6" s="396"/>
      <c r="D6" s="497" t="s">
        <v>312</v>
      </c>
      <c r="E6" s="498">
        <f>SUM(E3:E5)-9</f>
        <v>28</v>
      </c>
      <c r="F6" s="496">
        <f ca="1">SUM(F3:F5)</f>
        <v>1144073.7869999998</v>
      </c>
      <c r="H6" s="201" t="s">
        <v>313</v>
      </c>
      <c r="I6" s="499">
        <f>SUM(I3:I5)</f>
        <v>9</v>
      </c>
      <c r="J6" s="496">
        <f ca="1">SUM($J$3:$J$5)</f>
        <v>0</v>
      </c>
      <c r="K6" s="398"/>
      <c r="N6" s="27">
        <v>2</v>
      </c>
      <c r="O6" s="293"/>
      <c r="P6" s="294"/>
      <c r="Q6" s="27"/>
      <c r="R6" s="27" t="s">
        <v>524</v>
      </c>
    </row>
    <row r="7" spans="1:18" ht="27" customHeight="1">
      <c r="A7" s="352" t="s">
        <v>249</v>
      </c>
      <c r="B7" s="314">
        <f>(B3-B4)</f>
        <v>4</v>
      </c>
      <c r="C7" s="251" t="s">
        <v>525</v>
      </c>
      <c r="E7" s="361"/>
      <c r="F7" s="327"/>
      <c r="G7" s="253"/>
      <c r="K7" s="349"/>
      <c r="L7" s="308"/>
      <c r="M7" s="307"/>
      <c r="O7" s="293"/>
      <c r="P7" s="294"/>
    </row>
    <row r="8" spans="1:18" ht="27" customHeight="1">
      <c r="A8" s="295"/>
      <c r="B8" s="296"/>
      <c r="D8" s="1509" t="s">
        <v>314</v>
      </c>
      <c r="E8" s="1509"/>
      <c r="F8" s="1557"/>
      <c r="G8" s="253"/>
      <c r="H8" s="1509" t="s">
        <v>315</v>
      </c>
      <c r="I8" s="1509"/>
      <c r="J8" s="1557"/>
      <c r="K8" s="307"/>
      <c r="P8" s="275"/>
    </row>
    <row r="9" spans="1:18" ht="27" customHeight="1">
      <c r="A9" s="1517" t="s">
        <v>316</v>
      </c>
      <c r="B9" s="1553"/>
      <c r="D9" s="418" t="s">
        <v>247</v>
      </c>
      <c r="E9" s="417" t="s">
        <v>195</v>
      </c>
      <c r="F9" s="418" t="s">
        <v>196</v>
      </c>
      <c r="G9" s="253"/>
      <c r="H9" s="441" t="s">
        <v>247</v>
      </c>
      <c r="I9" s="417" t="s">
        <v>195</v>
      </c>
      <c r="J9" s="441" t="s">
        <v>196</v>
      </c>
      <c r="K9" s="307"/>
      <c r="P9" s="275"/>
    </row>
    <row r="10" spans="1:18" ht="27" customHeight="1">
      <c r="A10" s="510" t="s">
        <v>197</v>
      </c>
      <c r="B10" s="378">
        <f ca="1">SUMIF($H$23:$H$1035, "TRAILER", $I$23:$I$1034)</f>
        <v>30</v>
      </c>
      <c r="C10" s="275"/>
      <c r="D10" s="353" t="s">
        <v>199</v>
      </c>
      <c r="E10" s="243">
        <f>COUNTIF($F$140:$F$1042,"JABODETABEK")</f>
        <v>0</v>
      </c>
      <c r="F10" s="318">
        <f>SUMIF(F124:F1042,"JABODETABEK", G48:G1042)</f>
        <v>0</v>
      </c>
      <c r="G10" s="253"/>
      <c r="H10" s="196" t="s">
        <v>317</v>
      </c>
      <c r="I10" s="245">
        <f>COUNTIF($F$20:$F$2857, "INTERISLAND")</f>
        <v>3</v>
      </c>
      <c r="J10" s="496">
        <v>0</v>
      </c>
      <c r="K10" s="307" t="s">
        <v>479</v>
      </c>
      <c r="P10" s="275"/>
      <c r="R10">
        <v>6000</v>
      </c>
    </row>
    <row r="11" spans="1:18" ht="27" customHeight="1">
      <c r="A11" s="430" t="s">
        <v>200</v>
      </c>
      <c r="B11" s="380">
        <f ca="1">SUMIF($H$23:$H$1036, "TRONTON", $I$23:$I$1035)</f>
        <v>22</v>
      </c>
      <c r="D11" s="353" t="s">
        <v>480</v>
      </c>
      <c r="E11" s="243">
        <f>COUNTIF($F$140:$F$1043,"JAWA TENGAH")</f>
        <v>0</v>
      </c>
      <c r="F11" s="318">
        <f>SUMIF(F48:F1043, "JAWA TENGAH NEXT DAY", G48:G1043)</f>
        <v>144606.05499999999</v>
      </c>
      <c r="G11" s="253"/>
      <c r="H11" s="44"/>
      <c r="I11" s="442"/>
      <c r="J11" s="443"/>
      <c r="K11" s="307"/>
      <c r="P11" s="275"/>
      <c r="R11">
        <f>R10/35</f>
        <v>171.42857142857142</v>
      </c>
    </row>
    <row r="12" spans="1:18" ht="27" customHeight="1">
      <c r="A12" s="430" t="s">
        <v>365</v>
      </c>
      <c r="B12" s="380">
        <f ca="1">SUMIF($H$25:$H$1036, "CN 40 HC", $I$25:$I$1035)</f>
        <v>0</v>
      </c>
      <c r="D12" s="354" t="s">
        <v>481</v>
      </c>
      <c r="E12" s="243">
        <f>COUNTIF(F140:F1044,"JAWA TIMUR")</f>
        <v>0</v>
      </c>
      <c r="F12" s="318">
        <f>SUMIF(F48:F1044, "JAWA TIMUR NEXT DAY", G48:G1044)</f>
        <v>211172.91500000001</v>
      </c>
      <c r="G12" s="253"/>
      <c r="H12" s="1517" t="s">
        <v>434</v>
      </c>
      <c r="I12" s="1517"/>
      <c r="J12" s="1553"/>
      <c r="K12" s="307"/>
      <c r="P12" s="275"/>
    </row>
    <row r="13" spans="1:18" ht="27" customHeight="1">
      <c r="A13" s="430" t="s">
        <v>467</v>
      </c>
      <c r="B13" s="380">
        <v>0</v>
      </c>
      <c r="D13" s="201" t="s">
        <v>468</v>
      </c>
      <c r="E13" s="500">
        <v>9</v>
      </c>
      <c r="F13" s="496">
        <f>SUM(F10:F12)</f>
        <v>355778.97</v>
      </c>
      <c r="G13" s="253"/>
      <c r="H13" s="441" t="s">
        <v>247</v>
      </c>
      <c r="I13" s="417" t="s">
        <v>195</v>
      </c>
      <c r="J13" s="441" t="s">
        <v>196</v>
      </c>
      <c r="K13" s="307"/>
      <c r="P13" s="275"/>
    </row>
    <row r="14" spans="1:18" ht="27" customHeight="1">
      <c r="A14" s="508" t="s">
        <v>325</v>
      </c>
      <c r="B14" s="509">
        <v>4</v>
      </c>
      <c r="E14" s="361"/>
      <c r="F14" s="327"/>
      <c r="G14" s="253"/>
      <c r="H14" s="196" t="s">
        <v>434</v>
      </c>
      <c r="I14" s="500">
        <f>COUNTIF($F$25:$F$121,"AMBIL SENDIRI")</f>
        <v>6</v>
      </c>
      <c r="J14" s="496">
        <f>SUMIF(F25:F1041,"COKOT SORANGAN",G25:G1041)</f>
        <v>0</v>
      </c>
      <c r="K14" s="307"/>
      <c r="P14" s="275"/>
    </row>
    <row r="15" spans="1:18" ht="27" customHeight="1">
      <c r="A15" s="508" t="s">
        <v>321</v>
      </c>
      <c r="B15" s="509">
        <f>SUM(G32:G35)</f>
        <v>94758.578999999998</v>
      </c>
      <c r="D15" s="435" t="s">
        <v>307</v>
      </c>
      <c r="E15" s="437">
        <f>E6+I6+E13</f>
        <v>46</v>
      </c>
      <c r="F15" s="327"/>
      <c r="G15" s="253"/>
      <c r="I15" s="281"/>
      <c r="J15" s="348"/>
      <c r="K15" s="307"/>
      <c r="P15" s="275"/>
    </row>
    <row r="16" spans="1:18" ht="27" customHeight="1">
      <c r="A16" s="508" t="s">
        <v>330</v>
      </c>
      <c r="B16" s="509">
        <v>15</v>
      </c>
      <c r="D16" s="435" t="s">
        <v>331</v>
      </c>
      <c r="E16" s="436">
        <f ca="1">F6+J6+F13+J10+J14</f>
        <v>1499852.7569999998</v>
      </c>
      <c r="F16" s="327"/>
      <c r="G16" s="253"/>
      <c r="I16" s="281"/>
      <c r="J16" s="348">
        <f>28+9+9</f>
        <v>46</v>
      </c>
      <c r="K16" s="307"/>
      <c r="P16" s="275"/>
    </row>
    <row r="17" spans="1:16" ht="27" customHeight="1">
      <c r="A17" s="508" t="s">
        <v>333</v>
      </c>
      <c r="B17" s="509"/>
      <c r="E17" s="361"/>
      <c r="F17" s="327"/>
      <c r="G17" s="253"/>
      <c r="I17" s="281"/>
      <c r="J17" s="348"/>
      <c r="K17" s="307"/>
      <c r="P17" s="275"/>
    </row>
    <row r="19" spans="1:16">
      <c r="A19" s="855" t="s">
        <v>1</v>
      </c>
      <c r="B19" s="856" t="s">
        <v>2</v>
      </c>
      <c r="C19" s="856" t="s">
        <v>3</v>
      </c>
      <c r="D19" s="856" t="s">
        <v>211</v>
      </c>
      <c r="E19" s="856" t="s">
        <v>5</v>
      </c>
      <c r="F19" s="856" t="s">
        <v>194</v>
      </c>
      <c r="G19" s="856" t="s">
        <v>212</v>
      </c>
      <c r="H19" s="857" t="s">
        <v>213</v>
      </c>
      <c r="I19" s="857" t="s">
        <v>214</v>
      </c>
      <c r="J19" s="858" t="s">
        <v>215</v>
      </c>
      <c r="K19" s="859" t="s">
        <v>216</v>
      </c>
    </row>
    <row r="20" spans="1:16" s="44" customFormat="1" ht="15.6">
      <c r="A20" s="889" t="s">
        <v>370</v>
      </c>
      <c r="B20" s="480">
        <v>3331552733</v>
      </c>
      <c r="C20" s="887" t="s">
        <v>470</v>
      </c>
      <c r="D20" s="480">
        <v>24140633</v>
      </c>
      <c r="E20" s="480" t="s">
        <v>354</v>
      </c>
      <c r="F20" s="895" t="s">
        <v>353</v>
      </c>
      <c r="G20" s="481">
        <v>24941.376</v>
      </c>
      <c r="H20" s="502" t="s">
        <v>471</v>
      </c>
      <c r="I20" s="480">
        <v>1</v>
      </c>
      <c r="J20" s="480">
        <v>1</v>
      </c>
      <c r="K20" s="482" t="s">
        <v>207</v>
      </c>
    </row>
    <row r="21" spans="1:16" s="44" customFormat="1" ht="15.6">
      <c r="A21" s="889" t="s">
        <v>370</v>
      </c>
      <c r="B21" s="480">
        <v>3331552742</v>
      </c>
      <c r="C21" s="887" t="s">
        <v>470</v>
      </c>
      <c r="D21" s="480">
        <v>24140634</v>
      </c>
      <c r="E21" s="480" t="s">
        <v>354</v>
      </c>
      <c r="F21" s="895" t="s">
        <v>353</v>
      </c>
      <c r="G21" s="481">
        <v>21737.101999999999</v>
      </c>
      <c r="H21" s="480" t="s">
        <v>471</v>
      </c>
      <c r="I21" s="480">
        <v>1</v>
      </c>
      <c r="J21" s="480">
        <v>1</v>
      </c>
      <c r="K21" s="482" t="s">
        <v>207</v>
      </c>
    </row>
    <row r="22" spans="1:16" s="44" customFormat="1" ht="15.6">
      <c r="A22" s="889" t="s">
        <v>370</v>
      </c>
      <c r="B22" s="480">
        <v>3331552743</v>
      </c>
      <c r="C22" s="887" t="s">
        <v>470</v>
      </c>
      <c r="D22" s="480">
        <v>24140635</v>
      </c>
      <c r="E22" s="480" t="s">
        <v>354</v>
      </c>
      <c r="F22" s="895" t="s">
        <v>353</v>
      </c>
      <c r="G22" s="481">
        <v>24162.965</v>
      </c>
      <c r="H22" s="480" t="s">
        <v>471</v>
      </c>
      <c r="I22" s="480">
        <v>1</v>
      </c>
      <c r="J22" s="480">
        <v>1</v>
      </c>
      <c r="K22" s="482" t="s">
        <v>207</v>
      </c>
    </row>
    <row r="23" spans="1:16" s="44" customFormat="1" ht="15.6" hidden="1">
      <c r="A23" s="880" t="s">
        <v>526</v>
      </c>
      <c r="B23" s="452">
        <v>3331552845</v>
      </c>
      <c r="C23" s="592" t="s">
        <v>27</v>
      </c>
      <c r="D23" s="452">
        <v>24140640</v>
      </c>
      <c r="E23" s="452" t="s">
        <v>475</v>
      </c>
      <c r="F23" s="452" t="s">
        <v>205</v>
      </c>
      <c r="G23" s="456">
        <f>31420.901+5848.884</f>
        <v>37269.785000000003</v>
      </c>
      <c r="H23" s="492" t="str">
        <f>IF(Table13465[[#This Row],[TOTAL WEIGHT]]&gt;28000,"TRAILER","TRONTON")</f>
        <v>TRAILER</v>
      </c>
      <c r="I23" s="452">
        <v>1</v>
      </c>
      <c r="J23" s="452">
        <v>1</v>
      </c>
      <c r="K23" s="476" t="s">
        <v>204</v>
      </c>
    </row>
    <row r="24" spans="1:16" s="44" customFormat="1" ht="15.6" hidden="1">
      <c r="A24" s="880" t="s">
        <v>526</v>
      </c>
      <c r="B24" s="452">
        <v>3331552848</v>
      </c>
      <c r="C24" s="592" t="s">
        <v>256</v>
      </c>
      <c r="D24" s="452" t="s">
        <v>256</v>
      </c>
      <c r="E24" s="452" t="s">
        <v>256</v>
      </c>
      <c r="F24" s="452" t="s">
        <v>256</v>
      </c>
      <c r="G24" s="456" t="s">
        <v>256</v>
      </c>
      <c r="H24" s="452" t="s">
        <v>256</v>
      </c>
      <c r="I24" s="452" t="s">
        <v>256</v>
      </c>
      <c r="J24" s="452" t="s">
        <v>256</v>
      </c>
      <c r="K24" s="476" t="s">
        <v>256</v>
      </c>
    </row>
    <row r="25" spans="1:16" s="44" customFormat="1" ht="15.6" hidden="1">
      <c r="A25" s="880" t="s">
        <v>370</v>
      </c>
      <c r="B25" s="452">
        <v>3331552865</v>
      </c>
      <c r="C25" s="592" t="s">
        <v>496</v>
      </c>
      <c r="D25" s="452">
        <v>24140644</v>
      </c>
      <c r="E25" s="452" t="s">
        <v>487</v>
      </c>
      <c r="F25" s="452" t="s">
        <v>205</v>
      </c>
      <c r="G25" s="456">
        <f>2137.75+35437.356</f>
        <v>37575.106</v>
      </c>
      <c r="H25" s="452" t="s">
        <v>128</v>
      </c>
      <c r="I25" s="452">
        <v>1</v>
      </c>
      <c r="J25" s="452">
        <v>1</v>
      </c>
      <c r="K25" s="476" t="s">
        <v>204</v>
      </c>
    </row>
    <row r="26" spans="1:16" s="44" customFormat="1" ht="15.6" hidden="1">
      <c r="A26" s="880" t="s">
        <v>370</v>
      </c>
      <c r="B26" s="452">
        <v>3331552866</v>
      </c>
      <c r="C26" s="592" t="s">
        <v>256</v>
      </c>
      <c r="D26" s="452" t="s">
        <v>256</v>
      </c>
      <c r="E26" s="452" t="s">
        <v>256</v>
      </c>
      <c r="F26" s="452" t="s">
        <v>256</v>
      </c>
      <c r="G26" s="456" t="s">
        <v>256</v>
      </c>
      <c r="H26" s="452" t="s">
        <v>256</v>
      </c>
      <c r="I26" s="452" t="s">
        <v>256</v>
      </c>
      <c r="J26" s="452" t="s">
        <v>256</v>
      </c>
      <c r="K26" s="476" t="s">
        <v>256</v>
      </c>
    </row>
    <row r="27" spans="1:16" s="44" customFormat="1" ht="15.6" hidden="1">
      <c r="A27" s="880" t="s">
        <v>370</v>
      </c>
      <c r="B27" s="452">
        <v>3331552876</v>
      </c>
      <c r="C27" s="592" t="s">
        <v>206</v>
      </c>
      <c r="D27" s="452">
        <v>24140645</v>
      </c>
      <c r="E27" s="452" t="s">
        <v>487</v>
      </c>
      <c r="F27" s="452" t="s">
        <v>205</v>
      </c>
      <c r="G27" s="456">
        <v>35918.726999999999</v>
      </c>
      <c r="H27" s="452" t="s">
        <v>128</v>
      </c>
      <c r="I27" s="452">
        <v>1</v>
      </c>
      <c r="J27" s="452">
        <v>1</v>
      </c>
      <c r="K27" s="476" t="s">
        <v>204</v>
      </c>
    </row>
    <row r="28" spans="1:16" s="44" customFormat="1" ht="15.6" hidden="1">
      <c r="A28" s="880" t="s">
        <v>485</v>
      </c>
      <c r="B28" s="452">
        <v>3331553109</v>
      </c>
      <c r="C28" s="592" t="s">
        <v>27</v>
      </c>
      <c r="D28" s="452">
        <v>24140665</v>
      </c>
      <c r="E28" s="452" t="s">
        <v>224</v>
      </c>
      <c r="F28" s="452" t="s">
        <v>203</v>
      </c>
      <c r="G28" s="456">
        <v>39222.934000000001</v>
      </c>
      <c r="H28" s="490" t="s">
        <v>200</v>
      </c>
      <c r="I28" s="452">
        <v>1</v>
      </c>
      <c r="J28" s="452">
        <v>1</v>
      </c>
      <c r="K28" s="476" t="s">
        <v>204</v>
      </c>
    </row>
    <row r="29" spans="1:16" s="44" customFormat="1" ht="15.6" hidden="1">
      <c r="A29" s="880" t="s">
        <v>485</v>
      </c>
      <c r="B29" s="452">
        <v>3331553096</v>
      </c>
      <c r="C29" s="592" t="s">
        <v>27</v>
      </c>
      <c r="D29" s="490">
        <v>24140661</v>
      </c>
      <c r="E29" s="490" t="s">
        <v>224</v>
      </c>
      <c r="F29" s="490" t="s">
        <v>203</v>
      </c>
      <c r="G29" s="491">
        <v>36556.027999999998</v>
      </c>
      <c r="H29" s="490" t="s">
        <v>200</v>
      </c>
      <c r="I29" s="452">
        <v>1</v>
      </c>
      <c r="J29" s="452">
        <v>1</v>
      </c>
      <c r="K29" s="476" t="s">
        <v>204</v>
      </c>
    </row>
    <row r="30" spans="1:16" s="44" customFormat="1" ht="15.6" hidden="1">
      <c r="A30" s="880" t="s">
        <v>483</v>
      </c>
      <c r="B30" s="452">
        <v>3331553176</v>
      </c>
      <c r="C30" s="592" t="s">
        <v>34</v>
      </c>
      <c r="D30" s="452">
        <v>24140676</v>
      </c>
      <c r="E30" s="452" t="s">
        <v>491</v>
      </c>
      <c r="F30" s="490" t="s">
        <v>199</v>
      </c>
      <c r="G30" s="456">
        <v>25564.974999999999</v>
      </c>
      <c r="H30" s="452" t="s">
        <v>200</v>
      </c>
      <c r="I30" s="452">
        <v>1</v>
      </c>
      <c r="J30" s="452">
        <v>1</v>
      </c>
      <c r="K30" s="476" t="s">
        <v>204</v>
      </c>
    </row>
    <row r="31" spans="1:16" s="44" customFormat="1" ht="15.6" hidden="1">
      <c r="A31" s="880" t="s">
        <v>483</v>
      </c>
      <c r="B31" s="880">
        <v>3331553066</v>
      </c>
      <c r="C31" s="592" t="s">
        <v>27</v>
      </c>
      <c r="D31" s="490">
        <v>24140658</v>
      </c>
      <c r="E31" s="452" t="s">
        <v>486</v>
      </c>
      <c r="F31" s="490" t="s">
        <v>205</v>
      </c>
      <c r="G31" s="456">
        <v>40660</v>
      </c>
      <c r="H31" s="452" t="s">
        <v>128</v>
      </c>
      <c r="I31" s="456">
        <v>1</v>
      </c>
      <c r="J31" s="452">
        <v>1</v>
      </c>
      <c r="K31" s="476" t="s">
        <v>204</v>
      </c>
      <c r="O31" s="44" t="s">
        <v>485</v>
      </c>
    </row>
    <row r="32" spans="1:16" s="44" customFormat="1" ht="15.6" hidden="1">
      <c r="A32" s="880" t="s">
        <v>527</v>
      </c>
      <c r="B32" s="452">
        <v>3331553091</v>
      </c>
      <c r="C32" s="592" t="s">
        <v>27</v>
      </c>
      <c r="D32" s="452">
        <v>24140660</v>
      </c>
      <c r="E32" s="452" t="s">
        <v>489</v>
      </c>
      <c r="F32" s="452" t="s">
        <v>199</v>
      </c>
      <c r="G32" s="456">
        <v>27133.406999999999</v>
      </c>
      <c r="H32" s="452" t="s">
        <v>200</v>
      </c>
      <c r="I32" s="452">
        <v>1</v>
      </c>
      <c r="J32" s="452">
        <v>1</v>
      </c>
      <c r="K32" s="476" t="s">
        <v>204</v>
      </c>
      <c r="L32" s="44" t="s">
        <v>528</v>
      </c>
    </row>
    <row r="33" spans="1:17" s="44" customFormat="1" ht="15.6" hidden="1">
      <c r="A33" s="880" t="s">
        <v>527</v>
      </c>
      <c r="B33" s="452">
        <v>3331553104</v>
      </c>
      <c r="C33" s="592" t="s">
        <v>27</v>
      </c>
      <c r="D33" s="452">
        <v>24140662</v>
      </c>
      <c r="E33" s="452" t="s">
        <v>489</v>
      </c>
      <c r="F33" s="452" t="s">
        <v>199</v>
      </c>
      <c r="G33" s="456">
        <v>25980.6</v>
      </c>
      <c r="H33" s="452" t="s">
        <v>200</v>
      </c>
      <c r="I33" s="452">
        <v>1</v>
      </c>
      <c r="J33" s="452">
        <v>1</v>
      </c>
      <c r="K33" s="476" t="s">
        <v>204</v>
      </c>
      <c r="L33" s="44" t="s">
        <v>528</v>
      </c>
    </row>
    <row r="34" spans="1:17" s="44" customFormat="1" ht="15.6" hidden="1">
      <c r="A34" s="880" t="s">
        <v>527</v>
      </c>
      <c r="B34" s="452">
        <v>3331553107</v>
      </c>
      <c r="C34" s="592" t="s">
        <v>27</v>
      </c>
      <c r="D34" s="452">
        <v>24140664</v>
      </c>
      <c r="E34" s="452" t="s">
        <v>488</v>
      </c>
      <c r="F34" s="452" t="s">
        <v>199</v>
      </c>
      <c r="G34" s="456">
        <v>25882.32</v>
      </c>
      <c r="H34" s="490" t="s">
        <v>200</v>
      </c>
      <c r="I34" s="452">
        <v>1</v>
      </c>
      <c r="J34" s="452">
        <v>1</v>
      </c>
      <c r="K34" s="476" t="s">
        <v>204</v>
      </c>
      <c r="L34" s="44" t="s">
        <v>528</v>
      </c>
    </row>
    <row r="35" spans="1:17" s="44" customFormat="1" ht="15.6" hidden="1">
      <c r="A35" s="880" t="s">
        <v>527</v>
      </c>
      <c r="B35" s="452">
        <v>3331549325</v>
      </c>
      <c r="C35" s="592" t="s">
        <v>27</v>
      </c>
      <c r="D35" s="452">
        <v>24140666</v>
      </c>
      <c r="E35" s="452" t="s">
        <v>242</v>
      </c>
      <c r="F35" s="452" t="s">
        <v>199</v>
      </c>
      <c r="G35" s="456">
        <f>6524.916+7494.285+1743.051</f>
        <v>15762.252</v>
      </c>
      <c r="H35" s="452" t="s">
        <v>200</v>
      </c>
      <c r="I35" s="452">
        <v>1</v>
      </c>
      <c r="J35" s="452">
        <v>1</v>
      </c>
      <c r="K35" s="476" t="s">
        <v>204</v>
      </c>
      <c r="L35" s="44" t="s">
        <v>528</v>
      </c>
    </row>
    <row r="36" spans="1:17" s="44" customFormat="1" ht="15.6" hidden="1">
      <c r="A36" s="880" t="s">
        <v>527</v>
      </c>
      <c r="B36" s="452">
        <v>3331553094</v>
      </c>
      <c r="C36" s="592" t="s">
        <v>256</v>
      </c>
      <c r="D36" s="452" t="s">
        <v>256</v>
      </c>
      <c r="E36" s="452" t="s">
        <v>256</v>
      </c>
      <c r="F36" s="452" t="s">
        <v>256</v>
      </c>
      <c r="G36" s="456" t="s">
        <v>256</v>
      </c>
      <c r="H36" s="452" t="s">
        <v>256</v>
      </c>
      <c r="I36" s="452" t="s">
        <v>256</v>
      </c>
      <c r="J36" s="452" t="s">
        <v>256</v>
      </c>
      <c r="K36" s="476" t="s">
        <v>256</v>
      </c>
    </row>
    <row r="37" spans="1:17" s="44" customFormat="1" ht="15.6" hidden="1">
      <c r="A37" s="880" t="s">
        <v>527</v>
      </c>
      <c r="B37" s="452">
        <v>3331553110</v>
      </c>
      <c r="C37" s="592" t="s">
        <v>256</v>
      </c>
      <c r="D37" s="452" t="s">
        <v>256</v>
      </c>
      <c r="E37" s="452" t="s">
        <v>256</v>
      </c>
      <c r="F37" s="452" t="s">
        <v>256</v>
      </c>
      <c r="G37" s="456" t="s">
        <v>256</v>
      </c>
      <c r="H37" s="452" t="s">
        <v>256</v>
      </c>
      <c r="I37" s="452" t="s">
        <v>256</v>
      </c>
      <c r="J37" s="452" t="s">
        <v>256</v>
      </c>
      <c r="K37" s="476" t="s">
        <v>256</v>
      </c>
    </row>
    <row r="38" spans="1:17" s="44" customFormat="1" ht="15.6" hidden="1">
      <c r="A38" s="880" t="s">
        <v>483</v>
      </c>
      <c r="B38" s="592">
        <v>3331553061</v>
      </c>
      <c r="C38" s="592" t="s">
        <v>206</v>
      </c>
      <c r="D38" s="452">
        <v>24140670</v>
      </c>
      <c r="E38" s="452" t="s">
        <v>226</v>
      </c>
      <c r="F38" s="452" t="s">
        <v>203</v>
      </c>
      <c r="G38" s="456">
        <v>30008.6</v>
      </c>
      <c r="H38" s="452" t="s">
        <v>128</v>
      </c>
      <c r="I38" s="452">
        <v>1</v>
      </c>
      <c r="J38" s="452">
        <v>1</v>
      </c>
      <c r="K38" s="476" t="s">
        <v>204</v>
      </c>
    </row>
    <row r="39" spans="1:17" s="44" customFormat="1" ht="15.6" hidden="1">
      <c r="A39" s="880" t="s">
        <v>483</v>
      </c>
      <c r="B39" s="592">
        <v>3331553050</v>
      </c>
      <c r="C39" s="592" t="s">
        <v>206</v>
      </c>
      <c r="D39" s="452">
        <v>24140652</v>
      </c>
      <c r="E39" s="452" t="s">
        <v>226</v>
      </c>
      <c r="F39" s="452" t="s">
        <v>203</v>
      </c>
      <c r="G39" s="456">
        <v>31653.030999999999</v>
      </c>
      <c r="H39" s="452" t="s">
        <v>128</v>
      </c>
      <c r="I39" s="452">
        <v>1</v>
      </c>
      <c r="J39" s="452">
        <v>1</v>
      </c>
      <c r="K39" s="476" t="s">
        <v>204</v>
      </c>
    </row>
    <row r="40" spans="1:17" s="44" customFormat="1" ht="15.6" hidden="1">
      <c r="A40" s="880" t="s">
        <v>483</v>
      </c>
      <c r="B40" s="592">
        <v>3331553204</v>
      </c>
      <c r="C40" s="592" t="s">
        <v>206</v>
      </c>
      <c r="D40" s="452">
        <v>24140686</v>
      </c>
      <c r="E40" s="452" t="s">
        <v>226</v>
      </c>
      <c r="F40" s="452" t="s">
        <v>203</v>
      </c>
      <c r="G40" s="456">
        <f>13762.081+17363.701</f>
        <v>31125.781999999999</v>
      </c>
      <c r="H40" s="452" t="s">
        <v>128</v>
      </c>
      <c r="I40" s="452">
        <v>1</v>
      </c>
      <c r="J40" s="452">
        <v>1</v>
      </c>
      <c r="K40" s="476" t="s">
        <v>204</v>
      </c>
    </row>
    <row r="41" spans="1:17" s="44" customFormat="1" ht="15.6" hidden="1">
      <c r="A41" s="880" t="s">
        <v>483</v>
      </c>
      <c r="B41" s="592">
        <v>3331553206</v>
      </c>
      <c r="C41" s="592" t="s">
        <v>256</v>
      </c>
      <c r="D41" s="452" t="s">
        <v>256</v>
      </c>
      <c r="E41" s="452" t="s">
        <v>256</v>
      </c>
      <c r="F41" s="452" t="s">
        <v>256</v>
      </c>
      <c r="G41" s="456" t="s">
        <v>256</v>
      </c>
      <c r="H41" s="452" t="s">
        <v>256</v>
      </c>
      <c r="I41" s="452" t="s">
        <v>256</v>
      </c>
      <c r="J41" s="452" t="s">
        <v>256</v>
      </c>
      <c r="K41" s="476" t="s">
        <v>256</v>
      </c>
    </row>
    <row r="42" spans="1:17" s="108" customFormat="1" ht="15.6" hidden="1">
      <c r="A42" s="880" t="s">
        <v>485</v>
      </c>
      <c r="B42" s="452">
        <v>3331553136</v>
      </c>
      <c r="C42" s="592" t="s">
        <v>27</v>
      </c>
      <c r="D42" s="452">
        <v>24140668</v>
      </c>
      <c r="E42" s="452" t="s">
        <v>224</v>
      </c>
      <c r="F42" s="452" t="s">
        <v>203</v>
      </c>
      <c r="G42" s="456">
        <v>35567.129999999997</v>
      </c>
      <c r="H42" s="452" t="s">
        <v>128</v>
      </c>
      <c r="I42" s="452">
        <v>1</v>
      </c>
      <c r="J42" s="452">
        <v>1</v>
      </c>
      <c r="K42" s="476" t="s">
        <v>204</v>
      </c>
      <c r="O42" s="44"/>
      <c r="P42" s="44"/>
      <c r="Q42" s="44"/>
    </row>
    <row r="43" spans="1:17" s="44" customFormat="1" ht="15.6" hidden="1">
      <c r="A43" s="880" t="s">
        <v>485</v>
      </c>
      <c r="B43" s="452">
        <v>3331553153</v>
      </c>
      <c r="C43" s="592" t="s">
        <v>27</v>
      </c>
      <c r="D43" s="452">
        <v>24140674</v>
      </c>
      <c r="E43" s="452" t="s">
        <v>224</v>
      </c>
      <c r="F43" s="452" t="s">
        <v>203</v>
      </c>
      <c r="G43" s="456">
        <v>35438.362000000001</v>
      </c>
      <c r="H43" s="452" t="s">
        <v>200</v>
      </c>
      <c r="I43" s="452">
        <v>1</v>
      </c>
      <c r="J43" s="452">
        <v>1</v>
      </c>
      <c r="K43" s="476" t="s">
        <v>204</v>
      </c>
    </row>
    <row r="44" spans="1:17" s="108" customFormat="1" ht="15.6" hidden="1">
      <c r="A44" s="880" t="s">
        <v>485</v>
      </c>
      <c r="B44" s="452">
        <v>3331553177</v>
      </c>
      <c r="C44" s="592" t="s">
        <v>27</v>
      </c>
      <c r="D44" s="452">
        <v>24140677</v>
      </c>
      <c r="E44" s="452" t="s">
        <v>224</v>
      </c>
      <c r="F44" s="452" t="s">
        <v>203</v>
      </c>
      <c r="G44" s="456">
        <f>1069.378+32902.236</f>
        <v>33971.613999999994</v>
      </c>
      <c r="H44" s="452" t="s">
        <v>128</v>
      </c>
      <c r="I44" s="452">
        <v>1</v>
      </c>
      <c r="J44" s="452">
        <v>1</v>
      </c>
      <c r="K44" s="476" t="s">
        <v>204</v>
      </c>
      <c r="O44" s="44"/>
      <c r="P44" s="44"/>
      <c r="Q44" s="44"/>
    </row>
    <row r="45" spans="1:17" s="108" customFormat="1" ht="15.6" hidden="1">
      <c r="A45" s="880" t="s">
        <v>485</v>
      </c>
      <c r="B45" s="452">
        <v>3331553179</v>
      </c>
      <c r="C45" s="592" t="s">
        <v>256</v>
      </c>
      <c r="D45" s="452" t="s">
        <v>256</v>
      </c>
      <c r="E45" s="452" t="s">
        <v>256</v>
      </c>
      <c r="F45" s="452" t="s">
        <v>256</v>
      </c>
      <c r="G45" s="456" t="s">
        <v>256</v>
      </c>
      <c r="H45" s="452" t="s">
        <v>256</v>
      </c>
      <c r="I45" s="452" t="s">
        <v>256</v>
      </c>
      <c r="J45" s="452" t="s">
        <v>256</v>
      </c>
      <c r="K45" s="476" t="s">
        <v>256</v>
      </c>
    </row>
    <row r="46" spans="1:17" s="44" customFormat="1" ht="15.6" hidden="1">
      <c r="A46" s="880" t="s">
        <v>483</v>
      </c>
      <c r="B46" s="452">
        <v>3331553191</v>
      </c>
      <c r="C46" s="592" t="s">
        <v>336</v>
      </c>
      <c r="D46" s="452">
        <v>24140680</v>
      </c>
      <c r="E46" s="452" t="s">
        <v>446</v>
      </c>
      <c r="F46" s="452" t="s">
        <v>205</v>
      </c>
      <c r="G46" s="456">
        <v>36641.035000000003</v>
      </c>
      <c r="H46" s="452" t="s">
        <v>128</v>
      </c>
      <c r="I46" s="452">
        <v>1</v>
      </c>
      <c r="J46" s="452">
        <v>1</v>
      </c>
      <c r="K46" s="476" t="s">
        <v>204</v>
      </c>
    </row>
    <row r="47" spans="1:17" s="44" customFormat="1" ht="15.6" hidden="1">
      <c r="A47" s="880" t="s">
        <v>483</v>
      </c>
      <c r="B47" s="452">
        <v>3331553193</v>
      </c>
      <c r="C47" s="592" t="s">
        <v>336</v>
      </c>
      <c r="D47" s="452">
        <v>24140681</v>
      </c>
      <c r="E47" s="452" t="s">
        <v>446</v>
      </c>
      <c r="F47" s="452" t="s">
        <v>205</v>
      </c>
      <c r="G47" s="456">
        <v>35315.629999999997</v>
      </c>
      <c r="H47" s="452" t="s">
        <v>128</v>
      </c>
      <c r="I47" s="452">
        <v>1</v>
      </c>
      <c r="J47" s="452">
        <v>1</v>
      </c>
      <c r="K47" s="476" t="s">
        <v>204</v>
      </c>
    </row>
    <row r="48" spans="1:17" s="44" customFormat="1" ht="15.6" hidden="1">
      <c r="A48" s="880" t="s">
        <v>483</v>
      </c>
      <c r="B48" s="592">
        <v>3331551973</v>
      </c>
      <c r="C48" s="592" t="s">
        <v>273</v>
      </c>
      <c r="D48" s="452">
        <v>24140682</v>
      </c>
      <c r="E48" s="452" t="s">
        <v>226</v>
      </c>
      <c r="F48" s="452" t="s">
        <v>203</v>
      </c>
      <c r="G48" s="456">
        <f>20178.266+12256.852</f>
        <v>32435.118000000002</v>
      </c>
      <c r="H48" s="452" t="s">
        <v>128</v>
      </c>
      <c r="I48" s="452">
        <v>1</v>
      </c>
      <c r="J48" s="452">
        <v>1</v>
      </c>
      <c r="K48" s="476" t="s">
        <v>204</v>
      </c>
    </row>
    <row r="49" spans="1:17" s="44" customFormat="1" ht="15.6" hidden="1">
      <c r="A49" s="880" t="s">
        <v>483</v>
      </c>
      <c r="B49" s="592">
        <v>3331553065</v>
      </c>
      <c r="C49" s="592" t="s">
        <v>256</v>
      </c>
      <c r="D49" s="452" t="s">
        <v>256</v>
      </c>
      <c r="E49" s="452" t="s">
        <v>256</v>
      </c>
      <c r="F49" s="452" t="s">
        <v>256</v>
      </c>
      <c r="G49" s="456" t="s">
        <v>256</v>
      </c>
      <c r="H49" s="490" t="s">
        <v>256</v>
      </c>
      <c r="I49" s="452" t="s">
        <v>256</v>
      </c>
      <c r="J49" s="452" t="s">
        <v>256</v>
      </c>
      <c r="K49" s="476" t="s">
        <v>256</v>
      </c>
    </row>
    <row r="50" spans="1:17" s="108" customFormat="1" ht="15.6" hidden="1">
      <c r="A50" s="880" t="s">
        <v>485</v>
      </c>
      <c r="B50" s="452">
        <v>3331553214</v>
      </c>
      <c r="C50" s="592" t="s">
        <v>336</v>
      </c>
      <c r="D50" s="452">
        <v>24140685</v>
      </c>
      <c r="E50" s="452" t="s">
        <v>486</v>
      </c>
      <c r="F50" s="452" t="s">
        <v>205</v>
      </c>
      <c r="G50" s="456">
        <v>43749.934000000001</v>
      </c>
      <c r="H50" s="452" t="s">
        <v>128</v>
      </c>
      <c r="I50" s="452">
        <v>1</v>
      </c>
      <c r="J50" s="452">
        <v>1</v>
      </c>
      <c r="K50" s="476" t="s">
        <v>204</v>
      </c>
      <c r="O50" s="44"/>
      <c r="P50" s="44"/>
      <c r="Q50" s="44"/>
    </row>
    <row r="51" spans="1:17" s="108" customFormat="1" ht="15.6" hidden="1">
      <c r="A51" s="880" t="s">
        <v>483</v>
      </c>
      <c r="B51" s="452">
        <v>3331553216</v>
      </c>
      <c r="C51" s="592" t="s">
        <v>336</v>
      </c>
      <c r="D51" s="452">
        <v>24140687</v>
      </c>
      <c r="E51" s="452" t="s">
        <v>493</v>
      </c>
      <c r="F51" s="452" t="s">
        <v>205</v>
      </c>
      <c r="G51" s="456">
        <v>42780.652999999998</v>
      </c>
      <c r="H51" s="452" t="s">
        <v>128</v>
      </c>
      <c r="I51" s="452">
        <v>1</v>
      </c>
      <c r="J51" s="452">
        <v>1</v>
      </c>
      <c r="K51" s="476" t="s">
        <v>204</v>
      </c>
      <c r="O51" s="44"/>
      <c r="P51" s="44"/>
      <c r="Q51" s="44"/>
    </row>
    <row r="52" spans="1:17" s="44" customFormat="1" ht="15.6" hidden="1">
      <c r="A52" s="880" t="s">
        <v>483</v>
      </c>
      <c r="B52" s="452">
        <v>3331553217</v>
      </c>
      <c r="C52" s="592" t="s">
        <v>49</v>
      </c>
      <c r="D52" s="452">
        <v>24140688</v>
      </c>
      <c r="E52" s="452" t="s">
        <v>493</v>
      </c>
      <c r="F52" s="452" t="s">
        <v>205</v>
      </c>
      <c r="G52" s="456">
        <v>37675.705999999998</v>
      </c>
      <c r="H52" s="452" t="s">
        <v>128</v>
      </c>
      <c r="I52" s="452">
        <v>1</v>
      </c>
      <c r="J52" s="452">
        <v>1</v>
      </c>
      <c r="K52" s="476" t="s">
        <v>204</v>
      </c>
    </row>
    <row r="53" spans="1:17" s="44" customFormat="1" ht="15.6" hidden="1">
      <c r="A53" s="880" t="s">
        <v>485</v>
      </c>
      <c r="B53" s="452">
        <v>3331553421</v>
      </c>
      <c r="C53" s="592" t="s">
        <v>27</v>
      </c>
      <c r="D53" s="452">
        <v>24140689</v>
      </c>
      <c r="E53" s="452" t="s">
        <v>366</v>
      </c>
      <c r="F53" s="452" t="s">
        <v>199</v>
      </c>
      <c r="G53" s="456">
        <v>26892.895</v>
      </c>
      <c r="H53" s="452" t="s">
        <v>200</v>
      </c>
      <c r="I53" s="452">
        <v>1</v>
      </c>
      <c r="J53" s="452">
        <v>1</v>
      </c>
      <c r="K53" s="476" t="s">
        <v>204</v>
      </c>
    </row>
    <row r="54" spans="1:17" s="44" customFormat="1" ht="15.6" hidden="1">
      <c r="A54" s="880" t="s">
        <v>485</v>
      </c>
      <c r="B54" s="452">
        <v>3331553423</v>
      </c>
      <c r="C54" s="592" t="s">
        <v>27</v>
      </c>
      <c r="D54" s="452">
        <v>24140690</v>
      </c>
      <c r="E54" s="452" t="s">
        <v>366</v>
      </c>
      <c r="F54" s="452" t="s">
        <v>199</v>
      </c>
      <c r="G54" s="456">
        <v>26550.855</v>
      </c>
      <c r="H54" s="452" t="s">
        <v>200</v>
      </c>
      <c r="I54" s="452">
        <v>1</v>
      </c>
      <c r="J54" s="452">
        <v>1</v>
      </c>
      <c r="K54" s="476" t="s">
        <v>204</v>
      </c>
    </row>
    <row r="55" spans="1:17" ht="15.6" hidden="1">
      <c r="A55" s="880" t="s">
        <v>485</v>
      </c>
      <c r="B55" s="452">
        <v>3331553424</v>
      </c>
      <c r="C55" s="592" t="s">
        <v>34</v>
      </c>
      <c r="D55" s="452">
        <v>24140691</v>
      </c>
      <c r="E55" s="452" t="s">
        <v>219</v>
      </c>
      <c r="F55" s="452" t="s">
        <v>199</v>
      </c>
      <c r="G55" s="456">
        <v>27496.134999999998</v>
      </c>
      <c r="H55" s="490" t="s">
        <v>200</v>
      </c>
      <c r="I55" s="452">
        <v>1</v>
      </c>
      <c r="J55" s="452">
        <v>1</v>
      </c>
      <c r="K55" s="476" t="s">
        <v>204</v>
      </c>
    </row>
    <row r="56" spans="1:17" s="108" customFormat="1" ht="15.6" hidden="1">
      <c r="A56" s="880" t="s">
        <v>485</v>
      </c>
      <c r="B56" s="452">
        <v>3331553425</v>
      </c>
      <c r="C56" s="592" t="s">
        <v>336</v>
      </c>
      <c r="D56" s="452">
        <v>24140692</v>
      </c>
      <c r="E56" s="452" t="s">
        <v>529</v>
      </c>
      <c r="F56" s="452" t="s">
        <v>434</v>
      </c>
      <c r="G56" s="456">
        <f>18812.2+17444.04</f>
        <v>36256.240000000005</v>
      </c>
      <c r="H56" s="452" t="s">
        <v>128</v>
      </c>
      <c r="I56" s="452">
        <v>1</v>
      </c>
      <c r="J56" s="452">
        <v>1</v>
      </c>
      <c r="K56" s="476" t="s">
        <v>204</v>
      </c>
      <c r="O56"/>
      <c r="P56"/>
      <c r="Q56"/>
    </row>
    <row r="57" spans="1:17" s="108" customFormat="1" hidden="1">
      <c r="A57" s="880" t="s">
        <v>485</v>
      </c>
      <c r="B57" s="452">
        <v>3331553427</v>
      </c>
      <c r="C57" s="592" t="s">
        <v>256</v>
      </c>
      <c r="D57" s="452" t="s">
        <v>256</v>
      </c>
      <c r="E57" s="452" t="s">
        <v>256</v>
      </c>
      <c r="F57" s="452" t="s">
        <v>256</v>
      </c>
      <c r="G57" s="456" t="s">
        <v>256</v>
      </c>
      <c r="H57" s="452" t="s">
        <v>256</v>
      </c>
      <c r="I57" s="452" t="s">
        <v>256</v>
      </c>
      <c r="J57" s="452" t="s">
        <v>256</v>
      </c>
      <c r="K57" s="452" t="s">
        <v>256</v>
      </c>
      <c r="O57"/>
      <c r="P57"/>
      <c r="Q57"/>
    </row>
    <row r="58" spans="1:17" s="108" customFormat="1" ht="15.6" hidden="1">
      <c r="A58" s="880" t="s">
        <v>485</v>
      </c>
      <c r="B58" s="452">
        <v>3331553430</v>
      </c>
      <c r="C58" s="592" t="s">
        <v>336</v>
      </c>
      <c r="D58" s="452">
        <v>24140693</v>
      </c>
      <c r="E58" s="452" t="s">
        <v>529</v>
      </c>
      <c r="F58" s="452" t="s">
        <v>434</v>
      </c>
      <c r="G58" s="456">
        <v>33803.108</v>
      </c>
      <c r="H58" s="452" t="s">
        <v>128</v>
      </c>
      <c r="I58" s="452">
        <v>1</v>
      </c>
      <c r="J58" s="452">
        <v>1</v>
      </c>
      <c r="K58" s="476" t="s">
        <v>207</v>
      </c>
    </row>
    <row r="59" spans="1:17" s="108" customFormat="1" ht="15.6" hidden="1">
      <c r="A59" s="880" t="s">
        <v>485</v>
      </c>
      <c r="B59" s="452">
        <v>3331553436</v>
      </c>
      <c r="C59" s="592" t="s">
        <v>336</v>
      </c>
      <c r="D59" s="452">
        <v>24140694</v>
      </c>
      <c r="E59" s="452" t="s">
        <v>529</v>
      </c>
      <c r="F59" s="452" t="s">
        <v>434</v>
      </c>
      <c r="G59" s="456">
        <f>16901.554+15776.595</f>
        <v>32678.148999999998</v>
      </c>
      <c r="H59" s="452" t="s">
        <v>128</v>
      </c>
      <c r="I59" s="452">
        <v>1</v>
      </c>
      <c r="J59" s="452">
        <v>1</v>
      </c>
      <c r="K59" s="476" t="s">
        <v>204</v>
      </c>
      <c r="O59"/>
      <c r="P59"/>
      <c r="Q59"/>
    </row>
    <row r="60" spans="1:17" s="108" customFormat="1" hidden="1">
      <c r="A60" s="880" t="s">
        <v>485</v>
      </c>
      <c r="B60" s="452">
        <v>3331553437</v>
      </c>
      <c r="C60" s="592" t="s">
        <v>256</v>
      </c>
      <c r="D60" s="452" t="s">
        <v>256</v>
      </c>
      <c r="E60" s="452" t="s">
        <v>256</v>
      </c>
      <c r="F60" s="452" t="s">
        <v>256</v>
      </c>
      <c r="G60" s="456" t="s">
        <v>256</v>
      </c>
      <c r="H60" s="452" t="s">
        <v>256</v>
      </c>
      <c r="I60" s="452" t="s">
        <v>256</v>
      </c>
      <c r="J60" s="452" t="s">
        <v>256</v>
      </c>
      <c r="K60" s="452" t="s">
        <v>256</v>
      </c>
      <c r="O60"/>
      <c r="P60"/>
      <c r="Q60"/>
    </row>
    <row r="61" spans="1:17" s="108" customFormat="1" ht="15.6" hidden="1">
      <c r="A61" s="880" t="s">
        <v>485</v>
      </c>
      <c r="B61" s="452">
        <v>3331553440</v>
      </c>
      <c r="C61" s="592" t="s">
        <v>336</v>
      </c>
      <c r="D61" s="452">
        <v>24140695</v>
      </c>
      <c r="E61" s="452" t="s">
        <v>529</v>
      </c>
      <c r="F61" s="452" t="s">
        <v>434</v>
      </c>
      <c r="G61" s="456">
        <v>33803.108999999997</v>
      </c>
      <c r="H61" s="452" t="s">
        <v>128</v>
      </c>
      <c r="I61" s="452">
        <v>1</v>
      </c>
      <c r="J61" s="452">
        <v>1</v>
      </c>
      <c r="K61" s="476" t="s">
        <v>204</v>
      </c>
      <c r="O61"/>
      <c r="P61"/>
      <c r="Q61"/>
    </row>
    <row r="62" spans="1:17" s="108" customFormat="1" ht="15.6" hidden="1">
      <c r="A62" s="880" t="s">
        <v>485</v>
      </c>
      <c r="B62" s="452">
        <v>3331553450</v>
      </c>
      <c r="C62" s="592" t="s">
        <v>336</v>
      </c>
      <c r="D62" s="452">
        <v>24140696</v>
      </c>
      <c r="E62" s="452" t="s">
        <v>529</v>
      </c>
      <c r="F62" s="490" t="s">
        <v>434</v>
      </c>
      <c r="G62" s="456">
        <v>33158.012000000002</v>
      </c>
      <c r="H62" s="452" t="s">
        <v>128</v>
      </c>
      <c r="I62" s="452">
        <v>1</v>
      </c>
      <c r="J62" s="452">
        <v>1</v>
      </c>
      <c r="K62" s="476" t="s">
        <v>204</v>
      </c>
      <c r="O62"/>
      <c r="P62"/>
      <c r="Q62"/>
    </row>
    <row r="63" spans="1:17" s="108" customFormat="1" ht="15.6" hidden="1">
      <c r="A63" s="880" t="s">
        <v>485</v>
      </c>
      <c r="B63" s="452">
        <v>3331553465</v>
      </c>
      <c r="C63" s="592" t="s">
        <v>336</v>
      </c>
      <c r="D63" s="452">
        <v>24140697</v>
      </c>
      <c r="E63" s="452" t="s">
        <v>435</v>
      </c>
      <c r="F63" s="592" t="s">
        <v>338</v>
      </c>
      <c r="G63" s="456">
        <v>41258.574999999997</v>
      </c>
      <c r="H63" s="452" t="s">
        <v>128</v>
      </c>
      <c r="I63" s="452">
        <v>1</v>
      </c>
      <c r="J63" s="452">
        <v>1</v>
      </c>
      <c r="K63" s="476" t="s">
        <v>204</v>
      </c>
      <c r="O63"/>
      <c r="P63"/>
      <c r="Q63"/>
    </row>
    <row r="64" spans="1:17" s="108" customFormat="1" ht="15.6" hidden="1">
      <c r="A64" s="880" t="s">
        <v>485</v>
      </c>
      <c r="B64" s="452">
        <v>3331553471</v>
      </c>
      <c r="C64" s="592" t="s">
        <v>336</v>
      </c>
      <c r="D64" s="452">
        <v>24140698</v>
      </c>
      <c r="E64" s="452" t="s">
        <v>435</v>
      </c>
      <c r="F64" s="592" t="s">
        <v>338</v>
      </c>
      <c r="G64" s="456">
        <v>45192.035000000003</v>
      </c>
      <c r="H64" s="452" t="s">
        <v>128</v>
      </c>
      <c r="I64" s="452">
        <v>1</v>
      </c>
      <c r="J64" s="452">
        <v>1</v>
      </c>
      <c r="K64" s="476" t="s">
        <v>204</v>
      </c>
      <c r="O64"/>
      <c r="P64"/>
      <c r="Q64"/>
    </row>
    <row r="65" spans="1:17" s="108" customFormat="1" ht="15.6" hidden="1">
      <c r="A65" s="880" t="s">
        <v>485</v>
      </c>
      <c r="B65" s="452">
        <v>3331553476</v>
      </c>
      <c r="C65" s="592" t="s">
        <v>336</v>
      </c>
      <c r="D65" s="452">
        <v>24140702</v>
      </c>
      <c r="E65" s="452" t="s">
        <v>435</v>
      </c>
      <c r="F65" s="592" t="s">
        <v>338</v>
      </c>
      <c r="G65" s="456">
        <v>39510.65</v>
      </c>
      <c r="H65" s="452" t="s">
        <v>128</v>
      </c>
      <c r="I65" s="452">
        <v>1</v>
      </c>
      <c r="J65" s="452">
        <v>1</v>
      </c>
      <c r="K65" s="476" t="s">
        <v>204</v>
      </c>
      <c r="O65"/>
      <c r="P65"/>
      <c r="Q65"/>
    </row>
    <row r="66" spans="1:17" ht="15.6" hidden="1">
      <c r="A66" s="880" t="s">
        <v>294</v>
      </c>
      <c r="B66" s="452">
        <v>3331551256</v>
      </c>
      <c r="C66" s="592" t="s">
        <v>27</v>
      </c>
      <c r="D66" s="452">
        <v>24140699</v>
      </c>
      <c r="E66" s="452" t="s">
        <v>490</v>
      </c>
      <c r="F66" s="452" t="s">
        <v>199</v>
      </c>
      <c r="G66" s="456">
        <v>25222.486000000001</v>
      </c>
      <c r="H66" s="452" t="s">
        <v>200</v>
      </c>
      <c r="I66" s="452">
        <v>1</v>
      </c>
      <c r="J66" s="452">
        <v>1</v>
      </c>
      <c r="K66" s="476" t="s">
        <v>204</v>
      </c>
    </row>
    <row r="67" spans="1:17" ht="15.6" hidden="1">
      <c r="A67" s="880" t="s">
        <v>355</v>
      </c>
      <c r="B67" s="452">
        <v>3331553478</v>
      </c>
      <c r="C67" s="592" t="s">
        <v>287</v>
      </c>
      <c r="D67" s="452">
        <v>24140701</v>
      </c>
      <c r="E67" s="452" t="s">
        <v>490</v>
      </c>
      <c r="F67" s="452" t="s">
        <v>199</v>
      </c>
      <c r="G67" s="456">
        <v>26210.914000000001</v>
      </c>
      <c r="H67" s="452" t="s">
        <v>200</v>
      </c>
      <c r="I67" s="452">
        <v>1</v>
      </c>
      <c r="J67" s="452">
        <v>1</v>
      </c>
      <c r="K67" s="476" t="s">
        <v>204</v>
      </c>
    </row>
    <row r="68" spans="1:17" ht="15.6" hidden="1">
      <c r="A68" s="880" t="s">
        <v>485</v>
      </c>
      <c r="B68" s="452">
        <v>3331553484</v>
      </c>
      <c r="C68" s="592" t="s">
        <v>287</v>
      </c>
      <c r="D68" s="452">
        <v>24140703</v>
      </c>
      <c r="E68" s="452" t="s">
        <v>490</v>
      </c>
      <c r="F68" s="452" t="s">
        <v>199</v>
      </c>
      <c r="G68" s="456">
        <v>27935.875</v>
      </c>
      <c r="H68" s="452" t="s">
        <v>200</v>
      </c>
      <c r="I68" s="452">
        <v>1</v>
      </c>
      <c r="J68" s="452">
        <v>1</v>
      </c>
      <c r="K68" s="476" t="s">
        <v>204</v>
      </c>
    </row>
    <row r="69" spans="1:17" s="108" customFormat="1" ht="15.6" hidden="1">
      <c r="A69" s="880" t="s">
        <v>485</v>
      </c>
      <c r="B69" s="452">
        <v>3331553550</v>
      </c>
      <c r="C69" s="592" t="s">
        <v>27</v>
      </c>
      <c r="D69" s="452">
        <v>24140704</v>
      </c>
      <c r="E69" s="452" t="s">
        <v>530</v>
      </c>
      <c r="F69" s="592" t="s">
        <v>344</v>
      </c>
      <c r="G69" s="456">
        <f>6321.956+29502.46</f>
        <v>35824.415999999997</v>
      </c>
      <c r="H69" s="452" t="s">
        <v>128</v>
      </c>
      <c r="I69" s="452">
        <v>1</v>
      </c>
      <c r="J69" s="452">
        <v>1</v>
      </c>
      <c r="K69" s="476" t="s">
        <v>204</v>
      </c>
      <c r="O69"/>
      <c r="P69"/>
      <c r="Q69"/>
    </row>
    <row r="70" spans="1:17" s="108" customFormat="1" ht="15.6" hidden="1">
      <c r="A70" s="880" t="s">
        <v>485</v>
      </c>
      <c r="B70" s="452">
        <v>3331553554</v>
      </c>
      <c r="C70" s="592" t="s">
        <v>256</v>
      </c>
      <c r="D70" s="452" t="s">
        <v>256</v>
      </c>
      <c r="E70" s="452" t="s">
        <v>256</v>
      </c>
      <c r="F70" s="452" t="s">
        <v>256</v>
      </c>
      <c r="G70" s="456" t="s">
        <v>256</v>
      </c>
      <c r="H70" s="452" t="s">
        <v>256</v>
      </c>
      <c r="I70" s="452" t="s">
        <v>256</v>
      </c>
      <c r="J70" s="452" t="s">
        <v>256</v>
      </c>
      <c r="K70" s="476" t="s">
        <v>256</v>
      </c>
      <c r="O70"/>
      <c r="P70"/>
      <c r="Q70"/>
    </row>
    <row r="71" spans="1:17" ht="15.6" hidden="1">
      <c r="A71" s="880" t="s">
        <v>485</v>
      </c>
      <c r="B71" s="452">
        <v>3331553558</v>
      </c>
      <c r="C71" s="592" t="s">
        <v>34</v>
      </c>
      <c r="D71" s="452">
        <v>24140707</v>
      </c>
      <c r="E71" s="452" t="s">
        <v>490</v>
      </c>
      <c r="F71" s="452" t="s">
        <v>199</v>
      </c>
      <c r="G71" s="456">
        <v>23507.582999999999</v>
      </c>
      <c r="H71" s="452" t="s">
        <v>200</v>
      </c>
      <c r="I71" s="452">
        <v>1</v>
      </c>
      <c r="J71" s="452">
        <v>1</v>
      </c>
      <c r="K71" s="476" t="s">
        <v>204</v>
      </c>
    </row>
    <row r="72" spans="1:17" ht="15.6" hidden="1">
      <c r="A72" s="880" t="s">
        <v>355</v>
      </c>
      <c r="B72" s="452">
        <v>3331553562</v>
      </c>
      <c r="C72" s="592" t="s">
        <v>34</v>
      </c>
      <c r="D72" s="452">
        <v>24140706</v>
      </c>
      <c r="E72" s="452" t="s">
        <v>490</v>
      </c>
      <c r="F72" s="452" t="s">
        <v>199</v>
      </c>
      <c r="G72" s="456">
        <v>26475.47</v>
      </c>
      <c r="H72" s="452" t="s">
        <v>200</v>
      </c>
      <c r="I72" s="452">
        <v>1</v>
      </c>
      <c r="J72" s="452">
        <v>1</v>
      </c>
      <c r="K72" s="476" t="s">
        <v>204</v>
      </c>
    </row>
    <row r="73" spans="1:17" ht="15.6" hidden="1">
      <c r="A73" s="880" t="s">
        <v>485</v>
      </c>
      <c r="B73" s="452">
        <v>3331553565</v>
      </c>
      <c r="C73" s="592" t="s">
        <v>49</v>
      </c>
      <c r="D73" s="452">
        <v>24140708</v>
      </c>
      <c r="E73" s="452" t="s">
        <v>223</v>
      </c>
      <c r="F73" s="452" t="s">
        <v>205</v>
      </c>
      <c r="G73" s="456">
        <v>26222.657999999999</v>
      </c>
      <c r="H73" s="452" t="s">
        <v>200</v>
      </c>
      <c r="I73" s="452">
        <v>1</v>
      </c>
      <c r="J73" s="452">
        <v>1</v>
      </c>
      <c r="K73" s="476" t="s">
        <v>204</v>
      </c>
    </row>
    <row r="74" spans="1:17" ht="15.6">
      <c r="A74" s="889" t="s">
        <v>495</v>
      </c>
      <c r="B74" s="480">
        <v>3331553568</v>
      </c>
      <c r="C74" s="887" t="s">
        <v>359</v>
      </c>
      <c r="D74" s="480">
        <v>24140709</v>
      </c>
      <c r="E74" s="480" t="s">
        <v>224</v>
      </c>
      <c r="F74" s="887" t="s">
        <v>344</v>
      </c>
      <c r="G74" s="481">
        <v>29546.22</v>
      </c>
      <c r="H74" s="480" t="s">
        <v>128</v>
      </c>
      <c r="I74" s="480">
        <v>1</v>
      </c>
      <c r="J74" s="480">
        <v>0</v>
      </c>
      <c r="K74" s="482" t="s">
        <v>207</v>
      </c>
    </row>
    <row r="75" spans="1:17" s="108" customFormat="1" ht="15.6" hidden="1">
      <c r="A75" s="880" t="s">
        <v>485</v>
      </c>
      <c r="B75" s="452">
        <v>3331553570</v>
      </c>
      <c r="C75" s="592" t="s">
        <v>336</v>
      </c>
      <c r="D75" s="452">
        <v>24140710</v>
      </c>
      <c r="E75" s="452" t="s">
        <v>529</v>
      </c>
      <c r="F75" s="452" t="s">
        <v>434</v>
      </c>
      <c r="G75" s="456">
        <v>34749.252</v>
      </c>
      <c r="H75" s="452" t="s">
        <v>128</v>
      </c>
      <c r="I75" s="452">
        <v>1</v>
      </c>
      <c r="J75" s="452">
        <v>1</v>
      </c>
      <c r="K75" s="476" t="s">
        <v>204</v>
      </c>
      <c r="O75" s="515"/>
      <c r="P75" s="515"/>
      <c r="Q75" s="515"/>
    </row>
    <row r="76" spans="1:17" ht="15.6">
      <c r="A76" s="889" t="s">
        <v>495</v>
      </c>
      <c r="B76" s="480">
        <v>3331553571</v>
      </c>
      <c r="C76" s="887" t="s">
        <v>359</v>
      </c>
      <c r="D76" s="480">
        <v>24140711</v>
      </c>
      <c r="E76" s="480" t="s">
        <v>224</v>
      </c>
      <c r="F76" s="887" t="s">
        <v>344</v>
      </c>
      <c r="G76" s="481">
        <f>28145.65+13547.802</f>
        <v>41693.452000000005</v>
      </c>
      <c r="H76" s="480" t="s">
        <v>128</v>
      </c>
      <c r="I76" s="480">
        <v>1</v>
      </c>
      <c r="J76" s="480">
        <v>0</v>
      </c>
      <c r="K76" s="482" t="s">
        <v>207</v>
      </c>
    </row>
    <row r="77" spans="1:17" ht="15.6">
      <c r="A77" s="889" t="s">
        <v>495</v>
      </c>
      <c r="B77" s="480">
        <v>3331553578</v>
      </c>
      <c r="C77" s="887" t="s">
        <v>256</v>
      </c>
      <c r="D77" s="480" t="s">
        <v>256</v>
      </c>
      <c r="E77" s="480" t="s">
        <v>256</v>
      </c>
      <c r="F77" s="480" t="s">
        <v>256</v>
      </c>
      <c r="G77" s="481" t="s">
        <v>256</v>
      </c>
      <c r="H77" s="480" t="s">
        <v>256</v>
      </c>
      <c r="I77" s="480" t="s">
        <v>256</v>
      </c>
      <c r="J77" s="480" t="s">
        <v>256</v>
      </c>
      <c r="K77" s="482" t="s">
        <v>207</v>
      </c>
    </row>
    <row r="78" spans="1:17" ht="15.6" hidden="1">
      <c r="A78" s="880" t="s">
        <v>485</v>
      </c>
      <c r="B78" s="452">
        <v>3331553586</v>
      </c>
      <c r="C78" s="592" t="s">
        <v>287</v>
      </c>
      <c r="D78" s="452">
        <v>24140712</v>
      </c>
      <c r="E78" s="452" t="s">
        <v>489</v>
      </c>
      <c r="F78" s="452" t="s">
        <v>199</v>
      </c>
      <c r="G78" s="456">
        <v>28578.66</v>
      </c>
      <c r="H78" s="452" t="s">
        <v>200</v>
      </c>
      <c r="I78" s="452">
        <v>1</v>
      </c>
      <c r="J78" s="452">
        <v>1</v>
      </c>
      <c r="K78" s="476" t="s">
        <v>204</v>
      </c>
    </row>
    <row r="79" spans="1:17" s="108" customFormat="1" ht="15.6" hidden="1">
      <c r="A79" s="880" t="s">
        <v>495</v>
      </c>
      <c r="B79" s="452">
        <v>3331553585</v>
      </c>
      <c r="C79" s="592" t="s">
        <v>496</v>
      </c>
      <c r="D79" s="452">
        <v>24140713</v>
      </c>
      <c r="E79" s="452" t="s">
        <v>224</v>
      </c>
      <c r="F79" s="592" t="s">
        <v>344</v>
      </c>
      <c r="G79" s="456">
        <v>37541.966999999997</v>
      </c>
      <c r="H79" s="452" t="s">
        <v>128</v>
      </c>
      <c r="I79" s="452">
        <v>1</v>
      </c>
      <c r="J79" s="452">
        <v>1</v>
      </c>
      <c r="K79" s="476" t="s">
        <v>207</v>
      </c>
    </row>
    <row r="80" spans="1:17" ht="15.6" hidden="1">
      <c r="A80" s="880" t="s">
        <v>485</v>
      </c>
      <c r="B80" s="452">
        <v>3331553589</v>
      </c>
      <c r="C80" s="592" t="s">
        <v>34</v>
      </c>
      <c r="D80" s="452">
        <v>24140714</v>
      </c>
      <c r="E80" s="452" t="s">
        <v>488</v>
      </c>
      <c r="F80" s="452" t="s">
        <v>199</v>
      </c>
      <c r="G80" s="456">
        <v>24941.376</v>
      </c>
      <c r="H80" s="452" t="s">
        <v>200</v>
      </c>
      <c r="I80" s="452">
        <v>1</v>
      </c>
      <c r="J80" s="452">
        <v>1</v>
      </c>
      <c r="K80" s="476" t="s">
        <v>204</v>
      </c>
    </row>
    <row r="81" spans="1:17" ht="15.6" hidden="1">
      <c r="A81" s="880" t="s">
        <v>355</v>
      </c>
      <c r="B81" s="452">
        <v>3331553592</v>
      </c>
      <c r="C81" s="592" t="s">
        <v>27</v>
      </c>
      <c r="D81" s="452">
        <v>24140715</v>
      </c>
      <c r="E81" s="452" t="s">
        <v>488</v>
      </c>
      <c r="F81" s="452" t="s">
        <v>199</v>
      </c>
      <c r="G81" s="456">
        <v>24941.376</v>
      </c>
      <c r="H81" s="452" t="s">
        <v>200</v>
      </c>
      <c r="I81" s="452">
        <v>1</v>
      </c>
      <c r="J81" s="452">
        <v>1</v>
      </c>
      <c r="K81" s="476" t="s">
        <v>204</v>
      </c>
    </row>
    <row r="82" spans="1:17" ht="15.6" hidden="1">
      <c r="A82" s="880" t="s">
        <v>485</v>
      </c>
      <c r="B82" s="452">
        <v>3331553594</v>
      </c>
      <c r="C82" s="592" t="s">
        <v>34</v>
      </c>
      <c r="D82" s="452">
        <v>24140716</v>
      </c>
      <c r="E82" s="452" t="s">
        <v>488</v>
      </c>
      <c r="F82" s="452" t="s">
        <v>199</v>
      </c>
      <c r="G82" s="456">
        <v>26327.008000000002</v>
      </c>
      <c r="H82" s="452" t="s">
        <v>200</v>
      </c>
      <c r="I82" s="452">
        <v>1</v>
      </c>
      <c r="J82" s="452">
        <v>1</v>
      </c>
      <c r="K82" s="476" t="s">
        <v>204</v>
      </c>
    </row>
    <row r="83" spans="1:17" s="108" customFormat="1" ht="15.6" hidden="1">
      <c r="A83" s="880" t="s">
        <v>355</v>
      </c>
      <c r="B83" s="452">
        <v>3331553595</v>
      </c>
      <c r="C83" s="592" t="s">
        <v>287</v>
      </c>
      <c r="D83" s="452">
        <v>24140717</v>
      </c>
      <c r="E83" s="452" t="s">
        <v>488</v>
      </c>
      <c r="F83" s="452" t="s">
        <v>199</v>
      </c>
      <c r="G83" s="456">
        <v>28881.767</v>
      </c>
      <c r="H83" s="452" t="s">
        <v>200</v>
      </c>
      <c r="I83" s="452">
        <v>1</v>
      </c>
      <c r="J83" s="452">
        <v>1</v>
      </c>
      <c r="K83" s="476" t="s">
        <v>204</v>
      </c>
      <c r="O83"/>
      <c r="P83"/>
      <c r="Q83"/>
    </row>
    <row r="84" spans="1:17" ht="15.6">
      <c r="A84" s="889" t="s">
        <v>485</v>
      </c>
      <c r="B84" s="480">
        <v>3331553575</v>
      </c>
      <c r="C84" s="887" t="s">
        <v>359</v>
      </c>
      <c r="D84" s="480">
        <v>24140718</v>
      </c>
      <c r="E84" s="480" t="s">
        <v>173</v>
      </c>
      <c r="F84" s="887" t="s">
        <v>338</v>
      </c>
      <c r="G84" s="481">
        <f>9269.032+36462.656</f>
        <v>45731.688000000002</v>
      </c>
      <c r="H84" s="480" t="s">
        <v>128</v>
      </c>
      <c r="I84" s="480">
        <v>1</v>
      </c>
      <c r="J84" s="480">
        <v>0</v>
      </c>
      <c r="K84" s="482" t="s">
        <v>207</v>
      </c>
    </row>
    <row r="85" spans="1:17" ht="15.6">
      <c r="A85" s="889" t="s">
        <v>485</v>
      </c>
      <c r="B85" s="480">
        <v>3331553601</v>
      </c>
      <c r="C85" s="887" t="s">
        <v>256</v>
      </c>
      <c r="D85" s="480" t="s">
        <v>256</v>
      </c>
      <c r="E85" s="480" t="s">
        <v>256</v>
      </c>
      <c r="F85" s="480" t="s">
        <v>256</v>
      </c>
      <c r="G85" s="481" t="s">
        <v>256</v>
      </c>
      <c r="H85" s="480" t="s">
        <v>256</v>
      </c>
      <c r="I85" s="480" t="s">
        <v>256</v>
      </c>
      <c r="J85" s="480" t="s">
        <v>256</v>
      </c>
      <c r="K85" s="482" t="s">
        <v>256</v>
      </c>
    </row>
    <row r="86" spans="1:17" s="108" customFormat="1" ht="15.6" hidden="1">
      <c r="A86" s="880" t="s">
        <v>485</v>
      </c>
      <c r="B86" s="452">
        <v>3331552332</v>
      </c>
      <c r="C86" s="592" t="s">
        <v>27</v>
      </c>
      <c r="D86" s="452">
        <v>24140719</v>
      </c>
      <c r="E86" s="452" t="s">
        <v>413</v>
      </c>
      <c r="F86" s="452" t="s">
        <v>338</v>
      </c>
      <c r="G86" s="456">
        <v>39479.966999999997</v>
      </c>
      <c r="H86" s="452" t="s">
        <v>128</v>
      </c>
      <c r="I86" s="452">
        <v>1</v>
      </c>
      <c r="J86" s="452">
        <v>0</v>
      </c>
      <c r="K86" s="476" t="s">
        <v>204</v>
      </c>
    </row>
    <row r="87" spans="1:17" ht="15.6">
      <c r="A87" s="889"/>
      <c r="B87" s="480"/>
      <c r="C87" s="887"/>
      <c r="D87" s="480"/>
      <c r="E87" s="480"/>
      <c r="F87" s="480"/>
      <c r="G87" s="481"/>
      <c r="H87" s="480"/>
      <c r="I87" s="480"/>
      <c r="J87" s="480"/>
      <c r="K87" s="482"/>
    </row>
    <row r="88" spans="1:17" ht="15.6">
      <c r="A88" s="889"/>
      <c r="B88" s="480"/>
      <c r="C88" s="887"/>
      <c r="D88" s="480"/>
      <c r="E88" s="480"/>
      <c r="F88" s="480"/>
      <c r="G88" s="481"/>
      <c r="H88" s="480"/>
      <c r="I88" s="480"/>
      <c r="J88" s="480"/>
      <c r="K88" s="482"/>
    </row>
    <row r="89" spans="1:17" ht="15.6">
      <c r="A89" s="889"/>
      <c r="B89" s="480"/>
      <c r="C89" s="887"/>
      <c r="D89" s="480"/>
      <c r="E89" s="480"/>
      <c r="F89" s="480"/>
      <c r="G89" s="481"/>
      <c r="H89" s="480"/>
      <c r="I89" s="480"/>
      <c r="J89" s="480"/>
      <c r="K89" s="482"/>
    </row>
    <row r="90" spans="1:17" ht="15.6">
      <c r="A90" s="889"/>
      <c r="B90" s="480"/>
      <c r="C90" s="887"/>
      <c r="D90" s="480"/>
      <c r="E90" s="480"/>
      <c r="F90" s="480"/>
      <c r="G90" s="481"/>
      <c r="H90" s="480"/>
      <c r="I90" s="480"/>
      <c r="J90" s="480"/>
      <c r="K90" s="482"/>
    </row>
    <row r="91" spans="1:17" ht="15.6">
      <c r="A91" s="889"/>
      <c r="B91" s="480"/>
      <c r="C91" s="887"/>
      <c r="D91" s="480"/>
      <c r="E91" s="480"/>
      <c r="F91" s="480"/>
      <c r="G91" s="481"/>
      <c r="H91" s="480"/>
      <c r="I91" s="480"/>
      <c r="J91" s="480"/>
      <c r="K91" s="482"/>
    </row>
    <row r="92" spans="1:17" ht="15.6">
      <c r="A92" s="889"/>
      <c r="B92" s="480"/>
      <c r="C92" s="887"/>
      <c r="D92" s="480"/>
      <c r="E92" s="480"/>
      <c r="F92" s="480"/>
      <c r="G92" s="481"/>
      <c r="H92" s="480"/>
      <c r="I92" s="480"/>
      <c r="J92" s="480"/>
      <c r="K92" s="482"/>
    </row>
    <row r="93" spans="1:17" ht="15.6">
      <c r="A93" s="889"/>
      <c r="B93" s="480"/>
      <c r="C93" s="887"/>
      <c r="D93" s="480"/>
      <c r="E93" s="480"/>
      <c r="F93" s="480"/>
      <c r="G93" s="481"/>
      <c r="H93" s="480"/>
      <c r="I93" s="480"/>
      <c r="J93" s="480"/>
      <c r="K93" s="482"/>
    </row>
    <row r="94" spans="1:17">
      <c r="A94" s="300"/>
      <c r="B94" s="300"/>
      <c r="C94" s="297"/>
      <c r="D94" s="297"/>
      <c r="E94" s="371"/>
      <c r="F94" s="301"/>
      <c r="G94" s="302"/>
      <c r="H94" s="301"/>
      <c r="I94" s="300"/>
      <c r="J94" s="300"/>
      <c r="K94" s="303"/>
    </row>
    <row r="96" spans="1:17" ht="21">
      <c r="B96" s="422" t="s">
        <v>244</v>
      </c>
    </row>
    <row r="97" spans="1:9" ht="18">
      <c r="A97" s="44"/>
      <c r="B97" s="251" t="s">
        <v>304</v>
      </c>
      <c r="I97" s="373"/>
    </row>
    <row r="98" spans="1:9" ht="18">
      <c r="B98" s="251" t="s">
        <v>361</v>
      </c>
    </row>
  </sheetData>
  <autoFilter ref="A1:F17" xr:uid="{455A03CA-89FF-4485-B032-080DA22FFE43}">
    <filterColumn colId="4" showButton="0"/>
  </autoFilter>
  <mergeCells count="7">
    <mergeCell ref="H12:J12"/>
    <mergeCell ref="A1:B2"/>
    <mergeCell ref="D1:F1"/>
    <mergeCell ref="H1:J1"/>
    <mergeCell ref="D8:F8"/>
    <mergeCell ref="H8:J8"/>
    <mergeCell ref="A9:B9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CC00-8FAB-4D3E-AC44-46DDA67201A6}">
  <dimension ref="A1:L112"/>
  <sheetViews>
    <sheetView showGridLines="0" topLeftCell="A71" zoomScale="85" zoomScaleNormal="85" workbookViewId="0">
      <selection activeCell="C79" sqref="C79"/>
    </sheetView>
  </sheetViews>
  <sheetFormatPr defaultColWidth="9.109375" defaultRowHeight="14.4"/>
  <cols>
    <col min="1" max="1" width="32.88671875" style="44" customWidth="1"/>
    <col min="2" max="2" width="14.44140625" style="44" customWidth="1"/>
    <col min="3" max="3" width="23" style="44" customWidth="1"/>
    <col min="4" max="4" width="27.5546875" style="44" bestFit="1" customWidth="1"/>
    <col min="5" max="5" width="51.44140625" style="358" bestFit="1" customWidth="1"/>
    <col min="6" max="6" width="27" style="44" customWidth="1"/>
    <col min="7" max="7" width="13.88671875" style="44" customWidth="1"/>
    <col min="8" max="8" width="26.44140625" style="44" customWidth="1"/>
    <col min="9" max="9" width="20.109375" style="44" customWidth="1"/>
    <col min="10" max="10" width="23.33203125" style="44" bestFit="1" customWidth="1"/>
    <col min="11" max="11" width="15.88671875" style="44" bestFit="1" customWidth="1"/>
    <col min="12" max="12" width="11" style="44" hidden="1" customWidth="1"/>
    <col min="13" max="16384" width="9.10937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SUM(I19:I1141)</f>
        <v>54</v>
      </c>
      <c r="C3" s="405"/>
      <c r="D3" s="353" t="s">
        <v>199</v>
      </c>
      <c r="E3" s="420">
        <f>COUNTIF($F$19:$F$133,"JABODETABEK")</f>
        <v>18</v>
      </c>
      <c r="F3" s="318">
        <f>SUMIF($F$19:$F$133, "JABODETABEK", $G$19:$G$133)</f>
        <v>453951.641</v>
      </c>
      <c r="G3" s="343"/>
      <c r="H3" s="196" t="s">
        <v>317</v>
      </c>
      <c r="I3" s="500">
        <f>COUNTIF($F$19:$F$105,"INTERISLAND")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SUM(J19:J1175)</f>
        <v>47</v>
      </c>
      <c r="C4"/>
      <c r="D4" s="353" t="s">
        <v>203</v>
      </c>
      <c r="E4" s="245">
        <f>COUNTIF($F$19:$F$133,"JAWA TENGAH")</f>
        <v>0</v>
      </c>
      <c r="F4" s="318">
        <f>SUMIF($F$19:$F$133, "JAWA TENGAH", $G$19:$G$133)</f>
        <v>0</v>
      </c>
      <c r="G4"/>
      <c r="K4"/>
      <c r="L4"/>
    </row>
    <row r="5" spans="1:12" ht="33.6">
      <c r="A5" s="351" t="s">
        <v>265</v>
      </c>
      <c r="B5" s="315">
        <f>COUNTIF($K$19:$K$1024,"MASUK")</f>
        <v>43</v>
      </c>
      <c r="C5" s="400"/>
      <c r="D5" s="439" t="s">
        <v>205</v>
      </c>
      <c r="E5" s="247">
        <f>COUNTIF($F$19:$F$133,"JAWA TIMUR")</f>
        <v>11</v>
      </c>
      <c r="F5" s="318">
        <f>SUMIF($F$19:$F$133, "JAWA TIMUR", $G$19:$G$133)</f>
        <v>422210.533</v>
      </c>
      <c r="G5"/>
      <c r="K5"/>
      <c r="L5"/>
    </row>
    <row r="6" spans="1:12" ht="33.6">
      <c r="A6" s="351" t="s">
        <v>207</v>
      </c>
      <c r="B6" s="315">
        <f>COUNTIF($K$19:$K$1024,"BELUM MASUK")</f>
        <v>11</v>
      </c>
      <c r="C6" s="396"/>
      <c r="D6" s="497" t="s">
        <v>312</v>
      </c>
      <c r="E6" s="498">
        <f>SUM(E3:E5)</f>
        <v>29</v>
      </c>
      <c r="F6" s="496">
        <f>SUM(F3:F5)</f>
        <v>876162.174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7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COUNTIF($F$19:$F$133,"AMBIL SENDIRI")</f>
        <v>6</v>
      </c>
      <c r="J8" s="496">
        <f>SUMIF(F14:F1047,"COKOT SORANGAN",G14:G1047)</f>
        <v>0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SUMIF($H$19:$H$1047, "TRAILER", $I$19:$I$1046)</f>
        <v>18</v>
      </c>
      <c r="C10" s="275"/>
      <c r="D10" s="424" t="s">
        <v>199</v>
      </c>
      <c r="E10" s="425" cm="1">
        <f t="array" ref="E10">SUMPRODUCT(--(RIGHT($F$19:$F$6959,20)="JABODETABEK NEXT DAY"))</f>
        <v>12</v>
      </c>
      <c r="F10" s="423">
        <f ca="1">SUMIF(F19:F4328, "JABODETABEK NEXT DAY", G19:G512)</f>
        <v>305554.34499999997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SUMIF($H$19:$H$1048,"TRONTON", $I$19:$I$1047)</f>
        <v>36</v>
      </c>
      <c r="C11"/>
      <c r="D11" s="439" t="s">
        <v>203</v>
      </c>
      <c r="E11" s="425" cm="1">
        <f t="array" ref="E11">SUMPRODUCT(--(RIGHT($F$19:$F$6959,20)="JAWA TENGAH NEXT DAY"))</f>
        <v>5</v>
      </c>
      <c r="F11" s="423">
        <f>SUMIF(F19:F522, "JAWA TENGAH NEXT DAY", G19:G522)</f>
        <v>181264.16000000003</v>
      </c>
      <c r="G11" s="253"/>
      <c r="H11" s="281"/>
      <c r="I11" s="442">
        <f>29+19+6</f>
        <v>54</v>
      </c>
      <c r="J11" s="443"/>
      <c r="K11" s="307"/>
      <c r="L11"/>
    </row>
    <row r="12" spans="1:12" ht="27" customHeight="1">
      <c r="A12" s="430" t="s">
        <v>365</v>
      </c>
      <c r="B12" s="380">
        <f ca="1">SUMIF($H$19:$H$1048, "CN 40 HC", $I$19:$I$1047)</f>
        <v>0</v>
      </c>
      <c r="C12"/>
      <c r="D12" s="440" t="s">
        <v>205</v>
      </c>
      <c r="E12" s="245" cm="1">
        <f t="array" ref="E12">SUMPRODUCT(--(RIGHT($F$19:$F$6959,20)="JAWA TIMUR NEXT DAY"))</f>
        <v>2</v>
      </c>
      <c r="F12" s="423">
        <f>SUMIF(F19:F532, "JAWA TIMUR NEXT DAY", G19:G532)</f>
        <v>76146.654999999999</v>
      </c>
      <c r="G12" s="253"/>
      <c r="H12"/>
      <c r="I12" s="281"/>
      <c r="J12" s="348"/>
      <c r="K12" s="307"/>
      <c r="L12"/>
    </row>
    <row r="13" spans="1:12" ht="27" customHeight="1">
      <c r="A13" s="430" t="s">
        <v>467</v>
      </c>
      <c r="B13" s="380">
        <v>0</v>
      </c>
      <c r="C13"/>
      <c r="D13" s="201" t="s">
        <v>313</v>
      </c>
      <c r="E13" s="499">
        <f>SUM(E10:E12)</f>
        <v>19</v>
      </c>
      <c r="F13" s="496">
        <f ca="1">SUM(F10:F12)</f>
        <v>562965.16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54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 ca="1">F6+J6+F13+J10+J14</f>
        <v>1439127.334</v>
      </c>
      <c r="F16" s="327"/>
      <c r="G16" s="253"/>
      <c r="H16"/>
      <c r="I16" s="281"/>
      <c r="J16" s="348"/>
      <c r="K16" s="307"/>
      <c r="L16"/>
    </row>
    <row r="18" spans="1:12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</row>
    <row r="19" spans="1:12" s="584" customFormat="1" ht="15.6">
      <c r="A19" s="582" t="s">
        <v>513</v>
      </c>
      <c r="B19" s="577">
        <v>3331555406</v>
      </c>
      <c r="C19" s="577" t="s">
        <v>441</v>
      </c>
      <c r="D19" s="577">
        <v>24140896</v>
      </c>
      <c r="E19" s="577" t="s">
        <v>173</v>
      </c>
      <c r="F19" s="579" t="s">
        <v>205</v>
      </c>
      <c r="G19" s="916">
        <v>47607.834999999999</v>
      </c>
      <c r="H19" s="577" t="s">
        <v>128</v>
      </c>
      <c r="I19" s="577">
        <v>1</v>
      </c>
      <c r="J19" s="577">
        <v>1</v>
      </c>
      <c r="K19" s="583" t="s">
        <v>207</v>
      </c>
      <c r="L19" s="522" t="e">
        <f>VLOOKUP(Table134657891011[[#This Row],[Delivery]],#REF!,6,FALSE)</f>
        <v>#REF!</v>
      </c>
    </row>
    <row r="20" spans="1:12" s="576" customFormat="1" ht="15.6">
      <c r="A20" s="526" t="s">
        <v>513</v>
      </c>
      <c r="B20" s="524">
        <v>3331555335</v>
      </c>
      <c r="C20" s="525" t="s">
        <v>58</v>
      </c>
      <c r="D20" s="528">
        <v>24140878</v>
      </c>
      <c r="E20" s="528" t="s">
        <v>519</v>
      </c>
      <c r="F20" s="528" t="s">
        <v>199</v>
      </c>
      <c r="G20" s="585">
        <v>24284.84</v>
      </c>
      <c r="H20" s="528" t="s">
        <v>200</v>
      </c>
      <c r="I20" s="524">
        <v>1</v>
      </c>
      <c r="J20" s="524">
        <v>1</v>
      </c>
      <c r="K20" s="527" t="s">
        <v>204</v>
      </c>
      <c r="L20" s="576" t="e">
        <f>VLOOKUP(Table134657891011[[#This Row],[Delivery]],#REF!,6,FALSE)</f>
        <v>#REF!</v>
      </c>
    </row>
    <row r="21" spans="1:12" s="589" customFormat="1" ht="15.6">
      <c r="A21" s="917" t="s">
        <v>513</v>
      </c>
      <c r="B21" s="918">
        <v>3331555408</v>
      </c>
      <c r="C21" s="918" t="s">
        <v>531</v>
      </c>
      <c r="D21" s="918">
        <v>24140897</v>
      </c>
      <c r="E21" s="918" t="s">
        <v>173</v>
      </c>
      <c r="F21" s="575" t="s">
        <v>205</v>
      </c>
      <c r="G21" s="919">
        <f>36368.447+9744.367</f>
        <v>46112.813999999998</v>
      </c>
      <c r="H21" s="918" t="s">
        <v>128</v>
      </c>
      <c r="I21" s="918">
        <v>1</v>
      </c>
      <c r="J21" s="918">
        <v>0</v>
      </c>
      <c r="K21" s="588" t="s">
        <v>207</v>
      </c>
      <c r="L21" s="589" t="e">
        <f>VLOOKUP(Table134657891011[[#This Row],[Delivery]],#REF!,6,FALSE)</f>
        <v>#REF!</v>
      </c>
    </row>
    <row r="22" spans="1:12" s="522" customFormat="1" ht="15.6">
      <c r="A22" s="582" t="s">
        <v>513</v>
      </c>
      <c r="B22" s="577">
        <v>3331555413</v>
      </c>
      <c r="C22" s="577" t="s">
        <v>256</v>
      </c>
      <c r="D22" s="578" t="s">
        <v>256</v>
      </c>
      <c r="E22" s="578" t="s">
        <v>256</v>
      </c>
      <c r="F22" s="579" t="s">
        <v>256</v>
      </c>
      <c r="G22" s="920" t="s">
        <v>256</v>
      </c>
      <c r="H22" s="578" t="s">
        <v>256</v>
      </c>
      <c r="I22" s="577" t="s">
        <v>256</v>
      </c>
      <c r="J22" s="577" t="s">
        <v>256</v>
      </c>
      <c r="K22" s="583" t="s">
        <v>256</v>
      </c>
      <c r="L22" s="522" t="e">
        <f>VLOOKUP(Table134657891011[[#This Row],[Delivery]],#REF!,6,FALSE)</f>
        <v>#REF!</v>
      </c>
    </row>
    <row r="23" spans="1:12" s="522" customFormat="1" ht="15.6">
      <c r="A23" s="526" t="s">
        <v>513</v>
      </c>
      <c r="B23" s="525">
        <v>3331555417</v>
      </c>
      <c r="C23" s="525" t="s">
        <v>336</v>
      </c>
      <c r="D23" s="525">
        <v>24140898</v>
      </c>
      <c r="E23" s="525" t="s">
        <v>430</v>
      </c>
      <c r="F23" s="571" t="s">
        <v>205</v>
      </c>
      <c r="G23" s="915">
        <f>24591.345+21858.749</f>
        <v>46450.093999999997</v>
      </c>
      <c r="H23" s="525" t="s">
        <v>128</v>
      </c>
      <c r="I23" s="525">
        <v>1</v>
      </c>
      <c r="J23" s="525">
        <v>1</v>
      </c>
      <c r="K23" s="527" t="s">
        <v>204</v>
      </c>
      <c r="L23" s="522" t="e">
        <f>VLOOKUP(Table134657891011[[#This Row],[Delivery]],#REF!,6,FALSE)</f>
        <v>#REF!</v>
      </c>
    </row>
    <row r="24" spans="1:12" s="522" customFormat="1" ht="15.6">
      <c r="A24" s="880" t="s">
        <v>532</v>
      </c>
      <c r="B24" s="592">
        <v>3331555704</v>
      </c>
      <c r="C24" s="592" t="s">
        <v>256</v>
      </c>
      <c r="D24" s="452" t="s">
        <v>256</v>
      </c>
      <c r="E24" s="571" t="s">
        <v>256</v>
      </c>
      <c r="F24" s="571" t="s">
        <v>256</v>
      </c>
      <c r="G24" s="456" t="s">
        <v>256</v>
      </c>
      <c r="H24" s="452" t="s">
        <v>256</v>
      </c>
      <c r="I24" s="592" t="s">
        <v>256</v>
      </c>
      <c r="J24" s="592" t="s">
        <v>256</v>
      </c>
      <c r="K24" s="476" t="s">
        <v>256</v>
      </c>
      <c r="L24" s="898"/>
    </row>
    <row r="25" spans="1:12" s="522" customFormat="1" ht="15.6">
      <c r="A25" s="526" t="s">
        <v>513</v>
      </c>
      <c r="B25" s="525">
        <v>3331555354</v>
      </c>
      <c r="C25" s="525" t="s">
        <v>336</v>
      </c>
      <c r="D25" s="525">
        <v>24140885</v>
      </c>
      <c r="E25" s="525" t="s">
        <v>413</v>
      </c>
      <c r="F25" s="571" t="s">
        <v>205</v>
      </c>
      <c r="G25" s="915">
        <v>42434.98</v>
      </c>
      <c r="H25" s="525" t="s">
        <v>128</v>
      </c>
      <c r="I25" s="525">
        <v>1</v>
      </c>
      <c r="J25" s="525">
        <v>0</v>
      </c>
      <c r="K25" s="527" t="s">
        <v>204</v>
      </c>
      <c r="L25" s="522" t="e">
        <f>VLOOKUP(Table134657891011[[#This Row],[Delivery]],#REF!,6,FALSE)</f>
        <v>#REF!</v>
      </c>
    </row>
    <row r="26" spans="1:12" s="576" customFormat="1" ht="15.6">
      <c r="A26" s="526" t="s">
        <v>513</v>
      </c>
      <c r="B26" s="524">
        <v>3331555450</v>
      </c>
      <c r="C26" s="525" t="s">
        <v>342</v>
      </c>
      <c r="D26" s="524">
        <v>24140904</v>
      </c>
      <c r="E26" s="524" t="s">
        <v>444</v>
      </c>
      <c r="F26" s="571" t="s">
        <v>434</v>
      </c>
      <c r="G26" s="900">
        <v>24791.338</v>
      </c>
      <c r="H26" s="524" t="s">
        <v>200</v>
      </c>
      <c r="I26" s="528">
        <v>1</v>
      </c>
      <c r="J26" s="528">
        <v>1</v>
      </c>
      <c r="K26" s="527" t="s">
        <v>204</v>
      </c>
      <c r="L26" s="576" t="e">
        <f>VLOOKUP(Table134657891011[[#This Row],[Delivery]],#REF!,6,FALSE)</f>
        <v>#REF!</v>
      </c>
    </row>
    <row r="27" spans="1:12" s="108" customFormat="1" ht="15.6">
      <c r="A27" s="526" t="s">
        <v>532</v>
      </c>
      <c r="B27" s="524">
        <v>3331555677</v>
      </c>
      <c r="C27" s="525" t="s">
        <v>287</v>
      </c>
      <c r="D27" s="524">
        <v>24140909</v>
      </c>
      <c r="E27" s="524" t="s">
        <v>150</v>
      </c>
      <c r="F27" s="528" t="s">
        <v>199</v>
      </c>
      <c r="G27" s="900">
        <v>25890.416000000001</v>
      </c>
      <c r="H27" s="524" t="s">
        <v>200</v>
      </c>
      <c r="I27" s="528">
        <v>1</v>
      </c>
      <c r="J27" s="528">
        <v>1</v>
      </c>
      <c r="K27" s="527" t="s">
        <v>204</v>
      </c>
      <c r="L27" s="576" t="e">
        <f>VLOOKUP(Table134657891011[[#This Row],[Delivery]],#REF!,6,FALSE)</f>
        <v>#REF!</v>
      </c>
    </row>
    <row r="28" spans="1:12" s="108" customFormat="1" ht="15.6">
      <c r="A28" s="526" t="s">
        <v>532</v>
      </c>
      <c r="B28" s="524">
        <v>3331555678</v>
      </c>
      <c r="C28" s="525" t="s">
        <v>34</v>
      </c>
      <c r="D28" s="524">
        <v>24140910</v>
      </c>
      <c r="E28" s="524" t="s">
        <v>150</v>
      </c>
      <c r="F28" s="528" t="s">
        <v>199</v>
      </c>
      <c r="G28" s="900">
        <v>25888.403999999999</v>
      </c>
      <c r="H28" s="524" t="s">
        <v>200</v>
      </c>
      <c r="I28" s="528">
        <v>1</v>
      </c>
      <c r="J28" s="528">
        <v>1</v>
      </c>
      <c r="K28" s="527" t="s">
        <v>204</v>
      </c>
      <c r="L28" s="580" t="e">
        <f>VLOOKUP(Table134657891011[[#This Row],[Delivery]],#REF!,6,FALSE)</f>
        <v>#REF!</v>
      </c>
    </row>
    <row r="29" spans="1:12" ht="15.6">
      <c r="A29" s="880" t="s">
        <v>513</v>
      </c>
      <c r="B29" s="452">
        <v>3331555679</v>
      </c>
      <c r="C29" s="592" t="s">
        <v>287</v>
      </c>
      <c r="D29" s="452">
        <v>24140911</v>
      </c>
      <c r="E29" s="452" t="s">
        <v>150</v>
      </c>
      <c r="F29" s="490" t="s">
        <v>199</v>
      </c>
      <c r="G29" s="456">
        <f>9246.398+15848.166</f>
        <v>25094.563999999998</v>
      </c>
      <c r="H29" s="452" t="s">
        <v>200</v>
      </c>
      <c r="I29" s="490">
        <v>1</v>
      </c>
      <c r="J29" s="490">
        <v>1</v>
      </c>
      <c r="K29" s="476" t="s">
        <v>204</v>
      </c>
      <c r="L29" s="576" t="e">
        <f>VLOOKUP(Table134657891011[[#This Row],[Delivery]],#REF!,6,FALSE)</f>
        <v>#REF!</v>
      </c>
    </row>
    <row r="30" spans="1:12" ht="15.6">
      <c r="A30" s="880" t="s">
        <v>513</v>
      </c>
      <c r="B30" s="452">
        <v>3331555680</v>
      </c>
      <c r="C30" s="592" t="s">
        <v>256</v>
      </c>
      <c r="D30" s="452" t="s">
        <v>256</v>
      </c>
      <c r="E30" s="452" t="s">
        <v>256</v>
      </c>
      <c r="F30" s="490" t="s">
        <v>256</v>
      </c>
      <c r="G30" s="456" t="s">
        <v>256</v>
      </c>
      <c r="H30" s="452" t="s">
        <v>256</v>
      </c>
      <c r="I30" s="490" t="s">
        <v>256</v>
      </c>
      <c r="J30" s="490" t="s">
        <v>256</v>
      </c>
      <c r="K30" s="476" t="s">
        <v>256</v>
      </c>
      <c r="L30" s="576" t="e">
        <f>VLOOKUP(Table134657891011[[#This Row],[Delivery]],#REF!,6,FALSE)</f>
        <v>#REF!</v>
      </c>
    </row>
    <row r="31" spans="1:12" s="540" customFormat="1" ht="15.6">
      <c r="A31" s="526" t="s">
        <v>513</v>
      </c>
      <c r="B31" s="525">
        <v>3331555682</v>
      </c>
      <c r="C31" s="525" t="s">
        <v>148</v>
      </c>
      <c r="D31" s="525">
        <v>24140914</v>
      </c>
      <c r="E31" s="525" t="s">
        <v>413</v>
      </c>
      <c r="F31" s="571" t="s">
        <v>205</v>
      </c>
      <c r="G31" s="915">
        <f>9699.424+33115.006+2394.28</f>
        <v>45208.71</v>
      </c>
      <c r="H31" s="525" t="s">
        <v>128</v>
      </c>
      <c r="I31" s="571">
        <v>1</v>
      </c>
      <c r="J31" s="571">
        <v>1</v>
      </c>
      <c r="K31" s="527" t="s">
        <v>204</v>
      </c>
      <c r="L31" s="522" t="e">
        <f>VLOOKUP(Table134657891011[[#This Row],[Delivery]],#REF!,6,FALSE)</f>
        <v>#REF!</v>
      </c>
    </row>
    <row r="32" spans="1:12" s="108" customFormat="1" ht="15.6">
      <c r="A32" s="880" t="s">
        <v>532</v>
      </c>
      <c r="B32" s="452">
        <v>3331555690</v>
      </c>
      <c r="C32" s="592" t="s">
        <v>256</v>
      </c>
      <c r="D32" s="452" t="s">
        <v>256</v>
      </c>
      <c r="E32" s="452" t="s">
        <v>256</v>
      </c>
      <c r="F32" s="490" t="s">
        <v>256</v>
      </c>
      <c r="G32" s="456" t="s">
        <v>256</v>
      </c>
      <c r="H32" s="452" t="s">
        <v>256</v>
      </c>
      <c r="I32" s="490" t="s">
        <v>256</v>
      </c>
      <c r="J32" s="490" t="s">
        <v>256</v>
      </c>
      <c r="K32" s="476" t="s">
        <v>256</v>
      </c>
      <c r="L32" s="576" t="e">
        <f>VLOOKUP(Table134657891011[[#This Row],[Delivery]],#REF!,6,FALSE)</f>
        <v>#REF!</v>
      </c>
    </row>
    <row r="33" spans="1:12" s="108" customFormat="1" ht="15.6">
      <c r="A33" s="880" t="s">
        <v>509</v>
      </c>
      <c r="B33" s="452">
        <v>3331555165</v>
      </c>
      <c r="C33" s="592" t="s">
        <v>256</v>
      </c>
      <c r="D33" s="452" t="s">
        <v>256</v>
      </c>
      <c r="E33" s="452" t="s">
        <v>256</v>
      </c>
      <c r="F33" s="490" t="s">
        <v>256</v>
      </c>
      <c r="G33" s="456" t="s">
        <v>256</v>
      </c>
      <c r="H33" s="452" t="s">
        <v>256</v>
      </c>
      <c r="I33" s="490" t="s">
        <v>256</v>
      </c>
      <c r="J33" s="490" t="s">
        <v>256</v>
      </c>
      <c r="K33" s="476" t="s">
        <v>256</v>
      </c>
      <c r="L33" s="898"/>
    </row>
    <row r="34" spans="1:12" s="522" customFormat="1" ht="15.6">
      <c r="A34" s="526" t="s">
        <v>532</v>
      </c>
      <c r="B34" s="525">
        <v>3331554764</v>
      </c>
      <c r="C34" s="525" t="s">
        <v>27</v>
      </c>
      <c r="D34" s="525">
        <v>24140933</v>
      </c>
      <c r="E34" s="525" t="s">
        <v>487</v>
      </c>
      <c r="F34" s="571" t="s">
        <v>205</v>
      </c>
      <c r="G34" s="915">
        <f>4644.702+23215.965</f>
        <v>27860.667000000001</v>
      </c>
      <c r="H34" s="525" t="s">
        <v>200</v>
      </c>
      <c r="I34" s="571">
        <v>1</v>
      </c>
      <c r="J34" s="571">
        <v>1</v>
      </c>
      <c r="K34" s="527" t="s">
        <v>204</v>
      </c>
    </row>
    <row r="35" spans="1:12" s="522" customFormat="1" ht="15.6">
      <c r="A35" s="526" t="s">
        <v>532</v>
      </c>
      <c r="B35" s="525">
        <v>3331555712</v>
      </c>
      <c r="C35" s="525" t="s">
        <v>256</v>
      </c>
      <c r="D35" s="525" t="s">
        <v>256</v>
      </c>
      <c r="E35" s="525" t="s">
        <v>256</v>
      </c>
      <c r="F35" s="571" t="s">
        <v>256</v>
      </c>
      <c r="G35" s="915" t="s">
        <v>256</v>
      </c>
      <c r="H35" s="525" t="s">
        <v>256</v>
      </c>
      <c r="I35" s="571" t="s">
        <v>256</v>
      </c>
      <c r="J35" s="571" t="s">
        <v>256</v>
      </c>
      <c r="K35" s="527" t="s">
        <v>256</v>
      </c>
    </row>
    <row r="36" spans="1:12" s="522" customFormat="1" ht="15.6">
      <c r="A36" s="526" t="s">
        <v>532</v>
      </c>
      <c r="B36" s="524">
        <v>3331555709</v>
      </c>
      <c r="C36" s="525" t="s">
        <v>27</v>
      </c>
      <c r="D36" s="525">
        <v>24140923</v>
      </c>
      <c r="E36" s="525" t="s">
        <v>487</v>
      </c>
      <c r="F36" s="571" t="s">
        <v>205</v>
      </c>
      <c r="G36" s="900">
        <v>25201.81</v>
      </c>
      <c r="H36" s="525" t="s">
        <v>200</v>
      </c>
      <c r="I36" s="571">
        <v>1</v>
      </c>
      <c r="J36" s="571">
        <v>1</v>
      </c>
      <c r="K36" s="527" t="s">
        <v>204</v>
      </c>
    </row>
    <row r="37" spans="1:12" s="522" customFormat="1" ht="15.6">
      <c r="A37" s="526" t="s">
        <v>532</v>
      </c>
      <c r="B37" s="524">
        <v>3331555798</v>
      </c>
      <c r="C37" s="525" t="s">
        <v>27</v>
      </c>
      <c r="D37" s="525">
        <v>24140935</v>
      </c>
      <c r="E37" s="571" t="s">
        <v>487</v>
      </c>
      <c r="F37" s="571" t="s">
        <v>205</v>
      </c>
      <c r="G37" s="900">
        <v>26405.991000000002</v>
      </c>
      <c r="H37" s="571" t="s">
        <v>200</v>
      </c>
      <c r="I37" s="571">
        <v>1</v>
      </c>
      <c r="J37" s="571">
        <v>1</v>
      </c>
      <c r="K37" s="527" t="s">
        <v>204</v>
      </c>
    </row>
    <row r="38" spans="1:12" s="522" customFormat="1" ht="15.6">
      <c r="A38" s="582" t="s">
        <v>532</v>
      </c>
      <c r="B38" s="577">
        <v>3331555713</v>
      </c>
      <c r="C38" s="577" t="s">
        <v>336</v>
      </c>
      <c r="D38" s="577">
        <v>24140925</v>
      </c>
      <c r="E38" s="577" t="s">
        <v>173</v>
      </c>
      <c r="F38" s="579" t="s">
        <v>205</v>
      </c>
      <c r="G38" s="916">
        <v>42064.883999999998</v>
      </c>
      <c r="H38" s="577" t="s">
        <v>128</v>
      </c>
      <c r="I38" s="579">
        <v>1</v>
      </c>
      <c r="J38" s="579">
        <v>1</v>
      </c>
      <c r="K38" s="583" t="s">
        <v>207</v>
      </c>
    </row>
    <row r="39" spans="1:12" s="522" customFormat="1" ht="15.6">
      <c r="A39" s="582" t="s">
        <v>532</v>
      </c>
      <c r="B39" s="577">
        <v>3331555714</v>
      </c>
      <c r="C39" s="577" t="s">
        <v>359</v>
      </c>
      <c r="D39" s="577">
        <v>24140929</v>
      </c>
      <c r="E39" s="579" t="s">
        <v>173</v>
      </c>
      <c r="F39" s="579" t="s">
        <v>205</v>
      </c>
      <c r="G39" s="920">
        <f>35354.864+1648.833+1999.425</f>
        <v>39003.122000000003</v>
      </c>
      <c r="H39" s="579" t="s">
        <v>128</v>
      </c>
      <c r="I39" s="579">
        <v>1</v>
      </c>
      <c r="J39" s="579">
        <v>0</v>
      </c>
      <c r="K39" s="583" t="s">
        <v>207</v>
      </c>
    </row>
    <row r="40" spans="1:12" s="522" customFormat="1" ht="15.6">
      <c r="A40" s="582" t="s">
        <v>532</v>
      </c>
      <c r="B40" s="577">
        <v>3331555716</v>
      </c>
      <c r="C40" s="577" t="s">
        <v>256</v>
      </c>
      <c r="D40" s="578" t="s">
        <v>256</v>
      </c>
      <c r="E40" s="578" t="s">
        <v>256</v>
      </c>
      <c r="F40" s="579" t="s">
        <v>256</v>
      </c>
      <c r="G40" s="920" t="s">
        <v>256</v>
      </c>
      <c r="H40" s="578" t="s">
        <v>256</v>
      </c>
      <c r="I40" s="579" t="s">
        <v>256</v>
      </c>
      <c r="J40" s="579" t="s">
        <v>256</v>
      </c>
      <c r="K40" s="583" t="s">
        <v>256</v>
      </c>
    </row>
    <row r="41" spans="1:12" s="522" customFormat="1" ht="15.6">
      <c r="A41" s="582" t="s">
        <v>532</v>
      </c>
      <c r="B41" s="577">
        <v>3331555730</v>
      </c>
      <c r="C41" s="918" t="s">
        <v>256</v>
      </c>
      <c r="D41" s="738" t="s">
        <v>256</v>
      </c>
      <c r="E41" s="738" t="s">
        <v>256</v>
      </c>
      <c r="F41" s="579" t="s">
        <v>256</v>
      </c>
      <c r="G41" s="920" t="s">
        <v>256</v>
      </c>
      <c r="H41" s="578" t="s">
        <v>256</v>
      </c>
      <c r="I41" s="579" t="s">
        <v>256</v>
      </c>
      <c r="J41" s="579" t="s">
        <v>256</v>
      </c>
      <c r="K41" s="583" t="s">
        <v>256</v>
      </c>
    </row>
    <row r="42" spans="1:12" s="522" customFormat="1" ht="15.6">
      <c r="A42" s="582" t="s">
        <v>532</v>
      </c>
      <c r="B42" s="577">
        <v>3331555738</v>
      </c>
      <c r="C42" s="577" t="s">
        <v>441</v>
      </c>
      <c r="D42" s="577">
        <v>24140931</v>
      </c>
      <c r="E42" s="577" t="s">
        <v>413</v>
      </c>
      <c r="F42" s="579" t="s">
        <v>205</v>
      </c>
      <c r="G42" s="916">
        <f>6579.996+27279.63</f>
        <v>33859.626000000004</v>
      </c>
      <c r="H42" s="577" t="s">
        <v>128</v>
      </c>
      <c r="I42" s="579">
        <v>1</v>
      </c>
      <c r="J42" s="579">
        <v>1</v>
      </c>
      <c r="K42" s="583" t="s">
        <v>256</v>
      </c>
    </row>
    <row r="43" spans="1:12" s="522" customFormat="1" ht="15.6">
      <c r="A43" s="582" t="s">
        <v>532</v>
      </c>
      <c r="B43" s="577">
        <v>3331555743</v>
      </c>
      <c r="C43" s="577" t="s">
        <v>256</v>
      </c>
      <c r="D43" s="577" t="s">
        <v>256</v>
      </c>
      <c r="E43" s="577" t="s">
        <v>256</v>
      </c>
      <c r="F43" s="579" t="s">
        <v>256</v>
      </c>
      <c r="G43" s="916" t="s">
        <v>256</v>
      </c>
      <c r="H43" s="577" t="s">
        <v>256</v>
      </c>
      <c r="I43" s="579" t="s">
        <v>256</v>
      </c>
      <c r="J43" s="579" t="s">
        <v>256</v>
      </c>
      <c r="K43" s="583" t="s">
        <v>207</v>
      </c>
    </row>
    <row r="44" spans="1:12" ht="15.6">
      <c r="A44" s="880" t="s">
        <v>532</v>
      </c>
      <c r="B44" s="452">
        <v>3331555692</v>
      </c>
      <c r="C44" s="592" t="s">
        <v>287</v>
      </c>
      <c r="D44" s="452">
        <v>24140915</v>
      </c>
      <c r="E44" s="452" t="s">
        <v>158</v>
      </c>
      <c r="F44" s="490" t="s">
        <v>199</v>
      </c>
      <c r="G44" s="456">
        <v>26166.06</v>
      </c>
      <c r="H44" s="452" t="s">
        <v>200</v>
      </c>
      <c r="I44" s="490">
        <v>1</v>
      </c>
      <c r="J44" s="490">
        <v>1</v>
      </c>
      <c r="K44" s="476" t="s">
        <v>204</v>
      </c>
      <c r="L44" s="576" t="e">
        <f>VLOOKUP(Table134657891011[[#This Row],[Delivery]],#REF!,6,FALSE)</f>
        <v>#REF!</v>
      </c>
    </row>
    <row r="45" spans="1:12" s="108" customFormat="1">
      <c r="A45" s="880" t="s">
        <v>532</v>
      </c>
      <c r="B45" s="452">
        <v>3331555693</v>
      </c>
      <c r="C45" s="592" t="s">
        <v>34</v>
      </c>
      <c r="D45" s="490">
        <v>24140916</v>
      </c>
      <c r="E45" s="490" t="s">
        <v>158</v>
      </c>
      <c r="F45" s="490" t="s">
        <v>199</v>
      </c>
      <c r="G45" s="581">
        <v>26978.404999999999</v>
      </c>
      <c r="H45" s="490" t="s">
        <v>200</v>
      </c>
      <c r="I45" s="490">
        <v>1</v>
      </c>
      <c r="J45" s="490">
        <v>1</v>
      </c>
      <c r="K45" s="490" t="s">
        <v>204</v>
      </c>
      <c r="L45" s="899"/>
    </row>
    <row r="46" spans="1:12" s="108" customFormat="1" ht="15.6">
      <c r="A46" s="880" t="s">
        <v>532</v>
      </c>
      <c r="B46" s="452">
        <v>3331555694</v>
      </c>
      <c r="C46" s="592" t="s">
        <v>27</v>
      </c>
      <c r="D46" s="452">
        <v>24140917</v>
      </c>
      <c r="E46" s="452" t="s">
        <v>158</v>
      </c>
      <c r="F46" s="490" t="s">
        <v>199</v>
      </c>
      <c r="G46" s="456">
        <v>25909.53</v>
      </c>
      <c r="H46" s="452" t="s">
        <v>200</v>
      </c>
      <c r="I46" s="490">
        <v>1</v>
      </c>
      <c r="J46" s="490">
        <v>1</v>
      </c>
      <c r="K46" s="476" t="s">
        <v>204</v>
      </c>
      <c r="L46" s="898"/>
    </row>
    <row r="47" spans="1:12" ht="15.6">
      <c r="A47" s="880" t="s">
        <v>532</v>
      </c>
      <c r="B47" s="452">
        <v>3331555681</v>
      </c>
      <c r="C47" s="592" t="s">
        <v>34</v>
      </c>
      <c r="D47" s="452">
        <v>24140918</v>
      </c>
      <c r="E47" s="452" t="s">
        <v>150</v>
      </c>
      <c r="F47" s="490" t="s">
        <v>199</v>
      </c>
      <c r="G47" s="456">
        <f>10045.832+16412.89</f>
        <v>26458.722000000002</v>
      </c>
      <c r="H47" s="452" t="s">
        <v>200</v>
      </c>
      <c r="I47" s="490">
        <v>1</v>
      </c>
      <c r="J47" s="490">
        <v>1</v>
      </c>
      <c r="K47" s="476" t="s">
        <v>204</v>
      </c>
      <c r="L47" s="898"/>
    </row>
    <row r="48" spans="1:12" ht="15.6">
      <c r="A48" s="880" t="s">
        <v>532</v>
      </c>
      <c r="B48" s="452">
        <v>3331555695</v>
      </c>
      <c r="C48" s="592" t="s">
        <v>256</v>
      </c>
      <c r="D48" s="452" t="s">
        <v>256</v>
      </c>
      <c r="E48" s="452" t="s">
        <v>256</v>
      </c>
      <c r="F48" s="490" t="s">
        <v>256</v>
      </c>
      <c r="G48" s="456" t="s">
        <v>256</v>
      </c>
      <c r="H48" s="452" t="s">
        <v>256</v>
      </c>
      <c r="I48" s="490" t="s">
        <v>256</v>
      </c>
      <c r="J48" s="490" t="s">
        <v>256</v>
      </c>
      <c r="K48" s="476" t="s">
        <v>256</v>
      </c>
      <c r="L48" s="898"/>
    </row>
    <row r="49" spans="1:12" ht="15.6">
      <c r="A49" s="880" t="s">
        <v>532</v>
      </c>
      <c r="B49" s="452">
        <v>3331555697</v>
      </c>
      <c r="C49" s="592" t="s">
        <v>34</v>
      </c>
      <c r="D49" s="452">
        <v>24140919</v>
      </c>
      <c r="E49" s="452" t="s">
        <v>219</v>
      </c>
      <c r="F49" s="490" t="s">
        <v>199</v>
      </c>
      <c r="G49" s="456">
        <v>25952.285</v>
      </c>
      <c r="H49" s="452" t="s">
        <v>200</v>
      </c>
      <c r="I49" s="490">
        <v>1</v>
      </c>
      <c r="J49" s="490">
        <v>1</v>
      </c>
      <c r="K49" s="476" t="s">
        <v>204</v>
      </c>
      <c r="L49" s="898"/>
    </row>
    <row r="50" spans="1:12" ht="15.6">
      <c r="A50" s="880" t="s">
        <v>532</v>
      </c>
      <c r="B50" s="452">
        <v>3331555698</v>
      </c>
      <c r="C50" s="592" t="s">
        <v>11</v>
      </c>
      <c r="D50" s="452">
        <v>24140920</v>
      </c>
      <c r="E50" s="452" t="s">
        <v>219</v>
      </c>
      <c r="F50" s="490" t="s">
        <v>199</v>
      </c>
      <c r="G50" s="456">
        <v>25653</v>
      </c>
      <c r="H50" s="452" t="s">
        <v>200</v>
      </c>
      <c r="I50" s="490">
        <v>1</v>
      </c>
      <c r="J50" s="490">
        <v>1</v>
      </c>
      <c r="K50" s="476" t="s">
        <v>204</v>
      </c>
      <c r="L50" s="898"/>
    </row>
    <row r="51" spans="1:12" ht="15.6">
      <c r="A51" s="880" t="s">
        <v>532</v>
      </c>
      <c r="B51" s="452">
        <v>3331555675</v>
      </c>
      <c r="C51" s="592" t="s">
        <v>27</v>
      </c>
      <c r="D51" s="452">
        <v>24140921</v>
      </c>
      <c r="E51" s="452" t="s">
        <v>158</v>
      </c>
      <c r="F51" s="490" t="s">
        <v>199</v>
      </c>
      <c r="G51" s="456">
        <v>25115.794999999998</v>
      </c>
      <c r="H51" s="452" t="s">
        <v>200</v>
      </c>
      <c r="I51" s="490">
        <v>1</v>
      </c>
      <c r="J51" s="490">
        <v>1</v>
      </c>
      <c r="K51" s="476" t="s">
        <v>204</v>
      </c>
      <c r="L51" s="898"/>
    </row>
    <row r="52" spans="1:12" ht="15.6">
      <c r="A52" s="880" t="s">
        <v>532</v>
      </c>
      <c r="B52" s="452">
        <v>3331555676</v>
      </c>
      <c r="C52" s="592" t="s">
        <v>27</v>
      </c>
      <c r="D52" s="490">
        <v>24140922</v>
      </c>
      <c r="E52" s="490" t="s">
        <v>158</v>
      </c>
      <c r="F52" s="490" t="s">
        <v>199</v>
      </c>
      <c r="G52" s="491">
        <v>24728.736000000001</v>
      </c>
      <c r="H52" s="490" t="s">
        <v>200</v>
      </c>
      <c r="I52" s="490">
        <v>1</v>
      </c>
      <c r="J52" s="490">
        <v>1</v>
      </c>
      <c r="K52" s="476" t="s">
        <v>204</v>
      </c>
      <c r="L52" s="898"/>
    </row>
    <row r="53" spans="1:12" ht="15.6">
      <c r="A53" s="880" t="s">
        <v>532</v>
      </c>
      <c r="B53" s="452">
        <v>3331555718</v>
      </c>
      <c r="C53" s="592" t="s">
        <v>287</v>
      </c>
      <c r="D53" s="452">
        <v>24140927</v>
      </c>
      <c r="E53" s="452" t="s">
        <v>366</v>
      </c>
      <c r="F53" s="490" t="s">
        <v>199</v>
      </c>
      <c r="G53" s="456">
        <v>25547.59</v>
      </c>
      <c r="H53" s="452" t="s">
        <v>200</v>
      </c>
      <c r="I53" s="490">
        <v>1</v>
      </c>
      <c r="J53" s="490">
        <v>1</v>
      </c>
      <c r="K53" s="476" t="s">
        <v>204</v>
      </c>
      <c r="L53" s="898"/>
    </row>
    <row r="54" spans="1:12" ht="15.6">
      <c r="A54" s="880" t="s">
        <v>532</v>
      </c>
      <c r="B54" s="452">
        <v>3331555721</v>
      </c>
      <c r="C54" s="592" t="s">
        <v>34</v>
      </c>
      <c r="D54" s="452">
        <v>24140928</v>
      </c>
      <c r="E54" s="452" t="s">
        <v>366</v>
      </c>
      <c r="F54" s="490" t="s">
        <v>199</v>
      </c>
      <c r="G54" s="456">
        <v>24594.968000000001</v>
      </c>
      <c r="H54" s="452" t="s">
        <v>200</v>
      </c>
      <c r="I54" s="490">
        <v>1</v>
      </c>
      <c r="J54" s="490">
        <v>1</v>
      </c>
      <c r="K54" s="476" t="s">
        <v>204</v>
      </c>
      <c r="L54" s="898"/>
    </row>
    <row r="55" spans="1:12" ht="15.6">
      <c r="A55" s="880" t="s">
        <v>532</v>
      </c>
      <c r="B55" s="452">
        <v>3331555737</v>
      </c>
      <c r="C55" s="592" t="s">
        <v>11</v>
      </c>
      <c r="D55" s="452">
        <v>24140932</v>
      </c>
      <c r="E55" s="452" t="s">
        <v>368</v>
      </c>
      <c r="F55" s="490" t="s">
        <v>199</v>
      </c>
      <c r="G55" s="456">
        <f>5943.448+8820.608+5946.466+1732.04+3475.73</f>
        <v>25918.292000000001</v>
      </c>
      <c r="H55" s="452" t="s">
        <v>200</v>
      </c>
      <c r="I55" s="490">
        <v>1</v>
      </c>
      <c r="J55" s="490">
        <v>1</v>
      </c>
      <c r="K55" s="476" t="s">
        <v>204</v>
      </c>
      <c r="L55" s="898"/>
    </row>
    <row r="56" spans="1:12" ht="15.6">
      <c r="A56" s="880" t="s">
        <v>532</v>
      </c>
      <c r="B56" s="452">
        <v>3331555739</v>
      </c>
      <c r="C56" s="592" t="s">
        <v>256</v>
      </c>
      <c r="D56" s="452" t="s">
        <v>256</v>
      </c>
      <c r="E56" s="452" t="s">
        <v>256</v>
      </c>
      <c r="F56" s="490" t="s">
        <v>256</v>
      </c>
      <c r="G56" s="456" t="s">
        <v>256</v>
      </c>
      <c r="H56" s="452" t="s">
        <v>256</v>
      </c>
      <c r="I56" s="490" t="s">
        <v>256</v>
      </c>
      <c r="J56" s="490" t="s">
        <v>256</v>
      </c>
      <c r="K56" s="476" t="s">
        <v>256</v>
      </c>
      <c r="L56" s="898"/>
    </row>
    <row r="57" spans="1:12" ht="15.6">
      <c r="A57" s="880" t="s">
        <v>532</v>
      </c>
      <c r="B57" s="452">
        <v>3331555742</v>
      </c>
      <c r="C57" s="592" t="s">
        <v>256</v>
      </c>
      <c r="D57" s="452" t="s">
        <v>256</v>
      </c>
      <c r="E57" s="452" t="s">
        <v>256</v>
      </c>
      <c r="F57" s="490" t="s">
        <v>256</v>
      </c>
      <c r="G57" s="456" t="s">
        <v>256</v>
      </c>
      <c r="H57" s="452" t="s">
        <v>256</v>
      </c>
      <c r="I57" s="490" t="s">
        <v>256</v>
      </c>
      <c r="J57" s="490" t="s">
        <v>256</v>
      </c>
      <c r="K57" s="476" t="s">
        <v>256</v>
      </c>
      <c r="L57" s="898"/>
    </row>
    <row r="58" spans="1:12" ht="15.6">
      <c r="A58" s="880" t="s">
        <v>532</v>
      </c>
      <c r="B58" s="452">
        <v>3331555744</v>
      </c>
      <c r="C58" s="592" t="s">
        <v>256</v>
      </c>
      <c r="D58" s="452" t="s">
        <v>256</v>
      </c>
      <c r="E58" s="452" t="s">
        <v>256</v>
      </c>
      <c r="F58" s="490" t="s">
        <v>256</v>
      </c>
      <c r="G58" s="456" t="s">
        <v>256</v>
      </c>
      <c r="H58" s="452" t="s">
        <v>256</v>
      </c>
      <c r="I58" s="490" t="s">
        <v>256</v>
      </c>
      <c r="J58" s="490" t="s">
        <v>256</v>
      </c>
      <c r="K58" s="476" t="s">
        <v>256</v>
      </c>
      <c r="L58" s="898"/>
    </row>
    <row r="59" spans="1:12" ht="15.6">
      <c r="A59" s="880" t="s">
        <v>532</v>
      </c>
      <c r="B59" s="452">
        <v>3331555748</v>
      </c>
      <c r="C59" s="592" t="s">
        <v>256</v>
      </c>
      <c r="D59" s="452" t="s">
        <v>256</v>
      </c>
      <c r="E59" s="452" t="s">
        <v>256</v>
      </c>
      <c r="F59" s="490" t="s">
        <v>256</v>
      </c>
      <c r="G59" s="456" t="s">
        <v>256</v>
      </c>
      <c r="H59" s="452" t="s">
        <v>256</v>
      </c>
      <c r="I59" s="490" t="s">
        <v>256</v>
      </c>
      <c r="J59" s="490" t="s">
        <v>256</v>
      </c>
      <c r="K59" s="476" t="s">
        <v>256</v>
      </c>
      <c r="L59" s="898"/>
    </row>
    <row r="60" spans="1:12" ht="15.6">
      <c r="A60" s="880" t="s">
        <v>355</v>
      </c>
      <c r="B60" s="452">
        <v>3331555782</v>
      </c>
      <c r="C60" s="592" t="s">
        <v>11</v>
      </c>
      <c r="D60" s="452">
        <v>24140934</v>
      </c>
      <c r="E60" s="452" t="s">
        <v>447</v>
      </c>
      <c r="F60" s="490" t="s">
        <v>199</v>
      </c>
      <c r="G60" s="456">
        <f>4476.075+13827.874</f>
        <v>18303.949000000001</v>
      </c>
      <c r="H60" s="452" t="s">
        <v>200</v>
      </c>
      <c r="I60" s="490">
        <v>1</v>
      </c>
      <c r="J60" s="490">
        <v>1</v>
      </c>
      <c r="K60" s="476" t="s">
        <v>204</v>
      </c>
      <c r="L60" s="898"/>
    </row>
    <row r="61" spans="1:12" ht="15.6">
      <c r="A61" s="880" t="s">
        <v>532</v>
      </c>
      <c r="B61" s="452">
        <v>3331555785</v>
      </c>
      <c r="C61" s="592" t="s">
        <v>256</v>
      </c>
      <c r="D61" s="452" t="s">
        <v>256</v>
      </c>
      <c r="E61" s="452" t="s">
        <v>256</v>
      </c>
      <c r="F61" s="490" t="s">
        <v>256</v>
      </c>
      <c r="G61" s="456" t="s">
        <v>256</v>
      </c>
      <c r="H61" s="452" t="s">
        <v>256</v>
      </c>
      <c r="I61" s="490" t="s">
        <v>256</v>
      </c>
      <c r="J61" s="490" t="s">
        <v>256</v>
      </c>
      <c r="K61" s="476" t="s">
        <v>256</v>
      </c>
      <c r="L61" s="898"/>
    </row>
    <row r="62" spans="1:12" ht="15.6">
      <c r="A62" s="880" t="s">
        <v>532</v>
      </c>
      <c r="B62" s="452">
        <v>3331555804</v>
      </c>
      <c r="C62" s="592" t="s">
        <v>34</v>
      </c>
      <c r="D62" s="452">
        <v>24140936</v>
      </c>
      <c r="E62" s="452" t="s">
        <v>491</v>
      </c>
      <c r="F62" s="490" t="s">
        <v>199</v>
      </c>
      <c r="G62" s="456">
        <v>24489.562000000002</v>
      </c>
      <c r="H62" s="452" t="s">
        <v>200</v>
      </c>
      <c r="I62" s="490">
        <v>1</v>
      </c>
      <c r="J62" s="490">
        <v>1</v>
      </c>
      <c r="K62" s="476" t="s">
        <v>204</v>
      </c>
      <c r="L62" s="898"/>
    </row>
    <row r="63" spans="1:12" ht="15.6">
      <c r="A63" s="880" t="s">
        <v>532</v>
      </c>
      <c r="B63" s="452">
        <v>3331555796</v>
      </c>
      <c r="C63" s="592" t="s">
        <v>27</v>
      </c>
      <c r="D63" s="452">
        <v>24140938</v>
      </c>
      <c r="E63" s="452" t="s">
        <v>150</v>
      </c>
      <c r="F63" s="490" t="s">
        <v>199</v>
      </c>
      <c r="G63" s="456">
        <v>26976.523000000001</v>
      </c>
      <c r="H63" s="452" t="s">
        <v>200</v>
      </c>
      <c r="I63" s="490">
        <v>1</v>
      </c>
      <c r="J63" s="490">
        <v>1</v>
      </c>
      <c r="K63" s="476" t="s">
        <v>204</v>
      </c>
      <c r="L63" s="898"/>
    </row>
    <row r="64" spans="1:12" ht="15.6">
      <c r="A64" s="880" t="s">
        <v>532</v>
      </c>
      <c r="B64" s="452">
        <v>3331555803</v>
      </c>
      <c r="C64" s="592" t="s">
        <v>11</v>
      </c>
      <c r="D64" s="452">
        <v>24140939</v>
      </c>
      <c r="E64" s="452" t="s">
        <v>150</v>
      </c>
      <c r="F64" s="490" t="s">
        <v>340</v>
      </c>
      <c r="G64" s="456">
        <v>25937.298999999999</v>
      </c>
      <c r="H64" s="452" t="s">
        <v>200</v>
      </c>
      <c r="I64" s="490">
        <v>1</v>
      </c>
      <c r="J64" s="490">
        <v>1</v>
      </c>
      <c r="K64" s="476" t="s">
        <v>204</v>
      </c>
      <c r="L64" s="898"/>
    </row>
    <row r="65" spans="1:12" ht="15.6">
      <c r="A65" s="880" t="s">
        <v>532</v>
      </c>
      <c r="B65" s="452">
        <v>3331555821</v>
      </c>
      <c r="C65" s="592" t="s">
        <v>34</v>
      </c>
      <c r="D65" s="452">
        <v>24140940</v>
      </c>
      <c r="E65" s="452" t="s">
        <v>150</v>
      </c>
      <c r="F65" s="490" t="s">
        <v>340</v>
      </c>
      <c r="G65" s="456">
        <v>25850.697</v>
      </c>
      <c r="H65" s="452" t="s">
        <v>200</v>
      </c>
      <c r="I65" s="490">
        <v>1</v>
      </c>
      <c r="J65" s="490">
        <v>1</v>
      </c>
      <c r="K65" s="476" t="s">
        <v>204</v>
      </c>
      <c r="L65" s="898"/>
    </row>
    <row r="66" spans="1:12" ht="15.6">
      <c r="A66" s="880" t="s">
        <v>532</v>
      </c>
      <c r="B66" s="452">
        <v>3331555827</v>
      </c>
      <c r="C66" s="592" t="s">
        <v>34</v>
      </c>
      <c r="D66" s="452">
        <v>24140941</v>
      </c>
      <c r="E66" s="452" t="s">
        <v>150</v>
      </c>
      <c r="F66" s="490" t="s">
        <v>340</v>
      </c>
      <c r="G66" s="456">
        <v>24421.763999999999</v>
      </c>
      <c r="H66" s="452" t="s">
        <v>200</v>
      </c>
      <c r="I66" s="490">
        <v>1</v>
      </c>
      <c r="J66" s="490">
        <v>1</v>
      </c>
      <c r="K66" s="476" t="s">
        <v>204</v>
      </c>
      <c r="L66" s="898"/>
    </row>
    <row r="67" spans="1:12" ht="15.6">
      <c r="A67" s="880" t="s">
        <v>532</v>
      </c>
      <c r="B67" s="452">
        <v>3331555824</v>
      </c>
      <c r="C67" s="592" t="s">
        <v>336</v>
      </c>
      <c r="D67" s="592">
        <v>24140942</v>
      </c>
      <c r="E67" s="452" t="s">
        <v>529</v>
      </c>
      <c r="F67" s="490" t="s">
        <v>434</v>
      </c>
      <c r="G67" s="456">
        <v>40297.089999999997</v>
      </c>
      <c r="H67" s="452" t="s">
        <v>128</v>
      </c>
      <c r="I67" s="490">
        <v>1</v>
      </c>
      <c r="J67" s="490">
        <v>1</v>
      </c>
      <c r="K67" s="476" t="s">
        <v>204</v>
      </c>
      <c r="L67" s="898"/>
    </row>
    <row r="68" spans="1:12" s="108" customFormat="1" ht="15.6">
      <c r="A68" s="880" t="s">
        <v>532</v>
      </c>
      <c r="B68" s="452">
        <v>3331555829</v>
      </c>
      <c r="C68" s="592" t="s">
        <v>336</v>
      </c>
      <c r="D68" s="592">
        <v>24140943</v>
      </c>
      <c r="E68" s="452" t="s">
        <v>529</v>
      </c>
      <c r="F68" s="490" t="s">
        <v>434</v>
      </c>
      <c r="G68" s="456">
        <v>41458.266000000003</v>
      </c>
      <c r="H68" s="452" t="s">
        <v>128</v>
      </c>
      <c r="I68" s="490">
        <v>1</v>
      </c>
      <c r="J68" s="490">
        <v>1</v>
      </c>
      <c r="K68" s="476" t="s">
        <v>204</v>
      </c>
      <c r="L68" s="898"/>
    </row>
    <row r="69" spans="1:12" ht="15.6">
      <c r="A69" s="880" t="s">
        <v>532</v>
      </c>
      <c r="B69" s="452">
        <v>3331555830</v>
      </c>
      <c r="C69" s="592" t="s">
        <v>336</v>
      </c>
      <c r="D69" s="452">
        <v>24140944</v>
      </c>
      <c r="E69" s="452" t="s">
        <v>529</v>
      </c>
      <c r="F69" s="490" t="s">
        <v>434</v>
      </c>
      <c r="G69" s="456">
        <v>36340.493000000002</v>
      </c>
      <c r="H69" s="452" t="s">
        <v>128</v>
      </c>
      <c r="I69" s="490">
        <v>1</v>
      </c>
      <c r="J69" s="490">
        <v>1</v>
      </c>
      <c r="K69" s="476" t="s">
        <v>204</v>
      </c>
      <c r="L69" s="898"/>
    </row>
    <row r="70" spans="1:12" ht="15.6">
      <c r="A70" s="889" t="s">
        <v>532</v>
      </c>
      <c r="B70" s="480">
        <v>3331555834</v>
      </c>
      <c r="C70" s="887" t="s">
        <v>336</v>
      </c>
      <c r="D70" s="480">
        <v>24140947</v>
      </c>
      <c r="E70" s="480" t="s">
        <v>529</v>
      </c>
      <c r="F70" s="502" t="s">
        <v>434</v>
      </c>
      <c r="G70" s="481">
        <v>39178.921999999999</v>
      </c>
      <c r="H70" s="502" t="s">
        <v>128</v>
      </c>
      <c r="I70" s="502">
        <v>1</v>
      </c>
      <c r="J70" s="502">
        <v>1</v>
      </c>
      <c r="K70" s="482" t="s">
        <v>207</v>
      </c>
      <c r="L70" s="898"/>
    </row>
    <row r="71" spans="1:12" ht="15.6">
      <c r="A71" s="889" t="s">
        <v>532</v>
      </c>
      <c r="B71" s="480">
        <v>3331555847</v>
      </c>
      <c r="C71" s="887" t="s">
        <v>336</v>
      </c>
      <c r="D71" s="480">
        <v>24140954</v>
      </c>
      <c r="E71" s="480" t="s">
        <v>529</v>
      </c>
      <c r="F71" s="502" t="s">
        <v>434</v>
      </c>
      <c r="G71" s="481">
        <f>16127.438+6284.985+15007.005</f>
        <v>37419.428</v>
      </c>
      <c r="H71" s="502" t="s">
        <v>128</v>
      </c>
      <c r="I71" s="502">
        <v>1</v>
      </c>
      <c r="J71" s="502">
        <v>1</v>
      </c>
      <c r="K71" s="482" t="s">
        <v>207</v>
      </c>
      <c r="L71" s="898"/>
    </row>
    <row r="72" spans="1:12" ht="15.6">
      <c r="A72" s="889" t="s">
        <v>532</v>
      </c>
      <c r="B72" s="480">
        <v>3331555851</v>
      </c>
      <c r="C72" s="887" t="s">
        <v>256</v>
      </c>
      <c r="D72" s="480" t="s">
        <v>256</v>
      </c>
      <c r="E72" s="480" t="s">
        <v>256</v>
      </c>
      <c r="F72" s="502" t="s">
        <v>256</v>
      </c>
      <c r="G72" s="481" t="s">
        <v>256</v>
      </c>
      <c r="H72" s="480" t="s">
        <v>256</v>
      </c>
      <c r="I72" s="502" t="s">
        <v>256</v>
      </c>
      <c r="J72" s="502" t="s">
        <v>256</v>
      </c>
      <c r="K72" s="482" t="s">
        <v>256</v>
      </c>
      <c r="L72" s="898"/>
    </row>
    <row r="73" spans="1:12" ht="15.6">
      <c r="A73" s="889" t="s">
        <v>532</v>
      </c>
      <c r="B73" s="480">
        <v>3331555863</v>
      </c>
      <c r="C73" s="887" t="s">
        <v>256</v>
      </c>
      <c r="D73" s="480" t="s">
        <v>256</v>
      </c>
      <c r="E73" s="480" t="s">
        <v>256</v>
      </c>
      <c r="F73" s="502" t="s">
        <v>256</v>
      </c>
      <c r="G73" s="481" t="s">
        <v>256</v>
      </c>
      <c r="H73" s="480" t="s">
        <v>256</v>
      </c>
      <c r="I73" s="502" t="s">
        <v>256</v>
      </c>
      <c r="J73" s="502" t="s">
        <v>256</v>
      </c>
      <c r="K73" s="482" t="s">
        <v>256</v>
      </c>
      <c r="L73" s="898"/>
    </row>
    <row r="74" spans="1:12" ht="15.6">
      <c r="A74" s="880" t="s">
        <v>514</v>
      </c>
      <c r="B74" s="452">
        <v>3331555831</v>
      </c>
      <c r="C74" s="525" t="s">
        <v>273</v>
      </c>
      <c r="D74" s="452">
        <v>24140951</v>
      </c>
      <c r="E74" s="525" t="s">
        <v>226</v>
      </c>
      <c r="F74" s="571" t="s">
        <v>344</v>
      </c>
      <c r="G74" s="921">
        <v>25893.998</v>
      </c>
      <c r="H74" s="490" t="s">
        <v>200</v>
      </c>
      <c r="I74" s="490">
        <v>1</v>
      </c>
      <c r="J74" s="490">
        <v>1</v>
      </c>
      <c r="K74" s="476" t="s">
        <v>204</v>
      </c>
      <c r="L74" s="898"/>
    </row>
    <row r="75" spans="1:12" ht="15.6">
      <c r="A75" s="880" t="s">
        <v>532</v>
      </c>
      <c r="B75" s="452">
        <v>3331555833</v>
      </c>
      <c r="C75" s="592" t="s">
        <v>27</v>
      </c>
      <c r="D75" s="452">
        <v>24140945</v>
      </c>
      <c r="E75" s="452" t="s">
        <v>150</v>
      </c>
      <c r="F75" s="490" t="s">
        <v>340</v>
      </c>
      <c r="G75" s="456">
        <v>25114.58</v>
      </c>
      <c r="H75" s="452" t="s">
        <v>200</v>
      </c>
      <c r="I75" s="490">
        <v>1</v>
      </c>
      <c r="J75" s="490">
        <v>1</v>
      </c>
      <c r="K75" s="476" t="s">
        <v>204</v>
      </c>
      <c r="L75" s="898"/>
    </row>
    <row r="76" spans="1:12" ht="15.6">
      <c r="A76" s="880" t="s">
        <v>532</v>
      </c>
      <c r="B76" s="452">
        <v>3331555838</v>
      </c>
      <c r="C76" s="592" t="s">
        <v>533</v>
      </c>
      <c r="D76" s="452">
        <v>24140946</v>
      </c>
      <c r="E76" s="452" t="s">
        <v>150</v>
      </c>
      <c r="F76" s="490" t="s">
        <v>340</v>
      </c>
      <c r="G76" s="456">
        <v>25114.58</v>
      </c>
      <c r="H76" s="452" t="s">
        <v>200</v>
      </c>
      <c r="I76" s="490">
        <v>1</v>
      </c>
      <c r="J76" s="490">
        <v>1</v>
      </c>
      <c r="K76" s="476" t="s">
        <v>204</v>
      </c>
      <c r="L76" s="898"/>
    </row>
    <row r="77" spans="1:12" ht="15.6">
      <c r="A77" s="880" t="s">
        <v>532</v>
      </c>
      <c r="B77" s="452">
        <v>3331555828</v>
      </c>
      <c r="C77" s="592" t="s">
        <v>27</v>
      </c>
      <c r="D77" s="452">
        <v>24140948</v>
      </c>
      <c r="E77" s="452" t="s">
        <v>158</v>
      </c>
      <c r="F77" s="490" t="s">
        <v>340</v>
      </c>
      <c r="G77" s="456">
        <v>24781.803</v>
      </c>
      <c r="H77" s="452" t="s">
        <v>200</v>
      </c>
      <c r="I77" s="490">
        <v>1</v>
      </c>
      <c r="J77" s="490">
        <v>1</v>
      </c>
      <c r="K77" s="476" t="s">
        <v>204</v>
      </c>
      <c r="L77" s="898"/>
    </row>
    <row r="78" spans="1:12" ht="15.6">
      <c r="A78" s="880" t="s">
        <v>532</v>
      </c>
      <c r="B78" s="452">
        <v>3331555832</v>
      </c>
      <c r="C78" s="592" t="s">
        <v>27</v>
      </c>
      <c r="D78" s="452">
        <v>24140949</v>
      </c>
      <c r="E78" s="452" t="s">
        <v>158</v>
      </c>
      <c r="F78" s="490" t="s">
        <v>340</v>
      </c>
      <c r="G78" s="456">
        <v>25205.328000000001</v>
      </c>
      <c r="H78" s="452" t="s">
        <v>200</v>
      </c>
      <c r="I78" s="490">
        <v>1</v>
      </c>
      <c r="J78" s="490">
        <v>1</v>
      </c>
      <c r="K78" s="476" t="s">
        <v>204</v>
      </c>
      <c r="L78" s="898"/>
    </row>
    <row r="79" spans="1:12" ht="15.6">
      <c r="A79" s="880" t="s">
        <v>532</v>
      </c>
      <c r="B79" s="452">
        <v>3331555836</v>
      </c>
      <c r="C79" s="592" t="s">
        <v>27</v>
      </c>
      <c r="D79" s="452">
        <v>24140950</v>
      </c>
      <c r="E79" s="452" t="s">
        <v>158</v>
      </c>
      <c r="F79" s="490" t="s">
        <v>340</v>
      </c>
      <c r="G79" s="456">
        <v>25199.292000000001</v>
      </c>
      <c r="H79" s="452" t="s">
        <v>200</v>
      </c>
      <c r="I79" s="490">
        <v>1</v>
      </c>
      <c r="J79" s="490">
        <v>1</v>
      </c>
      <c r="K79" s="476" t="s">
        <v>204</v>
      </c>
      <c r="L79" s="898"/>
    </row>
    <row r="80" spans="1:12" s="594" customFormat="1" ht="15.6">
      <c r="A80" s="883" t="s">
        <v>532</v>
      </c>
      <c r="B80" s="884">
        <v>3331555845</v>
      </c>
      <c r="C80" s="884" t="s">
        <v>206</v>
      </c>
      <c r="D80" s="884">
        <v>24140953</v>
      </c>
      <c r="E80" s="884" t="s">
        <v>493</v>
      </c>
      <c r="F80" s="593" t="s">
        <v>338</v>
      </c>
      <c r="G80" s="922">
        <v>39676.639999999999</v>
      </c>
      <c r="H80" s="884" t="s">
        <v>128</v>
      </c>
      <c r="I80" s="593">
        <v>1</v>
      </c>
      <c r="J80" s="593">
        <v>1</v>
      </c>
      <c r="K80" s="495" t="s">
        <v>204</v>
      </c>
      <c r="L80" s="923"/>
    </row>
    <row r="81" spans="1:12" ht="15.6">
      <c r="A81" s="533"/>
      <c r="B81" s="534"/>
      <c r="C81" s="535"/>
      <c r="D81" s="536"/>
      <c r="E81" s="536" t="s">
        <v>512</v>
      </c>
      <c r="F81" s="536"/>
      <c r="G81" s="586"/>
      <c r="H81" s="536"/>
      <c r="I81" s="534"/>
      <c r="J81" s="534"/>
      <c r="K81" s="537"/>
      <c r="L81" s="898"/>
    </row>
    <row r="82" spans="1:12" s="590" customFormat="1" ht="15.6">
      <c r="A82" s="917" t="s">
        <v>532</v>
      </c>
      <c r="B82" s="918">
        <v>3331554999</v>
      </c>
      <c r="C82" s="918" t="s">
        <v>359</v>
      </c>
      <c r="D82" s="918">
        <v>24140952</v>
      </c>
      <c r="E82" s="918" t="s">
        <v>446</v>
      </c>
      <c r="F82" s="575" t="s">
        <v>338</v>
      </c>
      <c r="G82" s="919">
        <v>36470.014999999999</v>
      </c>
      <c r="H82" s="918" t="s">
        <v>128</v>
      </c>
      <c r="I82" s="575">
        <v>1</v>
      </c>
      <c r="J82" s="575">
        <v>0</v>
      </c>
      <c r="K82" s="588" t="s">
        <v>207</v>
      </c>
      <c r="L82" s="923"/>
    </row>
    <row r="83" spans="1:12" ht="15.6">
      <c r="A83" s="880" t="s">
        <v>514</v>
      </c>
      <c r="B83" s="452">
        <v>3331555868</v>
      </c>
      <c r="C83" s="592" t="s">
        <v>27</v>
      </c>
      <c r="D83" s="452">
        <v>24140956</v>
      </c>
      <c r="E83" s="452" t="s">
        <v>158</v>
      </c>
      <c r="F83" s="490" t="s">
        <v>340</v>
      </c>
      <c r="G83" s="456">
        <v>27009.088</v>
      </c>
      <c r="H83" s="452" t="s">
        <v>200</v>
      </c>
      <c r="I83" s="490">
        <v>1</v>
      </c>
      <c r="J83" s="490">
        <v>1</v>
      </c>
      <c r="K83" s="476" t="s">
        <v>204</v>
      </c>
      <c r="L83" s="898"/>
    </row>
    <row r="84" spans="1:12" ht="15.6">
      <c r="A84" s="880" t="s">
        <v>514</v>
      </c>
      <c r="B84" s="452">
        <v>3331555874</v>
      </c>
      <c r="C84" s="592" t="s">
        <v>27</v>
      </c>
      <c r="D84" s="452">
        <v>24140957</v>
      </c>
      <c r="E84" s="452" t="s">
        <v>158</v>
      </c>
      <c r="F84" s="490" t="s">
        <v>340</v>
      </c>
      <c r="G84" s="456">
        <v>27266.624</v>
      </c>
      <c r="H84" s="452" t="s">
        <v>200</v>
      </c>
      <c r="I84" s="490">
        <v>1</v>
      </c>
      <c r="J84" s="490">
        <v>1</v>
      </c>
      <c r="K84" s="476" t="s">
        <v>204</v>
      </c>
      <c r="L84" s="898"/>
    </row>
    <row r="85" spans="1:12" s="522" customFormat="1" ht="15.6">
      <c r="A85" s="582" t="s">
        <v>532</v>
      </c>
      <c r="B85" s="578">
        <v>3331555878</v>
      </c>
      <c r="C85" s="577" t="s">
        <v>441</v>
      </c>
      <c r="D85" s="578">
        <v>24140958</v>
      </c>
      <c r="E85" s="578" t="s">
        <v>497</v>
      </c>
      <c r="F85" s="587" t="s">
        <v>344</v>
      </c>
      <c r="G85" s="920">
        <f>11458.34+31528.04</f>
        <v>42986.380000000005</v>
      </c>
      <c r="H85" s="578" t="s">
        <v>128</v>
      </c>
      <c r="I85" s="587">
        <v>1</v>
      </c>
      <c r="J85" s="587">
        <v>0</v>
      </c>
      <c r="K85" s="583" t="s">
        <v>207</v>
      </c>
    </row>
    <row r="86" spans="1:12" ht="15.6">
      <c r="A86" s="889" t="s">
        <v>532</v>
      </c>
      <c r="B86" s="480">
        <v>3331555879</v>
      </c>
      <c r="C86" s="887" t="s">
        <v>256</v>
      </c>
      <c r="D86" s="480" t="s">
        <v>256</v>
      </c>
      <c r="E86" s="480" t="s">
        <v>256</v>
      </c>
      <c r="F86" s="502" t="s">
        <v>256</v>
      </c>
      <c r="G86" s="481" t="s">
        <v>256</v>
      </c>
      <c r="H86" s="480" t="s">
        <v>256</v>
      </c>
      <c r="I86" s="502" t="s">
        <v>256</v>
      </c>
      <c r="J86" s="502" t="s">
        <v>256</v>
      </c>
      <c r="K86" s="482" t="s">
        <v>256</v>
      </c>
      <c r="L86" s="898"/>
    </row>
    <row r="87" spans="1:12" s="590" customFormat="1" ht="15.6">
      <c r="A87" s="917" t="s">
        <v>532</v>
      </c>
      <c r="B87" s="918">
        <v>3331555896</v>
      </c>
      <c r="C87" s="918" t="s">
        <v>531</v>
      </c>
      <c r="D87" s="918">
        <v>24140961</v>
      </c>
      <c r="E87" s="918" t="s">
        <v>486</v>
      </c>
      <c r="F87" s="575" t="s">
        <v>344</v>
      </c>
      <c r="G87" s="919">
        <f>26300.864+16513.49</f>
        <v>42814.354000000007</v>
      </c>
      <c r="H87" s="918" t="s">
        <v>128</v>
      </c>
      <c r="I87" s="575">
        <v>1</v>
      </c>
      <c r="J87" s="575">
        <v>0</v>
      </c>
      <c r="K87" s="588" t="s">
        <v>207</v>
      </c>
      <c r="L87" s="923"/>
    </row>
    <row r="88" spans="1:12" s="590" customFormat="1" ht="15.6">
      <c r="A88" s="917" t="s">
        <v>532</v>
      </c>
      <c r="B88" s="918">
        <v>3331555903</v>
      </c>
      <c r="C88" s="918" t="s">
        <v>256</v>
      </c>
      <c r="D88" s="918" t="s">
        <v>256</v>
      </c>
      <c r="E88" s="918" t="s">
        <v>256</v>
      </c>
      <c r="F88" s="575" t="s">
        <v>256</v>
      </c>
      <c r="G88" s="919" t="s">
        <v>256</v>
      </c>
      <c r="H88" s="918" t="s">
        <v>256</v>
      </c>
      <c r="I88" s="575" t="s">
        <v>256</v>
      </c>
      <c r="J88" s="575" t="s">
        <v>256</v>
      </c>
      <c r="K88" s="588" t="s">
        <v>256</v>
      </c>
      <c r="L88" s="923"/>
    </row>
    <row r="89" spans="1:12" s="590" customFormat="1" ht="15.6">
      <c r="A89" s="917" t="s">
        <v>355</v>
      </c>
      <c r="B89" s="918">
        <v>3331555889</v>
      </c>
      <c r="C89" s="918" t="s">
        <v>531</v>
      </c>
      <c r="D89" s="918">
        <v>24140960</v>
      </c>
      <c r="E89" s="918" t="s">
        <v>486</v>
      </c>
      <c r="F89" s="575" t="s">
        <v>344</v>
      </c>
      <c r="G89" s="919">
        <f>13716.81+29817.337</f>
        <v>43534.146999999997</v>
      </c>
      <c r="H89" s="918" t="s">
        <v>128</v>
      </c>
      <c r="I89" s="575">
        <v>1</v>
      </c>
      <c r="J89" s="575">
        <v>0</v>
      </c>
      <c r="K89" s="588" t="s">
        <v>207</v>
      </c>
      <c r="L89" s="923"/>
    </row>
    <row r="90" spans="1:12" s="590" customFormat="1" ht="15.6">
      <c r="A90" s="917" t="s">
        <v>532</v>
      </c>
      <c r="B90" s="918">
        <v>3331555894</v>
      </c>
      <c r="C90" s="918" t="s">
        <v>256</v>
      </c>
      <c r="D90" s="918" t="s">
        <v>256</v>
      </c>
      <c r="E90" s="918" t="s">
        <v>256</v>
      </c>
      <c r="F90" s="575" t="s">
        <v>256</v>
      </c>
      <c r="G90" s="919" t="s">
        <v>256</v>
      </c>
      <c r="H90" s="918" t="s">
        <v>256</v>
      </c>
      <c r="I90" s="575" t="s">
        <v>256</v>
      </c>
      <c r="J90" s="575" t="s">
        <v>256</v>
      </c>
      <c r="K90" s="588" t="s">
        <v>256</v>
      </c>
      <c r="L90" s="923"/>
    </row>
    <row r="91" spans="1:12" ht="15.6">
      <c r="A91" s="880" t="s">
        <v>514</v>
      </c>
      <c r="B91" s="452">
        <v>3331555895</v>
      </c>
      <c r="C91" s="592" t="s">
        <v>27</v>
      </c>
      <c r="D91" s="452">
        <v>24140962</v>
      </c>
      <c r="E91" s="452" t="s">
        <v>534</v>
      </c>
      <c r="F91" s="490" t="s">
        <v>344</v>
      </c>
      <c r="G91" s="456">
        <f>7929.292+18105.989</f>
        <v>26035.281000000003</v>
      </c>
      <c r="H91" s="452" t="s">
        <v>200</v>
      </c>
      <c r="I91" s="490">
        <v>1</v>
      </c>
      <c r="J91" s="490">
        <v>1</v>
      </c>
      <c r="K91" s="476" t="s">
        <v>204</v>
      </c>
      <c r="L91" s="898"/>
    </row>
    <row r="92" spans="1:12" ht="15.6">
      <c r="A92" s="880" t="s">
        <v>514</v>
      </c>
      <c r="B92" s="452">
        <v>3331555910</v>
      </c>
      <c r="C92" s="592" t="s">
        <v>256</v>
      </c>
      <c r="D92" s="452" t="s">
        <v>256</v>
      </c>
      <c r="E92" s="452" t="s">
        <v>256</v>
      </c>
      <c r="F92" s="490" t="s">
        <v>256</v>
      </c>
      <c r="G92" s="456" t="s">
        <v>256</v>
      </c>
      <c r="H92" s="452" t="s">
        <v>256</v>
      </c>
      <c r="I92" s="490" t="s">
        <v>256</v>
      </c>
      <c r="J92" s="490" t="s">
        <v>256</v>
      </c>
      <c r="K92" s="476" t="s">
        <v>256</v>
      </c>
      <c r="L92" s="898"/>
    </row>
    <row r="93" spans="1:12" ht="15.6">
      <c r="A93" s="880" t="s">
        <v>532</v>
      </c>
      <c r="B93" s="452">
        <v>3331555921</v>
      </c>
      <c r="C93" s="592" t="s">
        <v>287</v>
      </c>
      <c r="D93" s="452">
        <v>24140963</v>
      </c>
      <c r="E93" s="452" t="s">
        <v>243</v>
      </c>
      <c r="F93" s="490" t="s">
        <v>340</v>
      </c>
      <c r="G93" s="456">
        <v>24967.968000000001</v>
      </c>
      <c r="H93" s="452" t="s">
        <v>200</v>
      </c>
      <c r="I93" s="490">
        <v>1</v>
      </c>
      <c r="J93" s="490">
        <v>1</v>
      </c>
      <c r="K93" s="476" t="s">
        <v>204</v>
      </c>
      <c r="L93" s="898"/>
    </row>
    <row r="94" spans="1:12" ht="15.6">
      <c r="A94" s="880" t="s">
        <v>532</v>
      </c>
      <c r="B94" s="452">
        <v>3331555871</v>
      </c>
      <c r="C94" s="592" t="s">
        <v>27</v>
      </c>
      <c r="D94" s="452">
        <v>24140964</v>
      </c>
      <c r="E94" s="452" t="s">
        <v>535</v>
      </c>
      <c r="F94" s="490" t="s">
        <v>340</v>
      </c>
      <c r="G94" s="456">
        <v>24685.322</v>
      </c>
      <c r="H94" s="452" t="s">
        <v>200</v>
      </c>
      <c r="I94" s="490">
        <v>1</v>
      </c>
      <c r="J94" s="490">
        <v>1</v>
      </c>
      <c r="K94" s="476" t="s">
        <v>204</v>
      </c>
      <c r="L94" s="898"/>
    </row>
    <row r="95" spans="1:12" ht="15.6">
      <c r="A95" s="889"/>
      <c r="B95" s="480"/>
      <c r="C95" s="887"/>
      <c r="D95" s="480"/>
      <c r="E95" s="480"/>
      <c r="F95" s="502"/>
      <c r="G95" s="481"/>
      <c r="H95" s="480"/>
      <c r="I95" s="502"/>
      <c r="J95" s="502"/>
      <c r="K95" s="482"/>
      <c r="L95" s="898"/>
    </row>
    <row r="96" spans="1:12" ht="15.6">
      <c r="A96" s="889"/>
      <c r="B96" s="480"/>
      <c r="C96" s="887"/>
      <c r="D96" s="480"/>
      <c r="E96" s="480"/>
      <c r="F96" s="502"/>
      <c r="G96" s="481"/>
      <c r="H96" s="480"/>
      <c r="I96" s="502"/>
      <c r="J96" s="502"/>
      <c r="K96" s="482"/>
      <c r="L96" s="898"/>
    </row>
    <row r="97" spans="1:12" ht="15.6">
      <c r="A97" s="889"/>
      <c r="B97" s="480"/>
      <c r="C97" s="887"/>
      <c r="D97" s="480"/>
      <c r="E97" s="480"/>
      <c r="F97" s="502"/>
      <c r="G97" s="481"/>
      <c r="H97" s="480"/>
      <c r="I97" s="502"/>
      <c r="J97" s="502"/>
      <c r="K97" s="482"/>
      <c r="L97" s="898"/>
    </row>
    <row r="98" spans="1:12" ht="15.6">
      <c r="A98" s="889"/>
      <c r="B98" s="480"/>
      <c r="C98" s="887"/>
      <c r="D98" s="480"/>
      <c r="E98" s="480"/>
      <c r="F98" s="502"/>
      <c r="G98" s="481"/>
      <c r="H98" s="480"/>
      <c r="I98" s="502"/>
      <c r="J98" s="502"/>
      <c r="K98" s="482"/>
      <c r="L98" s="898"/>
    </row>
    <row r="99" spans="1:12" ht="15.6">
      <c r="A99" s="889"/>
      <c r="B99" s="480"/>
      <c r="C99" s="887"/>
      <c r="D99" s="480"/>
      <c r="E99" s="480"/>
      <c r="F99" s="502"/>
      <c r="G99" s="481"/>
      <c r="H99" s="480"/>
      <c r="I99" s="502"/>
      <c r="J99" s="502"/>
      <c r="K99" s="482"/>
      <c r="L99" s="898"/>
    </row>
    <row r="100" spans="1:12" ht="15.6">
      <c r="A100" s="889"/>
      <c r="B100" s="480"/>
      <c r="C100" s="887"/>
      <c r="D100" s="480"/>
      <c r="E100" s="480"/>
      <c r="F100" s="502"/>
      <c r="G100" s="481"/>
      <c r="H100" s="480"/>
      <c r="I100" s="502"/>
      <c r="J100" s="502"/>
      <c r="K100" s="482"/>
      <c r="L100" s="898"/>
    </row>
    <row r="101" spans="1:12" ht="15.6">
      <c r="A101" s="889"/>
      <c r="B101" s="480"/>
      <c r="C101" s="887"/>
      <c r="D101" s="480"/>
      <c r="E101" s="480"/>
      <c r="F101" s="502"/>
      <c r="G101" s="481"/>
      <c r="H101" s="480"/>
      <c r="I101" s="502"/>
      <c r="J101" s="502"/>
      <c r="K101" s="482"/>
      <c r="L101" s="898"/>
    </row>
    <row r="102" spans="1:12" ht="15.6">
      <c r="A102" s="889"/>
      <c r="B102" s="480"/>
      <c r="C102" s="887"/>
      <c r="D102" s="480"/>
      <c r="E102" s="480"/>
      <c r="F102" s="502"/>
      <c r="G102" s="481"/>
      <c r="H102" s="480"/>
      <c r="I102" s="502"/>
      <c r="J102" s="502"/>
      <c r="K102" s="482"/>
      <c r="L102" s="898"/>
    </row>
    <row r="103" spans="1:12" ht="15.6">
      <c r="A103" s="889"/>
      <c r="B103" s="480"/>
      <c r="C103" s="887"/>
      <c r="D103" s="480"/>
      <c r="E103" s="480"/>
      <c r="F103" s="502"/>
      <c r="G103" s="481"/>
      <c r="H103" s="480"/>
      <c r="I103" s="502"/>
      <c r="J103" s="502"/>
      <c r="K103" s="482"/>
      <c r="L103" s="898"/>
    </row>
    <row r="104" spans="1:12" ht="15.6">
      <c r="A104" s="889"/>
      <c r="B104" s="480"/>
      <c r="C104" s="887"/>
      <c r="D104" s="480"/>
      <c r="E104" s="480"/>
      <c r="F104" s="502"/>
      <c r="G104" s="481"/>
      <c r="H104" s="480"/>
      <c r="I104" s="502"/>
      <c r="J104" s="502"/>
      <c r="K104" s="482"/>
      <c r="L104" s="898"/>
    </row>
    <row r="105" spans="1:12" ht="15.6">
      <c r="A105" s="889"/>
      <c r="B105" s="480"/>
      <c r="C105" s="887"/>
      <c r="D105" s="480"/>
      <c r="E105" s="480"/>
      <c r="F105" s="502"/>
      <c r="G105" s="481"/>
      <c r="H105" s="480"/>
      <c r="I105" s="502"/>
      <c r="J105" s="502"/>
      <c r="K105" s="482"/>
      <c r="L105" s="898"/>
    </row>
    <row r="108" spans="1:12" ht="21">
      <c r="A108"/>
      <c r="B108" s="422" t="s">
        <v>244</v>
      </c>
      <c r="C108"/>
      <c r="D108"/>
      <c r="F108"/>
      <c r="G108"/>
      <c r="H108"/>
      <c r="I108"/>
      <c r="J108"/>
      <c r="K108"/>
      <c r="L108"/>
    </row>
    <row r="109" spans="1:12" ht="18">
      <c r="B109" s="251" t="s">
        <v>304</v>
      </c>
      <c r="C109"/>
      <c r="D109"/>
      <c r="F109"/>
      <c r="G109"/>
      <c r="H109"/>
      <c r="I109" s="373"/>
      <c r="J109"/>
      <c r="K109"/>
      <c r="L109"/>
    </row>
    <row r="110" spans="1:12" ht="18">
      <c r="A110"/>
      <c r="B110" s="251" t="s">
        <v>361</v>
      </c>
      <c r="C110"/>
      <c r="D110"/>
      <c r="F110"/>
      <c r="G110"/>
      <c r="H110"/>
      <c r="I110"/>
      <c r="J110"/>
      <c r="K110"/>
      <c r="L110"/>
    </row>
    <row r="111" spans="1:12">
      <c r="A111"/>
      <c r="B111"/>
      <c r="C111"/>
      <c r="D111"/>
      <c r="F111"/>
      <c r="G111"/>
      <c r="H111"/>
      <c r="I111"/>
      <c r="J111"/>
      <c r="K111"/>
      <c r="L111"/>
    </row>
    <row r="112" spans="1:12">
      <c r="A112"/>
      <c r="B112"/>
      <c r="C112"/>
      <c r="D112"/>
      <c r="F112"/>
      <c r="G112"/>
      <c r="H112"/>
      <c r="I112"/>
      <c r="J112"/>
      <c r="K112"/>
      <c r="L112"/>
    </row>
  </sheetData>
  <autoFilter ref="A1:F16" xr:uid="{455A03CA-89FF-4485-B032-080DA22FFE43}">
    <filterColumn colId="4" showButton="0"/>
  </autoFilter>
  <mergeCells count="6">
    <mergeCell ref="A9:B9"/>
    <mergeCell ref="A1:B2"/>
    <mergeCell ref="D1:F1"/>
    <mergeCell ref="H1:J1"/>
    <mergeCell ref="H6:J6"/>
    <mergeCell ref="D8:F8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2093-079A-4593-909B-14AB8BF54352}">
  <dimension ref="A1:M99"/>
  <sheetViews>
    <sheetView showGridLines="0" topLeftCell="A58" zoomScale="85" zoomScaleNormal="85" workbookViewId="0">
      <selection activeCell="D90" sqref="D90"/>
    </sheetView>
  </sheetViews>
  <sheetFormatPr defaultColWidth="9.109375" defaultRowHeight="14.4"/>
  <cols>
    <col min="1" max="1" width="32.88671875" style="44" customWidth="1"/>
    <col min="2" max="2" width="14.44140625" style="44" customWidth="1"/>
    <col min="3" max="3" width="23" style="44" customWidth="1"/>
    <col min="4" max="4" width="27.5546875" style="44" bestFit="1" customWidth="1"/>
    <col min="5" max="5" width="51.44140625" style="358" bestFit="1" customWidth="1"/>
    <col min="6" max="6" width="27" style="44" customWidth="1"/>
    <col min="7" max="7" width="13.88671875" style="44" customWidth="1"/>
    <col min="8" max="8" width="26.44140625" style="44" customWidth="1"/>
    <col min="9" max="9" width="20.109375" style="44" customWidth="1"/>
    <col min="10" max="10" width="23.33203125" style="44" bestFit="1" customWidth="1"/>
    <col min="11" max="11" width="15.88671875" style="44" bestFit="1" customWidth="1"/>
    <col min="12" max="12" width="11" style="44" hidden="1" customWidth="1"/>
    <col min="13" max="13" width="0" style="44" hidden="1" customWidth="1"/>
    <col min="14" max="16384" width="9.109375" style="44"/>
  </cols>
  <sheetData>
    <row r="1" spans="1:12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12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12" ht="36.75" customHeight="1">
      <c r="A3" s="512" t="s">
        <v>307</v>
      </c>
      <c r="B3" s="513">
        <f>SUM(I19:I1128)</f>
        <v>52</v>
      </c>
      <c r="C3" s="405"/>
      <c r="D3" s="353" t="s">
        <v>199</v>
      </c>
      <c r="E3" s="420">
        <f>COUNTIF($F$19:$F$120,"JABODETABEK")</f>
        <v>13</v>
      </c>
      <c r="F3" s="318">
        <f>SUMIF($F$19:$F$120, "JABODETABEK", $G$19:$G$120)</f>
        <v>286942.89800000004</v>
      </c>
      <c r="G3" s="343"/>
      <c r="H3" s="196" t="s">
        <v>317</v>
      </c>
      <c r="I3" s="500">
        <f>COUNTIF($F$19:$F$92,"INTERISLAND")</f>
        <v>0</v>
      </c>
      <c r="J3" s="496">
        <v>0</v>
      </c>
      <c r="K3"/>
      <c r="L3"/>
    </row>
    <row r="4" spans="1:12" ht="29.25" customHeight="1">
      <c r="A4" s="432" t="s">
        <v>201</v>
      </c>
      <c r="B4" s="434">
        <f>SUM(J19:J1162)</f>
        <v>48</v>
      </c>
      <c r="C4"/>
      <c r="D4" s="353" t="s">
        <v>203</v>
      </c>
      <c r="E4" s="245">
        <f>COUNTIF($F$19:$F$120,"JAWA TENGAH")</f>
        <v>1</v>
      </c>
      <c r="F4" s="318">
        <f>SUMIF($F$19:$F$120, "JAWA TENGAH", $G$19:$G$120)</f>
        <v>983.36500000000001</v>
      </c>
      <c r="G4"/>
      <c r="K4"/>
      <c r="L4"/>
    </row>
    <row r="5" spans="1:12" ht="33.6">
      <c r="A5" s="351" t="s">
        <v>265</v>
      </c>
      <c r="B5" s="315">
        <f>COUNTIF($K$19:$K$1011,"MASUK")</f>
        <v>38</v>
      </c>
      <c r="C5" s="400"/>
      <c r="D5" s="439" t="s">
        <v>205</v>
      </c>
      <c r="E5" s="247">
        <f>COUNTIF($F$19:$F$120,"JAWA TIMUR")</f>
        <v>6</v>
      </c>
      <c r="F5" s="318">
        <f>SUMIF($F$19:$F$120, "JAWA TIMUR", $G$19:$G$120)</f>
        <v>258446.897</v>
      </c>
      <c r="G5"/>
      <c r="K5"/>
      <c r="L5"/>
    </row>
    <row r="6" spans="1:12" ht="33.6">
      <c r="A6" s="351" t="s">
        <v>207</v>
      </c>
      <c r="B6" s="315">
        <f>COUNTIF($K$19:$K$1011,"BELUM MASUK")</f>
        <v>14</v>
      </c>
      <c r="C6" s="396"/>
      <c r="D6" s="497" t="s">
        <v>312</v>
      </c>
      <c r="E6" s="498">
        <f>SUM(E3:E5)</f>
        <v>20</v>
      </c>
      <c r="F6" s="496">
        <f>SUM(F3:F5)</f>
        <v>546373.16</v>
      </c>
      <c r="G6"/>
      <c r="H6" s="1517" t="s">
        <v>434</v>
      </c>
      <c r="I6" s="1517"/>
      <c r="J6" s="1553"/>
      <c r="K6" s="398"/>
      <c r="L6"/>
    </row>
    <row r="7" spans="1:12" ht="27" customHeight="1">
      <c r="A7" s="545" t="s">
        <v>249</v>
      </c>
      <c r="B7" s="546">
        <f>(B3-B4)</f>
        <v>4</v>
      </c>
      <c r="C7" s="547" t="s">
        <v>128</v>
      </c>
      <c r="D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12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COUNTIF($F$19:$F$120,"AMBIL SENDIRI")</f>
        <v>4</v>
      </c>
      <c r="J8" s="496">
        <f>SUMIF(F14:F1034,"COKOT SORANGAN",G14:G1034)</f>
        <v>0</v>
      </c>
      <c r="K8" s="307"/>
      <c r="L8"/>
    </row>
    <row r="9" spans="1:12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</row>
    <row r="10" spans="1:12" ht="27" customHeight="1">
      <c r="A10" s="510" t="s">
        <v>197</v>
      </c>
      <c r="B10" s="378">
        <f ca="1">SUMIF($H$19:$H$1034, "TRAILER", $I$19:$I$1033)</f>
        <v>16</v>
      </c>
      <c r="C10" s="275"/>
      <c r="D10" s="424" t="s">
        <v>199</v>
      </c>
      <c r="E10" s="425" cm="1">
        <f t="array" ref="E10">SUMPRODUCT(--(RIGHT($F$19:$F$6946,20)="JABODETABEK NEXT DAY"))</f>
        <v>21</v>
      </c>
      <c r="F10" s="423">
        <f ca="1">SUMIF(F19:F4315, "JABODETABEK NEXT DAY", G19:G499)</f>
        <v>531826.21000000008</v>
      </c>
      <c r="G10"/>
      <c r="H10" s="281"/>
      <c r="I10" s="348"/>
      <c r="J10"/>
      <c r="K10" s="307"/>
      <c r="L10"/>
    </row>
    <row r="11" spans="1:12" ht="27" customHeight="1">
      <c r="A11" s="430" t="s">
        <v>200</v>
      </c>
      <c r="B11" s="380">
        <f ca="1">SUMIF($H$19:$H$1035,"TRONTON", $I$19:$I$1034)</f>
        <v>35</v>
      </c>
      <c r="C11"/>
      <c r="D11" s="439" t="s">
        <v>203</v>
      </c>
      <c r="E11" s="425" cm="1">
        <f t="array" ref="E11">SUMPRODUCT(--(RIGHT($F$19:$F$6946,20)="JAWA TENGAH NEXT DAY"))</f>
        <v>5</v>
      </c>
      <c r="F11" s="423">
        <f>SUMIF(F19:F509, "JAWA TENGAH NEXT DAY", G19:G509)</f>
        <v>196392.80900000001</v>
      </c>
      <c r="G11" s="253"/>
      <c r="H11" s="281"/>
      <c r="I11" s="442">
        <f>29+19+6</f>
        <v>54</v>
      </c>
      <c r="J11" s="443"/>
      <c r="K11" s="307"/>
      <c r="L11"/>
    </row>
    <row r="12" spans="1:12" ht="27" customHeight="1">
      <c r="A12" s="430" t="s">
        <v>365</v>
      </c>
      <c r="B12" s="380">
        <f ca="1">SUMIF($H$19:$H$1035, "CN 40 HC", $I$19:$I$1034)</f>
        <v>0</v>
      </c>
      <c r="C12"/>
      <c r="D12" s="440" t="s">
        <v>205</v>
      </c>
      <c r="E12" s="245" cm="1">
        <f t="array" ref="E12">SUMPRODUCT(--(RIGHT($F$19:$F$6946,20)="JAWA TIMUR NEXT DAY"))</f>
        <v>3</v>
      </c>
      <c r="F12" s="423">
        <f>SUMIF(F19:F519, "JAWA TIMUR NEXT DAY", G19:G519)</f>
        <v>77985.119999999995</v>
      </c>
      <c r="G12" s="253"/>
      <c r="H12"/>
      <c r="I12" s="281"/>
      <c r="J12" s="348"/>
      <c r="K12" s="307"/>
      <c r="L12"/>
    </row>
    <row r="13" spans="1:12" ht="27" customHeight="1">
      <c r="A13" s="430" t="s">
        <v>189</v>
      </c>
      <c r="B13" s="380">
        <f>COUNTIF($C$19:$C$1011,"BLM BOOKING")</f>
        <v>1</v>
      </c>
      <c r="C13"/>
      <c r="D13" s="201" t="s">
        <v>313</v>
      </c>
      <c r="E13" s="499">
        <f>SUM(E10:E12)</f>
        <v>29</v>
      </c>
      <c r="F13" s="496">
        <f ca="1">SUM(F10:F12)</f>
        <v>806204.13900000008</v>
      </c>
      <c r="G13" s="253"/>
      <c r="H13"/>
      <c r="I13" s="281"/>
      <c r="J13" s="348"/>
      <c r="K13" s="307"/>
      <c r="L13"/>
    </row>
    <row r="14" spans="1:12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</row>
    <row r="15" spans="1:12" ht="27" customHeight="1">
      <c r="A15" s="508" t="s">
        <v>330</v>
      </c>
      <c r="B15" s="509"/>
      <c r="C15"/>
      <c r="D15" s="435" t="s">
        <v>307</v>
      </c>
      <c r="E15" s="437">
        <f>E6+E13+I8+I3</f>
        <v>53</v>
      </c>
      <c r="F15" s="327"/>
      <c r="G15" s="253"/>
      <c r="H15"/>
      <c r="I15" s="281"/>
      <c r="J15" s="348"/>
      <c r="K15" s="307"/>
      <c r="L15"/>
    </row>
    <row r="16" spans="1:12" ht="27" customHeight="1">
      <c r="A16" s="508" t="s">
        <v>333</v>
      </c>
      <c r="B16" s="509"/>
      <c r="C16"/>
      <c r="D16" s="435" t="s">
        <v>331</v>
      </c>
      <c r="E16" s="436">
        <f ca="1">F6+J6+F13+J10+J14</f>
        <v>1352577.2990000001</v>
      </c>
      <c r="F16" s="327"/>
      <c r="G16" s="253"/>
      <c r="H16"/>
      <c r="I16" s="281"/>
      <c r="J16" s="348"/>
      <c r="K16" s="307"/>
      <c r="L16"/>
    </row>
    <row r="18" spans="1:13">
      <c r="A18" s="855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859" t="s">
        <v>216</v>
      </c>
      <c r="L18" s="896" t="s">
        <v>494</v>
      </c>
      <c r="M18" s="896" t="s">
        <v>536</v>
      </c>
    </row>
    <row r="19" spans="1:13" s="584" customFormat="1" ht="15.6">
      <c r="A19" s="526" t="s">
        <v>513</v>
      </c>
      <c r="B19" s="525">
        <v>3331555406</v>
      </c>
      <c r="C19" s="525" t="s">
        <v>206</v>
      </c>
      <c r="D19" s="571">
        <v>24140896</v>
      </c>
      <c r="E19" s="571" t="s">
        <v>173</v>
      </c>
      <c r="F19" s="571" t="s">
        <v>205</v>
      </c>
      <c r="G19" s="591">
        <v>47607.834999999999</v>
      </c>
      <c r="H19" s="571" t="s">
        <v>128</v>
      </c>
      <c r="I19" s="525">
        <v>1</v>
      </c>
      <c r="J19" s="525">
        <v>1</v>
      </c>
      <c r="K19" s="527" t="s">
        <v>204</v>
      </c>
      <c r="L19" s="584" t="e">
        <f>VLOOKUP(Table13465789101114[[#This Row],[Delivery]],#REF!,6,FALSE)</f>
        <v>#REF!</v>
      </c>
      <c r="M19" s="584" t="e">
        <f>VLOOKUP(Table13465789101114[[#This Row],[Delivery]],#REF!,7,FALSE)</f>
        <v>#REF!</v>
      </c>
    </row>
    <row r="20" spans="1:13" s="584" customFormat="1" ht="15.6">
      <c r="A20" s="526" t="s">
        <v>513</v>
      </c>
      <c r="B20" s="525">
        <v>3331555408</v>
      </c>
      <c r="C20" s="525" t="s">
        <v>206</v>
      </c>
      <c r="D20" s="571">
        <v>24140897</v>
      </c>
      <c r="E20" s="571" t="s">
        <v>173</v>
      </c>
      <c r="F20" s="571" t="s">
        <v>205</v>
      </c>
      <c r="G20" s="591">
        <f>36368.447+9744.367</f>
        <v>46112.813999999998</v>
      </c>
      <c r="H20" s="571" t="s">
        <v>128</v>
      </c>
      <c r="I20" s="525">
        <v>1</v>
      </c>
      <c r="J20" s="525">
        <v>1</v>
      </c>
      <c r="K20" s="527" t="s">
        <v>204</v>
      </c>
      <c r="L20" s="584" t="e">
        <f>VLOOKUP(Table13465789101114[[#This Row],[Delivery]],#REF!,6,FALSE)</f>
        <v>#REF!</v>
      </c>
      <c r="M20" s="584" t="e">
        <f>VLOOKUP(Table13465789101114[[#This Row],[Delivery]],#REF!,7,FALSE)</f>
        <v>#REF!</v>
      </c>
    </row>
    <row r="21" spans="1:13" s="584" customFormat="1" ht="15.6">
      <c r="A21" s="526" t="s">
        <v>513</v>
      </c>
      <c r="B21" s="525">
        <v>3331555413</v>
      </c>
      <c r="C21" s="525" t="s">
        <v>256</v>
      </c>
      <c r="D21" s="571" t="s">
        <v>256</v>
      </c>
      <c r="E21" s="571" t="s">
        <v>256</v>
      </c>
      <c r="F21" s="571" t="s">
        <v>256</v>
      </c>
      <c r="G21" s="591" t="s">
        <v>256</v>
      </c>
      <c r="H21" s="571" t="s">
        <v>256</v>
      </c>
      <c r="I21" s="525" t="s">
        <v>256</v>
      </c>
      <c r="J21" s="525" t="s">
        <v>256</v>
      </c>
      <c r="K21" s="527" t="s">
        <v>256</v>
      </c>
      <c r="L21" s="584" t="e">
        <f>VLOOKUP(Table13465789101114[[#This Row],[Delivery]],#REF!,6,FALSE)</f>
        <v>#REF!</v>
      </c>
      <c r="M21" s="584" t="e">
        <f>VLOOKUP(Table13465789101114[[#This Row],[Delivery]],#REF!,7,FALSE)</f>
        <v>#REF!</v>
      </c>
    </row>
    <row r="22" spans="1:13" s="595" customFormat="1" ht="15.6">
      <c r="A22" s="526" t="s">
        <v>513</v>
      </c>
      <c r="B22" s="525">
        <v>3331555682</v>
      </c>
      <c r="C22" s="525" t="s">
        <v>148</v>
      </c>
      <c r="D22" s="571">
        <v>24140914</v>
      </c>
      <c r="E22" s="571" t="s">
        <v>413</v>
      </c>
      <c r="F22" s="571" t="s">
        <v>205</v>
      </c>
      <c r="G22" s="591">
        <f>9699.424+33115.006+2394.28</f>
        <v>45208.71</v>
      </c>
      <c r="H22" s="571" t="s">
        <v>128</v>
      </c>
      <c r="I22" s="571">
        <v>1</v>
      </c>
      <c r="J22" s="571">
        <v>1</v>
      </c>
      <c r="K22" s="527" t="s">
        <v>204</v>
      </c>
      <c r="L22" s="595" t="e">
        <f>VLOOKUP(Table13465789101114[[#This Row],[Delivery]],#REF!,6,FALSE)</f>
        <v>#REF!</v>
      </c>
      <c r="M22" s="924" t="e">
        <f>VLOOKUP(Table13465789101114[[#This Row],[Delivery]],#REF!,7,FALSE)</f>
        <v>#REF!</v>
      </c>
    </row>
    <row r="23" spans="1:13" s="102" customFormat="1" ht="15.6">
      <c r="A23" s="880" t="s">
        <v>532</v>
      </c>
      <c r="B23" s="592">
        <v>3331555690</v>
      </c>
      <c r="C23" s="592" t="s">
        <v>256</v>
      </c>
      <c r="D23" s="518" t="s">
        <v>256</v>
      </c>
      <c r="E23" s="518" t="s">
        <v>256</v>
      </c>
      <c r="F23" s="518" t="s">
        <v>256</v>
      </c>
      <c r="G23" s="596" t="s">
        <v>256</v>
      </c>
      <c r="H23" s="518" t="s">
        <v>256</v>
      </c>
      <c r="I23" s="518" t="s">
        <v>256</v>
      </c>
      <c r="J23" s="518" t="s">
        <v>256</v>
      </c>
      <c r="K23" s="476" t="s">
        <v>256</v>
      </c>
      <c r="L23" s="597" t="e">
        <f>VLOOKUP(Table13465789101114[[#This Row],[Delivery]],#REF!,6,FALSE)</f>
        <v>#REF!</v>
      </c>
      <c r="M23" s="924" t="e">
        <f>VLOOKUP(Table13465789101114[[#This Row],[Delivery]],#REF!,7,FALSE)</f>
        <v>#REF!</v>
      </c>
    </row>
    <row r="24" spans="1:13" s="102" customFormat="1" ht="15.6">
      <c r="A24" s="880" t="s">
        <v>509</v>
      </c>
      <c r="B24" s="592">
        <v>3331555165</v>
      </c>
      <c r="C24" s="592" t="s">
        <v>256</v>
      </c>
      <c r="D24" s="518" t="s">
        <v>256</v>
      </c>
      <c r="E24" s="518" t="s">
        <v>256</v>
      </c>
      <c r="F24" s="518" t="s">
        <v>256</v>
      </c>
      <c r="G24" s="596" t="s">
        <v>256</v>
      </c>
      <c r="H24" s="518" t="s">
        <v>256</v>
      </c>
      <c r="I24" s="518" t="s">
        <v>256</v>
      </c>
      <c r="J24" s="518" t="s">
        <v>256</v>
      </c>
      <c r="K24" s="476" t="s">
        <v>256</v>
      </c>
      <c r="L24" s="925"/>
      <c r="M24" s="924" t="e">
        <f>VLOOKUP(Table13465789101114[[#This Row],[Delivery]],#REF!,7,FALSE)</f>
        <v>#REF!</v>
      </c>
    </row>
    <row r="25" spans="1:13" s="589" customFormat="1" ht="15.6">
      <c r="A25" s="602" t="s">
        <v>532</v>
      </c>
      <c r="B25" s="493">
        <v>3331555713</v>
      </c>
      <c r="C25" s="493" t="s">
        <v>148</v>
      </c>
      <c r="D25" s="603">
        <v>24140925</v>
      </c>
      <c r="E25" s="603" t="s">
        <v>173</v>
      </c>
      <c r="F25" s="603" t="s">
        <v>205</v>
      </c>
      <c r="G25" s="604">
        <v>42064.883999999998</v>
      </c>
      <c r="H25" s="603" t="s">
        <v>128</v>
      </c>
      <c r="I25" s="603">
        <v>1</v>
      </c>
      <c r="J25" s="603">
        <v>1</v>
      </c>
      <c r="K25" s="605" t="s">
        <v>204</v>
      </c>
      <c r="M25" s="589" t="e">
        <f>VLOOKUP(Table13465789101114[[#This Row],[Delivery]],#REF!,7,FALSE)</f>
        <v>#REF!</v>
      </c>
    </row>
    <row r="26" spans="1:13" s="589" customFormat="1" ht="15.6">
      <c r="A26" s="602" t="s">
        <v>532</v>
      </c>
      <c r="B26" s="493">
        <v>3331555714</v>
      </c>
      <c r="C26" s="493" t="s">
        <v>206</v>
      </c>
      <c r="D26" s="603">
        <v>24140929</v>
      </c>
      <c r="E26" s="603" t="s">
        <v>173</v>
      </c>
      <c r="F26" s="603" t="s">
        <v>205</v>
      </c>
      <c r="G26" s="604">
        <f>35354.864+1648.833+1999.425</f>
        <v>39003.122000000003</v>
      </c>
      <c r="H26" s="603" t="s">
        <v>128</v>
      </c>
      <c r="I26" s="603">
        <v>1</v>
      </c>
      <c r="J26" s="603">
        <v>1</v>
      </c>
      <c r="K26" s="605" t="s">
        <v>204</v>
      </c>
      <c r="M26" s="589" t="e">
        <f>VLOOKUP(Table13465789101114[[#This Row],[Delivery]],#REF!,7,FALSE)</f>
        <v>#REF!</v>
      </c>
    </row>
    <row r="27" spans="1:13" s="589" customFormat="1" ht="15.6">
      <c r="A27" s="602" t="s">
        <v>532</v>
      </c>
      <c r="B27" s="493">
        <v>3331555716</v>
      </c>
      <c r="C27" s="493" t="s">
        <v>256</v>
      </c>
      <c r="D27" s="603" t="s">
        <v>256</v>
      </c>
      <c r="E27" s="603" t="s">
        <v>256</v>
      </c>
      <c r="F27" s="603" t="s">
        <v>256</v>
      </c>
      <c r="G27" s="604" t="s">
        <v>256</v>
      </c>
      <c r="H27" s="603" t="s">
        <v>256</v>
      </c>
      <c r="I27" s="603" t="s">
        <v>256</v>
      </c>
      <c r="J27" s="603" t="s">
        <v>256</v>
      </c>
      <c r="K27" s="605" t="s">
        <v>256</v>
      </c>
      <c r="M27" s="589" t="e">
        <f>VLOOKUP(Table13465789101114[[#This Row],[Delivery]],#REF!,7,FALSE)</f>
        <v>#REF!</v>
      </c>
    </row>
    <row r="28" spans="1:13" s="589" customFormat="1" ht="15.6">
      <c r="A28" s="602" t="s">
        <v>532</v>
      </c>
      <c r="B28" s="493">
        <v>3331555730</v>
      </c>
      <c r="C28" s="493" t="s">
        <v>256</v>
      </c>
      <c r="D28" s="603" t="s">
        <v>256</v>
      </c>
      <c r="E28" s="603" t="s">
        <v>256</v>
      </c>
      <c r="F28" s="603" t="s">
        <v>256</v>
      </c>
      <c r="G28" s="604" t="s">
        <v>256</v>
      </c>
      <c r="H28" s="603" t="s">
        <v>256</v>
      </c>
      <c r="I28" s="603" t="s">
        <v>256</v>
      </c>
      <c r="J28" s="603" t="s">
        <v>256</v>
      </c>
      <c r="K28" s="605" t="s">
        <v>256</v>
      </c>
      <c r="L28" s="608"/>
      <c r="M28" s="608" t="e">
        <f>VLOOKUP(Table13465789101114[[#This Row],[Delivery]],#REF!,7,FALSE)</f>
        <v>#REF!</v>
      </c>
    </row>
    <row r="29" spans="1:13" s="522" customFormat="1" ht="15.6">
      <c r="A29" s="606" t="s">
        <v>532</v>
      </c>
      <c r="B29" s="524">
        <v>3331555738</v>
      </c>
      <c r="C29" s="524" t="s">
        <v>537</v>
      </c>
      <c r="D29" s="524">
        <v>24140931</v>
      </c>
      <c r="E29" s="528" t="s">
        <v>413</v>
      </c>
      <c r="F29" s="528" t="s">
        <v>205</v>
      </c>
      <c r="G29" s="585">
        <f>6579.996+31869.536</f>
        <v>38449.531999999999</v>
      </c>
      <c r="H29" s="528" t="s">
        <v>128</v>
      </c>
      <c r="I29" s="528">
        <v>1</v>
      </c>
      <c r="J29" s="528">
        <v>1</v>
      </c>
      <c r="K29" s="607" t="s">
        <v>204</v>
      </c>
      <c r="M29" s="522" t="e">
        <f>VLOOKUP(Table13465789101114[[#This Row],[Delivery]],#REF!,7,FALSE)</f>
        <v>#REF!</v>
      </c>
    </row>
    <row r="30" spans="1:13" s="522" customFormat="1" ht="15.6">
      <c r="A30" s="606" t="s">
        <v>532</v>
      </c>
      <c r="B30" s="524">
        <v>3331555743</v>
      </c>
      <c r="C30" s="524" t="s">
        <v>256</v>
      </c>
      <c r="D30" s="528" t="s">
        <v>256</v>
      </c>
      <c r="E30" s="528" t="s">
        <v>256</v>
      </c>
      <c r="F30" s="528" t="s">
        <v>256</v>
      </c>
      <c r="G30" s="585" t="s">
        <v>256</v>
      </c>
      <c r="H30" s="528" t="s">
        <v>256</v>
      </c>
      <c r="I30" s="528" t="s">
        <v>256</v>
      </c>
      <c r="J30" s="528" t="s">
        <v>256</v>
      </c>
      <c r="K30" s="607" t="s">
        <v>256</v>
      </c>
      <c r="M30" s="522" t="e">
        <f>VLOOKUP(Table13465789101114[[#This Row],[Delivery]],#REF!,7,FALSE)</f>
        <v>#REF!</v>
      </c>
    </row>
    <row r="31" spans="1:13" s="608" customFormat="1" ht="22.5" customHeight="1">
      <c r="A31" s="602" t="s">
        <v>532</v>
      </c>
      <c r="B31" s="452">
        <v>3331555834</v>
      </c>
      <c r="C31" s="452" t="s">
        <v>336</v>
      </c>
      <c r="D31" s="603">
        <v>24140947</v>
      </c>
      <c r="E31" s="603" t="s">
        <v>529</v>
      </c>
      <c r="F31" s="603" t="s">
        <v>434</v>
      </c>
      <c r="G31" s="604">
        <v>39178.921999999999</v>
      </c>
      <c r="H31" s="603" t="s">
        <v>128</v>
      </c>
      <c r="I31" s="603">
        <v>1</v>
      </c>
      <c r="J31" s="603">
        <v>1</v>
      </c>
      <c r="K31" s="605" t="s">
        <v>204</v>
      </c>
      <c r="M31" s="608" t="e">
        <f>VLOOKUP(Table13465789101114[[#This Row],[Delivery]],#REF!,7,FALSE)</f>
        <v>#REF!</v>
      </c>
    </row>
    <row r="32" spans="1:13" s="516" customFormat="1" ht="15.6">
      <c r="A32" s="769" t="s">
        <v>532</v>
      </c>
      <c r="B32" s="926">
        <v>3331555847</v>
      </c>
      <c r="C32" s="926" t="s">
        <v>336</v>
      </c>
      <c r="D32" s="490">
        <v>24140954</v>
      </c>
      <c r="E32" s="490" t="s">
        <v>529</v>
      </c>
      <c r="F32" s="490" t="s">
        <v>434</v>
      </c>
      <c r="G32" s="491">
        <f>16127.438+6284.985+15007.005</f>
        <v>37419.428</v>
      </c>
      <c r="H32" s="490" t="s">
        <v>128</v>
      </c>
      <c r="I32" s="490">
        <v>1</v>
      </c>
      <c r="J32" s="490">
        <v>1</v>
      </c>
      <c r="K32" s="529" t="s">
        <v>204</v>
      </c>
      <c r="L32" s="898"/>
      <c r="M32" s="898" t="e">
        <f>VLOOKUP(Table13465789101114[[#This Row],[Delivery]],#REF!,7,FALSE)</f>
        <v>#REF!</v>
      </c>
    </row>
    <row r="33" spans="1:13" s="516" customFormat="1" ht="15.6">
      <c r="A33" s="769" t="s">
        <v>532</v>
      </c>
      <c r="B33" s="926">
        <v>3331555851</v>
      </c>
      <c r="C33" s="926" t="s">
        <v>256</v>
      </c>
      <c r="D33" s="490" t="s">
        <v>256</v>
      </c>
      <c r="E33" s="490" t="s">
        <v>256</v>
      </c>
      <c r="F33" s="490" t="s">
        <v>256</v>
      </c>
      <c r="G33" s="491" t="s">
        <v>256</v>
      </c>
      <c r="H33" s="490">
        <v>9</v>
      </c>
      <c r="I33" s="490" t="s">
        <v>256</v>
      </c>
      <c r="J33" s="490" t="s">
        <v>256</v>
      </c>
      <c r="K33" s="529" t="s">
        <v>256</v>
      </c>
      <c r="L33" s="898"/>
      <c r="M33" s="898" t="e">
        <f>VLOOKUP(Table13465789101114[[#This Row],[Delivery]],#REF!,7,FALSE)</f>
        <v>#REF!</v>
      </c>
    </row>
    <row r="34" spans="1:13" s="516" customFormat="1" ht="15.6">
      <c r="A34" s="769" t="s">
        <v>532</v>
      </c>
      <c r="B34" s="926">
        <v>3331555863</v>
      </c>
      <c r="C34" s="926" t="s">
        <v>256</v>
      </c>
      <c r="D34" s="490" t="s">
        <v>256</v>
      </c>
      <c r="E34" s="490" t="s">
        <v>256</v>
      </c>
      <c r="F34" s="490" t="s">
        <v>256</v>
      </c>
      <c r="G34" s="491" t="s">
        <v>256</v>
      </c>
      <c r="H34" s="490" t="s">
        <v>256</v>
      </c>
      <c r="I34" s="490" t="s">
        <v>256</v>
      </c>
      <c r="J34" s="490" t="s">
        <v>256</v>
      </c>
      <c r="K34" s="529" t="s">
        <v>256</v>
      </c>
      <c r="L34" s="898"/>
      <c r="M34" s="898" t="e">
        <f>VLOOKUP(Table13465789101114[[#This Row],[Delivery]],#REF!,7,FALSE)</f>
        <v>#REF!</v>
      </c>
    </row>
    <row r="35" spans="1:13" s="540" customFormat="1" ht="15.6">
      <c r="A35" s="606" t="s">
        <v>532</v>
      </c>
      <c r="B35" s="524">
        <v>3331554999</v>
      </c>
      <c r="C35" s="524" t="s">
        <v>538</v>
      </c>
      <c r="D35" s="528">
        <v>24140952</v>
      </c>
      <c r="E35" s="528" t="s">
        <v>446</v>
      </c>
      <c r="F35" s="528" t="s">
        <v>338</v>
      </c>
      <c r="G35" s="585">
        <v>36470.014999999999</v>
      </c>
      <c r="H35" s="528" t="s">
        <v>128</v>
      </c>
      <c r="I35" s="528">
        <v>1</v>
      </c>
      <c r="J35" s="528">
        <v>1</v>
      </c>
      <c r="K35" s="607" t="s">
        <v>204</v>
      </c>
      <c r="L35" s="522"/>
      <c r="M35" s="522" t="e">
        <f>VLOOKUP(Table13465789101114[[#This Row],[Delivery]],#REF!,7,FALSE)</f>
        <v>#REF!</v>
      </c>
    </row>
    <row r="36" spans="1:13" s="540" customFormat="1" ht="15.6">
      <c r="A36" s="880" t="s">
        <v>514</v>
      </c>
      <c r="B36" s="452">
        <v>3331556253</v>
      </c>
      <c r="C36" s="592" t="s">
        <v>27</v>
      </c>
      <c r="D36" s="490">
        <v>24140999</v>
      </c>
      <c r="E36" s="528" t="s">
        <v>446</v>
      </c>
      <c r="F36" s="528" t="s">
        <v>338</v>
      </c>
      <c r="G36" s="456">
        <v>41515.105000000003</v>
      </c>
      <c r="H36" s="528" t="s">
        <v>128</v>
      </c>
      <c r="I36" s="528">
        <v>1</v>
      </c>
      <c r="J36" s="528">
        <v>0</v>
      </c>
      <c r="K36" s="607" t="s">
        <v>204</v>
      </c>
      <c r="L36" s="899"/>
      <c r="M36" s="899" t="e">
        <f>VLOOKUP(Table13465789101114[[#This Row],[Delivery]],#REF!,7,FALSE)</f>
        <v>#REF!</v>
      </c>
    </row>
    <row r="37" spans="1:13" s="522" customFormat="1" ht="15.6">
      <c r="A37" s="606" t="s">
        <v>532</v>
      </c>
      <c r="B37" s="524">
        <v>3331555878</v>
      </c>
      <c r="C37" s="524" t="s">
        <v>441</v>
      </c>
      <c r="D37" s="528">
        <v>24140958</v>
      </c>
      <c r="E37" s="528" t="s">
        <v>497</v>
      </c>
      <c r="F37" s="528" t="s">
        <v>344</v>
      </c>
      <c r="G37" s="585">
        <f>11458.34+31528.04</f>
        <v>42986.380000000005</v>
      </c>
      <c r="H37" s="528" t="s">
        <v>128</v>
      </c>
      <c r="I37" s="528">
        <v>1</v>
      </c>
      <c r="J37" s="528">
        <v>1</v>
      </c>
      <c r="K37" s="607" t="s">
        <v>204</v>
      </c>
      <c r="M37" s="522" t="e">
        <f>VLOOKUP(Table13465789101114[[#This Row],[Delivery]],#REF!,7,FALSE)</f>
        <v>#REF!</v>
      </c>
    </row>
    <row r="38" spans="1:13" s="522" customFormat="1" ht="15.6">
      <c r="A38" s="606" t="s">
        <v>532</v>
      </c>
      <c r="B38" s="524">
        <v>3331555879</v>
      </c>
      <c r="C38" s="524" t="s">
        <v>256</v>
      </c>
      <c r="D38" s="528" t="s">
        <v>256</v>
      </c>
      <c r="E38" s="528" t="s">
        <v>256</v>
      </c>
      <c r="F38" s="528" t="s">
        <v>256</v>
      </c>
      <c r="G38" s="585" t="s">
        <v>256</v>
      </c>
      <c r="H38" s="528" t="s">
        <v>256</v>
      </c>
      <c r="I38" s="528" t="s">
        <v>256</v>
      </c>
      <c r="J38" s="528" t="s">
        <v>256</v>
      </c>
      <c r="K38" s="607" t="s">
        <v>256</v>
      </c>
      <c r="M38" s="522" t="e">
        <f>VLOOKUP(Table13465789101114[[#This Row],[Delivery]],#REF!,7,FALSE)</f>
        <v>#REF!</v>
      </c>
    </row>
    <row r="39" spans="1:13" s="589" customFormat="1" ht="15.6">
      <c r="A39" s="602" t="s">
        <v>532</v>
      </c>
      <c r="B39" s="493">
        <v>3331555896</v>
      </c>
      <c r="C39" s="524" t="s">
        <v>441</v>
      </c>
      <c r="D39" s="603">
        <v>24140961</v>
      </c>
      <c r="E39" s="603" t="s">
        <v>486</v>
      </c>
      <c r="F39" s="603" t="s">
        <v>344</v>
      </c>
      <c r="G39" s="604">
        <f>26300.864+16513.49</f>
        <v>42814.354000000007</v>
      </c>
      <c r="H39" s="603" t="s">
        <v>128</v>
      </c>
      <c r="I39" s="603">
        <v>1</v>
      </c>
      <c r="J39" s="603">
        <v>0</v>
      </c>
      <c r="K39" s="605" t="s">
        <v>207</v>
      </c>
      <c r="M39" s="589" t="e">
        <f>VLOOKUP(Table13465789101114[[#This Row],[Delivery]],#REF!,7,FALSE)</f>
        <v>#REF!</v>
      </c>
    </row>
    <row r="40" spans="1:13" s="589" customFormat="1" ht="15.6">
      <c r="A40" s="602" t="s">
        <v>532</v>
      </c>
      <c r="B40" s="493">
        <v>3331555903</v>
      </c>
      <c r="C40" s="493" t="s">
        <v>256</v>
      </c>
      <c r="D40" s="603" t="s">
        <v>256</v>
      </c>
      <c r="E40" s="603" t="s">
        <v>256</v>
      </c>
      <c r="F40" s="603" t="s">
        <v>256</v>
      </c>
      <c r="G40" s="604" t="s">
        <v>256</v>
      </c>
      <c r="H40" s="603" t="s">
        <v>256</v>
      </c>
      <c r="I40" s="603" t="s">
        <v>256</v>
      </c>
      <c r="J40" s="603" t="s">
        <v>256</v>
      </c>
      <c r="K40" s="605" t="s">
        <v>256</v>
      </c>
      <c r="M40" s="589" t="e">
        <f>VLOOKUP(Table13465789101114[[#This Row],[Delivery]],#REF!,7,FALSE)</f>
        <v>#REF!</v>
      </c>
    </row>
    <row r="41" spans="1:13" s="589" customFormat="1" ht="15.6">
      <c r="A41" s="602" t="s">
        <v>355</v>
      </c>
      <c r="B41" s="493">
        <v>3331555889</v>
      </c>
      <c r="C41" s="524" t="s">
        <v>441</v>
      </c>
      <c r="D41" s="603">
        <v>24140960</v>
      </c>
      <c r="E41" s="603" t="s">
        <v>486</v>
      </c>
      <c r="F41" s="603" t="s">
        <v>344</v>
      </c>
      <c r="G41" s="604">
        <f>13716.81+29817.337</f>
        <v>43534.146999999997</v>
      </c>
      <c r="H41" s="603" t="s">
        <v>128</v>
      </c>
      <c r="I41" s="603">
        <v>1</v>
      </c>
      <c r="J41" s="603">
        <v>0</v>
      </c>
      <c r="K41" s="605" t="s">
        <v>204</v>
      </c>
      <c r="M41" s="589" t="e">
        <f>VLOOKUP(Table13465789101114[[#This Row],[Delivery]],#REF!,7,FALSE)</f>
        <v>#REF!</v>
      </c>
    </row>
    <row r="42" spans="1:13" s="589" customFormat="1" ht="15.6">
      <c r="A42" s="602" t="s">
        <v>532</v>
      </c>
      <c r="B42" s="493">
        <v>3331555894</v>
      </c>
      <c r="C42" s="493" t="s">
        <v>256</v>
      </c>
      <c r="D42" s="603" t="s">
        <v>256</v>
      </c>
      <c r="E42" s="603" t="s">
        <v>256</v>
      </c>
      <c r="F42" s="603" t="s">
        <v>256</v>
      </c>
      <c r="G42" s="604" t="s">
        <v>256</v>
      </c>
      <c r="H42" s="603" t="s">
        <v>256</v>
      </c>
      <c r="I42" s="603" t="s">
        <v>256</v>
      </c>
      <c r="J42" s="603" t="s">
        <v>256</v>
      </c>
      <c r="K42" s="605" t="s">
        <v>256</v>
      </c>
      <c r="M42" s="589" t="e">
        <f>VLOOKUP(Table13465789101114[[#This Row],[Delivery]],#REF!,7,FALSE)</f>
        <v>#REF!</v>
      </c>
    </row>
    <row r="43" spans="1:13" s="589" customFormat="1" ht="15.6">
      <c r="A43" s="602" t="s">
        <v>514</v>
      </c>
      <c r="B43" s="493">
        <v>3331556233</v>
      </c>
      <c r="C43" s="493" t="s">
        <v>539</v>
      </c>
      <c r="D43" s="603">
        <v>24140998</v>
      </c>
      <c r="E43" s="603" t="s">
        <v>486</v>
      </c>
      <c r="F43" s="603" t="s">
        <v>344</v>
      </c>
      <c r="G43" s="886">
        <f>8577.407+31619.837</f>
        <v>40197.243999999999</v>
      </c>
      <c r="H43" s="493" t="s">
        <v>128</v>
      </c>
      <c r="I43" s="603">
        <v>1</v>
      </c>
      <c r="J43" s="603">
        <v>0</v>
      </c>
      <c r="K43" s="605" t="s">
        <v>207</v>
      </c>
      <c r="M43" s="589" t="e">
        <f>VLOOKUP(Table13465789101114[[#This Row],[Delivery]],#REF!,7,FALSE)</f>
        <v>#REF!</v>
      </c>
    </row>
    <row r="44" spans="1:13" s="589" customFormat="1" ht="15.6">
      <c r="A44" s="602" t="s">
        <v>514</v>
      </c>
      <c r="B44" s="493">
        <v>3331556235</v>
      </c>
      <c r="C44" s="493" t="s">
        <v>256</v>
      </c>
      <c r="D44" s="603" t="s">
        <v>256</v>
      </c>
      <c r="E44" s="603" t="s">
        <v>256</v>
      </c>
      <c r="F44" s="603" t="s">
        <v>256</v>
      </c>
      <c r="G44" s="886" t="s">
        <v>256</v>
      </c>
      <c r="H44" s="493" t="s">
        <v>256</v>
      </c>
      <c r="I44" s="603" t="s">
        <v>256</v>
      </c>
      <c r="J44" s="603" t="s">
        <v>256</v>
      </c>
      <c r="K44" s="605" t="s">
        <v>256</v>
      </c>
      <c r="M44" s="589" t="e">
        <f>VLOOKUP(Table13465789101114[[#This Row],[Delivery]],#REF!,7,FALSE)</f>
        <v>#REF!</v>
      </c>
    </row>
    <row r="45" spans="1:13" s="522" customFormat="1" ht="15.6">
      <c r="A45" s="526" t="s">
        <v>540</v>
      </c>
      <c r="B45" s="524">
        <v>3331556234</v>
      </c>
      <c r="C45" s="524" t="s">
        <v>27</v>
      </c>
      <c r="D45" s="528">
        <v>24141000</v>
      </c>
      <c r="E45" s="524" t="s">
        <v>226</v>
      </c>
      <c r="F45" s="528" t="s">
        <v>344</v>
      </c>
      <c r="G45" s="900">
        <f>3527.036+3292.638+7397.118+12643.892</f>
        <v>26860.684000000001</v>
      </c>
      <c r="H45" s="524" t="s">
        <v>200</v>
      </c>
      <c r="I45" s="528">
        <v>1</v>
      </c>
      <c r="J45" s="528">
        <v>1</v>
      </c>
      <c r="K45" s="527" t="s">
        <v>204</v>
      </c>
      <c r="M45" s="522" t="e">
        <f>VLOOKUP(Table13465789101114[[#This Row],[Delivery]],#REF!,7,FALSE)</f>
        <v>#REF!</v>
      </c>
    </row>
    <row r="46" spans="1:13" s="589" customFormat="1" ht="15.6">
      <c r="A46" s="880" t="s">
        <v>540</v>
      </c>
      <c r="B46" s="452">
        <v>3331556236</v>
      </c>
      <c r="C46" s="592" t="s">
        <v>256</v>
      </c>
      <c r="D46" s="490" t="s">
        <v>256</v>
      </c>
      <c r="E46" s="452" t="s">
        <v>256</v>
      </c>
      <c r="F46" s="490" t="s">
        <v>256</v>
      </c>
      <c r="G46" s="456" t="s">
        <v>256</v>
      </c>
      <c r="H46" s="452" t="s">
        <v>256</v>
      </c>
      <c r="I46" s="490" t="s">
        <v>256</v>
      </c>
      <c r="J46" s="490" t="s">
        <v>256</v>
      </c>
      <c r="K46" s="476" t="s">
        <v>256</v>
      </c>
      <c r="L46" s="898"/>
      <c r="M46" s="898" t="e">
        <f>VLOOKUP(Table13465789101114[[#This Row],[Delivery]],#REF!,7,FALSE)</f>
        <v>#REF!</v>
      </c>
    </row>
    <row r="47" spans="1:13" s="589" customFormat="1" ht="15.6">
      <c r="A47" s="880" t="s">
        <v>540</v>
      </c>
      <c r="B47" s="452">
        <v>3331556239</v>
      </c>
      <c r="C47" s="592" t="s">
        <v>256</v>
      </c>
      <c r="D47" s="490" t="s">
        <v>256</v>
      </c>
      <c r="E47" s="452" t="s">
        <v>256</v>
      </c>
      <c r="F47" s="490" t="s">
        <v>256</v>
      </c>
      <c r="G47" s="456" t="s">
        <v>256</v>
      </c>
      <c r="H47" s="452" t="s">
        <v>256</v>
      </c>
      <c r="I47" s="490" t="s">
        <v>256</v>
      </c>
      <c r="J47" s="490" t="s">
        <v>256</v>
      </c>
      <c r="K47" s="476" t="s">
        <v>256</v>
      </c>
      <c r="L47" s="898"/>
      <c r="M47" s="898" t="e">
        <f>VLOOKUP(Table13465789101114[[#This Row],[Delivery]],#REF!,7,FALSE)</f>
        <v>#REF!</v>
      </c>
    </row>
    <row r="48" spans="1:13" s="589" customFormat="1" ht="15.6">
      <c r="A48" s="880" t="s">
        <v>540</v>
      </c>
      <c r="B48" s="452">
        <v>3331556259</v>
      </c>
      <c r="C48" s="592" t="s">
        <v>256</v>
      </c>
      <c r="D48" s="490" t="s">
        <v>256</v>
      </c>
      <c r="E48" s="452" t="s">
        <v>256</v>
      </c>
      <c r="F48" s="490" t="s">
        <v>256</v>
      </c>
      <c r="G48" s="456" t="s">
        <v>256</v>
      </c>
      <c r="H48" s="452" t="s">
        <v>256</v>
      </c>
      <c r="I48" s="490" t="s">
        <v>256</v>
      </c>
      <c r="J48" s="490" t="s">
        <v>256</v>
      </c>
      <c r="K48" s="476" t="s">
        <v>256</v>
      </c>
      <c r="L48" s="898"/>
      <c r="M48" s="898" t="e">
        <f>VLOOKUP(Table13465789101114[[#This Row],[Delivery]],#REF!,7,FALSE)</f>
        <v>#REF!</v>
      </c>
    </row>
    <row r="49" spans="1:13" ht="15.6">
      <c r="A49" s="769" t="s">
        <v>514</v>
      </c>
      <c r="B49" s="452">
        <v>3331556126</v>
      </c>
      <c r="C49" s="452" t="s">
        <v>117</v>
      </c>
      <c r="D49" s="490">
        <v>24140967</v>
      </c>
      <c r="E49" s="490" t="s">
        <v>150</v>
      </c>
      <c r="F49" s="490" t="s">
        <v>340</v>
      </c>
      <c r="G49" s="491">
        <v>25287.784</v>
      </c>
      <c r="H49" s="490" t="s">
        <v>200</v>
      </c>
      <c r="I49" s="490">
        <v>1</v>
      </c>
      <c r="J49" s="490">
        <v>1</v>
      </c>
      <c r="K49" s="529" t="s">
        <v>204</v>
      </c>
      <c r="L49" s="898"/>
      <c r="M49" s="898" t="e">
        <f>VLOOKUP(Table13465789101114[[#This Row],[Delivery]],#REF!,7,FALSE)</f>
        <v>#REF!</v>
      </c>
    </row>
    <row r="50" spans="1:13" ht="15.6">
      <c r="A50" s="769" t="s">
        <v>514</v>
      </c>
      <c r="B50" s="452">
        <v>3331556127</v>
      </c>
      <c r="C50" s="452" t="s">
        <v>58</v>
      </c>
      <c r="D50" s="490">
        <v>24140968</v>
      </c>
      <c r="E50" s="490" t="s">
        <v>150</v>
      </c>
      <c r="F50" s="490" t="s">
        <v>340</v>
      </c>
      <c r="G50" s="491">
        <v>25460.988000000001</v>
      </c>
      <c r="H50" s="490" t="s">
        <v>200</v>
      </c>
      <c r="I50" s="490">
        <v>1</v>
      </c>
      <c r="J50" s="490">
        <v>1</v>
      </c>
      <c r="K50" s="529" t="s">
        <v>204</v>
      </c>
      <c r="L50" s="898"/>
      <c r="M50" s="898" t="e">
        <f>VLOOKUP(Table13465789101114[[#This Row],[Delivery]],#REF!,7,FALSE)</f>
        <v>#REF!</v>
      </c>
    </row>
    <row r="51" spans="1:13" ht="15.6">
      <c r="A51" s="769" t="s">
        <v>514</v>
      </c>
      <c r="B51" s="452">
        <v>3331556130</v>
      </c>
      <c r="C51" s="493" t="s">
        <v>541</v>
      </c>
      <c r="D51" s="490">
        <v>24140969</v>
      </c>
      <c r="E51" s="490" t="s">
        <v>150</v>
      </c>
      <c r="F51" s="490" t="s">
        <v>340</v>
      </c>
      <c r="G51" s="491">
        <v>24854.774000000001</v>
      </c>
      <c r="H51" s="490" t="s">
        <v>200</v>
      </c>
      <c r="I51" s="490">
        <v>1</v>
      </c>
      <c r="J51" s="490">
        <v>1</v>
      </c>
      <c r="K51" s="529" t="s">
        <v>207</v>
      </c>
      <c r="L51" s="899"/>
      <c r="M51" s="899" t="e">
        <f>VLOOKUP(Table13465789101114[[#This Row],[Delivery]],#REF!,7,FALSE)</f>
        <v>#REF!</v>
      </c>
    </row>
    <row r="52" spans="1:13" ht="15.6">
      <c r="A52" s="769" t="s">
        <v>514</v>
      </c>
      <c r="B52" s="452">
        <v>3331556132</v>
      </c>
      <c r="C52" s="493" t="s">
        <v>541</v>
      </c>
      <c r="D52" s="490">
        <v>24140970</v>
      </c>
      <c r="E52" s="490" t="s">
        <v>150</v>
      </c>
      <c r="F52" s="490" t="s">
        <v>340</v>
      </c>
      <c r="G52" s="491">
        <v>24854.774000000001</v>
      </c>
      <c r="H52" s="490" t="s">
        <v>200</v>
      </c>
      <c r="I52" s="490">
        <v>1</v>
      </c>
      <c r="J52" s="490">
        <v>1</v>
      </c>
      <c r="K52" s="529" t="s">
        <v>207</v>
      </c>
      <c r="L52" s="899"/>
      <c r="M52" s="899" t="e">
        <f>VLOOKUP(Table13465789101114[[#This Row],[Delivery]],#REF!,7,FALSE)</f>
        <v>#REF!</v>
      </c>
    </row>
    <row r="53" spans="1:13" ht="15.6">
      <c r="A53" s="769" t="s">
        <v>514</v>
      </c>
      <c r="B53" s="452">
        <v>3331556133</v>
      </c>
      <c r="C53" s="493" t="s">
        <v>34</v>
      </c>
      <c r="D53" s="490">
        <v>24140971</v>
      </c>
      <c r="E53" s="490" t="s">
        <v>150</v>
      </c>
      <c r="F53" s="490" t="s">
        <v>340</v>
      </c>
      <c r="G53" s="491">
        <v>24854.774000000001</v>
      </c>
      <c r="H53" s="490" t="s">
        <v>200</v>
      </c>
      <c r="I53" s="490">
        <v>1</v>
      </c>
      <c r="J53" s="490">
        <v>1</v>
      </c>
      <c r="K53" s="529" t="s">
        <v>204</v>
      </c>
      <c r="L53" s="898"/>
      <c r="M53" s="898" t="e">
        <f>VLOOKUP(Table13465789101114[[#This Row],[Delivery]],#REF!,7,FALSE)</f>
        <v>#REF!</v>
      </c>
    </row>
    <row r="54" spans="1:13" ht="15.6">
      <c r="A54" s="769" t="s">
        <v>514</v>
      </c>
      <c r="B54" s="452">
        <v>3331556131</v>
      </c>
      <c r="C54" s="452" t="s">
        <v>34</v>
      </c>
      <c r="D54" s="490">
        <v>24140972</v>
      </c>
      <c r="E54" s="490" t="s">
        <v>219</v>
      </c>
      <c r="F54" s="490" t="s">
        <v>199</v>
      </c>
      <c r="G54" s="491">
        <v>25353.715</v>
      </c>
      <c r="H54" s="490" t="s">
        <v>200</v>
      </c>
      <c r="I54" s="490">
        <v>1</v>
      </c>
      <c r="J54" s="490">
        <v>1</v>
      </c>
      <c r="K54" s="529" t="s">
        <v>204</v>
      </c>
      <c r="L54" s="898"/>
      <c r="M54" s="898" t="e">
        <f>VLOOKUP(Table13465789101114[[#This Row],[Delivery]],#REF!,7,FALSE)</f>
        <v>#REF!</v>
      </c>
    </row>
    <row r="55" spans="1:13" s="108" customFormat="1" ht="15.6">
      <c r="A55" s="769" t="s">
        <v>514</v>
      </c>
      <c r="B55" s="452">
        <v>3331556134</v>
      </c>
      <c r="C55" s="452" t="s">
        <v>287</v>
      </c>
      <c r="D55" s="490">
        <v>24140973</v>
      </c>
      <c r="E55" s="490" t="s">
        <v>219</v>
      </c>
      <c r="F55" s="490" t="s">
        <v>199</v>
      </c>
      <c r="G55" s="491">
        <v>25738.51</v>
      </c>
      <c r="H55" s="490" t="s">
        <v>200</v>
      </c>
      <c r="I55" s="490">
        <v>1</v>
      </c>
      <c r="J55" s="490">
        <v>1</v>
      </c>
      <c r="K55" s="529" t="s">
        <v>204</v>
      </c>
      <c r="L55" s="899"/>
      <c r="M55" s="899" t="e">
        <f>VLOOKUP(Table13465789101114[[#This Row],[Delivery]],#REF!,7,FALSE)</f>
        <v>#REF!</v>
      </c>
    </row>
    <row r="56" spans="1:13" ht="15.6">
      <c r="A56" s="769" t="s">
        <v>514</v>
      </c>
      <c r="B56" s="452">
        <v>3331556136</v>
      </c>
      <c r="C56" s="493" t="s">
        <v>287</v>
      </c>
      <c r="D56" s="490">
        <v>24140974</v>
      </c>
      <c r="E56" s="490" t="s">
        <v>150</v>
      </c>
      <c r="F56" s="490" t="s">
        <v>340</v>
      </c>
      <c r="G56" s="491">
        <v>25807.396000000001</v>
      </c>
      <c r="H56" s="490" t="s">
        <v>200</v>
      </c>
      <c r="I56" s="490">
        <v>1</v>
      </c>
      <c r="J56" s="490">
        <v>1</v>
      </c>
      <c r="K56" s="529" t="s">
        <v>204</v>
      </c>
      <c r="L56" s="898"/>
      <c r="M56" s="898" t="e">
        <f>VLOOKUP(Table13465789101114[[#This Row],[Delivery]],#REF!,7,FALSE)</f>
        <v>#REF!</v>
      </c>
    </row>
    <row r="57" spans="1:13" s="108" customFormat="1" ht="15.6">
      <c r="A57" s="769" t="s">
        <v>514</v>
      </c>
      <c r="B57" s="452">
        <v>3331556137</v>
      </c>
      <c r="C57" s="493" t="s">
        <v>287</v>
      </c>
      <c r="D57" s="490">
        <v>24140975</v>
      </c>
      <c r="E57" s="490" t="s">
        <v>219</v>
      </c>
      <c r="F57" s="490" t="s">
        <v>340</v>
      </c>
      <c r="G57" s="491">
        <v>25909.53</v>
      </c>
      <c r="H57" s="490" t="s">
        <v>200</v>
      </c>
      <c r="I57" s="490">
        <v>1</v>
      </c>
      <c r="J57" s="490">
        <v>1</v>
      </c>
      <c r="K57" s="529" t="s">
        <v>207</v>
      </c>
      <c r="L57" s="898"/>
      <c r="M57" s="898" t="e">
        <f>VLOOKUP(Table13465789101114[[#This Row],[Delivery]],#REF!,7,FALSE)</f>
        <v>#REF!</v>
      </c>
    </row>
    <row r="58" spans="1:13" ht="15.6">
      <c r="A58" s="769" t="s">
        <v>514</v>
      </c>
      <c r="B58" s="452">
        <v>3331556138</v>
      </c>
      <c r="C58" s="493" t="s">
        <v>112</v>
      </c>
      <c r="D58" s="490">
        <v>24140976</v>
      </c>
      <c r="E58" s="490" t="s">
        <v>219</v>
      </c>
      <c r="F58" s="490" t="s">
        <v>340</v>
      </c>
      <c r="G58" s="491">
        <v>26123.305</v>
      </c>
      <c r="H58" s="490" t="s">
        <v>200</v>
      </c>
      <c r="I58" s="490">
        <v>1</v>
      </c>
      <c r="J58" s="490">
        <v>1</v>
      </c>
      <c r="K58" s="529" t="s">
        <v>204</v>
      </c>
      <c r="L58" s="898"/>
      <c r="M58" s="898" t="e">
        <f>VLOOKUP(Table13465789101114[[#This Row],[Delivery]],#REF!,7,FALSE)</f>
        <v>#REF!</v>
      </c>
    </row>
    <row r="59" spans="1:13" ht="15.6">
      <c r="A59" s="769" t="s">
        <v>514</v>
      </c>
      <c r="B59" s="452">
        <v>3331556139</v>
      </c>
      <c r="C59" s="452" t="s">
        <v>34</v>
      </c>
      <c r="D59" s="490">
        <v>24140977</v>
      </c>
      <c r="E59" s="490" t="s">
        <v>466</v>
      </c>
      <c r="F59" s="490" t="s">
        <v>199</v>
      </c>
      <c r="G59" s="491">
        <v>24841.913</v>
      </c>
      <c r="H59" s="490" t="s">
        <v>200</v>
      </c>
      <c r="I59" s="490">
        <v>1</v>
      </c>
      <c r="J59" s="490">
        <v>1</v>
      </c>
      <c r="K59" s="529" t="s">
        <v>204</v>
      </c>
      <c r="L59" s="898"/>
      <c r="M59" s="898" t="e">
        <f>VLOOKUP(Table13465789101114[[#This Row],[Delivery]],#REF!,7,FALSE)</f>
        <v>#REF!</v>
      </c>
    </row>
    <row r="60" spans="1:13" ht="15.6">
      <c r="A60" s="769" t="s">
        <v>514</v>
      </c>
      <c r="B60" s="452">
        <v>3331556140</v>
      </c>
      <c r="C60" s="452" t="s">
        <v>287</v>
      </c>
      <c r="D60" s="490">
        <v>24140978</v>
      </c>
      <c r="E60" s="452" t="s">
        <v>466</v>
      </c>
      <c r="F60" s="490" t="s">
        <v>199</v>
      </c>
      <c r="G60" s="456">
        <v>25105.988000000001</v>
      </c>
      <c r="H60" s="490" t="s">
        <v>200</v>
      </c>
      <c r="I60" s="490">
        <v>1</v>
      </c>
      <c r="J60" s="490">
        <v>1</v>
      </c>
      <c r="K60" s="529" t="s">
        <v>204</v>
      </c>
      <c r="L60" s="898"/>
      <c r="M60" s="898" t="e">
        <f>VLOOKUP(Table13465789101114[[#This Row],[Delivery]],#REF!,7,FALSE)</f>
        <v>#REF!</v>
      </c>
    </row>
    <row r="61" spans="1:13" ht="15.6">
      <c r="A61" s="769" t="s">
        <v>514</v>
      </c>
      <c r="B61" s="452">
        <v>3331556141</v>
      </c>
      <c r="C61" s="452" t="s">
        <v>287</v>
      </c>
      <c r="D61" s="490">
        <v>24140979</v>
      </c>
      <c r="E61" s="452" t="s">
        <v>466</v>
      </c>
      <c r="F61" s="490" t="s">
        <v>199</v>
      </c>
      <c r="G61" s="456">
        <v>25111.27</v>
      </c>
      <c r="H61" s="490" t="s">
        <v>200</v>
      </c>
      <c r="I61" s="490">
        <v>1</v>
      </c>
      <c r="J61" s="490">
        <v>1</v>
      </c>
      <c r="K61" s="529" t="s">
        <v>204</v>
      </c>
      <c r="L61" s="898"/>
      <c r="M61" s="898" t="e">
        <f>VLOOKUP(Table13465789101114[[#This Row],[Delivery]],#REF!,7,FALSE)</f>
        <v>#REF!</v>
      </c>
    </row>
    <row r="62" spans="1:13" ht="15.6">
      <c r="A62" s="769" t="s">
        <v>542</v>
      </c>
      <c r="B62" s="452">
        <v>3331556135</v>
      </c>
      <c r="C62" s="493" t="s">
        <v>541</v>
      </c>
      <c r="D62" s="490">
        <v>24140980</v>
      </c>
      <c r="E62" s="452" t="s">
        <v>158</v>
      </c>
      <c r="F62" s="490" t="s">
        <v>340</v>
      </c>
      <c r="G62" s="456">
        <f>12731.936+13127.294</f>
        <v>25859.23</v>
      </c>
      <c r="H62" s="490" t="s">
        <v>200</v>
      </c>
      <c r="I62" s="490">
        <v>1</v>
      </c>
      <c r="J62" s="490">
        <v>1</v>
      </c>
      <c r="K62" s="529" t="s">
        <v>207</v>
      </c>
      <c r="L62" s="899"/>
      <c r="M62" s="899" t="e">
        <f>VLOOKUP(Table13465789101114[[#This Row],[Delivery]],#REF!,7,FALSE)</f>
        <v>#REF!</v>
      </c>
    </row>
    <row r="63" spans="1:13" ht="15.6">
      <c r="A63" s="769" t="s">
        <v>542</v>
      </c>
      <c r="B63" s="452">
        <v>3331556142</v>
      </c>
      <c r="C63" s="452" t="s">
        <v>256</v>
      </c>
      <c r="D63" s="490" t="s">
        <v>256</v>
      </c>
      <c r="E63" s="452" t="s">
        <v>256</v>
      </c>
      <c r="F63" s="490" t="s">
        <v>256</v>
      </c>
      <c r="G63" s="456" t="s">
        <v>256</v>
      </c>
      <c r="H63" s="490" t="s">
        <v>256</v>
      </c>
      <c r="I63" s="490" t="s">
        <v>256</v>
      </c>
      <c r="J63" s="490" t="s">
        <v>256</v>
      </c>
      <c r="K63" s="529" t="s">
        <v>256</v>
      </c>
      <c r="L63" s="899"/>
      <c r="M63" s="899" t="e">
        <f>VLOOKUP(Table13465789101114[[#This Row],[Delivery]],#REF!,7,FALSE)</f>
        <v>#REF!</v>
      </c>
    </row>
    <row r="64" spans="1:13" ht="15.6">
      <c r="A64" s="769" t="s">
        <v>514</v>
      </c>
      <c r="B64" s="452">
        <v>3331556143</v>
      </c>
      <c r="C64" s="452" t="s">
        <v>34</v>
      </c>
      <c r="D64" s="490">
        <v>24140981</v>
      </c>
      <c r="E64" s="452" t="s">
        <v>366</v>
      </c>
      <c r="F64" s="490" t="s">
        <v>199</v>
      </c>
      <c r="G64" s="456">
        <v>23858.850999999999</v>
      </c>
      <c r="H64" s="452" t="s">
        <v>200</v>
      </c>
      <c r="I64" s="490">
        <v>1</v>
      </c>
      <c r="J64" s="490">
        <v>1</v>
      </c>
      <c r="K64" s="529" t="s">
        <v>204</v>
      </c>
      <c r="L64" s="898"/>
      <c r="M64" s="898" t="e">
        <f>VLOOKUP(Table13465789101114[[#This Row],[Delivery]],#REF!,7,FALSE)</f>
        <v>#REF!</v>
      </c>
    </row>
    <row r="65" spans="1:13" ht="15.6">
      <c r="A65" s="769" t="s">
        <v>542</v>
      </c>
      <c r="B65" s="452">
        <v>3331556145</v>
      </c>
      <c r="C65" s="493" t="s">
        <v>541</v>
      </c>
      <c r="D65" s="490">
        <v>24140982</v>
      </c>
      <c r="E65" s="452" t="s">
        <v>158</v>
      </c>
      <c r="F65" s="490" t="s">
        <v>340</v>
      </c>
      <c r="G65" s="456">
        <v>27009.088</v>
      </c>
      <c r="H65" s="452" t="s">
        <v>200</v>
      </c>
      <c r="I65" s="490">
        <v>1</v>
      </c>
      <c r="J65" s="490">
        <v>1</v>
      </c>
      <c r="K65" s="529" t="s">
        <v>207</v>
      </c>
      <c r="L65" s="899"/>
      <c r="M65" s="899" t="e">
        <f>VLOOKUP(Table13465789101114[[#This Row],[Delivery]],#REF!,7,FALSE)</f>
        <v>#REF!</v>
      </c>
    </row>
    <row r="66" spans="1:13" ht="15.6">
      <c r="A66" s="769" t="s">
        <v>514</v>
      </c>
      <c r="B66" s="452">
        <v>3331556146</v>
      </c>
      <c r="C66" s="452" t="s">
        <v>27</v>
      </c>
      <c r="D66" s="490">
        <v>24140983</v>
      </c>
      <c r="E66" s="452" t="s">
        <v>366</v>
      </c>
      <c r="F66" s="490" t="s">
        <v>199</v>
      </c>
      <c r="G66" s="456">
        <v>23772.249</v>
      </c>
      <c r="H66" s="452" t="s">
        <v>200</v>
      </c>
      <c r="I66" s="490">
        <v>1</v>
      </c>
      <c r="J66" s="490">
        <v>1</v>
      </c>
      <c r="K66" s="529" t="s">
        <v>204</v>
      </c>
      <c r="L66" s="898"/>
      <c r="M66" s="898" t="e">
        <f>VLOOKUP(Table13465789101114[[#This Row],[Delivery]],#REF!,7,FALSE)</f>
        <v>#REF!</v>
      </c>
    </row>
    <row r="67" spans="1:13" ht="15.6">
      <c r="A67" s="769" t="s">
        <v>514</v>
      </c>
      <c r="B67" s="452">
        <v>3331556147</v>
      </c>
      <c r="C67" s="493" t="s">
        <v>539</v>
      </c>
      <c r="D67" s="490">
        <v>24140984</v>
      </c>
      <c r="E67" s="452" t="s">
        <v>366</v>
      </c>
      <c r="F67" s="490" t="s">
        <v>340</v>
      </c>
      <c r="G67" s="456">
        <v>24161.957999999999</v>
      </c>
      <c r="H67" s="452" t="s">
        <v>200</v>
      </c>
      <c r="I67" s="490">
        <v>1</v>
      </c>
      <c r="J67" s="490">
        <v>1</v>
      </c>
      <c r="K67" s="529" t="s">
        <v>207</v>
      </c>
      <c r="L67" s="898"/>
      <c r="M67" s="898" t="e">
        <f>VLOOKUP(Table13465789101114[[#This Row],[Delivery]],#REF!,7,FALSE)</f>
        <v>#REF!</v>
      </c>
    </row>
    <row r="68" spans="1:13" ht="15.6">
      <c r="A68" s="769" t="s">
        <v>542</v>
      </c>
      <c r="B68" s="452">
        <v>3331556149</v>
      </c>
      <c r="C68" s="493" t="s">
        <v>359</v>
      </c>
      <c r="D68" s="490">
        <v>24140985</v>
      </c>
      <c r="E68" s="452" t="s">
        <v>158</v>
      </c>
      <c r="F68" s="490" t="s">
        <v>340</v>
      </c>
      <c r="G68" s="456">
        <v>25417.596000000001</v>
      </c>
      <c r="H68" s="452" t="s">
        <v>200</v>
      </c>
      <c r="I68" s="490">
        <v>1</v>
      </c>
      <c r="J68" s="490">
        <v>1</v>
      </c>
      <c r="K68" s="529" t="s">
        <v>207</v>
      </c>
      <c r="L68" s="898"/>
      <c r="M68" s="898" t="e">
        <f>VLOOKUP(Table13465789101114[[#This Row],[Delivery]],#REF!,7,FALSE)</f>
        <v>#REF!</v>
      </c>
    </row>
    <row r="69" spans="1:13" ht="15.6">
      <c r="A69" s="769" t="s">
        <v>542</v>
      </c>
      <c r="B69" s="452">
        <v>3331556150</v>
      </c>
      <c r="C69" s="493" t="s">
        <v>543</v>
      </c>
      <c r="D69" s="490">
        <v>24140986</v>
      </c>
      <c r="E69" s="490" t="s">
        <v>158</v>
      </c>
      <c r="F69" s="490" t="s">
        <v>340</v>
      </c>
      <c r="G69" s="491">
        <v>25803.9</v>
      </c>
      <c r="H69" s="452" t="s">
        <v>200</v>
      </c>
      <c r="I69" s="490">
        <v>1</v>
      </c>
      <c r="J69" s="490">
        <v>1</v>
      </c>
      <c r="K69" s="529" t="s">
        <v>207</v>
      </c>
      <c r="L69" s="898"/>
      <c r="M69" s="898" t="e">
        <f>VLOOKUP(Table13465789101114[[#This Row],[Delivery]],#REF!,7,FALSE)</f>
        <v>#REF!</v>
      </c>
    </row>
    <row r="70" spans="1:13" ht="15.6">
      <c r="A70" s="769" t="s">
        <v>532</v>
      </c>
      <c r="B70" s="452">
        <v>3331555807</v>
      </c>
      <c r="C70" s="452" t="s">
        <v>287</v>
      </c>
      <c r="D70" s="490">
        <v>24140987</v>
      </c>
      <c r="E70" s="452" t="s">
        <v>491</v>
      </c>
      <c r="F70" s="490" t="s">
        <v>199</v>
      </c>
      <c r="G70" s="456">
        <v>25082.598000000002</v>
      </c>
      <c r="H70" s="452" t="s">
        <v>200</v>
      </c>
      <c r="I70" s="490">
        <v>1</v>
      </c>
      <c r="J70" s="490">
        <v>1</v>
      </c>
      <c r="K70" s="529" t="s">
        <v>204</v>
      </c>
      <c r="L70" s="898"/>
      <c r="M70" s="898" t="e">
        <f>VLOOKUP(Table13465789101114[[#This Row],[Delivery]],#REF!,7,FALSE)</f>
        <v>#REF!</v>
      </c>
    </row>
    <row r="71" spans="1:13" ht="15.6">
      <c r="A71" s="769" t="s">
        <v>514</v>
      </c>
      <c r="B71" s="452">
        <v>3331556153</v>
      </c>
      <c r="C71" s="452" t="s">
        <v>34</v>
      </c>
      <c r="D71" s="490">
        <v>24140988</v>
      </c>
      <c r="E71" s="452" t="s">
        <v>243</v>
      </c>
      <c r="F71" s="490" t="s">
        <v>199</v>
      </c>
      <c r="G71" s="456">
        <v>24967.969000000001</v>
      </c>
      <c r="H71" s="452" t="s">
        <v>200</v>
      </c>
      <c r="I71" s="490">
        <v>1</v>
      </c>
      <c r="J71" s="490">
        <v>1</v>
      </c>
      <c r="K71" s="529" t="s">
        <v>204</v>
      </c>
      <c r="L71" s="898"/>
      <c r="M71" s="898" t="e">
        <f>VLOOKUP(Table13465789101114[[#This Row],[Delivery]],#REF!,7,FALSE)</f>
        <v>#REF!</v>
      </c>
    </row>
    <row r="72" spans="1:13" ht="15.6">
      <c r="A72" s="769" t="s">
        <v>514</v>
      </c>
      <c r="B72" s="452">
        <v>3331556155</v>
      </c>
      <c r="C72" s="452" t="s">
        <v>27</v>
      </c>
      <c r="D72" s="490">
        <v>24140990</v>
      </c>
      <c r="E72" s="452" t="s">
        <v>243</v>
      </c>
      <c r="F72" s="490" t="s">
        <v>199</v>
      </c>
      <c r="G72" s="456">
        <v>24967.968000000001</v>
      </c>
      <c r="H72" s="452" t="s">
        <v>200</v>
      </c>
      <c r="I72" s="490">
        <v>1</v>
      </c>
      <c r="J72" s="490">
        <v>1</v>
      </c>
      <c r="K72" s="529" t="s">
        <v>204</v>
      </c>
      <c r="L72" s="898"/>
      <c r="M72" s="898" t="e">
        <f>VLOOKUP(Table13465789101114[[#This Row],[Delivery]],#REF!,7,FALSE)</f>
        <v>#REF!</v>
      </c>
    </row>
    <row r="73" spans="1:13" ht="15.6">
      <c r="A73" s="880" t="s">
        <v>542</v>
      </c>
      <c r="B73" s="452">
        <v>3331556157</v>
      </c>
      <c r="C73" s="493" t="s">
        <v>543</v>
      </c>
      <c r="D73" s="490">
        <v>24140991</v>
      </c>
      <c r="E73" s="452" t="s">
        <v>158</v>
      </c>
      <c r="F73" s="490" t="s">
        <v>340</v>
      </c>
      <c r="G73" s="456">
        <f>19225.644+6192.936</f>
        <v>25418.58</v>
      </c>
      <c r="H73" s="452" t="s">
        <v>200</v>
      </c>
      <c r="I73" s="490">
        <v>1</v>
      </c>
      <c r="J73" s="490">
        <v>1</v>
      </c>
      <c r="K73" s="476" t="s">
        <v>207</v>
      </c>
      <c r="L73" s="898"/>
      <c r="M73" s="898" t="e">
        <f>VLOOKUP(Table13465789101114[[#This Row],[Delivery]],#REF!,7,FALSE)</f>
        <v>#REF!</v>
      </c>
    </row>
    <row r="74" spans="1:13" ht="15.6">
      <c r="A74" s="880" t="s">
        <v>542</v>
      </c>
      <c r="B74" s="452">
        <v>3331556173</v>
      </c>
      <c r="C74" s="592" t="s">
        <v>256</v>
      </c>
      <c r="D74" s="490" t="s">
        <v>256</v>
      </c>
      <c r="E74" s="452" t="s">
        <v>256</v>
      </c>
      <c r="F74" s="490" t="s">
        <v>256</v>
      </c>
      <c r="G74" s="456" t="s">
        <v>256</v>
      </c>
      <c r="H74" s="452" t="s">
        <v>256</v>
      </c>
      <c r="I74" s="490" t="s">
        <v>256</v>
      </c>
      <c r="J74" s="490" t="s">
        <v>256</v>
      </c>
      <c r="K74" s="476" t="s">
        <v>256</v>
      </c>
      <c r="L74" s="898"/>
      <c r="M74" s="898" t="e">
        <f>VLOOKUP(Table13465789101114[[#This Row],[Delivery]],#REF!,7,FALSE)</f>
        <v>#REF!</v>
      </c>
    </row>
    <row r="75" spans="1:13" ht="15.6">
      <c r="A75" s="880" t="s">
        <v>542</v>
      </c>
      <c r="B75" s="452">
        <v>3331556187</v>
      </c>
      <c r="C75" s="493" t="s">
        <v>544</v>
      </c>
      <c r="D75" s="490">
        <v>24140992</v>
      </c>
      <c r="E75" s="452" t="s">
        <v>158</v>
      </c>
      <c r="F75" s="490" t="s">
        <v>340</v>
      </c>
      <c r="G75" s="456">
        <v>25590.891</v>
      </c>
      <c r="H75" s="452" t="s">
        <v>200</v>
      </c>
      <c r="I75" s="490">
        <v>1</v>
      </c>
      <c r="J75" s="490">
        <v>1</v>
      </c>
      <c r="K75" s="476" t="s">
        <v>207</v>
      </c>
      <c r="L75" s="898"/>
      <c r="M75" s="898" t="e">
        <f>VLOOKUP(Table13465789101114[[#This Row],[Delivery]],#REF!,7,FALSE)</f>
        <v>#REF!</v>
      </c>
    </row>
    <row r="76" spans="1:13" ht="15.6">
      <c r="A76" s="880" t="s">
        <v>514</v>
      </c>
      <c r="B76" s="452">
        <v>3331556210</v>
      </c>
      <c r="C76" s="493" t="s">
        <v>541</v>
      </c>
      <c r="D76" s="490">
        <v>24140994</v>
      </c>
      <c r="E76" s="452" t="s">
        <v>150</v>
      </c>
      <c r="F76" s="490" t="s">
        <v>340</v>
      </c>
      <c r="G76" s="456">
        <v>25417.687000000002</v>
      </c>
      <c r="H76" s="452" t="s">
        <v>200</v>
      </c>
      <c r="I76" s="490">
        <v>1</v>
      </c>
      <c r="J76" s="490">
        <v>1</v>
      </c>
      <c r="K76" s="476" t="s">
        <v>207</v>
      </c>
      <c r="L76" s="898"/>
      <c r="M76" s="898" t="e">
        <f>VLOOKUP(Table13465789101114[[#This Row],[Delivery]],#REF!,7,FALSE)</f>
        <v>#REF!</v>
      </c>
    </row>
    <row r="77" spans="1:13" ht="15.6">
      <c r="A77" s="880" t="s">
        <v>514</v>
      </c>
      <c r="B77" s="452">
        <v>3331556222</v>
      </c>
      <c r="C77" s="493" t="s">
        <v>34</v>
      </c>
      <c r="D77" s="490">
        <v>24140995</v>
      </c>
      <c r="E77" s="452" t="s">
        <v>150</v>
      </c>
      <c r="F77" s="490" t="s">
        <v>340</v>
      </c>
      <c r="G77" s="456">
        <v>25201.182000000001</v>
      </c>
      <c r="H77" s="452" t="s">
        <v>200</v>
      </c>
      <c r="I77" s="490">
        <v>1</v>
      </c>
      <c r="J77" s="490">
        <v>1</v>
      </c>
      <c r="K77" s="476" t="s">
        <v>207</v>
      </c>
      <c r="L77" s="898"/>
      <c r="M77" s="898" t="e">
        <f>VLOOKUP(Table13465789101114[[#This Row],[Delivery]],#REF!,7,FALSE)</f>
        <v>#REF!</v>
      </c>
    </row>
    <row r="78" spans="1:13" ht="15.6">
      <c r="A78" s="880" t="s">
        <v>514</v>
      </c>
      <c r="B78" s="452">
        <v>3331556198</v>
      </c>
      <c r="C78" s="452" t="s">
        <v>27</v>
      </c>
      <c r="D78" s="490">
        <v>24140996</v>
      </c>
      <c r="E78" s="452" t="s">
        <v>545</v>
      </c>
      <c r="F78" s="490" t="s">
        <v>199</v>
      </c>
      <c r="G78" s="456">
        <v>18745.935000000001</v>
      </c>
      <c r="H78" s="452" t="s">
        <v>200</v>
      </c>
      <c r="I78" s="490">
        <v>1</v>
      </c>
      <c r="J78" s="490">
        <v>1</v>
      </c>
      <c r="K78" s="476" t="s">
        <v>204</v>
      </c>
      <c r="L78" s="898"/>
      <c r="M78" s="898" t="e">
        <f>VLOOKUP(Table13465789101114[[#This Row],[Delivery]],#REF!,7,FALSE)</f>
        <v>#REF!</v>
      </c>
    </row>
    <row r="79" spans="1:13" ht="15.6">
      <c r="A79" s="927"/>
      <c r="B79" s="598"/>
      <c r="C79" s="928"/>
      <c r="D79" s="599"/>
      <c r="E79" s="598" t="s">
        <v>546</v>
      </c>
      <c r="F79" s="599"/>
      <c r="G79" s="600"/>
      <c r="H79" s="598"/>
      <c r="I79" s="599"/>
      <c r="J79" s="599"/>
      <c r="K79" s="601"/>
      <c r="L79" s="898"/>
      <c r="M79" s="898" t="e">
        <f>VLOOKUP(Table13465789101114[[#This Row],[Delivery]],#REF!,7,FALSE)</f>
        <v>#REF!</v>
      </c>
    </row>
    <row r="80" spans="1:13" ht="15.6">
      <c r="A80" s="880" t="s">
        <v>514</v>
      </c>
      <c r="B80" s="452">
        <v>3331556263</v>
      </c>
      <c r="C80" s="452" t="s">
        <v>11</v>
      </c>
      <c r="D80" s="490">
        <v>24141001</v>
      </c>
      <c r="E80" s="452" t="s">
        <v>464</v>
      </c>
      <c r="F80" s="490" t="s">
        <v>340</v>
      </c>
      <c r="G80" s="456">
        <v>24543.99</v>
      </c>
      <c r="H80" s="452" t="s">
        <v>200</v>
      </c>
      <c r="I80" s="490">
        <v>1</v>
      </c>
      <c r="J80" s="490">
        <v>1</v>
      </c>
      <c r="K80" s="476" t="s">
        <v>204</v>
      </c>
      <c r="L80" s="898"/>
      <c r="M80" s="898" t="e">
        <f>VLOOKUP(Table13465789101114[[#This Row],[Delivery]],#REF!,7,FALSE)</f>
        <v>#REF!</v>
      </c>
    </row>
    <row r="81" spans="1:13" ht="15.6">
      <c r="A81" s="880" t="s">
        <v>508</v>
      </c>
      <c r="B81" s="452">
        <v>3331554649</v>
      </c>
      <c r="C81" s="493" t="s">
        <v>27</v>
      </c>
      <c r="D81" s="490">
        <v>24141002</v>
      </c>
      <c r="E81" s="452" t="s">
        <v>464</v>
      </c>
      <c r="F81" s="490" t="s">
        <v>340</v>
      </c>
      <c r="G81" s="456">
        <f>24119.627+1064.348</f>
        <v>25183.974999999999</v>
      </c>
      <c r="H81" s="452" t="s">
        <v>200</v>
      </c>
      <c r="I81" s="490">
        <v>1</v>
      </c>
      <c r="J81" s="490">
        <v>1</v>
      </c>
      <c r="K81" s="476" t="s">
        <v>204</v>
      </c>
      <c r="L81" s="898"/>
      <c r="M81" s="898" t="e">
        <f>VLOOKUP(Table13465789101114[[#This Row],[Delivery]],#REF!,7,FALSE)</f>
        <v>#REF!</v>
      </c>
    </row>
    <row r="82" spans="1:13" ht="15.6">
      <c r="A82" s="880" t="s">
        <v>514</v>
      </c>
      <c r="B82" s="452">
        <v>3331556258</v>
      </c>
      <c r="C82" s="592" t="s">
        <v>256</v>
      </c>
      <c r="D82" s="490" t="s">
        <v>256</v>
      </c>
      <c r="E82" s="452" t="s">
        <v>256</v>
      </c>
      <c r="F82" s="490" t="s">
        <v>256</v>
      </c>
      <c r="G82" s="456" t="s">
        <v>256</v>
      </c>
      <c r="H82" s="452" t="s">
        <v>256</v>
      </c>
      <c r="I82" s="490" t="s">
        <v>256</v>
      </c>
      <c r="J82" s="490" t="s">
        <v>256</v>
      </c>
      <c r="K82" s="476" t="s">
        <v>256</v>
      </c>
      <c r="L82" s="898"/>
      <c r="M82" s="898" t="e">
        <f>VLOOKUP(Table13465789101114[[#This Row],[Delivery]],#REF!,7,FALSE)</f>
        <v>#REF!</v>
      </c>
    </row>
    <row r="83" spans="1:13" s="517" customFormat="1" ht="15.6">
      <c r="A83" s="880" t="s">
        <v>495</v>
      </c>
      <c r="B83" s="452">
        <v>3331553902</v>
      </c>
      <c r="C83" s="592" t="s">
        <v>34</v>
      </c>
      <c r="D83" s="490">
        <v>24141003</v>
      </c>
      <c r="E83" s="452" t="s">
        <v>464</v>
      </c>
      <c r="F83" s="490" t="s">
        <v>340</v>
      </c>
      <c r="G83" s="456">
        <f>20445.468+4594.905</f>
        <v>25040.373</v>
      </c>
      <c r="H83" s="453" t="s">
        <v>200</v>
      </c>
      <c r="I83" s="490">
        <v>1</v>
      </c>
      <c r="J83" s="490">
        <v>1</v>
      </c>
      <c r="K83" s="476" t="s">
        <v>204</v>
      </c>
      <c r="L83" s="899"/>
      <c r="M83" s="899" t="e">
        <f>VLOOKUP(Table13465789101114[[#This Row],[Delivery]],#REF!,7,FALSE)</f>
        <v>#REF!</v>
      </c>
    </row>
    <row r="84" spans="1:13" s="517" customFormat="1" ht="15.6">
      <c r="A84" s="880" t="s">
        <v>514</v>
      </c>
      <c r="B84" s="452">
        <v>3331556264</v>
      </c>
      <c r="C84" s="592" t="s">
        <v>256</v>
      </c>
      <c r="D84" s="490" t="s">
        <v>256</v>
      </c>
      <c r="E84" s="452" t="s">
        <v>256</v>
      </c>
      <c r="F84" s="490" t="s">
        <v>256</v>
      </c>
      <c r="G84" s="456" t="s">
        <v>256</v>
      </c>
      <c r="H84" s="453" t="s">
        <v>256</v>
      </c>
      <c r="I84" s="490" t="s">
        <v>256</v>
      </c>
      <c r="J84" s="490" t="s">
        <v>256</v>
      </c>
      <c r="K84" s="476" t="s">
        <v>256</v>
      </c>
      <c r="L84" s="899"/>
      <c r="M84" s="899" t="e">
        <f>VLOOKUP(Table13465789101114[[#This Row],[Delivery]],#REF!,7,FALSE)</f>
        <v>#REF!</v>
      </c>
    </row>
    <row r="85" spans="1:13" ht="15.6">
      <c r="A85" s="880" t="s">
        <v>508</v>
      </c>
      <c r="B85" s="452">
        <v>3331554652</v>
      </c>
      <c r="C85" s="884" t="s">
        <v>287</v>
      </c>
      <c r="D85" s="490">
        <v>24141004</v>
      </c>
      <c r="E85" s="452" t="s">
        <v>464</v>
      </c>
      <c r="F85" s="490" t="s">
        <v>340</v>
      </c>
      <c r="G85" s="456">
        <f>20756.305+3268.13</f>
        <v>24024.435000000001</v>
      </c>
      <c r="H85" s="452" t="s">
        <v>200</v>
      </c>
      <c r="I85" s="490">
        <v>1</v>
      </c>
      <c r="J85" s="490">
        <v>1</v>
      </c>
      <c r="K85" s="476" t="s">
        <v>204</v>
      </c>
      <c r="L85" s="898"/>
      <c r="M85" s="898" t="e">
        <f>VLOOKUP(Table13465789101114[[#This Row],[Delivery]],#REF!,7,FALSE)</f>
        <v>#REF!</v>
      </c>
    </row>
    <row r="86" spans="1:13" ht="15.6">
      <c r="A86" s="880" t="s">
        <v>355</v>
      </c>
      <c r="B86" s="452">
        <v>3331556267</v>
      </c>
      <c r="C86" s="592" t="s">
        <v>256</v>
      </c>
      <c r="D86" s="490" t="s">
        <v>256</v>
      </c>
      <c r="E86" s="452" t="s">
        <v>256</v>
      </c>
      <c r="F86" s="490" t="s">
        <v>256</v>
      </c>
      <c r="G86" s="456" t="s">
        <v>256</v>
      </c>
      <c r="H86" s="452" t="s">
        <v>256</v>
      </c>
      <c r="I86" s="490" t="s">
        <v>256</v>
      </c>
      <c r="J86" s="490" t="s">
        <v>256</v>
      </c>
      <c r="K86" s="476" t="s">
        <v>256</v>
      </c>
      <c r="L86" s="898"/>
      <c r="M86" s="898" t="e">
        <f>VLOOKUP(Table13465789101114[[#This Row],[Delivery]],#REF!,7,FALSE)</f>
        <v>#REF!</v>
      </c>
    </row>
    <row r="87" spans="1:13" ht="15.6">
      <c r="A87" s="880" t="s">
        <v>514</v>
      </c>
      <c r="B87" s="452">
        <v>3331556273</v>
      </c>
      <c r="C87" s="592" t="s">
        <v>547</v>
      </c>
      <c r="D87" s="452">
        <v>24141006</v>
      </c>
      <c r="E87" s="452" t="s">
        <v>529</v>
      </c>
      <c r="F87" s="490" t="s">
        <v>434</v>
      </c>
      <c r="G87" s="456">
        <v>40702.94</v>
      </c>
      <c r="H87" s="452" t="s">
        <v>128</v>
      </c>
      <c r="I87" s="490">
        <v>1</v>
      </c>
      <c r="J87" s="490">
        <v>1</v>
      </c>
      <c r="K87" s="476" t="s">
        <v>204</v>
      </c>
      <c r="L87" s="898"/>
      <c r="M87" s="898" t="e">
        <f>VLOOKUP(Table13465789101114[[#This Row],[Delivery]],#REF!,7,FALSE)</f>
        <v>#REF!</v>
      </c>
    </row>
    <row r="88" spans="1:13" ht="15.6">
      <c r="A88" s="880" t="s">
        <v>514</v>
      </c>
      <c r="B88" s="452">
        <v>3331556275</v>
      </c>
      <c r="C88" s="592" t="s">
        <v>547</v>
      </c>
      <c r="D88" s="452">
        <v>24141007</v>
      </c>
      <c r="E88" s="452" t="s">
        <v>529</v>
      </c>
      <c r="F88" s="490" t="s">
        <v>434</v>
      </c>
      <c r="G88" s="456">
        <v>40573.036999999997</v>
      </c>
      <c r="H88" s="452" t="s">
        <v>128</v>
      </c>
      <c r="I88" s="490">
        <v>1</v>
      </c>
      <c r="J88" s="490">
        <v>1</v>
      </c>
      <c r="K88" s="476" t="s">
        <v>204</v>
      </c>
      <c r="L88" s="898"/>
      <c r="M88" s="898" t="e">
        <f>VLOOKUP(Table13465789101114[[#This Row],[Delivery]],#REF!,7,FALSE)</f>
        <v>#REF!</v>
      </c>
    </row>
    <row r="89" spans="1:13" ht="15.6">
      <c r="A89" s="880" t="s">
        <v>514</v>
      </c>
      <c r="B89" s="452">
        <v>3331556282</v>
      </c>
      <c r="C89" s="592" t="s">
        <v>27</v>
      </c>
      <c r="D89" s="452">
        <v>24141008</v>
      </c>
      <c r="E89" s="452" t="s">
        <v>466</v>
      </c>
      <c r="F89" s="490" t="s">
        <v>199</v>
      </c>
      <c r="G89" s="456">
        <v>19395.932000000001</v>
      </c>
      <c r="H89" s="452" t="s">
        <v>200</v>
      </c>
      <c r="I89" s="490">
        <v>1</v>
      </c>
      <c r="J89" s="490">
        <v>1</v>
      </c>
      <c r="K89" s="476" t="s">
        <v>204</v>
      </c>
      <c r="L89" s="898"/>
      <c r="M89" s="898" t="e">
        <f>VLOOKUP(Table13465789101114[[#This Row],[Delivery]],#REF!,7,FALSE)</f>
        <v>#REF!</v>
      </c>
    </row>
    <row r="90" spans="1:13">
      <c r="A90" s="889" t="s">
        <v>548</v>
      </c>
      <c r="B90" s="889" t="s">
        <v>549</v>
      </c>
      <c r="C90" s="889" t="s">
        <v>11</v>
      </c>
      <c r="D90" s="609">
        <v>24140932</v>
      </c>
      <c r="E90" s="889" t="s">
        <v>549</v>
      </c>
      <c r="F90" s="502" t="s">
        <v>199</v>
      </c>
      <c r="G90" s="889" t="s">
        <v>549</v>
      </c>
      <c r="H90" s="480" t="s">
        <v>200</v>
      </c>
      <c r="I90" s="502">
        <v>1</v>
      </c>
      <c r="J90" s="502">
        <v>1</v>
      </c>
      <c r="K90" s="889" t="s">
        <v>549</v>
      </c>
      <c r="L90" s="898"/>
      <c r="M90" s="898" t="e">
        <f>VLOOKUP(Table13465789101114[[#This Row],[Delivery]],#REF!,7,FALSE)</f>
        <v>#REF!</v>
      </c>
    </row>
    <row r="91" spans="1:13" s="108" customFormat="1" ht="15.6">
      <c r="A91" s="880" t="s">
        <v>514</v>
      </c>
      <c r="B91" s="452">
        <v>3331556307</v>
      </c>
      <c r="C91" s="592" t="s">
        <v>550</v>
      </c>
      <c r="D91" s="490">
        <v>24141009</v>
      </c>
      <c r="E91" s="490" t="s">
        <v>551</v>
      </c>
      <c r="F91" s="490" t="s">
        <v>203</v>
      </c>
      <c r="G91" s="491">
        <v>983.36500000000001</v>
      </c>
      <c r="H91" s="490" t="s">
        <v>434</v>
      </c>
      <c r="I91" s="490">
        <v>1</v>
      </c>
      <c r="J91" s="490">
        <v>1</v>
      </c>
      <c r="K91" s="476" t="s">
        <v>204</v>
      </c>
      <c r="L91" s="899"/>
      <c r="M91" s="899" t="e">
        <f>VLOOKUP(Table13465789101114[[#This Row],[Delivery]],#REF!,7,FALSE)</f>
        <v>#REF!</v>
      </c>
    </row>
    <row r="92" spans="1:13" s="108" customFormat="1" ht="15.6">
      <c r="A92" s="880" t="s">
        <v>514</v>
      </c>
      <c r="B92" s="452">
        <v>3331556314</v>
      </c>
      <c r="C92" s="592" t="s">
        <v>336</v>
      </c>
      <c r="D92" s="490">
        <v>24141010</v>
      </c>
      <c r="E92" s="490" t="s">
        <v>552</v>
      </c>
      <c r="F92" s="490" t="s">
        <v>338</v>
      </c>
      <c r="G92" s="491"/>
      <c r="H92" s="490" t="s">
        <v>128</v>
      </c>
      <c r="I92" s="490"/>
      <c r="J92" s="490"/>
      <c r="K92" s="476" t="s">
        <v>204</v>
      </c>
      <c r="L92" s="899"/>
      <c r="M92" s="899" t="e">
        <f>VLOOKUP(Table13465789101114[[#This Row],[Delivery]],#REF!,7,FALSE)</f>
        <v>#REF!</v>
      </c>
    </row>
    <row r="95" spans="1:13" ht="21">
      <c r="A95"/>
      <c r="B95" s="422" t="s">
        <v>244</v>
      </c>
      <c r="C95"/>
      <c r="D95"/>
      <c r="F95"/>
      <c r="G95"/>
      <c r="H95"/>
      <c r="I95"/>
      <c r="J95"/>
      <c r="K95"/>
      <c r="L95"/>
    </row>
    <row r="96" spans="1:13" ht="18">
      <c r="B96" s="251" t="s">
        <v>304</v>
      </c>
      <c r="C96"/>
      <c r="D96"/>
      <c r="F96"/>
      <c r="G96"/>
      <c r="H96"/>
      <c r="I96" s="373"/>
      <c r="J96"/>
      <c r="K96"/>
      <c r="L96"/>
    </row>
    <row r="97" spans="1:12" ht="18">
      <c r="A97"/>
      <c r="B97" s="251" t="s">
        <v>361</v>
      </c>
      <c r="C97"/>
      <c r="D97"/>
      <c r="F97"/>
      <c r="G97"/>
      <c r="H97"/>
      <c r="I97"/>
      <c r="J97"/>
      <c r="K97"/>
      <c r="L97"/>
    </row>
    <row r="98" spans="1:12">
      <c r="A98"/>
      <c r="B98"/>
      <c r="C98"/>
      <c r="D98"/>
      <c r="F98"/>
      <c r="G98"/>
      <c r="H98"/>
      <c r="I98"/>
      <c r="J98"/>
      <c r="K98"/>
      <c r="L98"/>
    </row>
    <row r="99" spans="1:12">
      <c r="A99"/>
      <c r="B99"/>
      <c r="C99"/>
      <c r="D99"/>
      <c r="F99"/>
      <c r="G99"/>
      <c r="H99"/>
      <c r="I99"/>
      <c r="J99"/>
      <c r="K99"/>
      <c r="L99"/>
    </row>
  </sheetData>
  <autoFilter ref="A1:F16" xr:uid="{455A03CA-89FF-4485-B032-080DA22FFE43}">
    <filterColumn colId="4" showButton="0"/>
  </autoFilter>
  <mergeCells count="6">
    <mergeCell ref="A9:B9"/>
    <mergeCell ref="A1:B2"/>
    <mergeCell ref="D1:F1"/>
    <mergeCell ref="H1:J1"/>
    <mergeCell ref="H6:J6"/>
    <mergeCell ref="D8:F8"/>
  </mergeCells>
  <conditionalFormatting sqref="E60">
    <cfRule type="cellIs" dxfId="37" priority="1" operator="equal">
      <formula>"BLM BOOKING"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E14C-6FB9-4597-B0BC-A12548A7804D}">
  <dimension ref="A1:AF120"/>
  <sheetViews>
    <sheetView showGridLines="0" topLeftCell="V3" workbookViewId="0">
      <selection activeCell="V3" sqref="V3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6" width="26.6640625" customWidth="1"/>
    <col min="17" max="17" width="9.109375" bestFit="1" customWidth="1"/>
    <col min="18" max="18" width="12" bestFit="1" customWidth="1"/>
    <col min="19" max="19" width="13.88671875" bestFit="1" customWidth="1"/>
    <col min="20" max="20" width="16.88671875" bestFit="1" customWidth="1"/>
    <col min="21" max="21" width="30.6640625" bestFit="1" customWidth="1"/>
    <col min="22" max="22" width="44" customWidth="1"/>
    <col min="23" max="23" width="26.6640625" bestFit="1" customWidth="1"/>
    <col min="24" max="24" width="17.109375" bestFit="1" customWidth="1"/>
    <col min="25" max="25" width="17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bestFit="1" customWidth="1"/>
    <col min="30" max="30" width="11" style="44" bestFit="1" customWidth="1"/>
    <col min="31" max="31" width="12" style="44" bestFit="1" customWidth="1"/>
    <col min="33" max="34" width="9.109375" bestFit="1" customWidth="1"/>
  </cols>
  <sheetData>
    <row r="1" spans="1:32" ht="17.399999999999999">
      <c r="A1" s="1211" t="s">
        <v>553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  <c r="AD1" s="1234" t="s">
        <v>554</v>
      </c>
      <c r="AE1" s="1234" t="s">
        <v>555</v>
      </c>
      <c r="AF1" s="1180" t="s">
        <v>556</v>
      </c>
    </row>
    <row r="2" spans="1:32" ht="17.399999999999999">
      <c r="A2" s="762" t="s">
        <v>557</v>
      </c>
      <c r="B2" s="733"/>
      <c r="C2" s="733"/>
      <c r="D2" s="733"/>
      <c r="E2" s="734"/>
      <c r="F2" s="1536" t="s">
        <v>558</v>
      </c>
      <c r="G2" s="1536"/>
      <c r="H2" s="1536"/>
      <c r="I2" s="742"/>
      <c r="J2" s="1525" t="s">
        <v>559</v>
      </c>
      <c r="K2" s="1525"/>
      <c r="L2" s="1525"/>
      <c r="M2" s="734"/>
      <c r="N2" s="1535"/>
      <c r="O2" s="1535"/>
      <c r="P2" s="1535"/>
      <c r="R2" s="1172" t="s">
        <v>454</v>
      </c>
      <c r="S2" s="1163">
        <v>3331560894</v>
      </c>
      <c r="T2" s="1068" t="s">
        <v>441</v>
      </c>
      <c r="U2" s="1207">
        <v>24141484</v>
      </c>
      <c r="V2" s="1163" t="s">
        <v>224</v>
      </c>
      <c r="W2" s="1163" t="s">
        <v>560</v>
      </c>
      <c r="X2" s="1168">
        <v>22234.361000000001</v>
      </c>
      <c r="Y2" s="1163" t="s">
        <v>200</v>
      </c>
      <c r="Z2" s="1068">
        <v>1</v>
      </c>
      <c r="AA2" s="1068">
        <v>1</v>
      </c>
      <c r="AB2" s="1067" t="s">
        <v>204</v>
      </c>
      <c r="AC2" s="269"/>
      <c r="AD2" s="124"/>
      <c r="AE2" s="124"/>
      <c r="AF2" s="609"/>
    </row>
    <row r="3" spans="1:32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454</v>
      </c>
      <c r="S3" s="1163">
        <v>3331560895</v>
      </c>
      <c r="T3" s="1068" t="s">
        <v>441</v>
      </c>
      <c r="U3" s="1163">
        <v>24141485</v>
      </c>
      <c r="V3" s="1163" t="s">
        <v>224</v>
      </c>
      <c r="W3" s="1163" t="s">
        <v>560</v>
      </c>
      <c r="X3" s="1168">
        <f>14622.21+9289.404</f>
        <v>23911.614000000001</v>
      </c>
      <c r="Y3" s="1163" t="s">
        <v>200</v>
      </c>
      <c r="Z3" s="1068">
        <v>1</v>
      </c>
      <c r="AA3" s="1068">
        <v>1</v>
      </c>
      <c r="AB3" s="1067" t="s">
        <v>204</v>
      </c>
      <c r="AC3" s="269"/>
      <c r="AD3" s="81"/>
      <c r="AE3" s="81"/>
      <c r="AF3" s="609"/>
    </row>
    <row r="4" spans="1:32" ht="32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454</v>
      </c>
      <c r="S4" s="1163">
        <v>3331560896</v>
      </c>
      <c r="T4" s="1068" t="s">
        <v>256</v>
      </c>
      <c r="U4" s="1166" t="s">
        <v>256</v>
      </c>
      <c r="V4" s="1166" t="s">
        <v>256</v>
      </c>
      <c r="W4" s="1166" t="s">
        <v>256</v>
      </c>
      <c r="X4" s="1222" t="s">
        <v>256</v>
      </c>
      <c r="Y4" s="1166" t="s">
        <v>256</v>
      </c>
      <c r="Z4" s="1068" t="s">
        <v>256</v>
      </c>
      <c r="AA4" s="1068" t="s">
        <v>256</v>
      </c>
      <c r="AB4" s="1067" t="s">
        <v>256</v>
      </c>
      <c r="AC4" s="1223"/>
      <c r="AD4" s="81"/>
      <c r="AE4" s="81"/>
      <c r="AF4" s="609"/>
    </row>
    <row r="5" spans="1:32" ht="18">
      <c r="A5" s="746" t="s">
        <v>427</v>
      </c>
      <c r="B5" s="747" cm="1">
        <f t="array" ref="B5">SUMPRODUCT(--ISNUMBER(MATCH(TRIM(W1:W272), {"JABODETABEK","JAWA TENGAH","JAWA TIMUR","LUAR PULAU"}, 0)))</f>
        <v>26</v>
      </c>
      <c r="C5" s="747" cm="1">
        <f t="array" ref="C5">SUMPRODUCT(--(LOWER(TRIM(AB1:AB298))="masuk"), --(ISNUMBER(MATCH(TRIM(W1:W298), {"JABODETABEK","JAWA TENGAH","JAWA TIMUR","LUAR PULAU"}, 0))))</f>
        <v>26</v>
      </c>
      <c r="D5" s="740">
        <f>C5+-B5</f>
        <v>0</v>
      </c>
      <c r="E5" s="734"/>
      <c r="F5" s="748" cm="1">
        <f t="array" ref="F5">SUMPRODUCT(--(LOWER(AC1:AC298)="add"), --(ISNUMBER(MATCH(W1:W298, {"JABODETABEK","JAWA TENGAH","JAWA TIMUR","LUAR PULAU"}, 0))))</f>
        <v>0</v>
      </c>
      <c r="G5" s="747" cm="1">
        <f t="array" ref="G5">SUMPRODUCT(--(LOWER(AB1:AB298)="masuk"), --(LOWER(AC1:AC298)="add"))</f>
        <v>0</v>
      </c>
      <c r="H5" s="740">
        <f>G5+-F5</f>
        <v>0</v>
      </c>
      <c r="I5" s="734"/>
      <c r="J5" s="748" cm="1">
        <f t="array" ref="J5">SUMPRODUCT(--(ISNUMBER(SEARCH("next day",LOWER(W1:W298)))+ISNUMBER(SEARCH("nextday",LOWER(W1:W298)))&gt; 0))</f>
        <v>0</v>
      </c>
      <c r="K5" s="747" cm="1">
        <f t="array" ref="K5">SUMPRODUCT(--(LOWER(AB1:AB298)="masuk"), --ISNUMBER(SEARCH("next day", LOWER(W1:W298))))</f>
        <v>0</v>
      </c>
      <c r="L5" s="740">
        <f>K5+-J5</f>
        <v>0</v>
      </c>
      <c r="M5" s="734"/>
      <c r="N5" s="748">
        <f>B5+F5+J5</f>
        <v>26</v>
      </c>
      <c r="O5" s="747">
        <f>C5+G5+K5</f>
        <v>26</v>
      </c>
      <c r="P5" s="740">
        <f>D5+H5+L5</f>
        <v>0</v>
      </c>
      <c r="R5" s="1172" t="s">
        <v>454</v>
      </c>
      <c r="S5" s="1163">
        <v>3331561091</v>
      </c>
      <c r="T5" s="1068" t="s">
        <v>441</v>
      </c>
      <c r="U5" s="1163">
        <v>24141519</v>
      </c>
      <c r="V5" s="1163" t="s">
        <v>561</v>
      </c>
      <c r="W5" s="1163" t="s">
        <v>362</v>
      </c>
      <c r="X5" s="1168">
        <v>23772.249</v>
      </c>
      <c r="Y5" s="1163" t="s">
        <v>200</v>
      </c>
      <c r="Z5" s="1068">
        <v>1</v>
      </c>
      <c r="AA5" s="1068">
        <v>1</v>
      </c>
      <c r="AB5" s="1067" t="s">
        <v>204</v>
      </c>
      <c r="AC5" s="240"/>
      <c r="AD5" s="1235"/>
      <c r="AE5" s="1167"/>
      <c r="AF5" s="609"/>
    </row>
    <row r="6" spans="1:32" ht="17.399999999999999">
      <c r="A6" s="733"/>
      <c r="B6" s="733">
        <f>SUM(B5)</f>
        <v>26</v>
      </c>
      <c r="C6" s="733">
        <f>SUM(C5)</f>
        <v>26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0</v>
      </c>
      <c r="K6" s="733">
        <f>SUM(K5)</f>
        <v>0</v>
      </c>
      <c r="L6" s="739">
        <f>SUM(L5)</f>
        <v>0</v>
      </c>
      <c r="M6" s="733"/>
      <c r="N6" s="760">
        <f>SUM(N5:N5)</f>
        <v>26</v>
      </c>
      <c r="O6" s="760">
        <f>SUM(O5:O5)</f>
        <v>26</v>
      </c>
      <c r="P6" s="761">
        <f>SUM(P5:P5)</f>
        <v>0</v>
      </c>
      <c r="R6" s="1172" t="s">
        <v>454</v>
      </c>
      <c r="S6" s="1163">
        <v>3331561092</v>
      </c>
      <c r="T6" s="1068" t="s">
        <v>441</v>
      </c>
      <c r="U6" s="1163">
        <v>24141520</v>
      </c>
      <c r="V6" s="1163" t="s">
        <v>561</v>
      </c>
      <c r="W6" s="1163" t="s">
        <v>362</v>
      </c>
      <c r="X6" s="1168">
        <v>23429.74</v>
      </c>
      <c r="Y6" s="1163" t="s">
        <v>562</v>
      </c>
      <c r="Z6" s="1068">
        <v>1</v>
      </c>
      <c r="AA6" s="1068">
        <v>1</v>
      </c>
      <c r="AB6" s="1067" t="s">
        <v>204</v>
      </c>
      <c r="AC6" s="240"/>
      <c r="AD6" s="1235"/>
      <c r="AE6" s="1167"/>
      <c r="AF6" s="609"/>
    </row>
    <row r="7" spans="1:32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1" t="s">
        <v>454</v>
      </c>
      <c r="S7" s="1163">
        <v>3331561093</v>
      </c>
      <c r="T7" s="1068" t="s">
        <v>563</v>
      </c>
      <c r="U7" s="1160">
        <v>24141521</v>
      </c>
      <c r="V7" s="1163" t="s">
        <v>561</v>
      </c>
      <c r="W7" s="1163" t="s">
        <v>362</v>
      </c>
      <c r="X7" s="1161">
        <v>23429.74</v>
      </c>
      <c r="Y7" s="1163" t="s">
        <v>200</v>
      </c>
      <c r="Z7" s="1068">
        <v>1</v>
      </c>
      <c r="AA7" s="1068">
        <v>1</v>
      </c>
      <c r="AB7" s="1067" t="s">
        <v>204</v>
      </c>
      <c r="AC7" s="240"/>
      <c r="AD7" s="1235"/>
      <c r="AE7" s="1187"/>
      <c r="AF7" s="609"/>
    </row>
    <row r="8" spans="1:32" ht="17.399999999999999">
      <c r="A8" s="763" t="str">
        <f>A1</f>
        <v>Plan tgl 13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1" t="s">
        <v>454</v>
      </c>
      <c r="S8" s="1160">
        <v>3331561103</v>
      </c>
      <c r="T8" s="1068" t="s">
        <v>564</v>
      </c>
      <c r="U8" s="1160">
        <v>24141522</v>
      </c>
      <c r="V8" s="1163" t="s">
        <v>561</v>
      </c>
      <c r="W8" s="1163" t="s">
        <v>362</v>
      </c>
      <c r="X8" s="1161">
        <v>25029.782999999999</v>
      </c>
      <c r="Y8" s="1163" t="s">
        <v>200</v>
      </c>
      <c r="Z8" s="1068">
        <v>1</v>
      </c>
      <c r="AA8" s="1068">
        <v>1</v>
      </c>
      <c r="AB8" s="1067" t="s">
        <v>204</v>
      </c>
      <c r="AC8" s="240"/>
      <c r="AD8" s="1235"/>
      <c r="AE8" s="81"/>
      <c r="AF8" s="609"/>
    </row>
    <row r="9" spans="1:32" ht="18">
      <c r="A9" s="763" t="str">
        <f>A2</f>
        <v>Realz update 14 OKT’25 jam 07.00</v>
      </c>
      <c r="B9" s="825"/>
      <c r="C9" s="825"/>
      <c r="D9" s="825"/>
      <c r="E9" s="734"/>
      <c r="F9" s="1525" t="str">
        <f>F2</f>
        <v>Tgl 13 OKT’25 diatas jam 15.00</v>
      </c>
      <c r="G9" s="1525"/>
      <c r="H9" s="1525"/>
      <c r="I9" s="826"/>
      <c r="J9" s="1525" t="str">
        <f>J2</f>
        <v>Tgl 13 OKT’25</v>
      </c>
      <c r="K9" s="1525"/>
      <c r="L9" s="1525"/>
      <c r="M9" s="734"/>
      <c r="N9" s="1526"/>
      <c r="O9" s="1526"/>
      <c r="P9" s="1526"/>
      <c r="R9" s="1205" t="s">
        <v>454</v>
      </c>
      <c r="S9" s="1207">
        <v>3331561105</v>
      </c>
      <c r="T9" s="1068" t="s">
        <v>564</v>
      </c>
      <c r="U9" s="1207">
        <v>24141523</v>
      </c>
      <c r="V9" s="1163" t="s">
        <v>561</v>
      </c>
      <c r="W9" s="1163" t="s">
        <v>362</v>
      </c>
      <c r="X9" s="1168">
        <v>24556.710999999999</v>
      </c>
      <c r="Y9" s="1163" t="s">
        <v>200</v>
      </c>
      <c r="Z9" s="1068">
        <v>1</v>
      </c>
      <c r="AA9" s="1068">
        <v>1</v>
      </c>
      <c r="AB9" s="1067" t="s">
        <v>204</v>
      </c>
      <c r="AC9" s="240"/>
      <c r="AD9" s="1235"/>
      <c r="AE9" s="81"/>
      <c r="AF9" s="609"/>
    </row>
    <row r="10" spans="1:32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72" t="s">
        <v>454</v>
      </c>
      <c r="S10" s="1163">
        <v>3331561108</v>
      </c>
      <c r="T10" s="1068" t="s">
        <v>563</v>
      </c>
      <c r="U10" s="1163">
        <v>24141524</v>
      </c>
      <c r="V10" s="1163" t="s">
        <v>561</v>
      </c>
      <c r="W10" s="1163" t="s">
        <v>362</v>
      </c>
      <c r="X10" s="1168">
        <v>22922.465</v>
      </c>
      <c r="Y10" s="1163" t="s">
        <v>562</v>
      </c>
      <c r="Z10" s="1068">
        <v>1</v>
      </c>
      <c r="AA10" s="1068">
        <v>1</v>
      </c>
      <c r="AB10" s="1067" t="s">
        <v>204</v>
      </c>
      <c r="AC10" s="240"/>
      <c r="AD10" s="1235"/>
      <c r="AE10" s="81"/>
      <c r="AF10" s="609"/>
    </row>
    <row r="11" spans="1:32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454</v>
      </c>
      <c r="S11" s="1160">
        <v>3331561110</v>
      </c>
      <c r="T11" s="1068" t="s">
        <v>564</v>
      </c>
      <c r="U11" s="1160">
        <v>24141525</v>
      </c>
      <c r="V11" s="1163" t="s">
        <v>561</v>
      </c>
      <c r="W11" s="1163" t="s">
        <v>362</v>
      </c>
      <c r="X11" s="1161">
        <v>25459.848000000002</v>
      </c>
      <c r="Y11" s="1163" t="s">
        <v>200</v>
      </c>
      <c r="Z11" s="1068">
        <v>1</v>
      </c>
      <c r="AA11" s="1068">
        <v>1</v>
      </c>
      <c r="AB11" s="1067" t="s">
        <v>204</v>
      </c>
      <c r="AC11" s="1236"/>
      <c r="AD11" s="1235"/>
      <c r="AE11" s="81"/>
      <c r="AF11" s="609"/>
    </row>
    <row r="12" spans="1:32" ht="18">
      <c r="A12" s="845" t="s">
        <v>199</v>
      </c>
      <c r="B12" s="748" cm="1">
        <f t="array" ref="B12">SUMPRODUCT(--(TRIM(LOWER(W1:W298))="jabodetabek"))</f>
        <v>10</v>
      </c>
      <c r="C12" s="748" cm="1">
        <f t="array" ref="C12">SUMPRODUCT(--(LOWER(AB1:AB298)="masuk"), --(TRIM(LOWER(W1:W298))="jabodetabek"))</f>
        <v>10</v>
      </c>
      <c r="D12" s="973">
        <f>C12+-B12</f>
        <v>0</v>
      </c>
      <c r="E12" s="734"/>
      <c r="F12" s="748" cm="1">
        <f t="array" ref="F12">SUMPRODUCT(--(LOWER(AC1:AC298)="add"), --(TRIM(LOWER(W1:W298))="jabodetabek"))</f>
        <v>0</v>
      </c>
      <c r="G12" s="747" cm="1">
        <f t="array" ref="G12">SUMPRODUCT(--(LOWER(AB1:AB298)="masuk"), --(LOWER(AC1:AC298)="add"), --(TRIM(LOWER(W1:W298))="jabodetabek"))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day",LOWER(W1:W298)))+ISNUMBER(SEARCH("jabodetabek nextday",LOWER(W1:W298)))&gt; 0))</f>
        <v>0</v>
      </c>
      <c r="K12" s="747" cm="1">
        <f t="array" ref="K12">SUMPRODUCT(--(LOWER(AB1:AB298)="masuk"), --(LOWER(TRIM(W1:W298))="jabodetabek next day"))</f>
        <v>0</v>
      </c>
      <c r="L12" s="740">
        <f>K12+-J12</f>
        <v>0</v>
      </c>
      <c r="M12" s="734"/>
      <c r="N12" s="748">
        <f t="shared" ref="N12:P16" si="0">B12+F12+J12</f>
        <v>10</v>
      </c>
      <c r="O12" s="747">
        <f t="shared" si="0"/>
        <v>10</v>
      </c>
      <c r="P12" s="740">
        <f t="shared" si="0"/>
        <v>0</v>
      </c>
      <c r="R12" s="1171" t="s">
        <v>454</v>
      </c>
      <c r="S12" s="1160">
        <v>3331561114</v>
      </c>
      <c r="T12" s="1068" t="s">
        <v>564</v>
      </c>
      <c r="U12" s="1160">
        <v>24141526</v>
      </c>
      <c r="V12" s="1163" t="s">
        <v>561</v>
      </c>
      <c r="W12" s="1163" t="s">
        <v>362</v>
      </c>
      <c r="X12" s="1161">
        <v>24384.685000000001</v>
      </c>
      <c r="Y12" s="1163" t="s">
        <v>200</v>
      </c>
      <c r="Z12" s="1068">
        <v>1</v>
      </c>
      <c r="AA12" s="1068">
        <v>1</v>
      </c>
      <c r="AB12" s="1067" t="s">
        <v>204</v>
      </c>
      <c r="AC12" s="240"/>
      <c r="AD12" s="1235"/>
      <c r="AE12" s="81"/>
      <c r="AF12" s="609"/>
    </row>
    <row r="13" spans="1:32" ht="18">
      <c r="A13" s="845" t="s">
        <v>203</v>
      </c>
      <c r="B13" s="750" cm="1">
        <f t="array" ref="B13">SUMPRODUCT(--(TRIM(LOWER(W1:W298))="jawa tengah"))</f>
        <v>1</v>
      </c>
      <c r="C13" s="750" cm="1">
        <f t="array" ref="C13">SUMPRODUCT(--(LOWER(AB1:AB298)="masuk"), --(TRIM(LOWER(W1:W298))="jawa tengah"))</f>
        <v>1</v>
      </c>
      <c r="D13" s="846">
        <f>C13+-B13</f>
        <v>0</v>
      </c>
      <c r="E13" s="734"/>
      <c r="F13" s="751" cm="1">
        <f t="array" ref="F13">SUMPRODUCT(--(LOWER(AC1:AC298)="add"), --(TRIM(LOWER(W1:W298))="jawa tengah"))</f>
        <v>0</v>
      </c>
      <c r="G13" s="747" cm="1">
        <f t="array" ref="G13">SUMPRODUCT(--(LOWER(AB1:AB298)="masuk"), --(LOWER(AC1:AC298)="add"), --(TRIM(LOWER(W1:W298))="jawa tengah"))</f>
        <v>0</v>
      </c>
      <c r="H13" s="740">
        <f>G13+-F13</f>
        <v>0</v>
      </c>
      <c r="I13" s="734"/>
      <c r="J13" s="748" cm="1">
        <f t="array" ref="J13">SUMPRODUCT(--((LOWER(TRIM(W1:W298))="jawa tengah next day")+(LOWER(TRIM(W1:W298))="jawa tengah nextday")))</f>
        <v>0</v>
      </c>
      <c r="K13" s="747" cm="1">
        <f t="array" ref="K13">SUMPRODUCT(--(LOWER(AB1:AB298)="masuk"), --(LOWER(TRIM(W1:W298))="jawa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205" t="s">
        <v>454</v>
      </c>
      <c r="S13" s="1207">
        <v>3331560918</v>
      </c>
      <c r="T13" s="1068" t="s">
        <v>441</v>
      </c>
      <c r="U13" s="1207">
        <v>24141499</v>
      </c>
      <c r="V13" s="1207" t="s">
        <v>487</v>
      </c>
      <c r="W13" s="1207" t="s">
        <v>205</v>
      </c>
      <c r="X13" s="1212">
        <f>11020.73+1154.385+26922.069</f>
        <v>39097.184000000001</v>
      </c>
      <c r="Y13" s="1207" t="s">
        <v>128</v>
      </c>
      <c r="Z13" s="1068">
        <v>1</v>
      </c>
      <c r="AA13" s="1068">
        <v>1</v>
      </c>
      <c r="AB13" s="1067" t="s">
        <v>204</v>
      </c>
      <c r="AC13" s="1213"/>
      <c r="AD13" s="81"/>
      <c r="AE13" s="81"/>
      <c r="AF13" s="609"/>
    </row>
    <row r="14" spans="1:32" ht="18">
      <c r="A14" s="845" t="s">
        <v>205</v>
      </c>
      <c r="B14" s="750" cm="1">
        <f t="array" ref="B14">SUMPRODUCT(--(TRIM(LOWER(W1:W298))="jawa timur"))</f>
        <v>7</v>
      </c>
      <c r="C14" s="750" cm="1">
        <f t="array" ref="C14">SUMPRODUCT(--(LOWER(AB1:AB298)="masuk"), --(TRIM(LOWER(W1:W298))="jawa timur"))</f>
        <v>7</v>
      </c>
      <c r="D14" s="846">
        <f>C14+-B14</f>
        <v>0</v>
      </c>
      <c r="E14" s="734"/>
      <c r="F14" s="750" cm="1">
        <f t="array" ref="F14">SUMPRODUCT(--(LOWER(AC1:AC298)="add"), --(TRIM(LOWER(W1:W298))="jawa timur"))</f>
        <v>0</v>
      </c>
      <c r="G14" s="747" cm="1">
        <f t="array" ref="G14">SUMPRODUCT(--(LOWER(AB1:AB298)="masuk"), --(LOWER(AC1:AC298)="add"), --(TRIM(LOWER(W1:W298))="jawa timur"))</f>
        <v>0</v>
      </c>
      <c r="H14" s="740">
        <f>G14+-F14</f>
        <v>0</v>
      </c>
      <c r="I14" s="734"/>
      <c r="J14" s="748" cm="1">
        <f t="array" ref="J14">SUMPRODUCT(--((LOWER(TRIM(W1:W298))="jawa timur next day")+(LOWER(TRIM(W1:W298))="jawa timur nextday")))</f>
        <v>0</v>
      </c>
      <c r="K14" s="747" cm="1">
        <f t="array" ref="K14">SUMPRODUCT(--(LOWER(AB1:AB298)="masuk"), --(LOWER(TRIM(W1:W298))="jawa timur next day"))</f>
        <v>0</v>
      </c>
      <c r="L14" s="740">
        <f>K14+-J14</f>
        <v>0</v>
      </c>
      <c r="M14" s="734"/>
      <c r="N14" s="748">
        <f t="shared" si="0"/>
        <v>7</v>
      </c>
      <c r="O14" s="747">
        <f t="shared" si="0"/>
        <v>7</v>
      </c>
      <c r="P14" s="740">
        <f t="shared" si="0"/>
        <v>0</v>
      </c>
      <c r="R14" s="1205" t="s">
        <v>454</v>
      </c>
      <c r="S14" s="1207">
        <v>3331560919</v>
      </c>
      <c r="T14" s="1068" t="s">
        <v>256</v>
      </c>
      <c r="U14" s="1207" t="s">
        <v>256</v>
      </c>
      <c r="V14" s="1207" t="s">
        <v>256</v>
      </c>
      <c r="W14" s="1207" t="s">
        <v>256</v>
      </c>
      <c r="X14" s="1212" t="s">
        <v>256</v>
      </c>
      <c r="Y14" s="1207" t="s">
        <v>256</v>
      </c>
      <c r="Z14" s="1068" t="s">
        <v>256</v>
      </c>
      <c r="AA14" s="1068" t="s">
        <v>256</v>
      </c>
      <c r="AB14" s="1067" t="s">
        <v>256</v>
      </c>
      <c r="AC14" s="1213"/>
      <c r="AD14" s="81"/>
      <c r="AE14" s="81"/>
      <c r="AF14" s="609"/>
    </row>
    <row r="15" spans="1:32" ht="18">
      <c r="A15" s="845" t="s">
        <v>362</v>
      </c>
      <c r="B15" s="750" cm="1">
        <f t="array" ref="B15">SUMPRODUCT(--(TRIM(LOWER(W1:W298))="luar pulau"))</f>
        <v>8</v>
      </c>
      <c r="C15" s="750" cm="1">
        <f t="array" ref="C15">SUMPRODUCT(--(LOWER(AB1:AB298)="masuk"), --(TRIM(LOWER(W1:W298))="luar pulau"))</f>
        <v>8</v>
      </c>
      <c r="D15" s="846">
        <f>C15+-B15</f>
        <v>0</v>
      </c>
      <c r="E15" s="734"/>
      <c r="F15" s="748" cm="1">
        <f t="array" ref="F15">SUMPRODUCT(--(LOWER(AC1:AC298)="add"), --(TRIM(LOWER(W1:W298))="luar pulau"))</f>
        <v>0</v>
      </c>
      <c r="G15" s="747" cm="1">
        <f t="array" ref="G15">SUMPRODUCT(--(LOWER(AB1:AB298)="masuk"), --(LOWER(AC1:AC298)="add"), --(TRIM(LOWER(W1:W298))="luar pulau"))</f>
        <v>0</v>
      </c>
      <c r="H15" s="740">
        <f>G15+-F15</f>
        <v>0</v>
      </c>
      <c r="I15" s="734"/>
      <c r="J15" s="748" cm="1">
        <f t="array" ref="J15">SUMPRODUCT(--((LOWER(TRIM(W1:W298))="luar pulau next day")+(LOWER(TRIM(W1:W298))="luar pulau nextday")))</f>
        <v>0</v>
      </c>
      <c r="K15" s="747" cm="1">
        <f t="array" ref="K15">SUMPRODUCT(--(LOWER(AB1:AB298)="masuk"), --(LOWER(TRIM(W1:W298))="luar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8</v>
      </c>
      <c r="P15" s="740">
        <f t="shared" si="0"/>
        <v>0</v>
      </c>
      <c r="R15" s="1172" t="s">
        <v>454</v>
      </c>
      <c r="S15" s="1163">
        <v>3331560920</v>
      </c>
      <c r="T15" s="1068" t="s">
        <v>256</v>
      </c>
      <c r="U15" s="1207" t="s">
        <v>256</v>
      </c>
      <c r="V15" s="1207" t="s">
        <v>256</v>
      </c>
      <c r="W15" s="1207" t="s">
        <v>256</v>
      </c>
      <c r="X15" s="1212" t="s">
        <v>256</v>
      </c>
      <c r="Y15" s="1207" t="s">
        <v>256</v>
      </c>
      <c r="Z15" s="1068" t="s">
        <v>256</v>
      </c>
      <c r="AA15" s="1068" t="s">
        <v>256</v>
      </c>
      <c r="AB15" s="1067" t="s">
        <v>256</v>
      </c>
      <c r="AC15" s="269"/>
      <c r="AD15" s="81"/>
      <c r="AE15" s="81"/>
      <c r="AF15" s="609"/>
    </row>
    <row r="16" spans="1:32" ht="17.399999999999999">
      <c r="A16" s="827"/>
      <c r="B16" s="733">
        <f>SUM(B12:B15)</f>
        <v>26</v>
      </c>
      <c r="C16" s="733">
        <f>SUM(C12:C15)</f>
        <v>26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0</v>
      </c>
      <c r="K16" s="733">
        <f>SUM(K12:K15)</f>
        <v>0</v>
      </c>
      <c r="L16" s="739">
        <f>SUM(L12:L15)</f>
        <v>0</v>
      </c>
      <c r="M16" s="734"/>
      <c r="N16" s="760">
        <f t="shared" si="0"/>
        <v>26</v>
      </c>
      <c r="O16" s="760">
        <f t="shared" si="0"/>
        <v>26</v>
      </c>
      <c r="P16" s="761">
        <f t="shared" si="0"/>
        <v>0</v>
      </c>
      <c r="R16" s="1172" t="s">
        <v>454</v>
      </c>
      <c r="S16" s="1163">
        <v>3331560923</v>
      </c>
      <c r="T16" s="1068" t="s">
        <v>441</v>
      </c>
      <c r="U16" s="1207">
        <v>24141500</v>
      </c>
      <c r="V16" s="1207" t="s">
        <v>487</v>
      </c>
      <c r="W16" s="1207" t="s">
        <v>205</v>
      </c>
      <c r="X16" s="1168">
        <v>42791.468000000001</v>
      </c>
      <c r="Y16" s="1207" t="s">
        <v>128</v>
      </c>
      <c r="Z16" s="1068">
        <v>1</v>
      </c>
      <c r="AA16" s="1068">
        <v>1</v>
      </c>
      <c r="AB16" s="1067" t="s">
        <v>204</v>
      </c>
      <c r="AC16" s="269"/>
      <c r="AD16" s="81"/>
      <c r="AE16" s="81"/>
      <c r="AF16" s="609"/>
    </row>
    <row r="17" spans="1:32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2" t="s">
        <v>454</v>
      </c>
      <c r="S17" s="1163">
        <v>3331560930</v>
      </c>
      <c r="T17" s="1068" t="s">
        <v>441</v>
      </c>
      <c r="U17" s="1163">
        <v>24141501</v>
      </c>
      <c r="V17" s="1207" t="s">
        <v>487</v>
      </c>
      <c r="W17" s="1207" t="s">
        <v>205</v>
      </c>
      <c r="X17" s="1168">
        <v>45672.902999999998</v>
      </c>
      <c r="Y17" s="1207" t="s">
        <v>128</v>
      </c>
      <c r="Z17" s="1068">
        <v>1</v>
      </c>
      <c r="AA17" s="1068">
        <v>1</v>
      </c>
      <c r="AB17" s="1067" t="s">
        <v>204</v>
      </c>
      <c r="AC17" s="269"/>
      <c r="AD17" s="81"/>
      <c r="AE17" s="81"/>
      <c r="AF17" s="609"/>
    </row>
    <row r="18" spans="1:32" ht="17.399999999999999">
      <c r="A18" s="1520" t="s">
        <v>434</v>
      </c>
      <c r="B18" s="1522" t="s">
        <v>415</v>
      </c>
      <c r="C18" s="1523"/>
      <c r="D18" s="152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2" t="s">
        <v>454</v>
      </c>
      <c r="S18" s="1163">
        <v>3331560940</v>
      </c>
      <c r="T18" s="1068" t="s">
        <v>336</v>
      </c>
      <c r="U18" s="1163">
        <v>24141502</v>
      </c>
      <c r="V18" s="1163" t="s">
        <v>460</v>
      </c>
      <c r="W18" s="1207" t="s">
        <v>205</v>
      </c>
      <c r="X18" s="1168">
        <v>40421.582999999999</v>
      </c>
      <c r="Y18" s="1207" t="s">
        <v>128</v>
      </c>
      <c r="Z18" s="1068">
        <v>1</v>
      </c>
      <c r="AA18" s="1068">
        <v>1</v>
      </c>
      <c r="AB18" s="1067" t="s">
        <v>204</v>
      </c>
      <c r="AC18" s="240"/>
      <c r="AD18" s="81"/>
      <c r="AE18" s="81"/>
      <c r="AF18" s="609"/>
    </row>
    <row r="19" spans="1:32" ht="17.399999999999999">
      <c r="A19" s="152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2" t="s">
        <v>454</v>
      </c>
      <c r="S19" s="1163">
        <v>3331560942</v>
      </c>
      <c r="T19" s="1068" t="s">
        <v>256</v>
      </c>
      <c r="U19" s="1163" t="s">
        <v>256</v>
      </c>
      <c r="V19" s="1163" t="s">
        <v>256</v>
      </c>
      <c r="W19" s="1163" t="s">
        <v>256</v>
      </c>
      <c r="X19" s="1168" t="s">
        <v>256</v>
      </c>
      <c r="Y19" s="1163" t="s">
        <v>256</v>
      </c>
      <c r="Z19" s="1068" t="s">
        <v>256</v>
      </c>
      <c r="AA19" s="1068" t="s">
        <v>256</v>
      </c>
      <c r="AB19" s="1067" t="s">
        <v>256</v>
      </c>
      <c r="AC19" s="240"/>
      <c r="AD19" s="81"/>
      <c r="AE19" s="81"/>
      <c r="AF19" s="609"/>
    </row>
    <row r="20" spans="1:32" ht="18">
      <c r="A20" s="968" t="s">
        <v>427</v>
      </c>
      <c r="B20" s="970" cm="1">
        <f t="array" ref="B20">SUMPRODUCT(--((LOWER(TRIM($W$2:$W$305))="ambil sendiri")+(LOWER(TRIM($W$2:$W$305))="cokot sorangan")))</f>
        <v>0</v>
      </c>
      <c r="C20" s="969" cm="1">
        <f t="array" ref="C20">SUMPRODUCT(--(LOWER(AB2:AB331)="masuk"), --((LOWER(TRIM($W$2:$W$331))="cokot sorangan") + (LOWER(TRIM(W2:W331))="ambil sendiri")))</f>
        <v>0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454</v>
      </c>
      <c r="S20" s="1163">
        <v>3331560943</v>
      </c>
      <c r="T20" s="1068" t="s">
        <v>256</v>
      </c>
      <c r="U20" s="1163" t="s">
        <v>256</v>
      </c>
      <c r="V20" s="1163" t="s">
        <v>256</v>
      </c>
      <c r="W20" s="1163" t="s">
        <v>256</v>
      </c>
      <c r="X20" s="1168" t="s">
        <v>256</v>
      </c>
      <c r="Y20" s="1163" t="s">
        <v>256</v>
      </c>
      <c r="Z20" s="1068" t="s">
        <v>256</v>
      </c>
      <c r="AA20" s="1068" t="s">
        <v>256</v>
      </c>
      <c r="AB20" s="1067" t="s">
        <v>256</v>
      </c>
      <c r="AC20" s="240"/>
      <c r="AD20" s="81"/>
      <c r="AE20" s="81"/>
      <c r="AF20" s="609"/>
    </row>
    <row r="21" spans="1:32" ht="17.399999999999999">
      <c r="A21" s="993"/>
      <c r="B21" s="760">
        <f>SUM(B161:B164)</f>
        <v>0</v>
      </c>
      <c r="C21" s="760">
        <f>SUM(C161:C164)</f>
        <v>0</v>
      </c>
      <c r="D21" s="761">
        <f>SUM(D161:D164)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454</v>
      </c>
      <c r="S21" s="1163">
        <v>3331560960</v>
      </c>
      <c r="T21" s="1068" t="s">
        <v>336</v>
      </c>
      <c r="U21" s="1163">
        <v>24141503</v>
      </c>
      <c r="V21" s="1163" t="s">
        <v>460</v>
      </c>
      <c r="W21" s="1207" t="s">
        <v>205</v>
      </c>
      <c r="X21" s="1168">
        <v>46047.135000000002</v>
      </c>
      <c r="Y21" s="1207" t="s">
        <v>128</v>
      </c>
      <c r="Z21" s="1068">
        <v>1</v>
      </c>
      <c r="AA21" s="1068">
        <v>1</v>
      </c>
      <c r="AB21" s="1067" t="s">
        <v>204</v>
      </c>
      <c r="AC21" s="240"/>
      <c r="AD21" s="81"/>
      <c r="AE21" s="81"/>
      <c r="AF21" s="609"/>
    </row>
    <row r="22" spans="1:32" ht="17.399999999999999">
      <c r="A22" s="993"/>
      <c r="B22" s="1021"/>
      <c r="C22" s="1021"/>
      <c r="D22" s="1022"/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454</v>
      </c>
      <c r="S22" s="1167">
        <v>3331560970</v>
      </c>
      <c r="T22" s="1183" t="s">
        <v>189</v>
      </c>
      <c r="U22" s="1167">
        <v>24141505</v>
      </c>
      <c r="V22" s="1167" t="s">
        <v>565</v>
      </c>
      <c r="W22" s="1167" t="s">
        <v>566</v>
      </c>
      <c r="X22" s="1169">
        <v>22191.353999999999</v>
      </c>
      <c r="Y22" s="1167" t="s">
        <v>426</v>
      </c>
      <c r="Z22" s="1182">
        <v>1</v>
      </c>
      <c r="AA22" s="1182">
        <v>1</v>
      </c>
      <c r="AB22" s="1099" t="s">
        <v>207</v>
      </c>
      <c r="AC22" s="240"/>
      <c r="AD22" s="81"/>
      <c r="AE22" s="81"/>
      <c r="AF22" s="609"/>
    </row>
    <row r="23" spans="1:32" ht="17.399999999999999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3" t="s">
        <v>454</v>
      </c>
      <c r="S23" s="1167">
        <v>3331560972</v>
      </c>
      <c r="T23" s="1183" t="s">
        <v>189</v>
      </c>
      <c r="U23" s="1167">
        <v>24141506</v>
      </c>
      <c r="V23" s="1167" t="s">
        <v>565</v>
      </c>
      <c r="W23" s="1167" t="s">
        <v>566</v>
      </c>
      <c r="X23" s="1169">
        <v>22191.353999999999</v>
      </c>
      <c r="Y23" s="1167" t="s">
        <v>426</v>
      </c>
      <c r="Z23" s="1182">
        <v>1</v>
      </c>
      <c r="AA23" s="1182">
        <v>1</v>
      </c>
      <c r="AB23" s="1099" t="s">
        <v>207</v>
      </c>
      <c r="AC23" s="240"/>
      <c r="AD23" s="81"/>
      <c r="AE23" s="81"/>
      <c r="AF23" s="609"/>
    </row>
    <row r="24" spans="1:32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3" t="s">
        <v>454</v>
      </c>
      <c r="S24" s="1167">
        <v>3331560973</v>
      </c>
      <c r="T24" s="1183" t="s">
        <v>189</v>
      </c>
      <c r="U24" s="1167">
        <v>24141507</v>
      </c>
      <c r="V24" s="1167" t="s">
        <v>565</v>
      </c>
      <c r="W24" s="1167" t="s">
        <v>566</v>
      </c>
      <c r="X24" s="1169">
        <v>22191.353999999999</v>
      </c>
      <c r="Y24" s="1167" t="s">
        <v>426</v>
      </c>
      <c r="Z24" s="1182">
        <v>1</v>
      </c>
      <c r="AA24" s="1182">
        <v>1</v>
      </c>
      <c r="AB24" s="1099" t="s">
        <v>207</v>
      </c>
      <c r="AC24" s="240"/>
      <c r="AD24" s="81"/>
      <c r="AE24" s="81"/>
      <c r="AF24" s="609"/>
    </row>
    <row r="25" spans="1:32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454</v>
      </c>
      <c r="S25" s="1167">
        <v>3331561023</v>
      </c>
      <c r="T25" s="1183" t="s">
        <v>189</v>
      </c>
      <c r="U25" s="1167">
        <v>24141513</v>
      </c>
      <c r="V25" s="1167" t="s">
        <v>565</v>
      </c>
      <c r="W25" s="1167" t="s">
        <v>566</v>
      </c>
      <c r="X25" s="1169">
        <v>22147.09</v>
      </c>
      <c r="Y25" s="1167" t="s">
        <v>426</v>
      </c>
      <c r="Z25" s="1182">
        <v>1</v>
      </c>
      <c r="AA25" s="1182">
        <v>1</v>
      </c>
      <c r="AB25" s="1099" t="s">
        <v>207</v>
      </c>
      <c r="AC25" s="240"/>
      <c r="AD25" s="81"/>
      <c r="AE25" s="81"/>
      <c r="AF25" s="609"/>
    </row>
    <row r="26" spans="1:32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2" t="s">
        <v>454</v>
      </c>
      <c r="S26" s="1163">
        <v>3331561048</v>
      </c>
      <c r="T26" s="1207" t="s">
        <v>206</v>
      </c>
      <c r="U26" s="1163">
        <v>24141517</v>
      </c>
      <c r="V26" s="1163" t="s">
        <v>486</v>
      </c>
      <c r="W26" s="1163" t="s">
        <v>205</v>
      </c>
      <c r="X26" s="1168">
        <f>28325.189+2451.373+4574.785</f>
        <v>35351.346999999994</v>
      </c>
      <c r="Y26" s="1163" t="s">
        <v>128</v>
      </c>
      <c r="Z26" s="1207">
        <v>1</v>
      </c>
      <c r="AA26" s="1207">
        <v>1</v>
      </c>
      <c r="AB26" s="1067" t="s">
        <v>204</v>
      </c>
      <c r="AC26" s="240"/>
      <c r="AD26" s="81"/>
      <c r="AE26" s="81"/>
      <c r="AF26" s="609"/>
    </row>
    <row r="27" spans="1:32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2" t="s">
        <v>454</v>
      </c>
      <c r="S27" s="1163">
        <v>3331561065</v>
      </c>
      <c r="T27" s="1207" t="s">
        <v>256</v>
      </c>
      <c r="U27" s="1163" t="s">
        <v>256</v>
      </c>
      <c r="V27" s="1163" t="s">
        <v>256</v>
      </c>
      <c r="W27" s="1163" t="s">
        <v>256</v>
      </c>
      <c r="X27" s="1168" t="s">
        <v>256</v>
      </c>
      <c r="Y27" s="1163" t="s">
        <v>256</v>
      </c>
      <c r="Z27" s="1207" t="s">
        <v>256</v>
      </c>
      <c r="AA27" s="1207" t="s">
        <v>256</v>
      </c>
      <c r="AB27" s="1208" t="s">
        <v>256</v>
      </c>
      <c r="AC27" s="240"/>
      <c r="AD27" s="81"/>
      <c r="AE27" s="81"/>
      <c r="AF27" s="609"/>
    </row>
    <row r="28" spans="1:32" ht="17.399999999999999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2" t="s">
        <v>454</v>
      </c>
      <c r="S28" s="1163">
        <v>3331561067</v>
      </c>
      <c r="T28" s="1207" t="s">
        <v>256</v>
      </c>
      <c r="U28" s="1163" t="s">
        <v>256</v>
      </c>
      <c r="V28" s="1163" t="s">
        <v>256</v>
      </c>
      <c r="W28" s="1163" t="s">
        <v>256</v>
      </c>
      <c r="X28" s="1168" t="s">
        <v>256</v>
      </c>
      <c r="Y28" s="1163" t="s">
        <v>256</v>
      </c>
      <c r="Z28" s="1207" t="s">
        <v>256</v>
      </c>
      <c r="AA28" s="1207" t="s">
        <v>256</v>
      </c>
      <c r="AB28" s="1208" t="s">
        <v>256</v>
      </c>
      <c r="AC28" s="240"/>
      <c r="AD28" s="81"/>
      <c r="AE28" s="81"/>
      <c r="AF28" s="609"/>
    </row>
    <row r="29" spans="1:32" ht="17.399999999999999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2" t="s">
        <v>454</v>
      </c>
      <c r="S29" s="1163">
        <v>3331561090</v>
      </c>
      <c r="T29" s="1207" t="s">
        <v>27</v>
      </c>
      <c r="U29" s="1163">
        <v>24141518</v>
      </c>
      <c r="V29" s="1163" t="s">
        <v>224</v>
      </c>
      <c r="W29" s="1163" t="s">
        <v>203</v>
      </c>
      <c r="X29" s="1168">
        <v>24291.861000000001</v>
      </c>
      <c r="Y29" s="1163" t="s">
        <v>200</v>
      </c>
      <c r="Z29" s="1207">
        <v>1</v>
      </c>
      <c r="AA29" s="1207">
        <v>1</v>
      </c>
      <c r="AB29" s="1067" t="s">
        <v>204</v>
      </c>
      <c r="AC29" s="240"/>
      <c r="AD29" s="81"/>
      <c r="AE29" s="81"/>
      <c r="AF29" s="609"/>
    </row>
    <row r="30" spans="1:32" ht="17.399999999999999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2" t="s">
        <v>454</v>
      </c>
      <c r="S30" s="1163">
        <v>3331559148</v>
      </c>
      <c r="T30" s="1207" t="s">
        <v>27</v>
      </c>
      <c r="U30" s="1163">
        <v>24141514</v>
      </c>
      <c r="V30" s="1163" t="s">
        <v>173</v>
      </c>
      <c r="W30" s="1163" t="s">
        <v>205</v>
      </c>
      <c r="X30" s="1168">
        <f>5589.788+16399.068+6124.219+934.65</f>
        <v>29047.725000000002</v>
      </c>
      <c r="Y30" s="1163" t="s">
        <v>200</v>
      </c>
      <c r="Z30" s="1207">
        <v>1</v>
      </c>
      <c r="AA30" s="1207">
        <v>1</v>
      </c>
      <c r="AB30" s="1067" t="s">
        <v>204</v>
      </c>
      <c r="AC30" s="240"/>
      <c r="AD30" s="81"/>
      <c r="AE30" s="81"/>
      <c r="AF30" s="609"/>
    </row>
    <row r="31" spans="1:32" ht="17.399999999999999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2" t="s">
        <v>567</v>
      </c>
      <c r="S31" s="1163">
        <v>3331559149</v>
      </c>
      <c r="T31" s="1207" t="s">
        <v>256</v>
      </c>
      <c r="U31" s="1163" t="s">
        <v>256</v>
      </c>
      <c r="V31" s="1163" t="s">
        <v>256</v>
      </c>
      <c r="W31" s="1163" t="s">
        <v>256</v>
      </c>
      <c r="X31" s="1168" t="s">
        <v>256</v>
      </c>
      <c r="Y31" s="1163" t="s">
        <v>256</v>
      </c>
      <c r="Z31" s="1207" t="s">
        <v>256</v>
      </c>
      <c r="AA31" s="1207" t="s">
        <v>256</v>
      </c>
      <c r="AB31" s="1208" t="s">
        <v>256</v>
      </c>
      <c r="AC31" s="240"/>
      <c r="AD31" s="81"/>
      <c r="AE31" s="81"/>
      <c r="AF31" s="609"/>
    </row>
    <row r="32" spans="1:32" ht="17.399999999999999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2" t="s">
        <v>454</v>
      </c>
      <c r="S32" s="1163">
        <v>3331561031</v>
      </c>
      <c r="T32" s="1207" t="s">
        <v>256</v>
      </c>
      <c r="U32" s="1163" t="s">
        <v>256</v>
      </c>
      <c r="V32" s="1163" t="s">
        <v>256</v>
      </c>
      <c r="W32" s="1163" t="s">
        <v>256</v>
      </c>
      <c r="X32" s="1168" t="s">
        <v>256</v>
      </c>
      <c r="Y32" s="1163" t="s">
        <v>256</v>
      </c>
      <c r="Z32" s="1207" t="s">
        <v>256</v>
      </c>
      <c r="AA32" s="1207" t="s">
        <v>256</v>
      </c>
      <c r="AB32" s="1208" t="s">
        <v>256</v>
      </c>
      <c r="AC32" s="240"/>
      <c r="AD32" s="81"/>
      <c r="AE32" s="81"/>
      <c r="AF32" s="609"/>
    </row>
    <row r="33" spans="1:32" ht="17.399999999999999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2" t="s">
        <v>454</v>
      </c>
      <c r="S33" s="1163">
        <v>3331561032</v>
      </c>
      <c r="T33" s="1207" t="s">
        <v>256</v>
      </c>
      <c r="U33" s="1163" t="s">
        <v>256</v>
      </c>
      <c r="V33" s="1163" t="s">
        <v>256</v>
      </c>
      <c r="W33" s="1163" t="s">
        <v>256</v>
      </c>
      <c r="X33" s="1168" t="s">
        <v>256</v>
      </c>
      <c r="Y33" s="1163" t="s">
        <v>256</v>
      </c>
      <c r="Z33" s="1207" t="s">
        <v>256</v>
      </c>
      <c r="AA33" s="1207" t="s">
        <v>256</v>
      </c>
      <c r="AB33" s="1208" t="s">
        <v>256</v>
      </c>
      <c r="AC33" s="240"/>
      <c r="AD33" s="81"/>
      <c r="AE33" s="81"/>
      <c r="AF33" s="609"/>
    </row>
    <row r="34" spans="1:32" ht="17.399999999999999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2" t="s">
        <v>454</v>
      </c>
      <c r="S34" s="1163">
        <v>3331561115</v>
      </c>
      <c r="T34" s="1207" t="s">
        <v>441</v>
      </c>
      <c r="U34" s="1163">
        <v>24141527</v>
      </c>
      <c r="V34" s="1163" t="s">
        <v>444</v>
      </c>
      <c r="W34" s="1163" t="s">
        <v>568</v>
      </c>
      <c r="X34" s="1168">
        <f>40770.162+5093.842</f>
        <v>45864.003999999994</v>
      </c>
      <c r="Y34" s="1163" t="s">
        <v>128</v>
      </c>
      <c r="Z34" s="1207">
        <v>1</v>
      </c>
      <c r="AA34" s="1207">
        <v>1</v>
      </c>
      <c r="AB34" s="1067" t="s">
        <v>204</v>
      </c>
      <c r="AC34" s="240"/>
      <c r="AD34" s="81"/>
      <c r="AE34" s="81"/>
      <c r="AF34" s="609"/>
    </row>
    <row r="35" spans="1:32" ht="17.399999999999999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2" t="s">
        <v>454</v>
      </c>
      <c r="S35" s="1163">
        <v>3331561123</v>
      </c>
      <c r="T35" s="1207" t="s">
        <v>256</v>
      </c>
      <c r="U35" s="1163" t="s">
        <v>256</v>
      </c>
      <c r="V35" s="1163" t="s">
        <v>256</v>
      </c>
      <c r="W35" s="1163" t="s">
        <v>256</v>
      </c>
      <c r="X35" s="1168" t="s">
        <v>256</v>
      </c>
      <c r="Y35" s="1163" t="s">
        <v>256</v>
      </c>
      <c r="Z35" s="1207" t="s">
        <v>256</v>
      </c>
      <c r="AA35" s="1207"/>
      <c r="AB35" s="1208"/>
      <c r="AC35" s="240"/>
      <c r="AD35" s="81"/>
      <c r="AE35" s="81"/>
      <c r="AF35" s="609"/>
    </row>
    <row r="36" spans="1:32" ht="15.6">
      <c r="R36" s="1172" t="s">
        <v>454</v>
      </c>
      <c r="S36" s="1163">
        <v>3331561124</v>
      </c>
      <c r="T36" s="1207" t="s">
        <v>441</v>
      </c>
      <c r="U36" s="1163">
        <v>24141528</v>
      </c>
      <c r="V36" s="1163" t="s">
        <v>569</v>
      </c>
      <c r="W36" s="1163" t="s">
        <v>568</v>
      </c>
      <c r="X36" s="1168">
        <v>40403.474999999999</v>
      </c>
      <c r="Y36" s="1163" t="s">
        <v>128</v>
      </c>
      <c r="Z36" s="1207">
        <v>1</v>
      </c>
      <c r="AA36" s="1207">
        <v>1</v>
      </c>
      <c r="AB36" s="1067" t="s">
        <v>204</v>
      </c>
      <c r="AC36" s="240"/>
      <c r="AD36" s="81"/>
      <c r="AE36" s="81"/>
      <c r="AF36" s="609"/>
    </row>
    <row r="37" spans="1:32" ht="15.6">
      <c r="R37" s="1173" t="s">
        <v>454</v>
      </c>
      <c r="S37" s="1167">
        <v>3331561126</v>
      </c>
      <c r="T37" s="1182" t="s">
        <v>437</v>
      </c>
      <c r="U37" s="1167">
        <v>24141529</v>
      </c>
      <c r="V37" s="1167" t="s">
        <v>569</v>
      </c>
      <c r="W37" s="1167" t="s">
        <v>568</v>
      </c>
      <c r="X37" s="1169">
        <v>45801.921999999999</v>
      </c>
      <c r="Y37" s="1167" t="s">
        <v>128</v>
      </c>
      <c r="Z37" s="1182">
        <v>1</v>
      </c>
      <c r="AA37" s="1182">
        <v>1</v>
      </c>
      <c r="AB37" s="1099" t="s">
        <v>207</v>
      </c>
      <c r="AC37" s="240"/>
      <c r="AD37" s="81"/>
      <c r="AE37" s="81"/>
      <c r="AF37" s="609"/>
    </row>
    <row r="38" spans="1:32" ht="15.6">
      <c r="R38" s="1201" t="s">
        <v>454</v>
      </c>
      <c r="S38" s="1202">
        <v>3331560892</v>
      </c>
      <c r="T38" s="1102" t="s">
        <v>34</v>
      </c>
      <c r="U38" s="1202">
        <v>24141480</v>
      </c>
      <c r="V38" s="1202" t="s">
        <v>219</v>
      </c>
      <c r="W38" s="1202" t="s">
        <v>199</v>
      </c>
      <c r="X38" s="1203">
        <v>25889.913</v>
      </c>
      <c r="Y38" s="1202" t="s">
        <v>200</v>
      </c>
      <c r="Z38" s="1102">
        <v>1</v>
      </c>
      <c r="AA38" s="1102">
        <v>1</v>
      </c>
      <c r="AB38" s="1104" t="s">
        <v>204</v>
      </c>
      <c r="AC38" s="1210"/>
      <c r="AD38" s="81"/>
      <c r="AE38" s="81"/>
      <c r="AF38" s="609"/>
    </row>
    <row r="39" spans="1:32" ht="15.6">
      <c r="R39" s="1201" t="s">
        <v>454</v>
      </c>
      <c r="S39" s="108">
        <v>3331560893</v>
      </c>
      <c r="T39" s="1209" t="s">
        <v>11</v>
      </c>
      <c r="U39" s="1202">
        <v>24141481</v>
      </c>
      <c r="V39" s="1202" t="s">
        <v>219</v>
      </c>
      <c r="W39" s="1202" t="s">
        <v>199</v>
      </c>
      <c r="X39" s="1203">
        <v>26018.933000000001</v>
      </c>
      <c r="Y39" s="1202" t="s">
        <v>200</v>
      </c>
      <c r="Z39" s="1209">
        <v>1</v>
      </c>
      <c r="AA39" s="1209">
        <v>1</v>
      </c>
      <c r="AB39" s="1228" t="s">
        <v>204</v>
      </c>
      <c r="AC39" s="1192"/>
      <c r="AD39" s="81"/>
      <c r="AE39" s="81"/>
      <c r="AF39" s="609"/>
    </row>
    <row r="40" spans="1:32" ht="15.6">
      <c r="R40" s="1201" t="s">
        <v>570</v>
      </c>
      <c r="S40" s="1202">
        <v>3331560170</v>
      </c>
      <c r="T40" s="1102" t="s">
        <v>34</v>
      </c>
      <c r="U40" s="1202">
        <v>24141482</v>
      </c>
      <c r="V40" s="1202" t="s">
        <v>366</v>
      </c>
      <c r="W40" s="1202" t="s">
        <v>199</v>
      </c>
      <c r="X40" s="1203">
        <v>25910.536</v>
      </c>
      <c r="Y40" s="1202" t="s">
        <v>200</v>
      </c>
      <c r="Z40" s="1102">
        <v>1</v>
      </c>
      <c r="AA40" s="1102">
        <v>1</v>
      </c>
      <c r="AB40" s="1104" t="s">
        <v>204</v>
      </c>
      <c r="AC40" s="1210"/>
      <c r="AD40" s="81"/>
      <c r="AE40" s="81"/>
      <c r="AF40" s="609"/>
    </row>
    <row r="41" spans="1:32" ht="15.6">
      <c r="R41" s="1201" t="s">
        <v>570</v>
      </c>
      <c r="S41" s="1202">
        <v>3331560175</v>
      </c>
      <c r="T41" s="1209" t="s">
        <v>27</v>
      </c>
      <c r="U41" s="1202">
        <v>24141483</v>
      </c>
      <c r="V41" s="1202" t="s">
        <v>366</v>
      </c>
      <c r="W41" s="1202" t="s">
        <v>199</v>
      </c>
      <c r="X41" s="1203">
        <v>26166.06</v>
      </c>
      <c r="Y41" s="1202" t="s">
        <v>200</v>
      </c>
      <c r="Z41" s="1102">
        <v>1</v>
      </c>
      <c r="AA41" s="1102">
        <v>1</v>
      </c>
      <c r="AB41" s="1104" t="s">
        <v>204</v>
      </c>
      <c r="AC41" s="1210"/>
      <c r="AD41" s="81"/>
      <c r="AE41" s="81"/>
      <c r="AF41" s="609"/>
    </row>
    <row r="42" spans="1:32" ht="15.6">
      <c r="R42" s="1201" t="s">
        <v>454</v>
      </c>
      <c r="S42" s="1202">
        <v>3331560900</v>
      </c>
      <c r="T42" s="1209" t="s">
        <v>287</v>
      </c>
      <c r="U42" s="1202">
        <v>24141489</v>
      </c>
      <c r="V42" s="1202" t="s">
        <v>158</v>
      </c>
      <c r="W42" s="1202" t="s">
        <v>199</v>
      </c>
      <c r="X42" s="1203">
        <f>6364.962+18623.073</f>
        <v>24988.035</v>
      </c>
      <c r="Y42" s="1202" t="s">
        <v>200</v>
      </c>
      <c r="Z42" s="1209">
        <v>1</v>
      </c>
      <c r="AA42" s="1209">
        <v>1</v>
      </c>
      <c r="AB42" s="1228" t="s">
        <v>204</v>
      </c>
      <c r="AC42" s="1210"/>
      <c r="AD42" s="81"/>
      <c r="AE42" s="81"/>
      <c r="AF42" s="609"/>
    </row>
    <row r="43" spans="1:32" ht="15.6">
      <c r="R43" s="1201" t="s">
        <v>454</v>
      </c>
      <c r="S43" s="1202">
        <v>3331560901</v>
      </c>
      <c r="T43" s="1209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102" t="s">
        <v>256</v>
      </c>
      <c r="AA43" s="1102" t="s">
        <v>256</v>
      </c>
      <c r="AB43" s="1104" t="s">
        <v>256</v>
      </c>
      <c r="AC43" s="1210"/>
      <c r="AD43" s="81"/>
      <c r="AE43" s="81"/>
      <c r="AF43" s="609"/>
    </row>
    <row r="44" spans="1:32" ht="15.6">
      <c r="R44" s="1201" t="s">
        <v>454</v>
      </c>
      <c r="S44" s="1202">
        <v>3331560906</v>
      </c>
      <c r="T44" s="1209" t="s">
        <v>287</v>
      </c>
      <c r="U44" s="1202">
        <v>24141492</v>
      </c>
      <c r="V44" s="1202" t="s">
        <v>158</v>
      </c>
      <c r="W44" s="1202" t="s">
        <v>199</v>
      </c>
      <c r="X44" s="1203">
        <f>7664.277+19266.912</f>
        <v>26931.188999999998</v>
      </c>
      <c r="Y44" s="1202" t="s">
        <v>200</v>
      </c>
      <c r="Z44" s="1102">
        <v>1</v>
      </c>
      <c r="AA44" s="1102">
        <v>1</v>
      </c>
      <c r="AB44" s="1104" t="s">
        <v>204</v>
      </c>
      <c r="AC44" s="1192"/>
      <c r="AD44" s="81"/>
      <c r="AE44" s="81"/>
      <c r="AF44" s="609"/>
    </row>
    <row r="45" spans="1:32" ht="15.6">
      <c r="R45" s="1201" t="s">
        <v>454</v>
      </c>
      <c r="S45" s="1202">
        <v>3331560908</v>
      </c>
      <c r="T45" s="1209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102" t="s">
        <v>256</v>
      </c>
      <c r="AA45" s="1102" t="s">
        <v>256</v>
      </c>
      <c r="AB45" s="1104" t="s">
        <v>256</v>
      </c>
      <c r="AC45" s="1192"/>
      <c r="AD45" s="81"/>
      <c r="AE45" s="81"/>
      <c r="AF45" s="609"/>
    </row>
    <row r="46" spans="1:32" ht="15.6">
      <c r="R46" s="1226" t="s">
        <v>454</v>
      </c>
      <c r="S46" s="784">
        <v>3331560910</v>
      </c>
      <c r="T46" s="786" t="s">
        <v>11</v>
      </c>
      <c r="U46" s="784">
        <v>24141493</v>
      </c>
      <c r="V46" s="784" t="s">
        <v>158</v>
      </c>
      <c r="W46" s="1202" t="s">
        <v>199</v>
      </c>
      <c r="X46" s="786">
        <v>25201.182000000001</v>
      </c>
      <c r="Y46" s="1077" t="s">
        <v>200</v>
      </c>
      <c r="Z46" s="1237">
        <v>1</v>
      </c>
      <c r="AA46" s="1237">
        <v>1</v>
      </c>
      <c r="AB46" s="1238" t="s">
        <v>204</v>
      </c>
      <c r="AC46" s="1192"/>
      <c r="AD46" s="81"/>
      <c r="AE46" s="81"/>
      <c r="AF46" s="609"/>
    </row>
    <row r="47" spans="1:32" ht="15.6">
      <c r="R47" s="1226" t="s">
        <v>454</v>
      </c>
      <c r="S47" s="784">
        <v>3331560914</v>
      </c>
      <c r="T47" s="786" t="s">
        <v>462</v>
      </c>
      <c r="U47" s="784">
        <v>24141498</v>
      </c>
      <c r="V47" s="784" t="s">
        <v>131</v>
      </c>
      <c r="W47" s="1227" t="s">
        <v>199</v>
      </c>
      <c r="X47" s="786">
        <v>25502.152999999998</v>
      </c>
      <c r="Y47" s="1077" t="s">
        <v>200</v>
      </c>
      <c r="Z47" s="1102">
        <v>1</v>
      </c>
      <c r="AA47" s="1102">
        <v>1</v>
      </c>
      <c r="AB47" s="1104" t="s">
        <v>204</v>
      </c>
      <c r="AC47" s="1210"/>
      <c r="AD47" s="81"/>
      <c r="AE47" s="81"/>
      <c r="AF47" s="609"/>
    </row>
    <row r="48" spans="1:32" ht="15.6">
      <c r="R48" s="1201" t="s">
        <v>454</v>
      </c>
      <c r="S48" s="1227">
        <v>3331561039</v>
      </c>
      <c r="T48" s="1229" t="s">
        <v>34</v>
      </c>
      <c r="U48" s="1227">
        <v>24141515</v>
      </c>
      <c r="V48" s="1227" t="s">
        <v>571</v>
      </c>
      <c r="W48" s="1227" t="s">
        <v>199</v>
      </c>
      <c r="X48" s="1229">
        <v>24551.667000000001</v>
      </c>
      <c r="Y48" s="1202" t="s">
        <v>200</v>
      </c>
      <c r="Z48" s="1209">
        <v>1</v>
      </c>
      <c r="AA48" s="1209">
        <v>1</v>
      </c>
      <c r="AB48" s="1228" t="s">
        <v>204</v>
      </c>
      <c r="AC48" s="1192"/>
      <c r="AD48" s="81"/>
      <c r="AE48" s="81"/>
      <c r="AF48" s="609"/>
    </row>
    <row r="49" spans="18:32" ht="15.6">
      <c r="R49" s="1201" t="s">
        <v>454</v>
      </c>
      <c r="S49" s="1227">
        <v>3331561041</v>
      </c>
      <c r="T49" s="1229" t="s">
        <v>462</v>
      </c>
      <c r="U49" s="1227">
        <v>24141516</v>
      </c>
      <c r="V49" s="1227" t="s">
        <v>572</v>
      </c>
      <c r="W49" s="1227" t="s">
        <v>199</v>
      </c>
      <c r="X49" s="1229">
        <v>22386.616999999998</v>
      </c>
      <c r="Y49" s="1202" t="s">
        <v>200</v>
      </c>
      <c r="Z49" s="1209">
        <v>1</v>
      </c>
      <c r="AA49" s="1209">
        <v>1</v>
      </c>
      <c r="AB49" s="1228" t="s">
        <v>204</v>
      </c>
      <c r="AC49" s="1192"/>
      <c r="AD49" s="81"/>
      <c r="AE49" s="81"/>
      <c r="AF49" s="609"/>
    </row>
    <row r="50" spans="18:32" ht="15.6">
      <c r="R50" s="1189"/>
      <c r="S50" s="1224"/>
      <c r="T50" s="1225"/>
      <c r="U50" s="1224"/>
      <c r="V50" s="1224"/>
      <c r="W50" s="1224"/>
      <c r="X50" s="1225"/>
      <c r="Y50" s="1190"/>
      <c r="Z50" s="1217"/>
      <c r="AA50" s="1217"/>
      <c r="AB50" s="1218"/>
      <c r="AC50" s="1192"/>
      <c r="AD50" s="81"/>
      <c r="AE50" s="81"/>
      <c r="AF50" s="609"/>
    </row>
    <row r="51" spans="18:32" ht="15.6">
      <c r="R51" s="1189"/>
      <c r="S51" s="1224"/>
      <c r="T51" s="1225"/>
      <c r="U51" s="1224"/>
      <c r="V51" s="1224"/>
      <c r="W51" s="1224"/>
      <c r="X51" s="1225"/>
      <c r="Y51" s="1190"/>
      <c r="Z51" s="1217"/>
      <c r="AA51" s="1217"/>
      <c r="AB51" s="1218"/>
      <c r="AC51" s="1192"/>
      <c r="AD51" s="81"/>
      <c r="AE51" s="81"/>
      <c r="AF51" s="609"/>
    </row>
    <row r="52" spans="18:32" ht="15.6">
      <c r="R52" s="1189"/>
      <c r="S52" s="1224"/>
      <c r="T52" s="1225"/>
      <c r="U52" s="1224"/>
      <c r="V52" s="1224"/>
      <c r="W52" s="1224"/>
      <c r="X52" s="1225"/>
      <c r="Y52" s="1190"/>
      <c r="Z52" s="1217"/>
      <c r="AA52" s="1217"/>
      <c r="AB52" s="1218"/>
      <c r="AC52" s="1192"/>
      <c r="AD52" s="81"/>
      <c r="AE52" s="81"/>
      <c r="AF52" s="609"/>
    </row>
    <row r="53" spans="18:32" ht="15.6">
      <c r="R53" s="1201"/>
      <c r="S53" s="1201">
        <v>3331560262</v>
      </c>
      <c r="T53" s="1229" t="s">
        <v>573</v>
      </c>
      <c r="U53" s="1230" t="s">
        <v>256</v>
      </c>
      <c r="V53" s="1230" t="s">
        <v>256</v>
      </c>
      <c r="W53" s="1230" t="s">
        <v>256</v>
      </c>
      <c r="X53" s="1230" t="s">
        <v>256</v>
      </c>
      <c r="Y53" s="1230" t="s">
        <v>256</v>
      </c>
      <c r="Z53" s="1209"/>
      <c r="AA53" s="1209"/>
      <c r="AB53" s="1228"/>
      <c r="AC53" s="1210"/>
      <c r="AD53" s="81"/>
      <c r="AE53" s="81"/>
      <c r="AF53" s="609"/>
    </row>
    <row r="54" spans="18:32" ht="15.6">
      <c r="R54" s="1201"/>
      <c r="S54" s="1201">
        <v>3331560269</v>
      </c>
      <c r="T54" s="1229" t="s">
        <v>573</v>
      </c>
      <c r="U54" s="1227">
        <v>24141458</v>
      </c>
      <c r="V54" s="1227" t="s">
        <v>569</v>
      </c>
      <c r="W54" s="1227" t="s">
        <v>568</v>
      </c>
      <c r="X54" s="1229">
        <v>22965.471000000001</v>
      </c>
      <c r="Y54" s="1231" t="s">
        <v>200</v>
      </c>
      <c r="Z54" s="1209">
        <v>1</v>
      </c>
      <c r="AA54" s="1209">
        <v>1</v>
      </c>
      <c r="AB54" s="1228" t="s">
        <v>204</v>
      </c>
      <c r="AC54" s="1210"/>
      <c r="AD54" s="81"/>
      <c r="AE54" s="81"/>
      <c r="AF54" s="609"/>
    </row>
    <row r="55" spans="18:32" ht="15.6">
      <c r="R55" s="1189"/>
      <c r="S55" s="1224"/>
      <c r="T55" s="1225"/>
      <c r="U55" s="1224"/>
      <c r="V55" s="1224"/>
      <c r="W55" s="1224"/>
      <c r="X55" s="1225"/>
      <c r="Y55" s="1190"/>
      <c r="Z55" s="1217"/>
      <c r="AA55" s="1217"/>
      <c r="AB55" s="1218"/>
      <c r="AC55" s="1192"/>
      <c r="AD55" s="81"/>
      <c r="AE55" s="81"/>
      <c r="AF55" s="609"/>
    </row>
    <row r="56" spans="18:32" ht="15.6">
      <c r="R56" s="1189"/>
      <c r="S56" s="1224"/>
      <c r="T56" s="1224"/>
      <c r="U56" s="1224"/>
      <c r="V56" s="1224"/>
      <c r="W56" s="1224"/>
      <c r="X56" s="1225"/>
      <c r="Y56" s="1190"/>
      <c r="Z56" s="1217"/>
      <c r="AA56" s="1217"/>
      <c r="AB56" s="1218"/>
      <c r="AC56" s="1192"/>
      <c r="AD56" s="81"/>
      <c r="AE56" s="81"/>
      <c r="AF56" s="609"/>
    </row>
    <row r="57" spans="18:32" ht="15.6">
      <c r="R57" s="1220"/>
      <c r="S57" s="1219"/>
      <c r="T57" s="1219"/>
      <c r="U57" s="1219"/>
      <c r="V57" s="1219"/>
      <c r="W57" s="1217"/>
      <c r="X57" s="1221"/>
      <c r="Y57" s="1217"/>
      <c r="Z57" s="1217"/>
      <c r="AA57" s="1217"/>
      <c r="AB57" s="1218"/>
      <c r="AC57" s="1192"/>
      <c r="AD57" s="81"/>
      <c r="AE57" s="81"/>
      <c r="AF57" s="609"/>
    </row>
    <row r="58" spans="18:32" ht="15.6">
      <c r="R58" s="1220"/>
      <c r="S58" s="1219"/>
      <c r="T58" s="1219"/>
      <c r="U58" s="1219"/>
      <c r="V58" s="1219"/>
      <c r="W58" s="1217"/>
      <c r="X58" s="1221"/>
      <c r="Y58" s="1217"/>
      <c r="Z58" s="1217"/>
      <c r="AA58" s="1217"/>
      <c r="AB58" s="1218"/>
      <c r="AC58" s="1192"/>
      <c r="AD58" s="81"/>
      <c r="AE58" s="81"/>
      <c r="AF58" s="609"/>
    </row>
    <row r="59" spans="18:32" ht="15.6">
      <c r="R59" s="1220"/>
      <c r="S59" s="1189"/>
      <c r="T59" s="1219"/>
      <c r="U59" s="1219"/>
      <c r="V59" s="1219"/>
      <c r="W59" s="1219"/>
      <c r="X59" s="1221"/>
      <c r="Y59" s="1217"/>
      <c r="Z59" s="1217"/>
      <c r="AA59" s="1217"/>
      <c r="AB59" s="1218"/>
      <c r="AC59" s="1192"/>
      <c r="AD59" s="81"/>
      <c r="AE59" s="81"/>
      <c r="AF59" s="609"/>
    </row>
    <row r="60" spans="18:32" ht="15.6">
      <c r="R60" s="1220"/>
      <c r="S60" s="1189"/>
      <c r="T60" s="1111"/>
      <c r="U60" s="1219"/>
      <c r="V60" s="1219"/>
      <c r="W60" s="1219"/>
      <c r="X60" s="1221"/>
      <c r="Y60" s="1217"/>
      <c r="Z60" s="1217"/>
      <c r="AA60" s="1217"/>
      <c r="AB60" s="1218"/>
      <c r="AC60" s="1192"/>
      <c r="AD60" s="81"/>
      <c r="AE60" s="81"/>
      <c r="AF60" s="609"/>
    </row>
    <row r="61" spans="18:32" ht="15.6">
      <c r="R61" s="1220"/>
      <c r="S61" s="1219"/>
      <c r="T61" s="1111"/>
      <c r="U61" s="1219"/>
      <c r="V61" s="1219"/>
      <c r="W61" s="1219"/>
      <c r="X61" s="1221"/>
      <c r="Y61" s="1217"/>
      <c r="Z61" s="1217"/>
      <c r="AA61" s="1217"/>
      <c r="AB61" s="1218"/>
      <c r="AC61" s="1192"/>
      <c r="AD61" s="81"/>
      <c r="AE61" s="81"/>
      <c r="AF61" s="609"/>
    </row>
    <row r="62" spans="18:32" ht="15.6">
      <c r="R62" s="1220"/>
      <c r="S62" s="1219"/>
      <c r="T62" s="1111"/>
      <c r="U62" s="1219"/>
      <c r="V62" s="1219"/>
      <c r="W62" s="1219"/>
      <c r="X62" s="1221"/>
      <c r="Y62" s="1217"/>
      <c r="Z62" s="1217"/>
      <c r="AA62" s="1217"/>
      <c r="AB62" s="1218"/>
      <c r="AC62" s="1192"/>
      <c r="AD62" s="81"/>
      <c r="AE62" s="81"/>
      <c r="AF62" s="609"/>
    </row>
    <row r="63" spans="18:32" ht="15.6">
      <c r="R63" s="1220"/>
      <c r="S63" s="1219"/>
      <c r="T63" s="1111"/>
      <c r="U63" s="1219"/>
      <c r="V63" s="1219"/>
      <c r="W63" s="1219"/>
      <c r="X63" s="1221"/>
      <c r="Y63" s="1217"/>
      <c r="Z63" s="1217"/>
      <c r="AA63" s="1217"/>
      <c r="AB63" s="1218"/>
      <c r="AC63" s="1192"/>
      <c r="AD63" s="81"/>
      <c r="AE63" s="81"/>
      <c r="AF63" s="609"/>
    </row>
    <row r="64" spans="18:32" ht="15.6">
      <c r="R64" s="1220"/>
      <c r="S64" s="1219"/>
      <c r="T64" s="1219"/>
      <c r="U64" s="1219"/>
      <c r="V64" s="1219"/>
      <c r="W64" s="1219"/>
      <c r="X64" s="1221"/>
      <c r="Y64" s="1217"/>
      <c r="Z64" s="1217"/>
      <c r="AA64" s="1217"/>
      <c r="AB64" s="1218"/>
      <c r="AC64" s="1192"/>
      <c r="AD64" s="81"/>
      <c r="AE64" s="81"/>
      <c r="AF64" s="609"/>
    </row>
    <row r="65" spans="18:32" ht="15.6">
      <c r="R65" s="1220"/>
      <c r="S65" s="1219"/>
      <c r="T65" s="1219"/>
      <c r="U65" s="1219"/>
      <c r="V65" s="1219"/>
      <c r="W65" s="1219"/>
      <c r="X65" s="1221"/>
      <c r="Y65" s="1217"/>
      <c r="Z65" s="1217"/>
      <c r="AA65" s="1217"/>
      <c r="AB65" s="1218"/>
      <c r="AC65" s="1192"/>
      <c r="AD65" s="81"/>
      <c r="AE65" s="81"/>
      <c r="AF65" s="609"/>
    </row>
    <row r="66" spans="18:32" ht="15.6">
      <c r="R66" s="1220"/>
      <c r="S66" s="1219"/>
      <c r="T66" s="1219"/>
      <c r="U66" s="1219"/>
      <c r="V66" s="1219"/>
      <c r="W66" s="1219"/>
      <c r="X66" s="1221"/>
      <c r="Y66" s="1217"/>
      <c r="Z66" s="1217"/>
      <c r="AA66" s="1217"/>
      <c r="AB66" s="1218"/>
      <c r="AC66" s="1192"/>
      <c r="AD66" s="81"/>
      <c r="AE66" s="81"/>
      <c r="AF66" s="609"/>
    </row>
    <row r="67" spans="18:32" ht="15.6">
      <c r="R67" s="1220"/>
      <c r="S67" s="1219"/>
      <c r="T67" s="1221"/>
      <c r="U67" s="1219"/>
      <c r="V67" s="1219"/>
      <c r="W67" s="1219"/>
      <c r="X67" s="1221"/>
      <c r="Y67" s="1217"/>
      <c r="Z67" s="1217"/>
      <c r="AA67" s="1217"/>
      <c r="AB67" s="1218"/>
      <c r="AC67" s="1192"/>
      <c r="AD67" s="81"/>
      <c r="AE67" s="81"/>
      <c r="AF67" s="609"/>
    </row>
    <row r="68" spans="18:32" ht="15.6">
      <c r="R68" s="1220"/>
      <c r="S68" s="1219"/>
      <c r="T68" s="1219"/>
      <c r="U68" s="1219"/>
      <c r="V68" s="1219"/>
      <c r="W68" s="1219"/>
      <c r="X68" s="1221"/>
      <c r="Y68" s="1217"/>
      <c r="Z68" s="1217"/>
      <c r="AA68" s="1217"/>
      <c r="AB68" s="1218"/>
      <c r="AC68" s="1192"/>
      <c r="AD68" s="81"/>
      <c r="AE68" s="81"/>
      <c r="AF68" s="609"/>
    </row>
    <row r="69" spans="18:32" ht="15.6">
      <c r="R69" s="1220"/>
      <c r="S69" s="1219"/>
      <c r="T69" s="1219"/>
      <c r="U69" s="1219"/>
      <c r="V69" s="1219"/>
      <c r="W69" s="1219"/>
      <c r="X69" s="1221"/>
      <c r="Y69" s="1217"/>
      <c r="Z69" s="1217"/>
      <c r="AA69" s="1217"/>
      <c r="AB69" s="1218"/>
      <c r="AC69" s="1192"/>
      <c r="AD69" s="81"/>
      <c r="AE69" s="81"/>
      <c r="AF69" s="609"/>
    </row>
    <row r="70" spans="18:32" ht="15.6">
      <c r="R70" s="1220"/>
      <c r="S70" s="1219"/>
      <c r="T70" s="1219"/>
      <c r="U70" s="1219"/>
      <c r="V70" s="1219"/>
      <c r="W70" s="1219"/>
      <c r="X70" s="1221"/>
      <c r="Y70" s="1217"/>
      <c r="Z70" s="1217"/>
      <c r="AA70" s="1217"/>
      <c r="AB70" s="1218"/>
      <c r="AC70" s="1192"/>
      <c r="AD70" s="81"/>
      <c r="AE70" s="81"/>
      <c r="AF70" s="609"/>
    </row>
    <row r="71" spans="18:32" ht="15.6">
      <c r="R71" s="1220"/>
      <c r="S71" s="1219"/>
      <c r="T71" s="1219"/>
      <c r="U71" s="1219"/>
      <c r="V71" s="1219"/>
      <c r="W71" s="1219"/>
      <c r="X71" s="1221"/>
      <c r="Y71" s="1217"/>
      <c r="Z71" s="1217"/>
      <c r="AA71" s="1217"/>
      <c r="AB71" s="1218"/>
      <c r="AC71" s="1192"/>
      <c r="AD71" s="81"/>
      <c r="AE71" s="81"/>
      <c r="AF71" s="609"/>
    </row>
    <row r="72" spans="18:32" ht="15.6">
      <c r="R72" s="1220"/>
      <c r="S72" s="1219"/>
      <c r="T72" s="1219"/>
      <c r="U72" s="1219"/>
      <c r="V72" s="1219"/>
      <c r="W72" s="1219"/>
      <c r="X72" s="1221"/>
      <c r="Y72" s="1217"/>
      <c r="Z72" s="1217"/>
      <c r="AA72" s="1217"/>
      <c r="AB72" s="1218"/>
      <c r="AC72" s="1192"/>
      <c r="AD72" s="81"/>
      <c r="AE72" s="81"/>
      <c r="AF72" s="609"/>
    </row>
    <row r="73" spans="18:32" ht="15.6">
      <c r="R73" s="1189"/>
      <c r="S73" s="1190"/>
      <c r="T73" s="1111"/>
      <c r="U73" s="1190"/>
      <c r="V73" s="1190"/>
      <c r="W73" s="1190"/>
      <c r="X73" s="1191"/>
      <c r="Y73" s="1190"/>
      <c r="Z73" s="1106"/>
      <c r="AA73" s="1106"/>
      <c r="AB73" s="1110"/>
      <c r="AC73" s="1192"/>
      <c r="AD73" s="81"/>
      <c r="AE73" s="81"/>
      <c r="AF73" s="609"/>
    </row>
    <row r="74" spans="18:32" ht="15.6">
      <c r="R74" s="1189"/>
      <c r="S74" s="1190"/>
      <c r="T74" s="1111"/>
      <c r="U74" s="1190"/>
      <c r="V74" s="1190"/>
      <c r="W74" s="1190"/>
      <c r="X74" s="1191"/>
      <c r="Y74" s="1190"/>
      <c r="Z74" s="1106"/>
      <c r="AA74" s="1106"/>
      <c r="AB74" s="1110"/>
      <c r="AC74" s="1192"/>
      <c r="AD74" s="81"/>
      <c r="AE74" s="81"/>
      <c r="AF74" s="609"/>
    </row>
    <row r="75" spans="18:32" ht="15.6">
      <c r="R75" s="1189"/>
      <c r="S75" s="1190"/>
      <c r="T75" s="1111"/>
      <c r="U75" s="1190"/>
      <c r="V75" s="1190"/>
      <c r="W75" s="1190"/>
      <c r="X75" s="1191"/>
      <c r="Y75" s="1190"/>
      <c r="Z75" s="1106"/>
      <c r="AA75" s="1106"/>
      <c r="AB75" s="1110"/>
      <c r="AC75" s="1192"/>
      <c r="AD75" s="81"/>
      <c r="AE75" s="81"/>
      <c r="AF75" s="609"/>
    </row>
    <row r="76" spans="18:32" ht="15.6">
      <c r="R76" s="1189"/>
      <c r="S76" s="1190"/>
      <c r="T76" s="1111"/>
      <c r="U76" s="1190"/>
      <c r="V76" s="1190"/>
      <c r="W76" s="1190"/>
      <c r="X76" s="1191"/>
      <c r="Y76" s="1190"/>
      <c r="Z76" s="1106"/>
      <c r="AA76" s="1106"/>
      <c r="AB76" s="1110"/>
      <c r="AC76" s="1192"/>
      <c r="AD76" s="81"/>
      <c r="AE76" s="81"/>
      <c r="AF76" s="300"/>
    </row>
    <row r="77" spans="18:32" ht="15.6">
      <c r="R77" s="1189"/>
      <c r="S77" s="1217"/>
      <c r="T77" s="1111"/>
      <c r="U77" s="1190"/>
      <c r="V77" s="1190"/>
      <c r="W77" s="1190"/>
      <c r="X77" s="1191"/>
      <c r="Y77" s="1190"/>
      <c r="Z77" s="1190"/>
      <c r="AA77" s="1190"/>
      <c r="AB77" s="1110"/>
      <c r="AC77" s="1192"/>
      <c r="AD77" s="81"/>
      <c r="AE77" s="81"/>
      <c r="AF77" s="300"/>
    </row>
    <row r="78" spans="18:32" ht="15.6">
      <c r="R78" s="1189"/>
      <c r="S78" s="1217"/>
      <c r="T78" s="1111"/>
      <c r="U78" s="1190"/>
      <c r="V78" s="1190"/>
      <c r="W78" s="1190"/>
      <c r="X78" s="1191"/>
      <c r="Y78" s="1190"/>
      <c r="Z78" s="1106"/>
      <c r="AA78" s="1106"/>
      <c r="AB78" s="1110"/>
      <c r="AC78" s="1192"/>
      <c r="AD78" s="81"/>
      <c r="AE78" s="81"/>
      <c r="AF78" s="300"/>
    </row>
    <row r="79" spans="18:32" ht="15.6">
      <c r="R79" s="1189"/>
      <c r="S79" s="1190"/>
      <c r="T79" s="1111"/>
      <c r="U79" s="1190"/>
      <c r="V79" s="1190"/>
      <c r="W79" s="1190"/>
      <c r="X79" s="1191"/>
      <c r="Y79" s="1190"/>
      <c r="Z79" s="1106"/>
      <c r="AA79" s="1106"/>
      <c r="AB79" s="1110"/>
      <c r="AC79" s="1192"/>
      <c r="AD79" s="81"/>
      <c r="AE79" s="81"/>
      <c r="AF79" s="300"/>
    </row>
    <row r="80" spans="18:32" ht="15.6">
      <c r="R80" s="1189"/>
      <c r="S80" s="1190"/>
      <c r="T80" s="1111"/>
      <c r="U80" s="1190"/>
      <c r="V80" s="1190"/>
      <c r="W80" s="1190"/>
      <c r="X80" s="1191"/>
      <c r="Y80" s="1190"/>
      <c r="Z80" s="1106"/>
      <c r="AA80" s="1106"/>
      <c r="AB80" s="1110"/>
      <c r="AC80" s="1192"/>
      <c r="AD80" s="81"/>
      <c r="AE80" s="81"/>
      <c r="AF80" s="300"/>
    </row>
    <row r="81" spans="18:32" ht="15.6">
      <c r="R81" s="1189"/>
      <c r="S81" s="1190"/>
      <c r="T81" s="1111"/>
      <c r="U81" s="1190"/>
      <c r="V81" s="1190"/>
      <c r="W81" s="1190"/>
      <c r="X81" s="1191"/>
      <c r="Y81" s="1190"/>
      <c r="Z81" s="1106"/>
      <c r="AA81" s="1106"/>
      <c r="AB81" s="1110"/>
      <c r="AC81" s="1192"/>
      <c r="AD81" s="81"/>
      <c r="AE81" s="81"/>
      <c r="AF81" s="300"/>
    </row>
    <row r="82" spans="18:32" ht="15.6">
      <c r="R82" s="1189"/>
      <c r="S82" s="1190"/>
      <c r="T82" s="1111"/>
      <c r="U82" s="1190"/>
      <c r="V82" s="1190"/>
      <c r="W82" s="1190"/>
      <c r="X82" s="1191"/>
      <c r="Y82" s="1190"/>
      <c r="Z82" s="1190"/>
      <c r="AA82" s="1190"/>
      <c r="AB82" s="1110"/>
      <c r="AC82" s="1192"/>
      <c r="AD82" s="81"/>
      <c r="AE82" s="81"/>
      <c r="AF82" s="300"/>
    </row>
    <row r="83" spans="18:32" s="44" customFormat="1" ht="15.6">
      <c r="R83" s="1189"/>
      <c r="S83" s="1190"/>
      <c r="T83" s="1111"/>
      <c r="U83" s="1190"/>
      <c r="V83" s="1190"/>
      <c r="W83" s="1190"/>
      <c r="X83" s="1191"/>
      <c r="Y83" s="1190"/>
      <c r="Z83" s="1190"/>
      <c r="AA83" s="1190"/>
      <c r="AB83" s="1110"/>
      <c r="AC83" s="1192"/>
      <c r="AD83" s="81"/>
      <c r="AE83" s="81"/>
      <c r="AF83" s="300"/>
    </row>
    <row r="84" spans="18:32" s="44" customFormat="1" ht="15.6">
      <c r="R84" s="1189"/>
      <c r="S84" s="1190"/>
      <c r="T84" s="1111"/>
      <c r="U84" s="1190"/>
      <c r="V84" s="1190"/>
      <c r="W84" s="1190"/>
      <c r="X84" s="1191"/>
      <c r="Y84" s="1190"/>
      <c r="Z84" s="1190"/>
      <c r="AA84" s="1190"/>
      <c r="AB84" s="1110"/>
      <c r="AC84" s="1192"/>
      <c r="AD84" s="81"/>
      <c r="AE84" s="81"/>
      <c r="AF84" s="609"/>
    </row>
    <row r="85" spans="18:32" s="44" customFormat="1" ht="15.6">
      <c r="R85" s="1189"/>
      <c r="S85" s="1190"/>
      <c r="T85" s="1111"/>
      <c r="U85" s="1190"/>
      <c r="V85" s="1190"/>
      <c r="W85" s="1190"/>
      <c r="X85" s="1191"/>
      <c r="Y85" s="1190"/>
      <c r="Z85" s="1106"/>
      <c r="AA85" s="1106"/>
      <c r="AB85" s="1110"/>
      <c r="AC85" s="1192"/>
      <c r="AD85" s="81"/>
      <c r="AE85" s="81"/>
      <c r="AF85" s="609"/>
    </row>
    <row r="86" spans="18:32" s="44" customFormat="1" ht="15.6">
      <c r="R86" s="1189"/>
      <c r="S86" s="1190"/>
      <c r="T86" s="1111"/>
      <c r="U86" s="1190"/>
      <c r="V86" s="1190"/>
      <c r="W86" s="1190"/>
      <c r="X86" s="1191"/>
      <c r="Y86" s="1190"/>
      <c r="Z86" s="1190"/>
      <c r="AA86" s="1190"/>
      <c r="AB86" s="1110"/>
      <c r="AC86" s="1192"/>
      <c r="AD86" s="81"/>
      <c r="AE86" s="81"/>
      <c r="AF86" s="609"/>
    </row>
    <row r="87" spans="18:32" s="44" customFormat="1">
      <c r="R87" s="1189"/>
      <c r="S87" s="1190"/>
      <c r="T87" s="1190"/>
      <c r="U87" s="1190"/>
      <c r="V87" s="1190"/>
      <c r="W87" s="1190"/>
      <c r="X87" s="1191"/>
      <c r="Y87" s="1190"/>
      <c r="Z87" s="1190"/>
      <c r="AA87" s="1190"/>
      <c r="AB87" s="1190"/>
      <c r="AC87" s="1192"/>
      <c r="AD87" s="81"/>
      <c r="AE87" s="81"/>
      <c r="AF87" s="609"/>
    </row>
    <row r="88" spans="18:32" s="44" customFormat="1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  <c r="AD88" s="81"/>
      <c r="AE88" s="81"/>
      <c r="AF88" s="609"/>
    </row>
    <row r="89" spans="18:32" s="44" customFormat="1">
      <c r="R89" s="1189"/>
      <c r="S89" s="1190"/>
      <c r="T89" s="1190"/>
      <c r="U89" s="1190"/>
      <c r="V89" s="1190"/>
      <c r="W89" s="1190"/>
      <c r="X89" s="1191"/>
      <c r="Y89" s="1190"/>
      <c r="Z89" s="1190"/>
      <c r="AA89" s="1190"/>
      <c r="AB89" s="1190"/>
      <c r="AC89" s="1192"/>
      <c r="AD89" s="81"/>
      <c r="AE89" s="81"/>
      <c r="AF89" s="609"/>
    </row>
    <row r="90" spans="18:32" s="44" customFormat="1">
      <c r="R90" s="1189"/>
      <c r="S90" s="1190"/>
      <c r="T90" s="1111"/>
      <c r="U90" s="1190"/>
      <c r="V90" s="1190"/>
      <c r="W90" s="1190"/>
      <c r="X90" s="1191"/>
      <c r="Y90" s="1190"/>
      <c r="Z90" s="1190"/>
      <c r="AA90" s="1190"/>
      <c r="AB90" s="1190"/>
      <c r="AC90" s="1192"/>
      <c r="AD90" s="81"/>
      <c r="AE90" s="81"/>
      <c r="AF90" s="609"/>
    </row>
    <row r="91" spans="18:32">
      <c r="R91" s="1189"/>
      <c r="S91" s="1190"/>
      <c r="T91" s="1111"/>
      <c r="U91" s="1190"/>
      <c r="V91" s="1190"/>
      <c r="W91" s="1190"/>
      <c r="X91" s="1191"/>
      <c r="Y91" s="1190"/>
      <c r="Z91" s="1190"/>
      <c r="AA91" s="1190"/>
      <c r="AB91" s="1190"/>
      <c r="AC91" s="1192"/>
      <c r="AD91" s="81"/>
      <c r="AE91" s="81"/>
      <c r="AF91" s="609"/>
    </row>
    <row r="92" spans="18:32">
      <c r="R92" s="1189"/>
      <c r="S92" s="1190"/>
      <c r="T92" s="1111"/>
      <c r="U92" s="1190"/>
      <c r="V92" s="1190"/>
      <c r="W92" s="1190"/>
      <c r="X92" s="1191"/>
      <c r="Y92" s="1190"/>
      <c r="Z92" s="1190"/>
      <c r="AA92" s="1190"/>
      <c r="AB92" s="1190"/>
      <c r="AC92" s="1192"/>
      <c r="AD92" s="81"/>
      <c r="AE92" s="81"/>
      <c r="AF92" s="609"/>
    </row>
    <row r="93" spans="18:32">
      <c r="R93" s="1189"/>
      <c r="S93" s="1190"/>
      <c r="T93" s="1111"/>
      <c r="U93" s="1190"/>
      <c r="V93" s="1190"/>
      <c r="W93" s="1190"/>
      <c r="X93" s="1191"/>
      <c r="Y93" s="1190"/>
      <c r="Z93" s="1190"/>
      <c r="AA93" s="1190"/>
      <c r="AB93" s="1190"/>
      <c r="AC93" s="1192"/>
      <c r="AD93" s="81"/>
      <c r="AE93" s="81"/>
      <c r="AF93" s="609"/>
    </row>
    <row r="94" spans="18:32">
      <c r="R94" s="1189"/>
      <c r="S94" s="1190"/>
      <c r="T94" s="1111"/>
      <c r="U94" s="1190"/>
      <c r="V94" s="1190"/>
      <c r="W94" s="1190"/>
      <c r="X94" s="1191"/>
      <c r="Y94" s="1190"/>
      <c r="Z94" s="1190"/>
      <c r="AA94" s="1190"/>
      <c r="AB94" s="1190"/>
      <c r="AC94" s="1192"/>
      <c r="AD94" s="81"/>
      <c r="AE94" s="81"/>
      <c r="AF94" s="609"/>
    </row>
    <row r="95" spans="18:32">
      <c r="R95" s="1189"/>
      <c r="S95" s="1190"/>
      <c r="T95" s="1111"/>
      <c r="U95" s="1190"/>
      <c r="V95" s="1190"/>
      <c r="W95" s="1190"/>
      <c r="X95" s="1191"/>
      <c r="Y95" s="1190"/>
      <c r="Z95" s="1190"/>
      <c r="AA95" s="1190"/>
      <c r="AB95" s="1190"/>
      <c r="AC95" s="1192"/>
      <c r="AD95" s="81"/>
      <c r="AE95" s="81"/>
      <c r="AF95" s="609"/>
    </row>
    <row r="96" spans="18:32">
      <c r="R96" s="1189"/>
      <c r="S96" s="1190"/>
      <c r="T96" s="1111"/>
      <c r="U96" s="1190"/>
      <c r="V96" s="1190"/>
      <c r="W96" s="1190"/>
      <c r="X96" s="1191"/>
      <c r="Y96" s="1190"/>
      <c r="Z96" s="1190"/>
      <c r="AA96" s="1190"/>
      <c r="AB96" s="1190"/>
      <c r="AC96" s="1192"/>
      <c r="AD96" s="81"/>
      <c r="AE96" s="81"/>
      <c r="AF96" s="609"/>
    </row>
    <row r="97" spans="18:32">
      <c r="R97" s="1189"/>
      <c r="S97" s="1190"/>
      <c r="T97" s="1111"/>
      <c r="U97" s="1190"/>
      <c r="V97" s="1190"/>
      <c r="W97" s="1190"/>
      <c r="X97" s="1191"/>
      <c r="Y97" s="1190"/>
      <c r="Z97" s="1190"/>
      <c r="AA97" s="1190"/>
      <c r="AB97" s="1190"/>
      <c r="AC97" s="1192"/>
      <c r="AD97" s="81"/>
      <c r="AE97" s="81"/>
      <c r="AF97" s="609"/>
    </row>
    <row r="98" spans="18:32">
      <c r="R98" s="1189"/>
      <c r="S98" s="1190"/>
      <c r="T98" s="1111"/>
      <c r="U98" s="1190"/>
      <c r="V98" s="1190"/>
      <c r="W98" s="1190"/>
      <c r="X98" s="1191"/>
      <c r="Y98" s="1190"/>
      <c r="Z98" s="1190"/>
      <c r="AA98" s="1190"/>
      <c r="AB98" s="1190"/>
      <c r="AC98" s="1192"/>
      <c r="AD98" s="81"/>
      <c r="AE98" s="81"/>
      <c r="AF98" s="609"/>
    </row>
    <row r="99" spans="18:32">
      <c r="R99" s="1189"/>
      <c r="S99" s="1190"/>
      <c r="T99" s="1190"/>
      <c r="U99" s="1190"/>
      <c r="V99" s="1190"/>
      <c r="W99" s="1190"/>
      <c r="X99" s="1191"/>
      <c r="Y99" s="1190"/>
      <c r="Z99" s="1190"/>
      <c r="AA99" s="1190"/>
      <c r="AB99" s="1190"/>
      <c r="AC99" s="1192"/>
      <c r="AD99" s="81"/>
      <c r="AE99" s="81"/>
      <c r="AF99" s="609"/>
    </row>
    <row r="100" spans="18:32">
      <c r="R100" s="1189"/>
      <c r="S100" s="1190"/>
      <c r="T100" s="1111"/>
      <c r="U100" s="1190"/>
      <c r="V100" s="1190"/>
      <c r="W100" s="1190"/>
      <c r="X100" s="1191"/>
      <c r="Y100" s="1190"/>
      <c r="Z100" s="1190"/>
      <c r="AA100" s="1190"/>
      <c r="AB100" s="1190"/>
      <c r="AC100" s="1192"/>
      <c r="AD100" s="81"/>
      <c r="AE100" s="81"/>
      <c r="AF100" s="609"/>
    </row>
    <row r="101" spans="18:32">
      <c r="R101" s="1189"/>
      <c r="S101" s="1190"/>
      <c r="T101" s="1111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81"/>
      <c r="AE101" s="81"/>
      <c r="AF101" s="609"/>
    </row>
    <row r="102" spans="18:32">
      <c r="R102" s="1189"/>
      <c r="S102" s="1190"/>
      <c r="T102" s="1111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81"/>
      <c r="AE102" s="81"/>
      <c r="AF102" s="609"/>
    </row>
    <row r="103" spans="18:32">
      <c r="R103" s="1189"/>
      <c r="S103" s="1190"/>
      <c r="T103" s="1190"/>
      <c r="U103" s="1190"/>
      <c r="V103" s="1190"/>
      <c r="W103" s="1190"/>
      <c r="X103" s="1193"/>
      <c r="Y103" s="1190"/>
      <c r="Z103" s="1190"/>
      <c r="AA103" s="1190"/>
      <c r="AB103" s="1190"/>
      <c r="AC103" s="1192"/>
      <c r="AD103" s="81"/>
      <c r="AE103" s="81"/>
      <c r="AF103" s="609"/>
    </row>
    <row r="104" spans="18:32"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  <c r="AE104" s="81"/>
      <c r="AF104" s="609"/>
    </row>
    <row r="105" spans="18:32">
      <c r="R105" s="1194"/>
      <c r="S105" s="1195"/>
      <c r="T105" s="1195"/>
      <c r="U105" s="1195"/>
      <c r="V105" s="1195"/>
      <c r="W105" s="1195"/>
      <c r="X105" s="1196"/>
      <c r="Y105" s="1195"/>
      <c r="Z105" s="1195"/>
      <c r="AA105" s="1195"/>
      <c r="AB105" s="1195"/>
      <c r="AC105" s="1197"/>
      <c r="AD105" s="81"/>
      <c r="AE105" s="81"/>
      <c r="AF105" s="609"/>
    </row>
    <row r="106" spans="18:32">
      <c r="R106" s="1194"/>
      <c r="S106" s="1195"/>
      <c r="T106" s="1195"/>
      <c r="U106" s="1195"/>
      <c r="V106" s="1195"/>
      <c r="W106" s="1195"/>
      <c r="X106" s="1196"/>
      <c r="Y106" s="1195"/>
      <c r="Z106" s="1195"/>
      <c r="AA106" s="1195"/>
      <c r="AB106" s="1195"/>
      <c r="AC106" s="1197"/>
      <c r="AD106" s="203"/>
      <c r="AE106" s="203"/>
      <c r="AF106" s="609"/>
    </row>
    <row r="107" spans="18:32">
      <c r="R107" s="1198"/>
      <c r="S107" s="1198"/>
      <c r="T107" s="1198"/>
      <c r="U107" s="1198"/>
      <c r="V107" s="1198"/>
      <c r="W107" s="1198"/>
      <c r="X107" s="1198"/>
      <c r="Y107" s="1198"/>
      <c r="Z107" s="1198"/>
      <c r="AA107" s="1198"/>
      <c r="AB107" s="1198"/>
      <c r="AC107" s="1198"/>
    </row>
    <row r="108" spans="18:32">
      <c r="R108" s="1198"/>
      <c r="S108" s="1198"/>
      <c r="T108" s="1198"/>
      <c r="U108" s="1198"/>
      <c r="V108" s="1198"/>
      <c r="W108" s="1198"/>
      <c r="X108" s="1198"/>
      <c r="Y108" s="1198"/>
      <c r="Z108" s="1198"/>
      <c r="AA108" s="1198"/>
      <c r="AB108" s="1198"/>
      <c r="AC108" s="1198"/>
    </row>
    <row r="109" spans="18:32">
      <c r="R109" s="1198"/>
      <c r="S109" s="1198"/>
      <c r="T109" s="1198"/>
      <c r="U109" s="1198"/>
      <c r="V109" s="1198"/>
      <c r="W109" s="1198"/>
      <c r="X109" s="1198"/>
      <c r="Y109" s="1198"/>
      <c r="Z109" s="1198"/>
      <c r="AA109" s="1198"/>
      <c r="AB109" s="1198"/>
      <c r="AC109" s="1198"/>
    </row>
    <row r="110" spans="18:32">
      <c r="R110" s="1198"/>
      <c r="S110" s="1198"/>
      <c r="T110" s="1198"/>
      <c r="U110" s="1198"/>
      <c r="V110" s="1198"/>
      <c r="W110" s="1198"/>
      <c r="X110" s="1198"/>
      <c r="Y110" s="1198"/>
      <c r="Z110" s="1198"/>
      <c r="AA110" s="1198"/>
      <c r="AB110" s="1198"/>
      <c r="AC110" s="1198"/>
    </row>
    <row r="111" spans="18:32">
      <c r="R111" s="1198"/>
      <c r="S111" s="1198"/>
      <c r="T111" s="1198"/>
      <c r="U111" s="1198"/>
      <c r="V111" s="1198"/>
      <c r="W111" s="1198"/>
      <c r="X111" s="1198"/>
      <c r="Y111" s="1198"/>
      <c r="Z111" s="1198"/>
      <c r="AA111" s="1198"/>
      <c r="AB111" s="1198"/>
      <c r="AC111" s="1198"/>
    </row>
    <row r="112" spans="18:32">
      <c r="R112" s="1198"/>
      <c r="S112" s="1198"/>
      <c r="T112" s="1198"/>
      <c r="U112" s="1198"/>
      <c r="V112" s="1198"/>
      <c r="W112" s="1198"/>
      <c r="X112" s="1198"/>
      <c r="Y112" s="1198"/>
      <c r="Z112" s="1198"/>
      <c r="AA112" s="1198"/>
      <c r="AB112" s="1198"/>
      <c r="AC112" s="1198"/>
    </row>
    <row r="113" spans="18:29">
      <c r="R113" s="1198"/>
      <c r="S113" s="1198"/>
      <c r="T113" s="1198"/>
      <c r="U113" s="1198"/>
      <c r="V113" s="1198"/>
      <c r="W113" s="1198"/>
      <c r="X113" s="1198"/>
      <c r="Y113" s="1198"/>
      <c r="Z113" s="1198"/>
      <c r="AA113" s="1198"/>
      <c r="AB113" s="1198"/>
      <c r="AC113" s="1198"/>
    </row>
    <row r="114" spans="18:29">
      <c r="R114" s="1198"/>
      <c r="S114" s="1198"/>
      <c r="T114" s="1198"/>
      <c r="U114" s="1198"/>
      <c r="V114" s="1198"/>
      <c r="W114" s="1198"/>
      <c r="X114" s="1198"/>
      <c r="Y114" s="1198"/>
      <c r="Z114" s="1198"/>
      <c r="AA114" s="1198"/>
      <c r="AB114" s="1198"/>
      <c r="AC114" s="1198"/>
    </row>
    <row r="115" spans="18:29">
      <c r="R115" s="1198"/>
      <c r="S115" s="1198"/>
      <c r="T115" s="1198"/>
      <c r="U115" s="1198"/>
      <c r="V115" s="1198"/>
      <c r="W115" s="1198"/>
      <c r="X115" s="1198"/>
      <c r="Y115" s="1198"/>
      <c r="Z115" s="1198"/>
      <c r="AA115" s="1198"/>
      <c r="AB115" s="1198"/>
      <c r="AC115" s="1198"/>
    </row>
    <row r="116" spans="18:29">
      <c r="R116" s="1198"/>
      <c r="S116" s="1198"/>
      <c r="T116" s="1198"/>
      <c r="U116" s="1198"/>
      <c r="V116" s="1198"/>
      <c r="W116" s="1198"/>
      <c r="X116" s="1198"/>
      <c r="Y116" s="1198"/>
      <c r="Z116" s="1198"/>
      <c r="AA116" s="1198"/>
      <c r="AB116" s="1198"/>
      <c r="AC116" s="1198"/>
    </row>
    <row r="117" spans="18:29">
      <c r="R117" s="1198"/>
      <c r="S117" s="1198"/>
      <c r="T117" s="1198"/>
      <c r="U117" s="1198"/>
      <c r="V117" s="1198"/>
      <c r="W117" s="1198"/>
      <c r="X117" s="1198"/>
      <c r="Y117" s="1198"/>
      <c r="Z117" s="1198"/>
      <c r="AA117" s="1198"/>
      <c r="AB117" s="1198"/>
      <c r="AC117" s="1198"/>
    </row>
    <row r="118" spans="18:29">
      <c r="R118" s="1198"/>
      <c r="S118" s="1198"/>
      <c r="T118" s="1198"/>
      <c r="U118" s="1198"/>
      <c r="V118" s="1198"/>
      <c r="W118" s="1198"/>
      <c r="X118" s="1198"/>
      <c r="Y118" s="1198"/>
      <c r="Z118" s="1198"/>
      <c r="AA118" s="1198"/>
      <c r="AB118" s="1198"/>
      <c r="AC118" s="1198"/>
    </row>
    <row r="119" spans="18:29">
      <c r="R119" s="1198"/>
      <c r="S119" s="1198"/>
      <c r="T119" s="1198"/>
      <c r="U119" s="1198"/>
      <c r="V119" s="1198"/>
      <c r="W119" s="1198"/>
      <c r="X119" s="1198"/>
      <c r="Y119" s="1198"/>
      <c r="Z119" s="1198"/>
      <c r="AA119" s="1198"/>
      <c r="AB119" s="1198"/>
      <c r="AC119" s="1198"/>
    </row>
    <row r="120" spans="18:29">
      <c r="R120" s="1198"/>
      <c r="S120" s="1198"/>
      <c r="T120" s="1198"/>
      <c r="U120" s="1198"/>
      <c r="V120" s="1198"/>
      <c r="W120" s="1198"/>
      <c r="X120" s="1198"/>
      <c r="Y120" s="1198"/>
      <c r="Z120" s="1198"/>
      <c r="AA120" s="1198"/>
      <c r="AB120" s="1198"/>
      <c r="AC120" s="1198"/>
    </row>
  </sheetData>
  <protectedRanges>
    <protectedRange algorithmName="SHA-512" hashValue="24Yg3M703G5L8OyJWxlkx8c1Gwfrkael5W/l3TUk/Rcz5tR8QOgCx5v0Ebb/UGz+9BDKPJ5wV4hH8uuxvmtGIw==" saltValue="ZSJQ8EEnwGxsiYzxIw6K0Q==" spinCount="100000" sqref="N4:N8 B4:D17 E29:P35 E4:M28 N10:N28 O4:P28" name="Range1_65_32_32_30_30_30_30_30_30"/>
    <protectedRange algorithmName="SHA-512" hashValue="XYWjC+iAz2ErgjMh7TSLHlxfTfK0uVcITDFdCCZFdnsWWbUNnsQqu9AM+0WFXQpYcy9ZvQx2KUXfpLhpOROHkg==" saltValue="47TiGLG0rJVTo3iAJH8T4w==" spinCount="100000" sqref="B20:D35" name="Range2_5_2_2_2_2_2_2_2_2"/>
    <protectedRange algorithmName="SHA-512" hashValue="24Yg3M703G5L8OyJWxlkx8c1Gwfrkael5W/l3TUk/Rcz5tR8QOgCx5v0Ebb/UGz+9BDKPJ5wV4hH8uuxvmtGIw==" saltValue="ZSJQ8EEnwGxsiYzxIw6K0Q==" spinCount="100000" sqref="B18:D35" name="Range1_65_32_2_2_2_2_2_2_2"/>
  </protectedRanges>
  <mergeCells count="22"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2:S49">
    <cfRule type="duplicateValues" dxfId="36" priority="2"/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8070-019C-48E8-BABE-B490A397503D}">
  <dimension ref="A1:AG143"/>
  <sheetViews>
    <sheetView showGridLines="0" topLeftCell="K5" workbookViewId="0">
      <selection activeCell="T57" sqref="T57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6.88671875" bestFit="1" customWidth="1"/>
    <col min="21" max="21" width="30.6640625" bestFit="1" customWidth="1"/>
    <col min="22" max="22" width="44" customWidth="1"/>
    <col min="23" max="23" width="26.6640625" bestFit="1" customWidth="1"/>
    <col min="24" max="24" width="17.109375" bestFit="1" customWidth="1"/>
    <col min="25" max="25" width="17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bestFit="1" customWidth="1"/>
    <col min="30" max="31" width="9.109375" bestFit="1" customWidth="1"/>
  </cols>
  <sheetData>
    <row r="1" spans="1:33" ht="17.399999999999999">
      <c r="A1" s="1211" t="s">
        <v>574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7.399999999999999">
      <c r="A2" s="762" t="s">
        <v>575</v>
      </c>
      <c r="B2" s="733"/>
      <c r="C2" s="733"/>
      <c r="D2" s="733"/>
      <c r="E2" s="735"/>
      <c r="F2" s="1536" t="s">
        <v>576</v>
      </c>
      <c r="G2" s="1536"/>
      <c r="H2" s="1536"/>
      <c r="I2" s="742"/>
      <c r="J2" s="1525" t="s">
        <v>577</v>
      </c>
      <c r="K2" s="1525"/>
      <c r="L2" s="1525"/>
      <c r="M2" s="735"/>
      <c r="N2" s="1535"/>
      <c r="O2" s="1535"/>
      <c r="P2" s="1535"/>
      <c r="R2" s="1205" t="s">
        <v>455</v>
      </c>
      <c r="S2" s="1207" t="s">
        <v>578</v>
      </c>
      <c r="T2" s="1068" t="s">
        <v>441</v>
      </c>
      <c r="U2" s="1207">
        <v>24141534</v>
      </c>
      <c r="V2" s="1207" t="s">
        <v>561</v>
      </c>
      <c r="W2" s="1207" t="s">
        <v>362</v>
      </c>
      <c r="X2" s="1212">
        <v>21635.036</v>
      </c>
      <c r="Y2" s="1207" t="s">
        <v>579</v>
      </c>
      <c r="Z2" s="1068">
        <v>1</v>
      </c>
      <c r="AA2" s="1068">
        <v>1</v>
      </c>
      <c r="AB2" s="1067" t="s">
        <v>204</v>
      </c>
      <c r="AC2" s="1240"/>
      <c r="AD2" s="1243"/>
      <c r="AE2" s="1243"/>
      <c r="AF2" s="1243"/>
      <c r="AG2" s="1243"/>
    </row>
    <row r="3" spans="1:33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2" t="s">
        <v>455</v>
      </c>
      <c r="S3" s="1163">
        <v>3331561268</v>
      </c>
      <c r="T3" s="1068" t="s">
        <v>441</v>
      </c>
      <c r="U3" s="1163">
        <v>24141540</v>
      </c>
      <c r="V3" s="1163" t="s">
        <v>561</v>
      </c>
      <c r="W3" s="1163" t="s">
        <v>362</v>
      </c>
      <c r="X3" s="1168">
        <v>25807.396000000001</v>
      </c>
      <c r="Y3" s="1163" t="s">
        <v>200</v>
      </c>
      <c r="Z3" s="1068">
        <v>1</v>
      </c>
      <c r="AA3" s="1068">
        <v>1</v>
      </c>
      <c r="AB3" s="1067" t="s">
        <v>204</v>
      </c>
      <c r="AC3" s="240"/>
      <c r="AD3" s="44"/>
      <c r="AE3" s="44"/>
      <c r="AF3" s="44"/>
      <c r="AG3" s="44"/>
    </row>
    <row r="4" spans="1:33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205" t="s">
        <v>455</v>
      </c>
      <c r="S4" s="1207">
        <v>3331561271</v>
      </c>
      <c r="T4" s="1068" t="s">
        <v>441</v>
      </c>
      <c r="U4" s="1068">
        <v>24141535</v>
      </c>
      <c r="V4" s="1207" t="s">
        <v>561</v>
      </c>
      <c r="W4" s="1207" t="s">
        <v>362</v>
      </c>
      <c r="X4" s="1094">
        <v>21805.05</v>
      </c>
      <c r="Y4" s="1207" t="s">
        <v>200</v>
      </c>
      <c r="Z4" s="1068">
        <v>1</v>
      </c>
      <c r="AA4" s="1068">
        <v>1</v>
      </c>
      <c r="AB4" s="1067" t="s">
        <v>204</v>
      </c>
      <c r="AC4" s="1245"/>
      <c r="AD4" s="44"/>
      <c r="AE4" s="44"/>
      <c r="AF4" s="44"/>
      <c r="AG4" s="44"/>
    </row>
    <row r="5" spans="1:33" ht="18">
      <c r="A5" s="746" t="s">
        <v>427</v>
      </c>
      <c r="B5" s="747" cm="1">
        <f t="array" ref="B5">SUMPRODUCT(--ISNUMBER(MATCH(TRIM(W1:W295), {"JABODETABEK","JAWA TENGAH","JAWA TIMUR","LUAR PULAU"}, 0)))</f>
        <v>35</v>
      </c>
      <c r="C5" s="747" cm="1">
        <f t="array" ref="C5">SUMPRODUCT(--(LOWER(TRIM(AB1:AB321))="masuk"), --(ISNUMBER(MATCH(TRIM(W1:W321), {"JABODETABEK","JAWA TENGAH","JAWA TIMUR","LUAR PULAU"}, 0))))</f>
        <v>35</v>
      </c>
      <c r="D5" s="740">
        <f>C5+-B5</f>
        <v>0</v>
      </c>
      <c r="E5" s="734"/>
      <c r="F5" s="748" cm="1">
        <f t="array" ref="F5">SUMPRODUCT(--(LOWER(AC1:AC321)="add"), --(ISNUMBER(MATCH(W1:W321, {"JABODETABEK","JAWA TENGAH","JAWA TIMUR","LUAR PULAU"}, 0))))</f>
        <v>0</v>
      </c>
      <c r="G5" s="747" cm="1">
        <f t="array" ref="G5">SUMPRODUCT(--(LOWER(AB1:AB321)="masuk"), --(LOWER(AC1:AC321)="add"))</f>
        <v>0</v>
      </c>
      <c r="H5" s="740">
        <f>G5+-F5</f>
        <v>0</v>
      </c>
      <c r="I5" s="734"/>
      <c r="J5" s="748" cm="1">
        <f t="array" ref="J5">SUMPRODUCT(--(ISNUMBER(SEARCH("next day",LOWER(W1:W321)))+ISNUMBER(SEARCH("nextday",LOWER(W1:W321)))&gt; 0))</f>
        <v>4</v>
      </c>
      <c r="K5" s="747" cm="1">
        <f t="array" ref="K5">SUMPRODUCT(--(LOWER(AB1:AB321)="masuk"), --ISNUMBER(SEARCH("next day", LOWER(W1:W321))))</f>
        <v>4</v>
      </c>
      <c r="L5" s="740">
        <f>K5+-J5</f>
        <v>0</v>
      </c>
      <c r="M5" s="734"/>
      <c r="N5" s="748">
        <f>B5+F5+J5</f>
        <v>39</v>
      </c>
      <c r="O5" s="747">
        <f>C5+G5+K5</f>
        <v>39</v>
      </c>
      <c r="P5" s="740">
        <f>D5+H5+L5</f>
        <v>0</v>
      </c>
      <c r="R5" s="1172" t="s">
        <v>455</v>
      </c>
      <c r="S5" s="1163">
        <v>3331561309</v>
      </c>
      <c r="T5" s="1163" t="s">
        <v>256</v>
      </c>
      <c r="U5" s="1163" t="s">
        <v>256</v>
      </c>
      <c r="V5" s="1163" t="s">
        <v>256</v>
      </c>
      <c r="W5" s="1163" t="s">
        <v>256</v>
      </c>
      <c r="X5" s="1168" t="s">
        <v>256</v>
      </c>
      <c r="Y5" s="1163" t="s">
        <v>256</v>
      </c>
      <c r="Z5" s="1068" t="s">
        <v>256</v>
      </c>
      <c r="AA5" s="1068" t="s">
        <v>256</v>
      </c>
      <c r="AB5" s="1067" t="s">
        <v>256</v>
      </c>
      <c r="AC5" s="269"/>
      <c r="AD5" s="44"/>
      <c r="AE5" s="44"/>
      <c r="AF5" s="44"/>
      <c r="AG5" s="44"/>
    </row>
    <row r="6" spans="1:33" ht="17.399999999999999">
      <c r="A6" s="733"/>
      <c r="B6" s="733">
        <f>SUM(B5)</f>
        <v>35</v>
      </c>
      <c r="C6" s="733">
        <f>SUM(C5)</f>
        <v>35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4</v>
      </c>
      <c r="K6" s="733">
        <f>SUM(K5)</f>
        <v>4</v>
      </c>
      <c r="L6" s="739">
        <f>SUM(L5)</f>
        <v>0</v>
      </c>
      <c r="M6" s="733"/>
      <c r="N6" s="760">
        <f>SUM(N5:N5)</f>
        <v>39</v>
      </c>
      <c r="O6" s="760">
        <f>SUM(O5:O5)</f>
        <v>39</v>
      </c>
      <c r="P6" s="761">
        <f>SUM(P5:P5)</f>
        <v>0</v>
      </c>
      <c r="R6" s="1172" t="s">
        <v>455</v>
      </c>
      <c r="S6" s="1163">
        <v>3331561273</v>
      </c>
      <c r="T6" s="1068" t="s">
        <v>441</v>
      </c>
      <c r="U6" s="1163">
        <v>24141541</v>
      </c>
      <c r="V6" s="1163" t="s">
        <v>561</v>
      </c>
      <c r="W6" s="1163" t="s">
        <v>362</v>
      </c>
      <c r="X6" s="1168">
        <f>7397.118+12430.137+5369.324</f>
        <v>25196.579000000002</v>
      </c>
      <c r="Y6" s="1163" t="s">
        <v>200</v>
      </c>
      <c r="Z6" s="1068">
        <v>1</v>
      </c>
      <c r="AA6" s="1068">
        <v>1</v>
      </c>
      <c r="AB6" s="1067" t="s">
        <v>204</v>
      </c>
      <c r="AC6" s="240"/>
      <c r="AD6" s="44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2" t="s">
        <v>455</v>
      </c>
      <c r="S7" s="1163">
        <v>3331561274</v>
      </c>
      <c r="T7" s="1068" t="s">
        <v>256</v>
      </c>
      <c r="U7" s="1163" t="s">
        <v>256</v>
      </c>
      <c r="V7" s="1163" t="s">
        <v>256</v>
      </c>
      <c r="W7" s="1163" t="s">
        <v>256</v>
      </c>
      <c r="X7" s="1168" t="s">
        <v>256</v>
      </c>
      <c r="Y7" s="1163" t="s">
        <v>256</v>
      </c>
      <c r="Z7" s="1068" t="s">
        <v>256</v>
      </c>
      <c r="AA7" s="1068" t="s">
        <v>256</v>
      </c>
      <c r="AB7" s="1067" t="s">
        <v>204</v>
      </c>
      <c r="AC7" s="240"/>
      <c r="AD7" s="44"/>
      <c r="AE7" s="44"/>
      <c r="AF7" s="44"/>
      <c r="AG7" s="44"/>
    </row>
    <row r="8" spans="1:33" ht="17.399999999999999">
      <c r="A8" s="763" t="str">
        <f>A1</f>
        <v>Plan tgl 14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54" t="s">
        <v>455</v>
      </c>
      <c r="S8" s="1163">
        <v>3331561281</v>
      </c>
      <c r="T8" s="1068" t="s">
        <v>256</v>
      </c>
      <c r="U8" s="1163" t="s">
        <v>256</v>
      </c>
      <c r="V8" s="1163" t="s">
        <v>256</v>
      </c>
      <c r="W8" s="1163" t="s">
        <v>256</v>
      </c>
      <c r="X8" s="1168" t="s">
        <v>256</v>
      </c>
      <c r="Y8" s="1163" t="s">
        <v>256</v>
      </c>
      <c r="Z8" s="1068" t="s">
        <v>256</v>
      </c>
      <c r="AA8" s="1068" t="s">
        <v>256</v>
      </c>
      <c r="AB8" s="1067" t="s">
        <v>204</v>
      </c>
      <c r="AC8" s="240"/>
      <c r="AD8" s="44"/>
      <c r="AE8" s="44"/>
      <c r="AF8" s="44"/>
      <c r="AG8" s="44"/>
    </row>
    <row r="9" spans="1:33" ht="18">
      <c r="A9" s="763" t="str">
        <f>A2</f>
        <v>Realz update 15 OKT’25 jam 07.00</v>
      </c>
      <c r="B9" s="825"/>
      <c r="C9" s="825"/>
      <c r="D9" s="825"/>
      <c r="E9" s="734"/>
      <c r="F9" s="1525" t="str">
        <f>F2</f>
        <v>Tgl 14 OKT’25 diatas jam 15.00</v>
      </c>
      <c r="G9" s="1525"/>
      <c r="H9" s="1525"/>
      <c r="I9" s="826"/>
      <c r="J9" s="1525" t="str">
        <f>J2</f>
        <v>Tgl 14 OKT’25</v>
      </c>
      <c r="K9" s="1525"/>
      <c r="L9" s="1525"/>
      <c r="M9" s="734"/>
      <c r="N9" s="1526"/>
      <c r="O9" s="1526"/>
      <c r="P9" s="1526"/>
      <c r="R9" s="1171" t="s">
        <v>455</v>
      </c>
      <c r="S9" s="1160">
        <v>3331561269</v>
      </c>
      <c r="T9" s="1068" t="s">
        <v>27</v>
      </c>
      <c r="U9" s="1160">
        <v>24141537</v>
      </c>
      <c r="V9" s="1163" t="s">
        <v>224</v>
      </c>
      <c r="W9" s="1163" t="s">
        <v>203</v>
      </c>
      <c r="X9" s="1161">
        <v>23564.003000000001</v>
      </c>
      <c r="Y9" s="1163" t="s">
        <v>200</v>
      </c>
      <c r="Z9" s="1068">
        <v>1</v>
      </c>
      <c r="AA9" s="1068">
        <v>1</v>
      </c>
      <c r="AB9" s="1067" t="s">
        <v>204</v>
      </c>
      <c r="AC9" s="269"/>
      <c r="AD9" s="44"/>
      <c r="AE9" s="44"/>
      <c r="AF9" s="44"/>
      <c r="AG9" s="44"/>
    </row>
    <row r="10" spans="1:33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205" t="s">
        <v>455</v>
      </c>
      <c r="S10" s="1207">
        <v>3331561276</v>
      </c>
      <c r="T10" s="1068" t="s">
        <v>256</v>
      </c>
      <c r="U10" s="1163" t="s">
        <v>256</v>
      </c>
      <c r="V10" s="1163" t="s">
        <v>256</v>
      </c>
      <c r="W10" s="1163" t="s">
        <v>256</v>
      </c>
      <c r="X10" s="1163" t="s">
        <v>256</v>
      </c>
      <c r="Y10" s="1163" t="s">
        <v>256</v>
      </c>
      <c r="Z10" s="1163" t="s">
        <v>256</v>
      </c>
      <c r="AA10" s="1163" t="s">
        <v>256</v>
      </c>
      <c r="AB10" s="1163" t="s">
        <v>256</v>
      </c>
      <c r="AC10" s="269"/>
      <c r="AD10" s="44"/>
      <c r="AE10" s="44"/>
      <c r="AF10" s="44"/>
      <c r="AG10" s="44"/>
    </row>
    <row r="11" spans="1:33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2" t="s">
        <v>455</v>
      </c>
      <c r="S11" s="1163">
        <v>3331561297</v>
      </c>
      <c r="T11" s="1068" t="s">
        <v>256</v>
      </c>
      <c r="U11" s="1163" t="s">
        <v>256</v>
      </c>
      <c r="V11" s="1163" t="s">
        <v>256</v>
      </c>
      <c r="W11" s="1163" t="s">
        <v>256</v>
      </c>
      <c r="X11" s="1163" t="s">
        <v>256</v>
      </c>
      <c r="Y11" s="1163" t="s">
        <v>256</v>
      </c>
      <c r="Z11" s="1163" t="s">
        <v>256</v>
      </c>
      <c r="AA11" s="1163" t="s">
        <v>256</v>
      </c>
      <c r="AB11" s="1163" t="s">
        <v>256</v>
      </c>
      <c r="AC11" s="269"/>
      <c r="AD11" s="44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SUMPRODUCT(--(TRIM(LOWER(W1:W321))="jabodetabek"))</f>
        <v>18</v>
      </c>
      <c r="C12" s="748" cm="1">
        <f t="array" ref="C12">SUMPRODUCT(--(LOWER(AB1:AB321)="masuk"), --(TRIM(LOWER(W1:W321))="jabodetabek"))</f>
        <v>18</v>
      </c>
      <c r="D12" s="973">
        <f>C12+-B12</f>
        <v>0</v>
      </c>
      <c r="E12" s="734"/>
      <c r="F12" s="748" cm="1">
        <f t="array" ref="F12">SUMPRODUCT(--(LOWER(AC1:AC321)="add"), --(TRIM(LOWER(W1:W321))="jabodetabek"))</f>
        <v>0</v>
      </c>
      <c r="G12" s="747" cm="1">
        <f t="array" ref="G12">SUMPRODUCT(--(LOWER(AB1:AB321)="masuk"), --(LOWER(AC1:AC321)="add"), --(TRIM(LOWER(W1:W321))="jabodetabek"))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day",LOWER(W1:W321)))+ISNUMBER(SEARCH("jabodetabek nextday",LOWER(W1:W321)))&gt; 0))</f>
        <v>4</v>
      </c>
      <c r="K12" s="747" cm="1">
        <f t="array" ref="K12">SUMPRODUCT(--(LOWER(AB1:AB321)="masuk"), --(LOWER(TRIM(W1:W321))="jabodetabek next day"))</f>
        <v>4</v>
      </c>
      <c r="L12" s="740">
        <f>K12+-J12</f>
        <v>0</v>
      </c>
      <c r="M12" s="734"/>
      <c r="N12" s="748">
        <f t="shared" ref="N12:P16" si="0">B12+F12+J12</f>
        <v>22</v>
      </c>
      <c r="O12" s="747">
        <f t="shared" si="0"/>
        <v>22</v>
      </c>
      <c r="P12" s="740">
        <f t="shared" si="0"/>
        <v>0</v>
      </c>
      <c r="R12" s="1171" t="s">
        <v>455</v>
      </c>
      <c r="S12" s="1160">
        <v>3331561289</v>
      </c>
      <c r="T12" s="1068" t="s">
        <v>256</v>
      </c>
      <c r="U12" s="1163" t="s">
        <v>348</v>
      </c>
      <c r="V12" s="1163" t="s">
        <v>256</v>
      </c>
      <c r="W12" s="1163" t="s">
        <v>256</v>
      </c>
      <c r="X12" s="1163" t="s">
        <v>256</v>
      </c>
      <c r="Y12" s="1163" t="s">
        <v>256</v>
      </c>
      <c r="Z12" s="1163" t="s">
        <v>256</v>
      </c>
      <c r="AA12" s="1163" t="s">
        <v>256</v>
      </c>
      <c r="AB12" s="1163" t="s">
        <v>256</v>
      </c>
      <c r="AC12" s="1214"/>
      <c r="AD12" s="44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SUMPRODUCT(--(TRIM(LOWER(W1:W321))="jawa tengah"))</f>
        <v>5</v>
      </c>
      <c r="C13" s="750" cm="1">
        <f t="array" ref="C13">SUMPRODUCT(--(LOWER(AB1:AB321)="masuk"), --(TRIM(LOWER(W1:W321))="jawa tengah"))</f>
        <v>5</v>
      </c>
      <c r="D13" s="846">
        <f>C13+-B13</f>
        <v>0</v>
      </c>
      <c r="E13" s="734"/>
      <c r="F13" s="751" cm="1">
        <f t="array" ref="F13">SUMPRODUCT(--(LOWER(AC1:AC321)="add"), --(TRIM(LOWER(W1:W321))="jawa tengah"))</f>
        <v>0</v>
      </c>
      <c r="G13" s="747" cm="1">
        <f t="array" ref="G13">SUMPRODUCT(--(LOWER(AB1:AB321)="masuk"), --(LOWER(AC1:AC321)="add"), --(TRIM(LOWER(W1:W321))="jawa tengah"))</f>
        <v>0</v>
      </c>
      <c r="H13" s="740">
        <f>G13+-F13</f>
        <v>0</v>
      </c>
      <c r="I13" s="734"/>
      <c r="J13" s="748" cm="1">
        <f t="array" ref="J13">SUMPRODUCT(--((LOWER(TRIM(W1:W321))="jawa tengah next day")+(LOWER(TRIM(W1:W321))="jawa tengah nextday")))</f>
        <v>0</v>
      </c>
      <c r="K13" s="747" cm="1">
        <f t="array" ref="K13">SUMPRODUCT(--(LOWER(AB1:AB321)="masuk"), --(LOWER(TRIM(W1:W321))="jawa tengah next day"))</f>
        <v>0</v>
      </c>
      <c r="L13" s="740">
        <f>K13+-J13</f>
        <v>0</v>
      </c>
      <c r="M13" s="734"/>
      <c r="N13" s="748">
        <f t="shared" si="0"/>
        <v>5</v>
      </c>
      <c r="O13" s="747">
        <f t="shared" si="0"/>
        <v>5</v>
      </c>
      <c r="P13" s="740">
        <f t="shared" si="0"/>
        <v>0</v>
      </c>
      <c r="R13" s="1172" t="s">
        <v>454</v>
      </c>
      <c r="S13" s="1163">
        <v>3331561126</v>
      </c>
      <c r="T13" s="1207" t="s">
        <v>441</v>
      </c>
      <c r="U13" s="1163">
        <v>24141529</v>
      </c>
      <c r="V13" s="1163" t="s">
        <v>569</v>
      </c>
      <c r="W13" s="1163" t="s">
        <v>203</v>
      </c>
      <c r="X13" s="1168">
        <v>45801.921999999999</v>
      </c>
      <c r="Y13" s="1163" t="s">
        <v>128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SUMPRODUCT(--(TRIM(LOWER(W1:W321))="jawa timur"))</f>
        <v>8</v>
      </c>
      <c r="C14" s="750" cm="1">
        <f t="array" ref="C14">SUMPRODUCT(--(LOWER(AB1:AB321)="masuk"), --(TRIM(LOWER(W1:W321))="jawa timur"))</f>
        <v>8</v>
      </c>
      <c r="D14" s="846">
        <f>C14+-B14</f>
        <v>0</v>
      </c>
      <c r="E14" s="734"/>
      <c r="F14" s="750" cm="1">
        <f t="array" ref="F14">SUMPRODUCT(--(LOWER(AC1:AC321)="add"), --(TRIM(LOWER(W1:W321))="jawa timur"))</f>
        <v>0</v>
      </c>
      <c r="G14" s="747" cm="1">
        <f t="array" ref="G14">SUMPRODUCT(--(LOWER(AB1:AB321)="masuk"), --(LOWER(AC1:AC321)="add"), --(TRIM(LOWER(W1:W321))="jawa timur"))</f>
        <v>0</v>
      </c>
      <c r="H14" s="740">
        <f>G14+-F14</f>
        <v>0</v>
      </c>
      <c r="I14" s="734"/>
      <c r="J14" s="748" cm="1">
        <f t="array" ref="J14">SUMPRODUCT(--((LOWER(TRIM(W1:W321))="jawa timur next day")+(LOWER(TRIM(W1:W321))="jawa timur nextday")))</f>
        <v>0</v>
      </c>
      <c r="K14" s="747" cm="1">
        <f t="array" ref="K14">SUMPRODUCT(--(LOWER(AB1:AB321)="masuk"), --(LOWER(TRIM(W1:W321))="jawa timur next day"))</f>
        <v>0</v>
      </c>
      <c r="L14" s="740">
        <f>K14+-J14</f>
        <v>0</v>
      </c>
      <c r="M14" s="734"/>
      <c r="N14" s="748">
        <f t="shared" si="0"/>
        <v>8</v>
      </c>
      <c r="O14" s="747">
        <f t="shared" si="0"/>
        <v>8</v>
      </c>
      <c r="P14" s="740">
        <f t="shared" si="0"/>
        <v>0</v>
      </c>
      <c r="R14" s="1205" t="s">
        <v>455</v>
      </c>
      <c r="S14" s="1207">
        <v>3331561329</v>
      </c>
      <c r="T14" s="1068" t="s">
        <v>27</v>
      </c>
      <c r="U14" s="1207">
        <v>24141544</v>
      </c>
      <c r="V14" s="1207" t="s">
        <v>580</v>
      </c>
      <c r="W14" s="1207" t="s">
        <v>205</v>
      </c>
      <c r="X14" s="1212">
        <v>25824.02</v>
      </c>
      <c r="Y14" s="1207" t="s">
        <v>200</v>
      </c>
      <c r="Z14" s="1068">
        <v>1</v>
      </c>
      <c r="AA14" s="1068">
        <v>1</v>
      </c>
      <c r="AB14" s="1067" t="s">
        <v>204</v>
      </c>
      <c r="AC14" s="1213"/>
      <c r="AD14" s="44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SUMPRODUCT(--(TRIM(LOWER(W1:W321))="luar pulau"))</f>
        <v>4</v>
      </c>
      <c r="C15" s="750" cm="1">
        <f t="array" ref="C15">SUMPRODUCT(--(LOWER(AB1:AB321)="masuk"), --(TRIM(LOWER(W1:W321))="luar pulau"))</f>
        <v>4</v>
      </c>
      <c r="D15" s="846">
        <f>C15+-B15</f>
        <v>0</v>
      </c>
      <c r="E15" s="734"/>
      <c r="F15" s="748" cm="1">
        <f t="array" ref="F15">SUMPRODUCT(--(LOWER(AC1:AC321)="add"), --(TRIM(LOWER(W1:W321))="luar pulau"))</f>
        <v>0</v>
      </c>
      <c r="G15" s="747" cm="1">
        <f t="array" ref="G15">SUMPRODUCT(--(LOWER(AB1:AB321)="masuk"), --(LOWER(AC1:AC321)="add"), --(TRIM(LOWER(W1:W321))="luar pulau"))</f>
        <v>0</v>
      </c>
      <c r="H15" s="740">
        <f>G15+-F15</f>
        <v>0</v>
      </c>
      <c r="I15" s="734"/>
      <c r="J15" s="748" cm="1">
        <f t="array" ref="J15">SUMPRODUCT(--((LOWER(TRIM(W1:W321))="luar pulau next day")+(LOWER(TRIM(W1:W321))="luar pulau nextday")))</f>
        <v>0</v>
      </c>
      <c r="K15" s="747" cm="1">
        <f t="array" ref="K15">SUMPRODUCT(--(LOWER(AB1:AB321)="masuk"), --(LOWER(TRIM(W1:W321))="luar pulau next day"))</f>
        <v>0</v>
      </c>
      <c r="L15" s="740">
        <f>K15+-J15</f>
        <v>0</v>
      </c>
      <c r="M15" s="734"/>
      <c r="N15" s="748">
        <f t="shared" si="0"/>
        <v>4</v>
      </c>
      <c r="O15" s="747">
        <f t="shared" si="0"/>
        <v>4</v>
      </c>
      <c r="P15" s="740">
        <f t="shared" si="0"/>
        <v>0</v>
      </c>
      <c r="R15" s="1173" t="s">
        <v>452</v>
      </c>
      <c r="S15" s="1167">
        <v>3331561348</v>
      </c>
      <c r="T15" s="1183" t="s">
        <v>189</v>
      </c>
      <c r="U15" s="1182">
        <v>24141547</v>
      </c>
      <c r="V15" s="1182" t="s">
        <v>425</v>
      </c>
      <c r="W15" s="1182"/>
      <c r="X15" s="1239">
        <v>24040.633000000002</v>
      </c>
      <c r="Y15" s="1167" t="s">
        <v>426</v>
      </c>
      <c r="Z15" s="1182">
        <v>1</v>
      </c>
      <c r="AA15" s="1182">
        <v>1</v>
      </c>
      <c r="AB15" s="1099" t="s">
        <v>581</v>
      </c>
      <c r="AC15" s="240"/>
      <c r="AD15" s="44"/>
      <c r="AE15" s="44"/>
      <c r="AF15" s="44"/>
      <c r="AG15" s="44"/>
    </row>
    <row r="16" spans="1:33" ht="17.399999999999999">
      <c r="A16" s="827"/>
      <c r="B16" s="733">
        <f>SUM(B12:B15)</f>
        <v>35</v>
      </c>
      <c r="C16" s="733">
        <f>SUM(C12:C15)</f>
        <v>35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4</v>
      </c>
      <c r="K16" s="733">
        <f>SUM(K12:K15)</f>
        <v>4</v>
      </c>
      <c r="L16" s="739">
        <f>SUM(L12:L15)</f>
        <v>0</v>
      </c>
      <c r="M16" s="734"/>
      <c r="N16" s="760">
        <f t="shared" si="0"/>
        <v>39</v>
      </c>
      <c r="O16" s="760">
        <f t="shared" si="0"/>
        <v>39</v>
      </c>
      <c r="P16" s="761">
        <f t="shared" si="0"/>
        <v>0</v>
      </c>
      <c r="R16" s="1173" t="s">
        <v>452</v>
      </c>
      <c r="S16" s="1167">
        <v>3331561351</v>
      </c>
      <c r="T16" s="1183" t="s">
        <v>189</v>
      </c>
      <c r="U16" s="1182">
        <v>24141548</v>
      </c>
      <c r="V16" s="1182" t="s">
        <v>425</v>
      </c>
      <c r="W16" s="1182"/>
      <c r="X16" s="1169">
        <v>23997.627</v>
      </c>
      <c r="Y16" s="1167" t="s">
        <v>426</v>
      </c>
      <c r="Z16" s="1182">
        <v>1</v>
      </c>
      <c r="AA16" s="1182">
        <v>1</v>
      </c>
      <c r="AB16" s="1099" t="s">
        <v>581</v>
      </c>
      <c r="AC16" s="240"/>
      <c r="AD16" s="44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3" t="s">
        <v>452</v>
      </c>
      <c r="S17" s="1167">
        <v>3331561359</v>
      </c>
      <c r="T17" s="1183" t="s">
        <v>189</v>
      </c>
      <c r="U17" s="1182">
        <v>24141549</v>
      </c>
      <c r="V17" s="1182" t="s">
        <v>425</v>
      </c>
      <c r="W17" s="1182"/>
      <c r="X17" s="1169">
        <v>23997.627</v>
      </c>
      <c r="Y17" s="1167" t="s">
        <v>426</v>
      </c>
      <c r="Z17" s="1182">
        <v>1</v>
      </c>
      <c r="AA17" s="1182">
        <v>1</v>
      </c>
      <c r="AB17" s="1099" t="s">
        <v>581</v>
      </c>
      <c r="AC17" s="240"/>
      <c r="AD17" s="44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3" t="s">
        <v>452</v>
      </c>
      <c r="S18" s="1167">
        <v>3331561361</v>
      </c>
      <c r="T18" s="1183" t="s">
        <v>189</v>
      </c>
      <c r="U18" s="1182">
        <v>24141550</v>
      </c>
      <c r="V18" s="1182" t="s">
        <v>425</v>
      </c>
      <c r="W18" s="1182"/>
      <c r="X18" s="1169">
        <v>23395.536</v>
      </c>
      <c r="Y18" s="1167" t="s">
        <v>426</v>
      </c>
      <c r="Z18" s="1182">
        <v>1</v>
      </c>
      <c r="AA18" s="1182">
        <v>1</v>
      </c>
      <c r="AB18" s="1099" t="s">
        <v>581</v>
      </c>
      <c r="AC18" s="240"/>
      <c r="AD18" s="44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3" t="s">
        <v>454</v>
      </c>
      <c r="S19" s="1167">
        <v>3331560970</v>
      </c>
      <c r="T19" s="1183" t="s">
        <v>189</v>
      </c>
      <c r="U19" s="1167">
        <v>24141505</v>
      </c>
      <c r="V19" s="1182" t="s">
        <v>425</v>
      </c>
      <c r="W19" s="1182"/>
      <c r="X19" s="1169">
        <v>22191.353999999999</v>
      </c>
      <c r="Y19" s="1167" t="s">
        <v>426</v>
      </c>
      <c r="Z19" s="1182">
        <v>1</v>
      </c>
      <c r="AA19" s="1182">
        <v>1</v>
      </c>
      <c r="AB19" s="1099" t="s">
        <v>581</v>
      </c>
      <c r="AC19" s="240"/>
      <c r="AD19" s="44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3" t="s">
        <v>454</v>
      </c>
      <c r="S20" s="1167">
        <v>3331560972</v>
      </c>
      <c r="T20" s="1183" t="s">
        <v>189</v>
      </c>
      <c r="U20" s="1167">
        <v>24141506</v>
      </c>
      <c r="V20" s="1182" t="s">
        <v>425</v>
      </c>
      <c r="W20" s="1182"/>
      <c r="X20" s="1169">
        <v>22191.353999999999</v>
      </c>
      <c r="Y20" s="1167" t="s">
        <v>426</v>
      </c>
      <c r="Z20" s="1182">
        <v>1</v>
      </c>
      <c r="AA20" s="1182">
        <v>1</v>
      </c>
      <c r="AB20" s="1099" t="s">
        <v>581</v>
      </c>
      <c r="AC20" s="240"/>
      <c r="AD20" s="44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3" t="s">
        <v>454</v>
      </c>
      <c r="S21" s="1167">
        <v>3331560973</v>
      </c>
      <c r="T21" s="1183" t="s">
        <v>189</v>
      </c>
      <c r="U21" s="1167">
        <v>24141507</v>
      </c>
      <c r="V21" s="1182" t="s">
        <v>425</v>
      </c>
      <c r="W21" s="1182"/>
      <c r="X21" s="1169">
        <v>22191.353999999999</v>
      </c>
      <c r="Y21" s="1167" t="s">
        <v>426</v>
      </c>
      <c r="Z21" s="1182">
        <v>1</v>
      </c>
      <c r="AA21" s="1182">
        <v>1</v>
      </c>
      <c r="AB21" s="1099" t="s">
        <v>581</v>
      </c>
      <c r="AC21" s="240"/>
      <c r="AD21" s="44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SUMPRODUCT(--((LOWER(TRIM($W$2:$W$328))="ambil sendiri")+(LOWER(TRIM($W$2:$W$328))="cokot sorangan")))</f>
        <v>3</v>
      </c>
      <c r="C22" s="969" cm="1">
        <f t="array" ref="C22">SUMPRODUCT(--(LOWER(AB2:AB354)="masuk"), --((LOWER(TRIM($W$2:$W$354))="cokot sorangan") + (LOWER(TRIM(W2:W354))="ambil sendiri")))</f>
        <v>0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454</v>
      </c>
      <c r="S22" s="1167">
        <v>3331561023</v>
      </c>
      <c r="T22" s="1183" t="s">
        <v>189</v>
      </c>
      <c r="U22" s="1167">
        <v>24141513</v>
      </c>
      <c r="V22" s="1182" t="s">
        <v>425</v>
      </c>
      <c r="W22" s="1182"/>
      <c r="X22" s="1169">
        <v>22147.09</v>
      </c>
      <c r="Y22" s="1167" t="s">
        <v>426</v>
      </c>
      <c r="Z22" s="1182">
        <v>1</v>
      </c>
      <c r="AA22" s="1182">
        <v>1</v>
      </c>
      <c r="AB22" s="1099" t="s">
        <v>581</v>
      </c>
      <c r="AC22" s="240"/>
      <c r="AD22" s="44"/>
      <c r="AE22" s="44"/>
      <c r="AF22" s="44"/>
      <c r="AG22" s="44"/>
    </row>
    <row r="23" spans="1:33" ht="17.399999999999999">
      <c r="A23" s="993"/>
      <c r="B23" s="760">
        <f>SUM(B180:B183)</f>
        <v>0</v>
      </c>
      <c r="C23" s="760">
        <f>SUM(C180:C183)</f>
        <v>0</v>
      </c>
      <c r="D23" s="761">
        <f>SUM(D180:D183)</f>
        <v>0</v>
      </c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3" t="s">
        <v>454</v>
      </c>
      <c r="S23" s="1167">
        <v>3331560967</v>
      </c>
      <c r="T23" s="1183" t="s">
        <v>189</v>
      </c>
      <c r="U23" s="1167">
        <v>24141504</v>
      </c>
      <c r="V23" s="1167" t="s">
        <v>429</v>
      </c>
      <c r="W23" s="1182"/>
      <c r="X23" s="1169">
        <v>22873.924999999999</v>
      </c>
      <c r="Y23" s="1167" t="s">
        <v>426</v>
      </c>
      <c r="Z23" s="1182">
        <v>1</v>
      </c>
      <c r="AA23" s="1182">
        <v>1</v>
      </c>
      <c r="AB23" s="1099" t="s">
        <v>581</v>
      </c>
      <c r="AC23" s="240"/>
      <c r="AD23" s="44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3" t="s">
        <v>454</v>
      </c>
      <c r="S24" s="1167">
        <v>3331561005</v>
      </c>
      <c r="T24" s="1183" t="s">
        <v>189</v>
      </c>
      <c r="U24" s="1167">
        <v>24141508</v>
      </c>
      <c r="V24" s="1167" t="s">
        <v>429</v>
      </c>
      <c r="W24" s="1182"/>
      <c r="X24" s="1169">
        <v>22862.928</v>
      </c>
      <c r="Y24" s="1167" t="s">
        <v>426</v>
      </c>
      <c r="Z24" s="1182">
        <v>1</v>
      </c>
      <c r="AA24" s="1182">
        <v>1</v>
      </c>
      <c r="AB24" s="1099" t="s">
        <v>581</v>
      </c>
      <c r="AC24" s="240"/>
      <c r="AD24" s="44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454</v>
      </c>
      <c r="S25" s="1167">
        <v>3331561008</v>
      </c>
      <c r="T25" s="1183" t="s">
        <v>189</v>
      </c>
      <c r="U25" s="1167">
        <v>24141509</v>
      </c>
      <c r="V25" s="1167" t="s">
        <v>429</v>
      </c>
      <c r="W25" s="1182"/>
      <c r="X25" s="1169">
        <v>22862.928</v>
      </c>
      <c r="Y25" s="1167" t="s">
        <v>426</v>
      </c>
      <c r="Z25" s="1182">
        <v>1</v>
      </c>
      <c r="AA25" s="1182">
        <v>1</v>
      </c>
      <c r="AB25" s="1099" t="s">
        <v>581</v>
      </c>
      <c r="AC25" s="240"/>
      <c r="AD25" s="44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3" t="s">
        <v>454</v>
      </c>
      <c r="S26" s="1167">
        <v>3331561011</v>
      </c>
      <c r="T26" s="1183" t="s">
        <v>189</v>
      </c>
      <c r="U26" s="1167">
        <v>24141510</v>
      </c>
      <c r="V26" s="1167" t="s">
        <v>429</v>
      </c>
      <c r="W26" s="1182"/>
      <c r="X26" s="1169">
        <v>11800.38</v>
      </c>
      <c r="Y26" s="1167" t="s">
        <v>426</v>
      </c>
      <c r="Z26" s="1182">
        <v>1</v>
      </c>
      <c r="AA26" s="1182">
        <v>1</v>
      </c>
      <c r="AB26" s="1099" t="s">
        <v>581</v>
      </c>
      <c r="AC26" s="240"/>
      <c r="AD26" s="44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3" t="s">
        <v>454</v>
      </c>
      <c r="S27" s="1167">
        <v>3331561016</v>
      </c>
      <c r="T27" s="1183" t="s">
        <v>189</v>
      </c>
      <c r="U27" s="1167">
        <v>24141510</v>
      </c>
      <c r="V27" s="1167" t="s">
        <v>429</v>
      </c>
      <c r="W27" s="1182"/>
      <c r="X27" s="1169">
        <v>11085.056</v>
      </c>
      <c r="Y27" s="1167" t="s">
        <v>426</v>
      </c>
      <c r="Z27" s="1182">
        <v>1</v>
      </c>
      <c r="AA27" s="1182">
        <v>1</v>
      </c>
      <c r="AB27" s="1099" t="s">
        <v>581</v>
      </c>
      <c r="AC27" s="240"/>
      <c r="AD27" s="44"/>
      <c r="AE27" s="44"/>
      <c r="AF27" s="44"/>
      <c r="AG27" s="44"/>
    </row>
    <row r="28" spans="1:33" ht="17.399999999999999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3" t="s">
        <v>454</v>
      </c>
      <c r="S28" s="1167">
        <v>3331561021</v>
      </c>
      <c r="T28" s="1183" t="s">
        <v>189</v>
      </c>
      <c r="U28" s="1167">
        <v>24141511</v>
      </c>
      <c r="V28" s="1167" t="s">
        <v>429</v>
      </c>
      <c r="W28" s="1182"/>
      <c r="X28" s="1169">
        <v>22191.352999999999</v>
      </c>
      <c r="Y28" s="1167" t="s">
        <v>426</v>
      </c>
      <c r="Z28" s="1182">
        <v>1</v>
      </c>
      <c r="AA28" s="1182">
        <v>1</v>
      </c>
      <c r="AB28" s="1099" t="s">
        <v>581</v>
      </c>
      <c r="AC28" s="240"/>
      <c r="AD28" s="44"/>
      <c r="AE28" s="44"/>
      <c r="AF28" s="44"/>
      <c r="AG28" s="44"/>
    </row>
    <row r="29" spans="1:33" ht="17.399999999999999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3" t="s">
        <v>454</v>
      </c>
      <c r="S29" s="1167">
        <v>3331561022</v>
      </c>
      <c r="T29" s="1183" t="s">
        <v>189</v>
      </c>
      <c r="U29" s="1167">
        <v>24141512</v>
      </c>
      <c r="V29" s="1167" t="s">
        <v>429</v>
      </c>
      <c r="W29" s="1182"/>
      <c r="X29" s="1169">
        <v>22191.353999999999</v>
      </c>
      <c r="Y29" s="1167" t="s">
        <v>426</v>
      </c>
      <c r="Z29" s="1182">
        <v>1</v>
      </c>
      <c r="AA29" s="1182">
        <v>1</v>
      </c>
      <c r="AB29" s="1099" t="s">
        <v>581</v>
      </c>
      <c r="AC29" s="240"/>
      <c r="AD29" s="44"/>
      <c r="AE29" s="44"/>
      <c r="AF29" s="44"/>
      <c r="AG29" s="44"/>
    </row>
    <row r="30" spans="1:33" ht="17.399999999999999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3" t="s">
        <v>455</v>
      </c>
      <c r="S30" s="1167">
        <v>3331561356</v>
      </c>
      <c r="T30" s="1183" t="s">
        <v>189</v>
      </c>
      <c r="U30" s="1167">
        <v>24141551</v>
      </c>
      <c r="V30" s="1167" t="s">
        <v>429</v>
      </c>
      <c r="W30" s="1182"/>
      <c r="X30" s="1169">
        <v>24771.743999999999</v>
      </c>
      <c r="Y30" s="1167" t="s">
        <v>426</v>
      </c>
      <c r="Z30" s="1182">
        <v>1</v>
      </c>
      <c r="AA30" s="1182">
        <v>1</v>
      </c>
      <c r="AB30" s="1099" t="s">
        <v>581</v>
      </c>
      <c r="AC30" s="240"/>
      <c r="AD30" s="44"/>
      <c r="AE30" s="44"/>
      <c r="AF30" s="44"/>
      <c r="AG30" s="44"/>
    </row>
    <row r="31" spans="1:33" ht="17.399999999999999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3" t="s">
        <v>455</v>
      </c>
      <c r="S31" s="1167">
        <v>3331561360</v>
      </c>
      <c r="T31" s="1183" t="s">
        <v>189</v>
      </c>
      <c r="U31" s="1167">
        <v>24141552</v>
      </c>
      <c r="V31" s="1167" t="s">
        <v>429</v>
      </c>
      <c r="W31" s="1182"/>
      <c r="X31" s="1169">
        <v>24771.743999999999</v>
      </c>
      <c r="Y31" s="1167" t="s">
        <v>426</v>
      </c>
      <c r="Z31" s="1182">
        <v>1</v>
      </c>
      <c r="AA31" s="1182">
        <v>1</v>
      </c>
      <c r="AB31" s="1099" t="s">
        <v>581</v>
      </c>
      <c r="AC31" s="240"/>
      <c r="AD31" s="44"/>
      <c r="AE31" s="44"/>
      <c r="AF31" s="44"/>
      <c r="AG31" s="44"/>
    </row>
    <row r="32" spans="1:33" ht="17.399999999999999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3" t="s">
        <v>455</v>
      </c>
      <c r="S32" s="1167">
        <v>3331561385</v>
      </c>
      <c r="T32" s="1183" t="s">
        <v>189</v>
      </c>
      <c r="U32" s="1167">
        <v>24141553</v>
      </c>
      <c r="V32" s="1167" t="s">
        <v>429</v>
      </c>
      <c r="W32" s="1182"/>
      <c r="X32" s="1169">
        <v>23395.536</v>
      </c>
      <c r="Y32" s="1167" t="s">
        <v>426</v>
      </c>
      <c r="Z32" s="1182">
        <v>1</v>
      </c>
      <c r="AA32" s="1182">
        <v>1</v>
      </c>
      <c r="AB32" s="1099" t="s">
        <v>581</v>
      </c>
      <c r="AC32" s="240"/>
      <c r="AD32" s="44"/>
      <c r="AE32" s="44"/>
      <c r="AF32" s="44"/>
      <c r="AG32" s="44"/>
    </row>
    <row r="33" spans="1:33" ht="17.399999999999999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3" t="s">
        <v>454</v>
      </c>
      <c r="S33" s="1167">
        <v>3331561413</v>
      </c>
      <c r="T33" s="1183" t="s">
        <v>189</v>
      </c>
      <c r="U33" s="1167">
        <v>24141566</v>
      </c>
      <c r="V33" s="1167" t="s">
        <v>429</v>
      </c>
      <c r="W33" s="1182"/>
      <c r="X33" s="1169">
        <v>24601.73</v>
      </c>
      <c r="Y33" s="1167" t="s">
        <v>426</v>
      </c>
      <c r="Z33" s="1182">
        <v>1</v>
      </c>
      <c r="AA33" s="1182">
        <v>1</v>
      </c>
      <c r="AB33" s="1099" t="s">
        <v>581</v>
      </c>
      <c r="AC33" s="240"/>
      <c r="AD33" s="44"/>
      <c r="AE33" s="44"/>
      <c r="AF33" s="44"/>
      <c r="AG33" s="44"/>
    </row>
    <row r="34" spans="1:33" ht="17.399999999999999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3" t="s">
        <v>455</v>
      </c>
      <c r="S34" s="1167">
        <v>3331561418</v>
      </c>
      <c r="T34" s="1183" t="s">
        <v>189</v>
      </c>
      <c r="U34" s="1167">
        <v>24141567</v>
      </c>
      <c r="V34" s="1167" t="s">
        <v>429</v>
      </c>
      <c r="W34" s="1182"/>
      <c r="X34" s="1169">
        <v>24731.504000000001</v>
      </c>
      <c r="Y34" s="1167" t="s">
        <v>426</v>
      </c>
      <c r="Z34" s="1182">
        <v>1</v>
      </c>
      <c r="AA34" s="1182">
        <v>1</v>
      </c>
      <c r="AB34" s="1099" t="s">
        <v>581</v>
      </c>
      <c r="AC34" s="240"/>
      <c r="AD34" s="44"/>
      <c r="AE34" s="44"/>
      <c r="AF34" s="44"/>
      <c r="AG34" s="44"/>
    </row>
    <row r="35" spans="1:33" ht="17.399999999999999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3" t="s">
        <v>455</v>
      </c>
      <c r="S35" s="1167">
        <v>3331561422</v>
      </c>
      <c r="T35" s="1183" t="s">
        <v>189</v>
      </c>
      <c r="U35" s="1167">
        <v>24141568</v>
      </c>
      <c r="V35" s="1167" t="s">
        <v>429</v>
      </c>
      <c r="W35" s="1182"/>
      <c r="X35" s="1169">
        <v>24084.646000000001</v>
      </c>
      <c r="Y35" s="1167" t="s">
        <v>426</v>
      </c>
      <c r="Z35" s="1182">
        <v>1</v>
      </c>
      <c r="AA35" s="1182">
        <v>1</v>
      </c>
      <c r="AB35" s="1099" t="s">
        <v>581</v>
      </c>
      <c r="AC35" s="240"/>
      <c r="AD35" s="44"/>
      <c r="AE35" s="44"/>
      <c r="AF35" s="44"/>
      <c r="AG35" s="44"/>
    </row>
    <row r="36" spans="1:33" ht="17.399999999999999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172" t="s">
        <v>455</v>
      </c>
      <c r="S36" s="1163">
        <v>3331561445</v>
      </c>
      <c r="T36" s="1207" t="s">
        <v>27</v>
      </c>
      <c r="U36" s="1163">
        <v>24141569</v>
      </c>
      <c r="V36" s="1163" t="s">
        <v>582</v>
      </c>
      <c r="W36" s="1163" t="s">
        <v>203</v>
      </c>
      <c r="X36" s="1168">
        <f>9662.63+11224.698</f>
        <v>20887.328000000001</v>
      </c>
      <c r="Y36" s="1163" t="s">
        <v>200</v>
      </c>
      <c r="Z36" s="1207">
        <v>1</v>
      </c>
      <c r="AA36" s="1207">
        <v>1</v>
      </c>
      <c r="AB36" s="1067" t="s">
        <v>204</v>
      </c>
      <c r="AC36" s="240"/>
      <c r="AD36" s="44"/>
      <c r="AE36" s="44"/>
      <c r="AF36" s="44"/>
      <c r="AG36" s="44"/>
    </row>
    <row r="37" spans="1:33" ht="17.399999999999999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172" t="s">
        <v>452</v>
      </c>
      <c r="S37" s="1163">
        <v>3331561457</v>
      </c>
      <c r="T37" s="1247" t="s">
        <v>256</v>
      </c>
      <c r="U37" s="1163" t="s">
        <v>256</v>
      </c>
      <c r="V37" s="1163" t="s">
        <v>256</v>
      </c>
      <c r="W37" s="1207" t="s">
        <v>256</v>
      </c>
      <c r="X37" s="1168" t="s">
        <v>256</v>
      </c>
      <c r="Y37" s="1163" t="s">
        <v>256</v>
      </c>
      <c r="Z37" s="1207" t="s">
        <v>256</v>
      </c>
      <c r="AA37" s="1207" t="s">
        <v>256</v>
      </c>
      <c r="AB37" s="1208" t="s">
        <v>256</v>
      </c>
      <c r="AC37" s="240"/>
      <c r="AD37" s="44"/>
      <c r="AE37" s="44"/>
      <c r="AF37" s="44"/>
      <c r="AG37" s="44"/>
    </row>
    <row r="38" spans="1:33" ht="17.399999999999999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172" t="s">
        <v>455</v>
      </c>
      <c r="S38" s="1163">
        <v>3331561357</v>
      </c>
      <c r="T38" s="1207" t="s">
        <v>437</v>
      </c>
      <c r="U38" s="1163">
        <v>24141559</v>
      </c>
      <c r="V38" s="1163" t="s">
        <v>582</v>
      </c>
      <c r="W38" s="1163" t="s">
        <v>203</v>
      </c>
      <c r="X38" s="1168">
        <f>11998.814+26679.623</f>
        <v>38678.436999999998</v>
      </c>
      <c r="Y38" s="1163" t="s">
        <v>128</v>
      </c>
      <c r="Z38" s="1207">
        <v>1</v>
      </c>
      <c r="AA38" s="1207">
        <v>1</v>
      </c>
      <c r="AB38" s="1067" t="s">
        <v>204</v>
      </c>
      <c r="AC38" s="240"/>
      <c r="AD38" s="44"/>
      <c r="AE38" s="44"/>
      <c r="AF38" s="44"/>
      <c r="AG38" s="44"/>
    </row>
    <row r="39" spans="1:33" ht="17.399999999999999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172" t="s">
        <v>455</v>
      </c>
      <c r="S39" s="1163">
        <v>3331561407</v>
      </c>
      <c r="T39" s="1207" t="s">
        <v>256</v>
      </c>
      <c r="U39" s="1163" t="s">
        <v>256</v>
      </c>
      <c r="V39" s="1163" t="s">
        <v>256</v>
      </c>
      <c r="W39" s="1163" t="s">
        <v>256</v>
      </c>
      <c r="X39" s="1168" t="s">
        <v>256</v>
      </c>
      <c r="Y39" s="1163" t="s">
        <v>256</v>
      </c>
      <c r="Z39" s="1207" t="s">
        <v>256</v>
      </c>
      <c r="AA39" s="1207" t="s">
        <v>256</v>
      </c>
      <c r="AB39" s="1067" t="s">
        <v>256</v>
      </c>
      <c r="AC39" s="240"/>
      <c r="AD39" s="44"/>
      <c r="AE39" s="44"/>
      <c r="AF39" s="44"/>
      <c r="AG39" s="44"/>
    </row>
    <row r="40" spans="1:33" ht="17.399999999999999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172" t="s">
        <v>455</v>
      </c>
      <c r="S40" s="1163">
        <v>3331561430</v>
      </c>
      <c r="T40" s="1207" t="s">
        <v>437</v>
      </c>
      <c r="U40" s="1163">
        <v>24141560</v>
      </c>
      <c r="V40" s="1163" t="s">
        <v>582</v>
      </c>
      <c r="W40" s="1163" t="s">
        <v>203</v>
      </c>
      <c r="X40" s="1168">
        <f>16041.424+23771.78</f>
        <v>39813.203999999998</v>
      </c>
      <c r="Y40" s="1163" t="s">
        <v>128</v>
      </c>
      <c r="Z40" s="1207">
        <v>1</v>
      </c>
      <c r="AA40" s="1207">
        <v>1</v>
      </c>
      <c r="AB40" s="1067" t="s">
        <v>204</v>
      </c>
      <c r="AC40" s="240"/>
      <c r="AD40" s="44"/>
      <c r="AE40" s="44"/>
      <c r="AF40" s="44"/>
      <c r="AG40" s="44"/>
    </row>
    <row r="41" spans="1:33" ht="17.399999999999999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172" t="s">
        <v>452</v>
      </c>
      <c r="S41" s="1163">
        <v>3331561437</v>
      </c>
      <c r="T41" s="1207" t="s">
        <v>256</v>
      </c>
      <c r="U41" s="1163" t="s">
        <v>256</v>
      </c>
      <c r="V41" s="1163" t="s">
        <v>256</v>
      </c>
      <c r="W41" s="1163" t="s">
        <v>256</v>
      </c>
      <c r="X41" s="1168" t="s">
        <v>256</v>
      </c>
      <c r="Y41" s="1163" t="s">
        <v>256</v>
      </c>
      <c r="Z41" s="1207" t="s">
        <v>256</v>
      </c>
      <c r="AA41" s="1207" t="s">
        <v>256</v>
      </c>
      <c r="AB41" s="1208" t="s">
        <v>256</v>
      </c>
      <c r="AC41" s="240"/>
      <c r="AD41" s="44"/>
      <c r="AE41" s="44"/>
      <c r="AF41" s="44"/>
      <c r="AG41" s="44"/>
    </row>
    <row r="42" spans="1:33" ht="17.399999999999999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172" t="s">
        <v>455</v>
      </c>
      <c r="S42" s="1163">
        <v>3331561414</v>
      </c>
      <c r="T42" s="1207" t="s">
        <v>27</v>
      </c>
      <c r="U42" s="1207">
        <v>24141562</v>
      </c>
      <c r="V42" s="1163" t="s">
        <v>430</v>
      </c>
      <c r="W42" s="1163" t="s">
        <v>205</v>
      </c>
      <c r="X42" s="1168">
        <v>20394.134999999998</v>
      </c>
      <c r="Y42" s="1163" t="s">
        <v>200</v>
      </c>
      <c r="Z42" s="1207">
        <v>1</v>
      </c>
      <c r="AA42" s="1207">
        <v>1</v>
      </c>
      <c r="AB42" s="1067" t="s">
        <v>204</v>
      </c>
      <c r="AC42" s="240"/>
      <c r="AD42" s="44"/>
      <c r="AE42" s="44"/>
      <c r="AF42" s="44"/>
      <c r="AG42" s="44"/>
    </row>
    <row r="43" spans="1:33" ht="17.399999999999999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172" t="s">
        <v>455</v>
      </c>
      <c r="S43" s="1163">
        <v>3331561429</v>
      </c>
      <c r="T43" s="1207" t="s">
        <v>27</v>
      </c>
      <c r="U43" s="1163">
        <v>24141563</v>
      </c>
      <c r="V43" s="1163" t="s">
        <v>430</v>
      </c>
      <c r="W43" s="1163" t="s">
        <v>205</v>
      </c>
      <c r="X43" s="1168">
        <f>16452.124+5301.62</f>
        <v>21753.743999999999</v>
      </c>
      <c r="Y43" s="1163" t="s">
        <v>200</v>
      </c>
      <c r="Z43" s="1207">
        <v>1</v>
      </c>
      <c r="AA43" s="1207">
        <v>1</v>
      </c>
      <c r="AB43" s="1067" t="s">
        <v>204</v>
      </c>
      <c r="AC43" s="240"/>
      <c r="AD43" s="44"/>
      <c r="AE43" s="44"/>
      <c r="AF43" s="44"/>
      <c r="AG43" s="44"/>
    </row>
    <row r="44" spans="1:33" ht="17.399999999999999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172" t="s">
        <v>455</v>
      </c>
      <c r="S44" s="1163">
        <v>3331561432</v>
      </c>
      <c r="T44" s="1207" t="s">
        <v>256</v>
      </c>
      <c r="U44" s="1163" t="s">
        <v>256</v>
      </c>
      <c r="V44" s="1163" t="s">
        <v>256</v>
      </c>
      <c r="W44" s="1163" t="s">
        <v>256</v>
      </c>
      <c r="X44" s="1168" t="s">
        <v>256</v>
      </c>
      <c r="Y44" s="1163" t="s">
        <v>256</v>
      </c>
      <c r="Z44" s="1207" t="s">
        <v>256</v>
      </c>
      <c r="AA44" s="1207" t="s">
        <v>256</v>
      </c>
      <c r="AB44" s="1208" t="s">
        <v>256</v>
      </c>
      <c r="AC44" s="240"/>
      <c r="AD44" s="44"/>
      <c r="AE44" s="44"/>
      <c r="AF44" s="44"/>
      <c r="AG44" s="44"/>
    </row>
    <row r="45" spans="1:33" ht="17.399999999999999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172" t="s">
        <v>455</v>
      </c>
      <c r="S45" s="1163">
        <v>3331561439</v>
      </c>
      <c r="T45" s="1207" t="s">
        <v>27</v>
      </c>
      <c r="U45" s="1163">
        <v>24141561</v>
      </c>
      <c r="V45" s="1163" t="s">
        <v>430</v>
      </c>
      <c r="W45" s="1163" t="s">
        <v>205</v>
      </c>
      <c r="X45" s="1168">
        <f>5301.62+15957.172</f>
        <v>21258.792000000001</v>
      </c>
      <c r="Y45" s="1163" t="s">
        <v>200</v>
      </c>
      <c r="Z45" s="1207">
        <v>1</v>
      </c>
      <c r="AA45" s="1207">
        <v>1</v>
      </c>
      <c r="AB45" s="1067" t="s">
        <v>204</v>
      </c>
      <c r="AC45" s="240"/>
      <c r="AD45" s="44"/>
      <c r="AE45" s="44"/>
      <c r="AF45" s="44"/>
      <c r="AG45" s="44"/>
    </row>
    <row r="46" spans="1:33" ht="17.399999999999999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172" t="s">
        <v>455</v>
      </c>
      <c r="S46" s="1163">
        <v>3331561442</v>
      </c>
      <c r="T46" s="1207" t="s">
        <v>256</v>
      </c>
      <c r="U46" s="1163" t="s">
        <v>256</v>
      </c>
      <c r="V46" s="1163" t="s">
        <v>256</v>
      </c>
      <c r="W46" s="1163" t="s">
        <v>256</v>
      </c>
      <c r="X46" s="1168" t="s">
        <v>256</v>
      </c>
      <c r="Y46" s="1163" t="s">
        <v>256</v>
      </c>
      <c r="Z46" s="1207" t="s">
        <v>256</v>
      </c>
      <c r="AA46" s="1207" t="s">
        <v>256</v>
      </c>
      <c r="AB46" s="1208" t="s">
        <v>256</v>
      </c>
      <c r="AC46" s="240"/>
      <c r="AD46" s="44"/>
      <c r="AE46" s="44"/>
      <c r="AF46" s="44"/>
      <c r="AG46" s="44"/>
    </row>
    <row r="47" spans="1:33" ht="17.399999999999999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172" t="s">
        <v>455</v>
      </c>
      <c r="S47" s="1163">
        <v>3331561450</v>
      </c>
      <c r="T47" s="1207" t="s">
        <v>27</v>
      </c>
      <c r="U47" s="1163">
        <v>24141564</v>
      </c>
      <c r="V47" s="1163" t="s">
        <v>430</v>
      </c>
      <c r="W47" s="1163" t="s">
        <v>205</v>
      </c>
      <c r="X47" s="1168">
        <f>18376.602+2821.83</f>
        <v>21198.432000000001</v>
      </c>
      <c r="Y47" s="1163" t="s">
        <v>200</v>
      </c>
      <c r="Z47" s="1207">
        <v>1</v>
      </c>
      <c r="AA47" s="1207">
        <v>1</v>
      </c>
      <c r="AB47" s="1208" t="s">
        <v>204</v>
      </c>
      <c r="AC47" s="240"/>
      <c r="AD47" s="44"/>
      <c r="AE47" s="44"/>
      <c r="AF47" s="44"/>
      <c r="AG47" s="44"/>
    </row>
    <row r="48" spans="1:33" ht="17.399999999999999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172" t="s">
        <v>455</v>
      </c>
      <c r="S48" s="1163">
        <v>3331561454</v>
      </c>
      <c r="T48" s="1207" t="s">
        <v>256</v>
      </c>
      <c r="U48" s="1163" t="s">
        <v>256</v>
      </c>
      <c r="V48" s="1163" t="s">
        <v>256</v>
      </c>
      <c r="W48" s="1163" t="s">
        <v>256</v>
      </c>
      <c r="X48" s="1168" t="s">
        <v>256</v>
      </c>
      <c r="Y48" s="1163" t="s">
        <v>256</v>
      </c>
      <c r="Z48" s="1207" t="s">
        <v>256</v>
      </c>
      <c r="AA48" s="1207" t="s">
        <v>256</v>
      </c>
      <c r="AB48" s="1208" t="s">
        <v>256</v>
      </c>
      <c r="AC48" s="240"/>
      <c r="AD48" s="44"/>
      <c r="AE48" s="44"/>
      <c r="AF48" s="44"/>
      <c r="AG48" s="44"/>
    </row>
    <row r="49" spans="1:33" ht="17.399999999999999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172" t="s">
        <v>583</v>
      </c>
      <c r="S49" s="1163">
        <v>3331561460</v>
      </c>
      <c r="T49" s="1207" t="s">
        <v>27</v>
      </c>
      <c r="U49" s="1163">
        <v>24141565</v>
      </c>
      <c r="V49" s="1163" t="s">
        <v>430</v>
      </c>
      <c r="W49" s="1163" t="s">
        <v>205</v>
      </c>
      <c r="X49" s="1168">
        <v>21677.288</v>
      </c>
      <c r="Y49" s="1163" t="s">
        <v>200</v>
      </c>
      <c r="Z49" s="1207">
        <v>1</v>
      </c>
      <c r="AA49" s="1207">
        <v>1</v>
      </c>
      <c r="AB49" s="1208" t="s">
        <v>204</v>
      </c>
      <c r="AC49" s="240"/>
      <c r="AD49" s="44"/>
      <c r="AE49" s="44"/>
      <c r="AF49" s="44"/>
      <c r="AG49" s="44"/>
    </row>
    <row r="50" spans="1:33" ht="17.399999999999999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172" t="s">
        <v>455</v>
      </c>
      <c r="S50" s="1163">
        <v>3331561510</v>
      </c>
      <c r="T50" s="1207" t="s">
        <v>152</v>
      </c>
      <c r="U50" s="1163">
        <v>24141581</v>
      </c>
      <c r="V50" s="1163" t="s">
        <v>435</v>
      </c>
      <c r="W50" s="1163" t="s">
        <v>205</v>
      </c>
      <c r="X50" s="1168">
        <f>25287.822+14536.7</f>
        <v>39824.521999999997</v>
      </c>
      <c r="Y50" s="1163" t="s">
        <v>128</v>
      </c>
      <c r="Z50" s="1207">
        <v>1</v>
      </c>
      <c r="AA50" s="1207">
        <v>1</v>
      </c>
      <c r="AB50" s="1208" t="s">
        <v>204</v>
      </c>
      <c r="AC50" s="240"/>
      <c r="AD50" s="44"/>
      <c r="AE50" s="44"/>
      <c r="AF50" s="44"/>
      <c r="AG50" s="44"/>
    </row>
    <row r="51" spans="1:33" ht="17.399999999999999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172" t="s">
        <v>455</v>
      </c>
      <c r="S51" s="1163">
        <v>3331561511</v>
      </c>
      <c r="T51" s="1207" t="s">
        <v>256</v>
      </c>
      <c r="U51" s="1163" t="s">
        <v>256</v>
      </c>
      <c r="V51" s="1163" t="s">
        <v>256</v>
      </c>
      <c r="W51" s="1163" t="s">
        <v>256</v>
      </c>
      <c r="X51" s="1168" t="s">
        <v>256</v>
      </c>
      <c r="Y51" s="1163" t="s">
        <v>256</v>
      </c>
      <c r="Z51" s="1207" t="s">
        <v>256</v>
      </c>
      <c r="AA51" s="1207" t="s">
        <v>256</v>
      </c>
      <c r="AB51" s="1208" t="s">
        <v>256</v>
      </c>
      <c r="AC51" s="240"/>
      <c r="AD51" s="44"/>
      <c r="AE51" s="44"/>
      <c r="AF51" s="44"/>
      <c r="AG51" s="44"/>
    </row>
    <row r="52" spans="1:33" ht="15.6">
      <c r="R52" s="1172" t="s">
        <v>454</v>
      </c>
      <c r="S52" s="1163">
        <v>3331561048</v>
      </c>
      <c r="T52" s="1207" t="s">
        <v>206</v>
      </c>
      <c r="U52" s="1163">
        <v>24141517</v>
      </c>
      <c r="V52" s="1163" t="s">
        <v>486</v>
      </c>
      <c r="W52" s="1163" t="s">
        <v>205</v>
      </c>
      <c r="X52" s="1168">
        <f>28325.189+2451.373+4574.785</f>
        <v>35351.346999999994</v>
      </c>
      <c r="Y52" s="1163" t="s">
        <v>128</v>
      </c>
      <c r="Z52" s="1207">
        <v>1</v>
      </c>
      <c r="AA52" s="1207">
        <v>1</v>
      </c>
      <c r="AB52" s="1067" t="s">
        <v>204</v>
      </c>
      <c r="AC52" s="240"/>
      <c r="AD52" s="44"/>
      <c r="AE52" s="44"/>
      <c r="AF52" s="44"/>
      <c r="AG52" s="44"/>
    </row>
    <row r="53" spans="1:33" ht="15.6">
      <c r="R53" s="1172" t="s">
        <v>454</v>
      </c>
      <c r="S53" s="1163">
        <v>3331561065</v>
      </c>
      <c r="T53" s="1207" t="s">
        <v>256</v>
      </c>
      <c r="U53" s="1163" t="s">
        <v>256</v>
      </c>
      <c r="V53" s="1163" t="s">
        <v>256</v>
      </c>
      <c r="W53" s="1163" t="s">
        <v>256</v>
      </c>
      <c r="X53" s="1168" t="s">
        <v>256</v>
      </c>
      <c r="Y53" s="1163" t="s">
        <v>256</v>
      </c>
      <c r="Z53" s="1207" t="s">
        <v>256</v>
      </c>
      <c r="AA53" s="1207" t="s">
        <v>256</v>
      </c>
      <c r="AB53" s="1208" t="s">
        <v>256</v>
      </c>
      <c r="AC53" s="240"/>
      <c r="AD53" s="44"/>
      <c r="AE53" s="44"/>
      <c r="AF53" s="44"/>
      <c r="AG53" s="44"/>
    </row>
    <row r="54" spans="1:33" ht="15.6">
      <c r="R54" s="1172" t="s">
        <v>454</v>
      </c>
      <c r="S54" s="1163">
        <v>3331561067</v>
      </c>
      <c r="T54" s="1207" t="s">
        <v>256</v>
      </c>
      <c r="U54" s="1163" t="s">
        <v>256</v>
      </c>
      <c r="V54" s="1163" t="s">
        <v>256</v>
      </c>
      <c r="W54" s="1163" t="s">
        <v>256</v>
      </c>
      <c r="X54" s="1168" t="s">
        <v>256</v>
      </c>
      <c r="Y54" s="1163" t="s">
        <v>256</v>
      </c>
      <c r="Z54" s="1207" t="s">
        <v>256</v>
      </c>
      <c r="AA54" s="1207" t="s">
        <v>256</v>
      </c>
      <c r="AB54" s="1208" t="s">
        <v>256</v>
      </c>
      <c r="AC54" s="240"/>
      <c r="AD54" s="44"/>
      <c r="AE54" s="44"/>
      <c r="AF54" s="44"/>
      <c r="AG54" s="44"/>
    </row>
    <row r="55" spans="1:33" ht="15.6">
      <c r="R55" s="1173" t="s">
        <v>455</v>
      </c>
      <c r="S55" s="1167">
        <v>3331561526</v>
      </c>
      <c r="T55" s="1182" t="s">
        <v>336</v>
      </c>
      <c r="U55" s="1167">
        <v>24141584</v>
      </c>
      <c r="V55" s="1167" t="s">
        <v>529</v>
      </c>
      <c r="W55" s="1167" t="s">
        <v>584</v>
      </c>
      <c r="X55" s="1169">
        <f>11396.723+30706.641</f>
        <v>42103.364000000001</v>
      </c>
      <c r="Y55" s="1167" t="s">
        <v>128</v>
      </c>
      <c r="Z55" s="1182">
        <v>1</v>
      </c>
      <c r="AA55" s="1182">
        <v>1</v>
      </c>
      <c r="AB55" s="1200" t="s">
        <v>207</v>
      </c>
      <c r="AC55" s="240"/>
      <c r="AD55" s="44"/>
      <c r="AE55" s="44"/>
      <c r="AF55" s="44"/>
      <c r="AG55" s="44"/>
    </row>
    <row r="56" spans="1:33" ht="15.6">
      <c r="R56" s="1173" t="s">
        <v>455</v>
      </c>
      <c r="S56" s="1167">
        <v>3331561532</v>
      </c>
      <c r="T56" s="1182" t="s">
        <v>256</v>
      </c>
      <c r="U56" s="1167" t="s">
        <v>256</v>
      </c>
      <c r="V56" s="1167" t="s">
        <v>256</v>
      </c>
      <c r="W56" s="1167" t="s">
        <v>256</v>
      </c>
      <c r="X56" s="1169" t="s">
        <v>256</v>
      </c>
      <c r="Y56" s="1167" t="s">
        <v>256</v>
      </c>
      <c r="Z56" s="1182" t="s">
        <v>256</v>
      </c>
      <c r="AA56" s="1182" t="s">
        <v>256</v>
      </c>
      <c r="AB56" s="1200" t="s">
        <v>256</v>
      </c>
      <c r="AC56" s="240"/>
      <c r="AD56" s="44"/>
      <c r="AE56" s="44"/>
      <c r="AF56" s="44"/>
      <c r="AG56" s="44"/>
    </row>
    <row r="57" spans="1:33" ht="15.6">
      <c r="R57" s="1173" t="s">
        <v>452</v>
      </c>
      <c r="S57" s="1167">
        <v>3331561537</v>
      </c>
      <c r="T57" s="1182" t="s">
        <v>336</v>
      </c>
      <c r="U57" s="1167">
        <v>24141585</v>
      </c>
      <c r="V57" s="1167" t="s">
        <v>529</v>
      </c>
      <c r="W57" s="1167" t="s">
        <v>584</v>
      </c>
      <c r="X57" s="1169">
        <v>35723.324999999997</v>
      </c>
      <c r="Y57" s="1167" t="s">
        <v>128</v>
      </c>
      <c r="Z57" s="1182">
        <v>1</v>
      </c>
      <c r="AA57" s="1182">
        <v>1</v>
      </c>
      <c r="AB57" s="1200" t="s">
        <v>207</v>
      </c>
      <c r="AC57" s="240"/>
      <c r="AD57" s="44"/>
      <c r="AE57" s="44"/>
      <c r="AF57" s="44"/>
      <c r="AG57" s="44"/>
    </row>
    <row r="58" spans="1:33" ht="15.6">
      <c r="R58" s="1173" t="s">
        <v>455</v>
      </c>
      <c r="S58" s="1167">
        <v>3331561538</v>
      </c>
      <c r="T58" s="1182" t="s">
        <v>336</v>
      </c>
      <c r="U58" s="1167">
        <v>24141586</v>
      </c>
      <c r="V58" s="1167" t="s">
        <v>529</v>
      </c>
      <c r="W58" s="1167" t="s">
        <v>584</v>
      </c>
      <c r="X58" s="1169">
        <v>34077.887000000002</v>
      </c>
      <c r="Y58" s="1167" t="s">
        <v>128</v>
      </c>
      <c r="Z58" s="1182">
        <v>1</v>
      </c>
      <c r="AA58" s="1182">
        <v>1</v>
      </c>
      <c r="AB58" s="1200" t="s">
        <v>207</v>
      </c>
      <c r="AC58" s="240"/>
      <c r="AD58" s="44"/>
      <c r="AE58" s="44"/>
      <c r="AF58" s="44"/>
      <c r="AG58" s="44"/>
    </row>
    <row r="59" spans="1:33" ht="15.6">
      <c r="R59" s="1201" t="s">
        <v>455</v>
      </c>
      <c r="S59" s="1202">
        <v>3331561270</v>
      </c>
      <c r="T59" s="1202" t="s">
        <v>34</v>
      </c>
      <c r="U59" s="1202">
        <v>24141531</v>
      </c>
      <c r="V59" s="1202" t="s">
        <v>131</v>
      </c>
      <c r="W59" s="1202" t="s">
        <v>199</v>
      </c>
      <c r="X59" s="1203">
        <v>26994.300999999999</v>
      </c>
      <c r="Y59" s="1202" t="s">
        <v>200</v>
      </c>
      <c r="Z59" s="1202">
        <v>1</v>
      </c>
      <c r="AA59" s="1202">
        <v>1</v>
      </c>
      <c r="AB59" s="1078" t="s">
        <v>204</v>
      </c>
      <c r="AC59" s="1210"/>
      <c r="AD59" s="44"/>
      <c r="AE59" s="44"/>
      <c r="AF59" s="44"/>
      <c r="AG59" s="44"/>
    </row>
    <row r="60" spans="1:33" ht="15.6">
      <c r="R60" s="1201" t="s">
        <v>455</v>
      </c>
      <c r="S60" s="1202">
        <v>3331561272</v>
      </c>
      <c r="T60" s="1202" t="s">
        <v>287</v>
      </c>
      <c r="U60" s="1202">
        <v>24141532</v>
      </c>
      <c r="V60" s="1202" t="s">
        <v>498</v>
      </c>
      <c r="W60" s="1202" t="s">
        <v>199</v>
      </c>
      <c r="X60" s="1203">
        <v>27825.96</v>
      </c>
      <c r="Y60" s="1202" t="s">
        <v>200</v>
      </c>
      <c r="Z60" s="1202">
        <v>1</v>
      </c>
      <c r="AA60" s="1202">
        <v>1</v>
      </c>
      <c r="AB60" s="1078" t="s">
        <v>204</v>
      </c>
      <c r="AC60" s="1210"/>
      <c r="AD60" s="44"/>
      <c r="AE60" s="44"/>
      <c r="AF60" s="44"/>
      <c r="AG60" s="44"/>
    </row>
    <row r="61" spans="1:33" ht="15.6">
      <c r="R61" s="1201" t="s">
        <v>455</v>
      </c>
      <c r="S61" s="1202">
        <v>3331561288</v>
      </c>
      <c r="T61" s="1077" t="s">
        <v>27</v>
      </c>
      <c r="U61" s="1202">
        <v>24141533</v>
      </c>
      <c r="V61" s="1202" t="s">
        <v>219</v>
      </c>
      <c r="W61" s="1202" t="s">
        <v>199</v>
      </c>
      <c r="X61" s="1203">
        <v>25331.084999999999</v>
      </c>
      <c r="Y61" s="1202" t="s">
        <v>200</v>
      </c>
      <c r="Z61" s="1077">
        <v>1</v>
      </c>
      <c r="AA61" s="1077">
        <v>1</v>
      </c>
      <c r="AB61" s="1078" t="s">
        <v>204</v>
      </c>
      <c r="AC61" s="1210"/>
      <c r="AD61" s="44"/>
      <c r="AE61" s="44"/>
      <c r="AF61" s="44"/>
      <c r="AG61" s="44"/>
    </row>
    <row r="62" spans="1:33" ht="15.6">
      <c r="R62" s="1201" t="s">
        <v>455</v>
      </c>
      <c r="S62" s="1246">
        <v>3331561290</v>
      </c>
      <c r="T62" s="1202" t="s">
        <v>11</v>
      </c>
      <c r="U62" s="1202">
        <v>24141536</v>
      </c>
      <c r="V62" s="1202" t="s">
        <v>498</v>
      </c>
      <c r="W62" s="1202" t="s">
        <v>199</v>
      </c>
      <c r="X62" s="1203">
        <v>26489.991999999998</v>
      </c>
      <c r="Y62" s="1202" t="s">
        <v>200</v>
      </c>
      <c r="Z62" s="1202">
        <v>1</v>
      </c>
      <c r="AA62" s="1202">
        <v>1</v>
      </c>
      <c r="AB62" s="1244" t="s">
        <v>204</v>
      </c>
      <c r="AC62" s="1210"/>
      <c r="AD62" s="44"/>
      <c r="AE62" s="44"/>
      <c r="AF62" s="44"/>
      <c r="AG62" s="44"/>
    </row>
    <row r="63" spans="1:33" ht="15.6">
      <c r="R63" s="1201" t="s">
        <v>455</v>
      </c>
      <c r="S63" s="1202">
        <v>3331561292</v>
      </c>
      <c r="T63" s="1077" t="s">
        <v>287</v>
      </c>
      <c r="U63" s="1202">
        <v>24141538</v>
      </c>
      <c r="V63" s="1202" t="s">
        <v>219</v>
      </c>
      <c r="W63" s="1202" t="s">
        <v>199</v>
      </c>
      <c r="X63" s="1203">
        <v>26283.706999999999</v>
      </c>
      <c r="Y63" s="1202" t="s">
        <v>200</v>
      </c>
      <c r="Z63" s="1077">
        <v>1</v>
      </c>
      <c r="AA63" s="1077">
        <v>1</v>
      </c>
      <c r="AB63" s="1078" t="s">
        <v>204</v>
      </c>
      <c r="AC63" s="1210"/>
      <c r="AD63" s="44"/>
      <c r="AE63" s="44"/>
      <c r="AF63" s="44"/>
      <c r="AG63" s="44"/>
    </row>
    <row r="64" spans="1:33" ht="15.6">
      <c r="R64" s="1201" t="s">
        <v>455</v>
      </c>
      <c r="S64" s="1202">
        <v>3331561295</v>
      </c>
      <c r="T64" s="1202" t="s">
        <v>11</v>
      </c>
      <c r="U64" s="1202">
        <v>24141539</v>
      </c>
      <c r="V64" s="1202" t="s">
        <v>158</v>
      </c>
      <c r="W64" s="1202" t="s">
        <v>199</v>
      </c>
      <c r="X64" s="1203">
        <v>25417.687000000002</v>
      </c>
      <c r="Y64" s="1202" t="s">
        <v>200</v>
      </c>
      <c r="Z64" s="1077">
        <v>1</v>
      </c>
      <c r="AA64" s="1077">
        <v>1</v>
      </c>
      <c r="AB64" s="1078" t="s">
        <v>204</v>
      </c>
      <c r="AC64" s="1210"/>
      <c r="AD64" s="44"/>
      <c r="AE64" s="44"/>
      <c r="AF64" s="44"/>
      <c r="AG64" s="44"/>
    </row>
    <row r="65" spans="18:33" ht="15.6">
      <c r="R65" s="1201" t="s">
        <v>455</v>
      </c>
      <c r="S65" s="1202">
        <v>3331561299</v>
      </c>
      <c r="T65" s="1202" t="s">
        <v>34</v>
      </c>
      <c r="U65" s="1202">
        <v>24141542</v>
      </c>
      <c r="V65" s="1202" t="s">
        <v>158</v>
      </c>
      <c r="W65" s="1202" t="s">
        <v>199</v>
      </c>
      <c r="X65" s="1203">
        <v>25764.095000000001</v>
      </c>
      <c r="Y65" s="1202" t="s">
        <v>200</v>
      </c>
      <c r="Z65" s="1202">
        <v>1</v>
      </c>
      <c r="AA65" s="1202">
        <v>1</v>
      </c>
      <c r="AB65" s="1244" t="s">
        <v>204</v>
      </c>
      <c r="AC65" s="1210"/>
      <c r="AD65" s="44"/>
      <c r="AE65" s="44"/>
      <c r="AF65" s="44"/>
      <c r="AG65" s="44"/>
    </row>
    <row r="66" spans="18:33" ht="15.6">
      <c r="R66" s="1201" t="s">
        <v>455</v>
      </c>
      <c r="S66" s="1202">
        <v>3331561308</v>
      </c>
      <c r="T66" s="1202" t="s">
        <v>287</v>
      </c>
      <c r="U66" s="1202">
        <v>24141543</v>
      </c>
      <c r="V66" s="1202" t="s">
        <v>158</v>
      </c>
      <c r="W66" s="1202" t="s">
        <v>199</v>
      </c>
      <c r="X66" s="1203">
        <v>26370.309000000001</v>
      </c>
      <c r="Y66" s="1202" t="s">
        <v>200</v>
      </c>
      <c r="Z66" s="1077">
        <v>1</v>
      </c>
      <c r="AA66" s="1077">
        <v>1</v>
      </c>
      <c r="AB66" s="1078" t="s">
        <v>204</v>
      </c>
      <c r="AC66" s="1210"/>
      <c r="AD66" s="44"/>
      <c r="AE66" s="44"/>
      <c r="AF66" s="44"/>
      <c r="AG66" s="44"/>
    </row>
    <row r="67" spans="18:33" ht="15.6">
      <c r="R67" s="1201" t="s">
        <v>463</v>
      </c>
      <c r="S67" s="1202">
        <v>3331561347</v>
      </c>
      <c r="T67" s="1202" t="s">
        <v>34</v>
      </c>
      <c r="U67" s="1202">
        <v>24141545</v>
      </c>
      <c r="V67" s="1202" t="s">
        <v>158</v>
      </c>
      <c r="W67" s="1202" t="s">
        <v>340</v>
      </c>
      <c r="X67" s="1203">
        <v>25331.084999999999</v>
      </c>
      <c r="Y67" s="1202" t="s">
        <v>200</v>
      </c>
      <c r="Z67" s="1077">
        <v>1</v>
      </c>
      <c r="AA67" s="1077">
        <v>1</v>
      </c>
      <c r="AB67" s="1078" t="s">
        <v>204</v>
      </c>
      <c r="AC67" s="1192"/>
      <c r="AD67" s="44"/>
      <c r="AE67" s="44"/>
      <c r="AF67" s="44"/>
      <c r="AG67" s="44"/>
    </row>
    <row r="68" spans="18:33" ht="15.6">
      <c r="R68" s="1201" t="s">
        <v>463</v>
      </c>
      <c r="S68" s="1202">
        <v>3331561352</v>
      </c>
      <c r="T68" s="1202" t="s">
        <v>27</v>
      </c>
      <c r="U68" s="1202">
        <v>24141554</v>
      </c>
      <c r="V68" s="1202" t="s">
        <v>158</v>
      </c>
      <c r="W68" s="1202" t="s">
        <v>340</v>
      </c>
      <c r="X68" s="1203">
        <v>26760.018</v>
      </c>
      <c r="Y68" s="1202" t="s">
        <v>200</v>
      </c>
      <c r="Z68" s="1077">
        <v>1</v>
      </c>
      <c r="AA68" s="1077">
        <v>1</v>
      </c>
      <c r="AB68" s="1078" t="s">
        <v>204</v>
      </c>
      <c r="AC68" s="1210"/>
      <c r="AD68" s="44"/>
      <c r="AE68" s="44"/>
      <c r="AF68" s="44"/>
      <c r="AG68" s="44"/>
    </row>
    <row r="69" spans="18:33" ht="15.6">
      <c r="R69" s="1226" t="s">
        <v>463</v>
      </c>
      <c r="S69" s="784">
        <v>3331561362</v>
      </c>
      <c r="T69" s="786" t="s">
        <v>11</v>
      </c>
      <c r="U69" s="784">
        <v>24141556</v>
      </c>
      <c r="V69" s="784" t="s">
        <v>158</v>
      </c>
      <c r="W69" s="1202" t="s">
        <v>340</v>
      </c>
      <c r="X69" s="786">
        <v>25244.483</v>
      </c>
      <c r="Y69" s="1077" t="s">
        <v>200</v>
      </c>
      <c r="Z69" s="1248">
        <v>1</v>
      </c>
      <c r="AA69" s="1248">
        <v>1</v>
      </c>
      <c r="AB69" s="1249" t="s">
        <v>204</v>
      </c>
      <c r="AC69" s="1192"/>
      <c r="AD69" s="44"/>
      <c r="AE69" s="44"/>
      <c r="AF69" s="44"/>
      <c r="AG69" s="44"/>
    </row>
    <row r="70" spans="18:33" ht="15.6">
      <c r="R70" s="1226" t="s">
        <v>455</v>
      </c>
      <c r="S70" s="784">
        <v>3331561492</v>
      </c>
      <c r="T70" s="786" t="s">
        <v>287</v>
      </c>
      <c r="U70" s="784">
        <v>24141570</v>
      </c>
      <c r="V70" s="784" t="s">
        <v>368</v>
      </c>
      <c r="W70" s="1227" t="s">
        <v>199</v>
      </c>
      <c r="X70" s="786">
        <v>23567.562000000002</v>
      </c>
      <c r="Y70" s="1077" t="s">
        <v>200</v>
      </c>
      <c r="Z70" s="1077">
        <v>1</v>
      </c>
      <c r="AA70" s="1077">
        <v>1</v>
      </c>
      <c r="AB70" s="1078" t="s">
        <v>204</v>
      </c>
      <c r="AC70" s="1192"/>
      <c r="AD70" s="44"/>
      <c r="AE70" s="44"/>
      <c r="AF70" s="44"/>
      <c r="AG70" s="44"/>
    </row>
    <row r="71" spans="18:33" ht="15.6">
      <c r="R71" s="1201" t="s">
        <v>455</v>
      </c>
      <c r="S71" s="1227">
        <v>3331561493</v>
      </c>
      <c r="T71" s="1229" t="s">
        <v>34</v>
      </c>
      <c r="U71" s="1227">
        <v>24141571</v>
      </c>
      <c r="V71" s="784" t="s">
        <v>368</v>
      </c>
      <c r="W71" s="1227" t="s">
        <v>199</v>
      </c>
      <c r="X71" s="1229">
        <v>23567.562000000002</v>
      </c>
      <c r="Y71" s="1077" t="s">
        <v>200</v>
      </c>
      <c r="Z71" s="1202">
        <v>1</v>
      </c>
      <c r="AA71" s="1202">
        <v>1</v>
      </c>
      <c r="AB71" s="1244" t="s">
        <v>204</v>
      </c>
      <c r="AC71" s="1192"/>
      <c r="AD71" s="44"/>
      <c r="AE71" s="44"/>
      <c r="AF71" s="44"/>
      <c r="AG71" s="44"/>
    </row>
    <row r="72" spans="18:33" ht="15.6">
      <c r="R72" s="1201" t="s">
        <v>455</v>
      </c>
      <c r="S72" s="1227">
        <v>3331561495</v>
      </c>
      <c r="T72" s="1229" t="s">
        <v>34</v>
      </c>
      <c r="U72" s="1227">
        <v>24141572</v>
      </c>
      <c r="V72" s="784" t="s">
        <v>368</v>
      </c>
      <c r="W72" s="1227" t="s">
        <v>199</v>
      </c>
      <c r="X72" s="1229">
        <v>23567.562000000002</v>
      </c>
      <c r="Y72" s="1077" t="s">
        <v>200</v>
      </c>
      <c r="Z72" s="1202">
        <v>1</v>
      </c>
      <c r="AA72" s="1202">
        <v>1</v>
      </c>
      <c r="AB72" s="1244" t="s">
        <v>204</v>
      </c>
      <c r="AC72" s="1192"/>
      <c r="AD72" s="44"/>
      <c r="AE72" s="44"/>
      <c r="AF72" s="44"/>
      <c r="AG72" s="44"/>
    </row>
    <row r="73" spans="18:33" ht="15.6">
      <c r="R73" s="1201" t="s">
        <v>455</v>
      </c>
      <c r="S73" s="1227">
        <v>3331561496</v>
      </c>
      <c r="T73" s="1250" t="s">
        <v>34</v>
      </c>
      <c r="U73" s="1227">
        <v>24141573</v>
      </c>
      <c r="V73" s="784" t="s">
        <v>368</v>
      </c>
      <c r="W73" s="1227" t="s">
        <v>199</v>
      </c>
      <c r="X73" s="1229">
        <v>23567.562000000002</v>
      </c>
      <c r="Y73" s="1077" t="s">
        <v>200</v>
      </c>
      <c r="Z73" s="1202">
        <v>1</v>
      </c>
      <c r="AA73" s="1202">
        <v>1</v>
      </c>
      <c r="AB73" s="1244" t="s">
        <v>204</v>
      </c>
      <c r="AC73" s="1192"/>
      <c r="AD73" s="44"/>
      <c r="AE73" s="44"/>
      <c r="AF73" s="44"/>
      <c r="AG73" s="44"/>
    </row>
    <row r="74" spans="18:33" ht="15.6">
      <c r="R74" s="1252" t="s">
        <v>455</v>
      </c>
      <c r="S74" s="1251">
        <v>3331561499</v>
      </c>
      <c r="T74" s="1250" t="s">
        <v>34</v>
      </c>
      <c r="U74" s="1227">
        <v>24141574</v>
      </c>
      <c r="V74" s="784" t="s">
        <v>368</v>
      </c>
      <c r="W74" s="1202" t="s">
        <v>340</v>
      </c>
      <c r="X74" s="1229">
        <v>24681.57</v>
      </c>
      <c r="Y74" s="1077" t="s">
        <v>200</v>
      </c>
      <c r="Z74" s="1202">
        <v>1</v>
      </c>
      <c r="AA74" s="1202">
        <v>1</v>
      </c>
      <c r="AB74" s="1244" t="s">
        <v>204</v>
      </c>
      <c r="AC74" s="1192"/>
      <c r="AD74" s="44"/>
      <c r="AE74" s="44"/>
      <c r="AF74" s="44"/>
      <c r="AG74" s="44"/>
    </row>
    <row r="75" spans="18:33" ht="15.6">
      <c r="R75" s="1201" t="s">
        <v>455</v>
      </c>
      <c r="S75" s="1227">
        <v>3331561503</v>
      </c>
      <c r="T75" s="1250" t="s">
        <v>287</v>
      </c>
      <c r="U75" s="1227">
        <v>24141575</v>
      </c>
      <c r="V75" s="1227" t="s">
        <v>290</v>
      </c>
      <c r="W75" s="1227" t="s">
        <v>199</v>
      </c>
      <c r="X75" s="1229">
        <v>26103.819</v>
      </c>
      <c r="Y75" s="1077" t="s">
        <v>200</v>
      </c>
      <c r="Z75" s="1202">
        <v>1</v>
      </c>
      <c r="AA75" s="1202">
        <v>1</v>
      </c>
      <c r="AB75" s="1244" t="s">
        <v>204</v>
      </c>
      <c r="AC75" s="1210"/>
      <c r="AD75" s="44"/>
      <c r="AE75" s="44"/>
      <c r="AF75" s="44"/>
      <c r="AG75" s="44"/>
    </row>
    <row r="76" spans="18:33" ht="15.6">
      <c r="R76" s="1201" t="s">
        <v>455</v>
      </c>
      <c r="S76" s="1201">
        <v>3331561504</v>
      </c>
      <c r="T76" s="1250" t="s">
        <v>34</v>
      </c>
      <c r="U76" s="1227">
        <v>24141576</v>
      </c>
      <c r="V76" s="1230" t="s">
        <v>447</v>
      </c>
      <c r="W76" s="1227" t="s">
        <v>199</v>
      </c>
      <c r="X76" s="1253">
        <v>25945.367999999999</v>
      </c>
      <c r="Y76" s="1077" t="s">
        <v>200</v>
      </c>
      <c r="Z76" s="1202">
        <v>1</v>
      </c>
      <c r="AA76" s="1202">
        <v>1</v>
      </c>
      <c r="AB76" s="1244" t="s">
        <v>204</v>
      </c>
      <c r="AC76" s="1192"/>
      <c r="AD76" s="44"/>
      <c r="AE76" s="44"/>
      <c r="AF76" s="44"/>
      <c r="AG76" s="44"/>
    </row>
    <row r="77" spans="18:33" ht="15.6">
      <c r="R77" s="1201" t="s">
        <v>455</v>
      </c>
      <c r="S77" s="1201">
        <v>3331561505</v>
      </c>
      <c r="T77" s="1229" t="s">
        <v>27</v>
      </c>
      <c r="U77" s="1227">
        <v>24141577</v>
      </c>
      <c r="V77" s="1227" t="s">
        <v>290</v>
      </c>
      <c r="W77" s="1227" t="s">
        <v>199</v>
      </c>
      <c r="X77" s="1229">
        <v>26381.102999999999</v>
      </c>
      <c r="Y77" s="1077" t="s">
        <v>200</v>
      </c>
      <c r="Z77" s="1202">
        <v>1</v>
      </c>
      <c r="AA77" s="1202">
        <v>1</v>
      </c>
      <c r="AB77" s="1244" t="s">
        <v>204</v>
      </c>
      <c r="AC77" s="1192"/>
    </row>
    <row r="78" spans="18:33" ht="15.6">
      <c r="R78" s="1252" t="s">
        <v>455</v>
      </c>
      <c r="S78" s="1251">
        <v>3331561507</v>
      </c>
      <c r="T78" s="1250" t="s">
        <v>287</v>
      </c>
      <c r="U78" s="1227">
        <v>24141578</v>
      </c>
      <c r="V78" s="1227" t="s">
        <v>464</v>
      </c>
      <c r="W78" s="1227" t="s">
        <v>199</v>
      </c>
      <c r="X78" s="1229">
        <v>22142.694</v>
      </c>
      <c r="Y78" s="1077" t="s">
        <v>200</v>
      </c>
      <c r="Z78" s="1202">
        <v>1</v>
      </c>
      <c r="AA78" s="1202">
        <v>1</v>
      </c>
      <c r="AB78" s="1244" t="s">
        <v>204</v>
      </c>
      <c r="AC78" s="1192"/>
    </row>
    <row r="79" spans="18:33" ht="15.6">
      <c r="R79" s="1201" t="s">
        <v>455</v>
      </c>
      <c r="S79" s="1227">
        <v>3331561508</v>
      </c>
      <c r="T79" s="1250" t="s">
        <v>287</v>
      </c>
      <c r="U79" s="1227">
        <v>24141579</v>
      </c>
      <c r="V79" s="1227" t="s">
        <v>447</v>
      </c>
      <c r="W79" s="1227" t="s">
        <v>199</v>
      </c>
      <c r="X79" s="1229">
        <v>25670.352999999999</v>
      </c>
      <c r="Y79" s="1077" t="s">
        <v>200</v>
      </c>
      <c r="Z79" s="1202">
        <v>1</v>
      </c>
      <c r="AA79" s="1202">
        <v>1</v>
      </c>
      <c r="AB79" s="1244" t="s">
        <v>204</v>
      </c>
      <c r="AC79" s="1192"/>
    </row>
    <row r="80" spans="18:33" ht="15.6">
      <c r="R80" s="1201" t="s">
        <v>455</v>
      </c>
      <c r="S80" s="1227">
        <v>3331561509</v>
      </c>
      <c r="T80" s="1250" t="s">
        <v>34</v>
      </c>
      <c r="U80" s="1227">
        <v>24141580</v>
      </c>
      <c r="V80" s="1227" t="s">
        <v>464</v>
      </c>
      <c r="W80" s="1227" t="s">
        <v>199</v>
      </c>
      <c r="X80" s="1229">
        <v>26460.325000000001</v>
      </c>
      <c r="Y80" s="1202" t="s">
        <v>200</v>
      </c>
      <c r="Z80" s="1202">
        <v>1</v>
      </c>
      <c r="AA80" s="1202">
        <v>1</v>
      </c>
      <c r="AB80" s="1244" t="s">
        <v>204</v>
      </c>
      <c r="AC80" s="1192"/>
    </row>
    <row r="81" spans="18:29" ht="15.6">
      <c r="R81" s="1189"/>
      <c r="S81" s="1224"/>
      <c r="T81" s="1224"/>
      <c r="U81" s="1224"/>
      <c r="V81" s="1224"/>
      <c r="W81" s="1190"/>
      <c r="X81" s="1225"/>
      <c r="Y81" s="1190"/>
      <c r="Z81" s="1190"/>
      <c r="AA81" s="1190"/>
      <c r="AB81" s="1241"/>
      <c r="AC81" s="1192"/>
    </row>
    <row r="82" spans="18:29" ht="15.6">
      <c r="R82" s="1189"/>
      <c r="S82" s="1189"/>
      <c r="T82" s="1224"/>
      <c r="U82" s="1224"/>
      <c r="V82" s="1224"/>
      <c r="W82" s="1224"/>
      <c r="X82" s="1225"/>
      <c r="Y82" s="1190"/>
      <c r="Z82" s="1190"/>
      <c r="AA82" s="1190"/>
      <c r="AB82" s="1241"/>
      <c r="AC82" s="1192"/>
    </row>
    <row r="83" spans="18:29" ht="15.6">
      <c r="R83" s="1189"/>
      <c r="S83" s="1189"/>
      <c r="T83" s="1106"/>
      <c r="U83" s="1224"/>
      <c r="V83" s="1224"/>
      <c r="W83" s="1224"/>
      <c r="X83" s="1225"/>
      <c r="Y83" s="1190"/>
      <c r="Z83" s="1190"/>
      <c r="AA83" s="1190"/>
      <c r="AB83" s="1241"/>
      <c r="AC83" s="1192"/>
    </row>
    <row r="84" spans="18:29" ht="15.6">
      <c r="R84" s="1189"/>
      <c r="S84" s="1224"/>
      <c r="T84" s="1106"/>
      <c r="U84" s="1224"/>
      <c r="V84" s="1224"/>
      <c r="W84" s="1224"/>
      <c r="X84" s="1225"/>
      <c r="Y84" s="1190"/>
      <c r="Z84" s="1190"/>
      <c r="AA84" s="1190"/>
      <c r="AB84" s="1241"/>
      <c r="AC84" s="1192"/>
    </row>
    <row r="85" spans="18:29" ht="15.6">
      <c r="R85" s="1189"/>
      <c r="S85" s="1224"/>
      <c r="T85" s="1106"/>
      <c r="U85" s="1224"/>
      <c r="V85" s="1224"/>
      <c r="W85" s="1224"/>
      <c r="X85" s="1225"/>
      <c r="Y85" s="1190"/>
      <c r="Z85" s="1190"/>
      <c r="AA85" s="1190"/>
      <c r="AB85" s="1241"/>
      <c r="AC85" s="1192"/>
    </row>
    <row r="86" spans="18:29" ht="15.6">
      <c r="R86" s="1189"/>
      <c r="S86" s="1224"/>
      <c r="T86" s="1106"/>
      <c r="U86" s="1224"/>
      <c r="V86" s="1224"/>
      <c r="W86" s="1224"/>
      <c r="X86" s="1225"/>
      <c r="Y86" s="1190"/>
      <c r="Z86" s="1190"/>
      <c r="AA86" s="1190"/>
      <c r="AB86" s="1241"/>
      <c r="AC86" s="1192"/>
    </row>
    <row r="87" spans="18:29" ht="15.6">
      <c r="R87" s="1189"/>
      <c r="S87" s="1224"/>
      <c r="T87" s="1224"/>
      <c r="U87" s="1224"/>
      <c r="V87" s="1224"/>
      <c r="W87" s="1224"/>
      <c r="X87" s="1225"/>
      <c r="Y87" s="1190"/>
      <c r="Z87" s="1190"/>
      <c r="AA87" s="1190"/>
      <c r="AB87" s="1241"/>
      <c r="AC87" s="1192"/>
    </row>
    <row r="88" spans="18:29" ht="15.6">
      <c r="R88" s="1189"/>
      <c r="S88" s="1224"/>
      <c r="T88" s="1224"/>
      <c r="U88" s="1224"/>
      <c r="V88" s="1224"/>
      <c r="W88" s="1224"/>
      <c r="X88" s="1225"/>
      <c r="Y88" s="1190"/>
      <c r="Z88" s="1190"/>
      <c r="AA88" s="1190"/>
      <c r="AB88" s="1241"/>
      <c r="AC88" s="1192"/>
    </row>
    <row r="89" spans="18:29" ht="15.6">
      <c r="R89" s="1189"/>
      <c r="S89" s="1224"/>
      <c r="T89" s="1224"/>
      <c r="U89" s="1224"/>
      <c r="V89" s="1224"/>
      <c r="W89" s="1224"/>
      <c r="X89" s="1225"/>
      <c r="Y89" s="1190"/>
      <c r="Z89" s="1190"/>
      <c r="AA89" s="1190"/>
      <c r="AB89" s="1241"/>
      <c r="AC89" s="1192"/>
    </row>
    <row r="90" spans="18:29" ht="15.6">
      <c r="R90" s="1189"/>
      <c r="S90" s="1224"/>
      <c r="T90" s="1225"/>
      <c r="U90" s="1224"/>
      <c r="V90" s="1224"/>
      <c r="W90" s="1224"/>
      <c r="X90" s="1225"/>
      <c r="Y90" s="1190"/>
      <c r="Z90" s="1190"/>
      <c r="AA90" s="1190"/>
      <c r="AB90" s="1241"/>
      <c r="AC90" s="1192"/>
    </row>
    <row r="91" spans="18:29" ht="15.6">
      <c r="R91" s="1189"/>
      <c r="S91" s="1224"/>
      <c r="T91" s="1224"/>
      <c r="U91" s="1224"/>
      <c r="V91" s="1224"/>
      <c r="W91" s="1224"/>
      <c r="X91" s="1225"/>
      <c r="Y91" s="1190"/>
      <c r="Z91" s="1190"/>
      <c r="AA91" s="1190"/>
      <c r="AB91" s="1241"/>
      <c r="AC91" s="1192"/>
    </row>
    <row r="92" spans="18:29" ht="15.6">
      <c r="R92" s="1189"/>
      <c r="S92" s="1224"/>
      <c r="T92" s="1224"/>
      <c r="U92" s="1224"/>
      <c r="V92" s="1224"/>
      <c r="W92" s="1224"/>
      <c r="X92" s="1225"/>
      <c r="Y92" s="1190"/>
      <c r="Z92" s="1190"/>
      <c r="AA92" s="1190"/>
      <c r="AB92" s="1241"/>
      <c r="AC92" s="1192"/>
    </row>
    <row r="93" spans="18:29" ht="15.6">
      <c r="R93" s="1189"/>
      <c r="S93" s="1224"/>
      <c r="T93" s="1224"/>
      <c r="U93" s="1224"/>
      <c r="V93" s="1224"/>
      <c r="W93" s="1224"/>
      <c r="X93" s="1225"/>
      <c r="Y93" s="1190"/>
      <c r="Z93" s="1190"/>
      <c r="AA93" s="1190"/>
      <c r="AB93" s="1241"/>
      <c r="AC93" s="1192"/>
    </row>
    <row r="94" spans="18:29" ht="15.6">
      <c r="R94" s="1189"/>
      <c r="S94" s="1224"/>
      <c r="T94" s="1224"/>
      <c r="U94" s="1224"/>
      <c r="V94" s="1224"/>
      <c r="W94" s="1224"/>
      <c r="X94" s="1225"/>
      <c r="Y94" s="1190"/>
      <c r="Z94" s="1190"/>
      <c r="AA94" s="1190"/>
      <c r="AB94" s="1241"/>
      <c r="AC94" s="1192"/>
    </row>
    <row r="95" spans="18:29" ht="15.6">
      <c r="R95" s="1189"/>
      <c r="S95" s="1224"/>
      <c r="T95" s="1224"/>
      <c r="U95" s="1224"/>
      <c r="V95" s="1224"/>
      <c r="W95" s="1224"/>
      <c r="X95" s="1225"/>
      <c r="Y95" s="1190"/>
      <c r="Z95" s="1190"/>
      <c r="AA95" s="1190"/>
      <c r="AB95" s="1241"/>
      <c r="AC95" s="1192"/>
    </row>
    <row r="96" spans="18:29" ht="15.6">
      <c r="R96" s="1189"/>
      <c r="S96" s="1190"/>
      <c r="T96" s="1106"/>
      <c r="U96" s="1190"/>
      <c r="V96" s="1190"/>
      <c r="W96" s="1190"/>
      <c r="X96" s="1191"/>
      <c r="Y96" s="1190"/>
      <c r="Z96" s="1106"/>
      <c r="AA96" s="1106"/>
      <c r="AB96" s="1110"/>
      <c r="AC96" s="1192"/>
    </row>
    <row r="97" spans="18:29" ht="15.6">
      <c r="R97" s="1189"/>
      <c r="S97" s="1190"/>
      <c r="T97" s="1106"/>
      <c r="U97" s="1190"/>
      <c r="V97" s="1190"/>
      <c r="W97" s="1190"/>
      <c r="X97" s="1191"/>
      <c r="Y97" s="1190"/>
      <c r="Z97" s="1106"/>
      <c r="AA97" s="1106"/>
      <c r="AB97" s="1110"/>
      <c r="AC97" s="1192"/>
    </row>
    <row r="98" spans="18:29" ht="15.6">
      <c r="R98" s="1189"/>
      <c r="S98" s="1190"/>
      <c r="T98" s="1106"/>
      <c r="U98" s="1190"/>
      <c r="V98" s="1190"/>
      <c r="W98" s="1190"/>
      <c r="X98" s="1191"/>
      <c r="Y98" s="1190"/>
      <c r="Z98" s="1106"/>
      <c r="AA98" s="1106"/>
      <c r="AB98" s="1110"/>
      <c r="AC98" s="1192"/>
    </row>
    <row r="99" spans="18:29" ht="15.6">
      <c r="R99" s="1189"/>
      <c r="S99" s="1190"/>
      <c r="T99" s="1106"/>
      <c r="U99" s="1190"/>
      <c r="V99" s="1190"/>
      <c r="W99" s="1190"/>
      <c r="X99" s="1191"/>
      <c r="Y99" s="1190"/>
      <c r="Z99" s="1106"/>
      <c r="AA99" s="1106"/>
      <c r="AB99" s="1110"/>
      <c r="AC99" s="1192"/>
    </row>
    <row r="100" spans="18:29" ht="15.6">
      <c r="R100" s="1189"/>
      <c r="S100" s="1190"/>
      <c r="T100" s="1106"/>
      <c r="U100" s="1190"/>
      <c r="V100" s="1190"/>
      <c r="W100" s="1190"/>
      <c r="X100" s="1191"/>
      <c r="Y100" s="1190"/>
      <c r="Z100" s="1190"/>
      <c r="AA100" s="1190"/>
      <c r="AB100" s="1110"/>
      <c r="AC100" s="1192"/>
    </row>
    <row r="101" spans="18:29" ht="15.6">
      <c r="R101" s="1189"/>
      <c r="S101" s="1190"/>
      <c r="T101" s="1106"/>
      <c r="U101" s="1190"/>
      <c r="V101" s="1190"/>
      <c r="W101" s="1190"/>
      <c r="X101" s="1191"/>
      <c r="Y101" s="1190"/>
      <c r="Z101" s="1106"/>
      <c r="AA101" s="1106"/>
      <c r="AB101" s="1110"/>
      <c r="AC101" s="1192"/>
    </row>
    <row r="102" spans="18:29" s="44" customFormat="1" ht="15.6">
      <c r="R102" s="1189"/>
      <c r="S102" s="1190"/>
      <c r="T102" s="1106"/>
      <c r="U102" s="1190"/>
      <c r="V102" s="1190"/>
      <c r="W102" s="1190"/>
      <c r="X102" s="1191"/>
      <c r="Y102" s="1190"/>
      <c r="Z102" s="1106"/>
      <c r="AA102" s="1106"/>
      <c r="AB102" s="1110"/>
      <c r="AC102" s="1192"/>
    </row>
    <row r="103" spans="18:29" s="44" customFormat="1" ht="15.6">
      <c r="R103" s="1189"/>
      <c r="S103" s="1190"/>
      <c r="T103" s="1106"/>
      <c r="U103" s="1190"/>
      <c r="V103" s="1190"/>
      <c r="W103" s="1190"/>
      <c r="X103" s="1191"/>
      <c r="Y103" s="1190"/>
      <c r="Z103" s="1106"/>
      <c r="AA103" s="1106"/>
      <c r="AB103" s="1110"/>
      <c r="AC103" s="1192"/>
    </row>
    <row r="104" spans="18:29" s="44" customFormat="1" ht="15.6">
      <c r="R104" s="1189"/>
      <c r="S104" s="1190"/>
      <c r="T104" s="1106"/>
      <c r="U104" s="1190"/>
      <c r="V104" s="1190"/>
      <c r="W104" s="1190"/>
      <c r="X104" s="1191"/>
      <c r="Y104" s="1190"/>
      <c r="Z104" s="1106"/>
      <c r="AA104" s="1106"/>
      <c r="AB104" s="1110"/>
      <c r="AC104" s="1192"/>
    </row>
    <row r="105" spans="18:29" s="44" customFormat="1" ht="15.6"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10"/>
      <c r="AC105" s="1192"/>
    </row>
    <row r="106" spans="18:29" s="44" customFormat="1" ht="15.6"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10"/>
      <c r="AC106" s="1192"/>
    </row>
    <row r="107" spans="18:29" s="44" customFormat="1" ht="15.6">
      <c r="R107" s="1189"/>
      <c r="S107" s="1190"/>
      <c r="T107" s="1106"/>
      <c r="U107" s="1190"/>
      <c r="V107" s="1190"/>
      <c r="W107" s="1190"/>
      <c r="X107" s="1191"/>
      <c r="Y107" s="1190"/>
      <c r="Z107" s="1190"/>
      <c r="AA107" s="1190"/>
      <c r="AB107" s="1110"/>
      <c r="AC107" s="1192"/>
    </row>
    <row r="108" spans="18:29" s="44" customFormat="1" ht="15.6">
      <c r="R108" s="1189"/>
      <c r="S108" s="1190"/>
      <c r="T108" s="1106"/>
      <c r="U108" s="1190"/>
      <c r="V108" s="1190"/>
      <c r="W108" s="1190"/>
      <c r="X108" s="1191"/>
      <c r="Y108" s="1190"/>
      <c r="Z108" s="1106"/>
      <c r="AA108" s="1106"/>
      <c r="AB108" s="1110"/>
      <c r="AC108" s="1192"/>
    </row>
    <row r="109" spans="18:29" s="44" customFormat="1" ht="15.6">
      <c r="R109" s="1189"/>
      <c r="S109" s="1190"/>
      <c r="T109" s="1106"/>
      <c r="U109" s="1190"/>
      <c r="V109" s="1190"/>
      <c r="W109" s="1190"/>
      <c r="X109" s="1191"/>
      <c r="Y109" s="1190"/>
      <c r="Z109" s="1190"/>
      <c r="AA109" s="1190"/>
      <c r="AB109" s="1110"/>
      <c r="AC109" s="1192"/>
    </row>
    <row r="110" spans="18:29">
      <c r="R110" s="1189"/>
      <c r="S110" s="1190"/>
      <c r="T110" s="1190"/>
      <c r="U110" s="1190"/>
      <c r="V110" s="1190"/>
      <c r="W110" s="1190"/>
      <c r="X110" s="1191"/>
      <c r="Y110" s="1190"/>
      <c r="Z110" s="1190"/>
      <c r="AA110" s="1190"/>
      <c r="AB110" s="1190"/>
      <c r="AC110" s="1192"/>
    </row>
    <row r="111" spans="18:29">
      <c r="R111" s="1189"/>
      <c r="S111" s="1190"/>
      <c r="T111" s="1190"/>
      <c r="U111" s="1190"/>
      <c r="V111" s="1190"/>
      <c r="W111" s="1190"/>
      <c r="X111" s="1191"/>
      <c r="Y111" s="1190"/>
      <c r="Z111" s="1190"/>
      <c r="AA111" s="1190"/>
      <c r="AB111" s="1190"/>
      <c r="AC111" s="1192"/>
    </row>
    <row r="112" spans="18:29">
      <c r="R112" s="1189"/>
      <c r="S112" s="1190"/>
      <c r="T112" s="1190"/>
      <c r="U112" s="1190"/>
      <c r="V112" s="1190"/>
      <c r="W112" s="1190"/>
      <c r="X112" s="1191"/>
      <c r="Y112" s="1190"/>
      <c r="Z112" s="1190"/>
      <c r="AA112" s="1190"/>
      <c r="AB112" s="1190"/>
      <c r="AC112" s="1192"/>
    </row>
    <row r="113" spans="18:29">
      <c r="R113" s="1189"/>
      <c r="S113" s="1190"/>
      <c r="T113" s="1106"/>
      <c r="U113" s="1190"/>
      <c r="V113" s="1190"/>
      <c r="W113" s="1190"/>
      <c r="X113" s="1191"/>
      <c r="Y113" s="1190"/>
      <c r="Z113" s="1190"/>
      <c r="AA113" s="1190"/>
      <c r="AB113" s="1190"/>
      <c r="AC113" s="1192"/>
    </row>
    <row r="114" spans="18:29">
      <c r="R114" s="1189"/>
      <c r="S114" s="1190"/>
      <c r="T114" s="1106"/>
      <c r="U114" s="1190"/>
      <c r="V114" s="1190"/>
      <c r="W114" s="1190"/>
      <c r="X114" s="1191"/>
      <c r="Y114" s="1190"/>
      <c r="Z114" s="1190"/>
      <c r="AA114" s="1190"/>
      <c r="AB114" s="1190"/>
      <c r="AC114" s="1192"/>
    </row>
    <row r="115" spans="18:29">
      <c r="R115" s="1189"/>
      <c r="S115" s="1190"/>
      <c r="T115" s="1106"/>
      <c r="U115" s="1190"/>
      <c r="V115" s="1190"/>
      <c r="W115" s="1190"/>
      <c r="X115" s="1191"/>
      <c r="Y115" s="1190"/>
      <c r="Z115" s="1190"/>
      <c r="AA115" s="1190"/>
      <c r="AB115" s="1190"/>
      <c r="AC115" s="1192"/>
    </row>
    <row r="116" spans="18:29">
      <c r="R116" s="1189"/>
      <c r="S116" s="1190"/>
      <c r="T116" s="1106"/>
      <c r="U116" s="1190"/>
      <c r="V116" s="1190"/>
      <c r="W116" s="1190"/>
      <c r="X116" s="1191"/>
      <c r="Y116" s="1190"/>
      <c r="Z116" s="1190"/>
      <c r="AA116" s="1190"/>
      <c r="AB116" s="1190"/>
      <c r="AC116" s="1192"/>
    </row>
    <row r="117" spans="18:29">
      <c r="R117" s="1189"/>
      <c r="S117" s="1190"/>
      <c r="T117" s="1106"/>
      <c r="U117" s="1190"/>
      <c r="V117" s="1190"/>
      <c r="W117" s="1190"/>
      <c r="X117" s="1191"/>
      <c r="Y117" s="1190"/>
      <c r="Z117" s="1190"/>
      <c r="AA117" s="1190"/>
      <c r="AB117" s="1190"/>
      <c r="AC117" s="1192"/>
    </row>
    <row r="118" spans="18:29"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90"/>
      <c r="AC118" s="1192"/>
    </row>
    <row r="119" spans="18:29">
      <c r="R119" s="1189"/>
      <c r="S119" s="1190"/>
      <c r="T119" s="1106"/>
      <c r="U119" s="1190"/>
      <c r="V119" s="1190"/>
      <c r="W119" s="1190"/>
      <c r="X119" s="1191"/>
      <c r="Y119" s="1190"/>
      <c r="Z119" s="1190"/>
      <c r="AA119" s="1190"/>
      <c r="AB119" s="1190"/>
      <c r="AC119" s="1192"/>
    </row>
    <row r="120" spans="18:29">
      <c r="R120" s="1189"/>
      <c r="S120" s="1190"/>
      <c r="T120" s="1106"/>
      <c r="U120" s="1190"/>
      <c r="V120" s="1190"/>
      <c r="W120" s="1190"/>
      <c r="X120" s="1191"/>
      <c r="Y120" s="1190"/>
      <c r="Z120" s="1190"/>
      <c r="AA120" s="1190"/>
      <c r="AB120" s="1190"/>
      <c r="AC120" s="1192"/>
    </row>
    <row r="121" spans="18:29">
      <c r="R121" s="1189"/>
      <c r="S121" s="1190"/>
      <c r="T121" s="1106"/>
      <c r="U121" s="1190"/>
      <c r="V121" s="1190"/>
      <c r="W121" s="1190"/>
      <c r="X121" s="1191"/>
      <c r="Y121" s="1190"/>
      <c r="Z121" s="1190"/>
      <c r="AA121" s="1190"/>
      <c r="AB121" s="1190"/>
      <c r="AC121" s="1192"/>
    </row>
    <row r="122" spans="18:29">
      <c r="R122" s="1189"/>
      <c r="S122" s="1190"/>
      <c r="T122" s="1190"/>
      <c r="U122" s="1190"/>
      <c r="V122" s="1190"/>
      <c r="W122" s="1190"/>
      <c r="X122" s="1191"/>
      <c r="Y122" s="1190"/>
      <c r="Z122" s="1190"/>
      <c r="AA122" s="1190"/>
      <c r="AB122" s="1190"/>
      <c r="AC122" s="1192"/>
    </row>
    <row r="123" spans="18:29">
      <c r="R123" s="1189"/>
      <c r="S123" s="1190"/>
      <c r="T123" s="1106"/>
      <c r="U123" s="1190"/>
      <c r="V123" s="1190"/>
      <c r="W123" s="1190"/>
      <c r="X123" s="1191"/>
      <c r="Y123" s="1190"/>
      <c r="Z123" s="1190"/>
      <c r="AA123" s="1190"/>
      <c r="AB123" s="1190"/>
      <c r="AC123" s="1192"/>
    </row>
    <row r="124" spans="18:29">
      <c r="R124" s="1189"/>
      <c r="S124" s="1190"/>
      <c r="T124" s="1106"/>
      <c r="U124" s="1190"/>
      <c r="V124" s="1190"/>
      <c r="W124" s="1190"/>
      <c r="X124" s="1191"/>
      <c r="Y124" s="1190"/>
      <c r="Z124" s="1190"/>
      <c r="AA124" s="1190"/>
      <c r="AB124" s="1190"/>
      <c r="AC124" s="1192"/>
    </row>
    <row r="125" spans="18:29">
      <c r="R125" s="1189"/>
      <c r="S125" s="1190"/>
      <c r="T125" s="1106"/>
      <c r="U125" s="1190"/>
      <c r="V125" s="1190"/>
      <c r="W125" s="1190"/>
      <c r="X125" s="1191"/>
      <c r="Y125" s="1190"/>
      <c r="Z125" s="1190"/>
      <c r="AA125" s="1190"/>
      <c r="AB125" s="1190"/>
      <c r="AC125" s="1192"/>
    </row>
    <row r="126" spans="18:29">
      <c r="R126" s="1189"/>
      <c r="S126" s="1190"/>
      <c r="T126" s="1190"/>
      <c r="U126" s="1190"/>
      <c r="V126" s="1190"/>
      <c r="W126" s="1190"/>
      <c r="X126" s="1193"/>
      <c r="Y126" s="1190"/>
      <c r="Z126" s="1190"/>
      <c r="AA126" s="1190"/>
      <c r="AB126" s="1190"/>
      <c r="AC126" s="1192"/>
    </row>
    <row r="127" spans="18:29"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</row>
    <row r="128" spans="18:29">
      <c r="R128" s="1194"/>
      <c r="S128" s="1195"/>
      <c r="T128" s="1195"/>
      <c r="U128" s="1195"/>
      <c r="V128" s="1195"/>
      <c r="W128" s="1195"/>
      <c r="X128" s="1196"/>
      <c r="Y128" s="1195"/>
      <c r="Z128" s="1195"/>
      <c r="AA128" s="1195"/>
      <c r="AB128" s="1195"/>
      <c r="AC128" s="1197"/>
    </row>
    <row r="129" spans="18:29">
      <c r="R129" s="1194"/>
      <c r="S129" s="1195"/>
      <c r="T129" s="1195"/>
      <c r="U129" s="1195"/>
      <c r="V129" s="1195"/>
      <c r="W129" s="1195"/>
      <c r="X129" s="1196"/>
      <c r="Y129" s="1195"/>
      <c r="Z129" s="1195"/>
      <c r="AA129" s="1195"/>
      <c r="AB129" s="1195"/>
      <c r="AC129" s="1197"/>
    </row>
    <row r="130" spans="18:29">
      <c r="R130" s="1198"/>
      <c r="S130" s="1198"/>
      <c r="T130" s="1198"/>
      <c r="U130" s="1198"/>
      <c r="V130" s="1198"/>
      <c r="W130" s="1198"/>
      <c r="X130" s="1198"/>
      <c r="Y130" s="1198"/>
      <c r="Z130" s="1198"/>
      <c r="AA130" s="1198"/>
      <c r="AB130" s="1198"/>
      <c r="AC130" s="1198"/>
    </row>
    <row r="131" spans="18:29">
      <c r="R131" s="1198"/>
      <c r="S131" s="1198"/>
      <c r="T131" s="1198"/>
      <c r="U131" s="1198"/>
      <c r="V131" s="1198"/>
      <c r="W131" s="1198"/>
      <c r="X131" s="1198"/>
      <c r="Y131" s="1198"/>
      <c r="Z131" s="1198"/>
      <c r="AA131" s="1198"/>
      <c r="AB131" s="1198"/>
      <c r="AC131" s="1198"/>
    </row>
    <row r="132" spans="18:29">
      <c r="R132" s="1198"/>
      <c r="S132" s="1198"/>
      <c r="T132" s="1198"/>
      <c r="U132" s="1198"/>
      <c r="V132" s="1198"/>
      <c r="W132" s="1198"/>
      <c r="X132" s="1198"/>
      <c r="Y132" s="1198"/>
      <c r="Z132" s="1198"/>
      <c r="AA132" s="1198"/>
      <c r="AB132" s="1198"/>
      <c r="AC132" s="1198"/>
    </row>
    <row r="133" spans="18:29">
      <c r="R133" s="1198"/>
      <c r="S133" s="1198"/>
      <c r="T133" s="1198"/>
      <c r="U133" s="1198"/>
      <c r="V133" s="1198"/>
      <c r="W133" s="1198"/>
      <c r="X133" s="1198"/>
      <c r="Y133" s="1198"/>
      <c r="Z133" s="1198"/>
      <c r="AA133" s="1198"/>
      <c r="AB133" s="1198"/>
      <c r="AC133" s="1198"/>
    </row>
    <row r="134" spans="18:29">
      <c r="R134" s="1198"/>
      <c r="S134" s="1198"/>
      <c r="T134" s="1198"/>
      <c r="U134" s="1198"/>
      <c r="V134" s="1198"/>
      <c r="W134" s="1198"/>
      <c r="X134" s="1198"/>
      <c r="Y134" s="1198"/>
      <c r="Z134" s="1198"/>
      <c r="AA134" s="1198"/>
      <c r="AB134" s="1198"/>
      <c r="AC134" s="1198"/>
    </row>
    <row r="135" spans="18:29">
      <c r="R135" s="1198"/>
      <c r="S135" s="1198"/>
      <c r="T135" s="1198"/>
      <c r="U135" s="1198"/>
      <c r="V135" s="1198"/>
      <c r="W135" s="1198"/>
      <c r="X135" s="1198"/>
      <c r="Y135" s="1198"/>
      <c r="Z135" s="1198"/>
      <c r="AA135" s="1198"/>
      <c r="AB135" s="1198"/>
      <c r="AC135" s="1198"/>
    </row>
    <row r="136" spans="18:29">
      <c r="R136" s="1198"/>
      <c r="S136" s="1198"/>
      <c r="T136" s="1198"/>
      <c r="U136" s="1198"/>
      <c r="V136" s="1198"/>
      <c r="W136" s="1198"/>
      <c r="X136" s="1198"/>
      <c r="Y136" s="1198"/>
      <c r="Z136" s="1198"/>
      <c r="AA136" s="1198"/>
      <c r="AB136" s="1198"/>
      <c r="AC136" s="1198"/>
    </row>
    <row r="137" spans="18:29">
      <c r="R137" s="1198"/>
      <c r="S137" s="1198"/>
      <c r="T137" s="1198"/>
      <c r="U137" s="1198"/>
      <c r="V137" s="1198"/>
      <c r="W137" s="1198"/>
      <c r="X137" s="1198"/>
      <c r="Y137" s="1198"/>
      <c r="Z137" s="1198"/>
      <c r="AA137" s="1198"/>
      <c r="AB137" s="1198"/>
      <c r="AC137" s="1198"/>
    </row>
    <row r="138" spans="18:29">
      <c r="R138" s="1198"/>
      <c r="S138" s="1198"/>
      <c r="T138" s="1198"/>
      <c r="U138" s="1198"/>
      <c r="V138" s="1198"/>
      <c r="W138" s="1198"/>
      <c r="X138" s="1198"/>
      <c r="Y138" s="1198"/>
      <c r="Z138" s="1198"/>
      <c r="AA138" s="1198"/>
      <c r="AB138" s="1198"/>
      <c r="AC138" s="1198"/>
    </row>
    <row r="139" spans="18:29">
      <c r="R139" s="1198"/>
      <c r="S139" s="1198"/>
      <c r="T139" s="1198"/>
      <c r="U139" s="1198"/>
      <c r="V139" s="1198"/>
      <c r="W139" s="1198"/>
      <c r="X139" s="1198"/>
      <c r="Y139" s="1198"/>
      <c r="Z139" s="1198"/>
      <c r="AA139" s="1198"/>
      <c r="AB139" s="1198"/>
      <c r="AC139" s="1198"/>
    </row>
    <row r="140" spans="18:29">
      <c r="R140" s="1198"/>
      <c r="S140" s="1198"/>
      <c r="T140" s="1198"/>
      <c r="U140" s="1198"/>
      <c r="V140" s="1198"/>
      <c r="W140" s="1198"/>
      <c r="X140" s="1198"/>
      <c r="Y140" s="1198"/>
      <c r="Z140" s="1198"/>
      <c r="AA140" s="1198"/>
      <c r="AB140" s="1198"/>
      <c r="AC140" s="1198"/>
    </row>
    <row r="141" spans="18:29">
      <c r="R141" s="1198"/>
      <c r="S141" s="1198"/>
      <c r="T141" s="1198"/>
      <c r="U141" s="1198"/>
      <c r="V141" s="1198"/>
      <c r="W141" s="1198"/>
      <c r="X141" s="1198"/>
      <c r="Y141" s="1198"/>
      <c r="Z141" s="1198"/>
      <c r="AA141" s="1198"/>
      <c r="AB141" s="1198"/>
      <c r="AC141" s="1198"/>
    </row>
    <row r="142" spans="18:29">
      <c r="R142" s="1198"/>
      <c r="S142" s="1198"/>
      <c r="T142" s="1198"/>
      <c r="U142" s="1198"/>
      <c r="V142" s="1198"/>
      <c r="W142" s="1198"/>
      <c r="X142" s="1198"/>
      <c r="Y142" s="1198"/>
      <c r="Z142" s="1198"/>
      <c r="AA142" s="1198"/>
      <c r="AB142" s="1198"/>
      <c r="AC142" s="1198"/>
    </row>
    <row r="143" spans="18:29">
      <c r="R143" s="1198"/>
      <c r="S143" s="1198"/>
      <c r="T143" s="1198"/>
      <c r="U143" s="1198"/>
      <c r="V143" s="1198"/>
      <c r="W143" s="1198"/>
      <c r="X143" s="1198"/>
      <c r="Y143" s="1198"/>
      <c r="Z143" s="1198"/>
      <c r="AA143" s="1198"/>
      <c r="AB143" s="1198"/>
      <c r="AC143" s="1198"/>
    </row>
  </sheetData>
  <protectedRanges>
    <protectedRange algorithmName="SHA-512" hashValue="24Yg3M703G5L8OyJWxlkx8c1Gwfrkael5W/l3TUk/Rcz5tR8QOgCx5v0Ebb/UGz+9BDKPJ5wV4hH8uuxvmtGIw==" saltValue="ZSJQ8EEnwGxsiYzxIw6K0Q==" spinCount="100000" sqref="N4:N8 B4:D19 O4:P30 E4:M30 N10:N30 E31:P51" name="Range1_65_32_32_30_30_30_30_30_30_30"/>
    <protectedRange algorithmName="SHA-512" hashValue="XYWjC+iAz2ErgjMh7TSLHlxfTfK0uVcITDFdCCZFdnsWWbUNnsQqu9AM+0WFXQpYcy9ZvQx2KUXfpLhpOROHkg==" saltValue="47TiGLG0rJVTo3iAJH8T4w==" spinCount="100000" sqref="B22:D51" name="Range2_5_2_2_2_2_2_2_2_2_2"/>
    <protectedRange algorithmName="SHA-512" hashValue="24Yg3M703G5L8OyJWxlkx8c1Gwfrkael5W/l3TUk/Rcz5tR8QOgCx5v0Ebb/UGz+9BDKPJ5wV4hH8uuxvmtGIw==" saltValue="ZSJQ8EEnwGxsiYzxIw6K0Q==" spinCount="100000" sqref="B20:D51" name="Range1_65_32_2_2_2_2_2_2_2_2"/>
  </protectedRanges>
  <autoFilter ref="AG22" xr:uid="{7C048070-019C-48E8-BABE-B490A397503D}"/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2:S13">
    <cfRule type="duplicateValues" dxfId="35" priority="3"/>
  </conditionalFormatting>
  <conditionalFormatting sqref="S19:S22">
    <cfRule type="duplicateValues" dxfId="34" priority="2"/>
  </conditionalFormatting>
  <conditionalFormatting sqref="S52:S58">
    <cfRule type="duplicateValues" dxfId="33" priority="17"/>
  </conditionalFormatting>
  <conditionalFormatting sqref="S59:S72 S2:S18 S23:S51">
    <cfRule type="duplicateValues" dxfId="32" priority="23"/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B4F4-233B-4054-94CC-961606018758}">
  <dimension ref="A1:AG108"/>
  <sheetViews>
    <sheetView showGridLines="0" topLeftCell="O1" zoomScale="55" zoomScaleNormal="55" workbookViewId="0">
      <selection activeCell="S2" sqref="S2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6.88671875" bestFit="1" customWidth="1"/>
    <col min="21" max="21" width="30.6640625" bestFit="1" customWidth="1"/>
    <col min="22" max="22" width="44" customWidth="1"/>
    <col min="23" max="23" width="26.6640625" bestFit="1" customWidth="1"/>
    <col min="24" max="24" width="17.109375" bestFit="1" customWidth="1"/>
    <col min="25" max="25" width="17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bestFit="1" customWidth="1"/>
    <col min="30" max="31" width="9.109375" bestFit="1" customWidth="1"/>
  </cols>
  <sheetData>
    <row r="1" spans="1:33" ht="17.399999999999999">
      <c r="A1" s="1211" t="s">
        <v>585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7.399999999999999">
      <c r="A2" s="762" t="s">
        <v>586</v>
      </c>
      <c r="B2" s="733"/>
      <c r="C2" s="733"/>
      <c r="D2" s="733"/>
      <c r="E2" s="735"/>
      <c r="F2" s="1536" t="s">
        <v>587</v>
      </c>
      <c r="G2" s="1536"/>
      <c r="H2" s="1536"/>
      <c r="I2" s="742"/>
      <c r="J2" s="1525" t="s">
        <v>588</v>
      </c>
      <c r="K2" s="1525"/>
      <c r="L2" s="1525"/>
      <c r="M2" s="735"/>
      <c r="N2" s="1535"/>
      <c r="O2" s="1535"/>
      <c r="P2" s="1535"/>
      <c r="R2" s="1172" t="s">
        <v>452</v>
      </c>
      <c r="S2" s="1163">
        <v>3331561348</v>
      </c>
      <c r="T2" s="1207" t="s">
        <v>453</v>
      </c>
      <c r="U2" s="1207">
        <v>24141547</v>
      </c>
      <c r="V2" s="1209" t="s">
        <v>425</v>
      </c>
      <c r="W2" s="1207" t="s">
        <v>362</v>
      </c>
      <c r="X2" s="1212">
        <v>24040.633000000002</v>
      </c>
      <c r="Y2" s="1163" t="s">
        <v>426</v>
      </c>
      <c r="Z2" s="1207">
        <v>1</v>
      </c>
      <c r="AA2" s="1207">
        <v>1</v>
      </c>
      <c r="AB2" s="1067" t="s">
        <v>204</v>
      </c>
      <c r="AC2" s="240"/>
      <c r="AD2" s="1243"/>
      <c r="AE2" s="1243"/>
      <c r="AF2" s="1243"/>
      <c r="AG2" s="1243"/>
    </row>
    <row r="3" spans="1:33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3" t="s">
        <v>452</v>
      </c>
      <c r="S3" s="1167">
        <v>3331561351</v>
      </c>
      <c r="T3" s="1182" t="s">
        <v>453</v>
      </c>
      <c r="U3" s="1182">
        <v>24141548</v>
      </c>
      <c r="V3" s="1217" t="s">
        <v>425</v>
      </c>
      <c r="W3" s="1182" t="s">
        <v>362</v>
      </c>
      <c r="X3" s="1169">
        <v>23997.627</v>
      </c>
      <c r="Y3" s="1167" t="s">
        <v>426</v>
      </c>
      <c r="Z3" s="1182">
        <v>1</v>
      </c>
      <c r="AA3" s="1182">
        <v>1</v>
      </c>
      <c r="AB3" s="1099" t="s">
        <v>207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3" t="s">
        <v>452</v>
      </c>
      <c r="S4" s="1167">
        <v>3331561359</v>
      </c>
      <c r="T4" s="1182" t="s">
        <v>453</v>
      </c>
      <c r="U4" s="1182">
        <v>24141549</v>
      </c>
      <c r="V4" s="1217" t="s">
        <v>425</v>
      </c>
      <c r="W4" s="1182" t="s">
        <v>589</v>
      </c>
      <c r="X4" s="1169">
        <v>23997.627</v>
      </c>
      <c r="Y4" s="1167" t="s">
        <v>426</v>
      </c>
      <c r="Z4" s="1182">
        <v>1</v>
      </c>
      <c r="AA4" s="1182">
        <v>1</v>
      </c>
      <c r="AB4" s="1099" t="s">
        <v>207</v>
      </c>
      <c r="AC4" s="240"/>
      <c r="AD4" s="44"/>
      <c r="AE4" s="44"/>
      <c r="AF4" s="44"/>
      <c r="AG4" s="44"/>
    </row>
    <row r="5" spans="1:33" ht="18">
      <c r="A5" s="746" t="s">
        <v>427</v>
      </c>
      <c r="B5" s="747" cm="1">
        <f t="array" ref="B5">SUMPRODUCT(--ISNUMBER(MATCH(TRIM(W1:W241), {"JABODETABEK","JAWA TENGAH","JAWA TIMUR","LUAR PULAU"}, 0)))</f>
        <v>42</v>
      </c>
      <c r="C5" s="747" cm="1">
        <f t="array" ref="C5">SUMPRODUCT(--(LOWER(TRIM(AB1:AB267))="masuk"), --(ISNUMBER(MATCH(TRIM(W1:W267), {"JABODETABEK","JAWA TENGAH","JAWA TIMUR","LUAR PULAU"}, 0))))</f>
        <v>40</v>
      </c>
      <c r="D5" s="740">
        <f>C5+-B5</f>
        <v>-2</v>
      </c>
      <c r="E5" s="734"/>
      <c r="F5" s="748" cm="1">
        <f t="array" ref="F5">SUMPRODUCT(--(LOWER(AC1:AC267)="add"), --(ISNUMBER(MATCH(W1:W267, {"JABODETABEK","JAWA TENGAH","JAWA TIMUR","LUAR PULAU"}, 0))))</f>
        <v>0</v>
      </c>
      <c r="G5" s="747" cm="1">
        <f t="array" ref="G5">SUMPRODUCT(--(LOWER(AB1:AB267)="masuk"), --(LOWER(AC1:AC267)="add"))</f>
        <v>0</v>
      </c>
      <c r="H5" s="740">
        <f>G5+-F5</f>
        <v>0</v>
      </c>
      <c r="I5" s="734"/>
      <c r="J5" s="748" cm="1">
        <f t="array" ref="J5">SUMPRODUCT(--(ISNUMBER(SEARCH("next day",LOWER(W1:W267)))+ISNUMBER(SEARCH("nextday",LOWER(W1:W267)))&gt; 0))</f>
        <v>9</v>
      </c>
      <c r="K5" s="747" cm="1">
        <f t="array" ref="K5">SUMPRODUCT(--(LOWER(AB1:AB267)="masuk"), --ISNUMBER(SEARCH("next day", LOWER(W1:W267))))</f>
        <v>7</v>
      </c>
      <c r="L5" s="740">
        <f>K5+-J5</f>
        <v>-2</v>
      </c>
      <c r="M5" s="734"/>
      <c r="N5" s="748">
        <f>B5+F5+J5</f>
        <v>51</v>
      </c>
      <c r="O5" s="747">
        <f>C5+G5+K5</f>
        <v>47</v>
      </c>
      <c r="P5" s="740">
        <f>D5+H5+L5</f>
        <v>-4</v>
      </c>
      <c r="R5" s="1172" t="s">
        <v>452</v>
      </c>
      <c r="S5" s="1163">
        <v>3331561361</v>
      </c>
      <c r="T5" s="1207" t="s">
        <v>453</v>
      </c>
      <c r="U5" s="1207">
        <v>24141550</v>
      </c>
      <c r="V5" s="1209" t="s">
        <v>425</v>
      </c>
      <c r="W5" s="1207" t="s">
        <v>589</v>
      </c>
      <c r="X5" s="1168">
        <v>23395.536</v>
      </c>
      <c r="Y5" s="1163" t="s">
        <v>426</v>
      </c>
      <c r="Z5" s="1207">
        <v>1</v>
      </c>
      <c r="AA5" s="1207">
        <v>1</v>
      </c>
      <c r="AB5" s="1067" t="s">
        <v>207</v>
      </c>
      <c r="AC5" s="240"/>
      <c r="AD5" s="44"/>
      <c r="AE5" s="44"/>
      <c r="AF5" s="44"/>
      <c r="AG5" s="44"/>
    </row>
    <row r="6" spans="1:33" ht="17.399999999999999">
      <c r="A6" s="733"/>
      <c r="B6" s="733">
        <f>SUM(B5)</f>
        <v>42</v>
      </c>
      <c r="C6" s="733">
        <f>SUM(C5)</f>
        <v>40</v>
      </c>
      <c r="D6" s="739">
        <f>SUM(D5)</f>
        <v>-2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9</v>
      </c>
      <c r="K6" s="733">
        <f>SUM(K5)</f>
        <v>7</v>
      </c>
      <c r="L6" s="739">
        <f>SUM(L5)</f>
        <v>-2</v>
      </c>
      <c r="M6" s="733"/>
      <c r="N6" s="760">
        <f>SUM(N5:N5)</f>
        <v>51</v>
      </c>
      <c r="O6" s="760">
        <f>SUM(O5:O5)</f>
        <v>47</v>
      </c>
      <c r="P6" s="761">
        <f>SUM(P5:P5)</f>
        <v>-4</v>
      </c>
      <c r="R6" s="1173" t="s">
        <v>454</v>
      </c>
      <c r="S6" s="1167">
        <v>3331560970</v>
      </c>
      <c r="T6" s="1182" t="s">
        <v>453</v>
      </c>
      <c r="U6" s="1167">
        <v>24141505</v>
      </c>
      <c r="V6" s="1217" t="s">
        <v>425</v>
      </c>
      <c r="W6" s="1182" t="s">
        <v>589</v>
      </c>
      <c r="X6" s="1169">
        <v>22191.353999999999</v>
      </c>
      <c r="Y6" s="1167" t="s">
        <v>426</v>
      </c>
      <c r="Z6" s="1182">
        <v>1</v>
      </c>
      <c r="AA6" s="1182">
        <v>1</v>
      </c>
      <c r="AB6" s="1099" t="s">
        <v>207</v>
      </c>
      <c r="AC6" s="240"/>
      <c r="AD6" s="44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3" t="s">
        <v>454</v>
      </c>
      <c r="S7" s="1167">
        <v>3331560972</v>
      </c>
      <c r="T7" s="1182" t="s">
        <v>453</v>
      </c>
      <c r="U7" s="1167">
        <v>24141506</v>
      </c>
      <c r="V7" s="1217" t="s">
        <v>425</v>
      </c>
      <c r="W7" s="1182" t="s">
        <v>589</v>
      </c>
      <c r="X7" s="1169">
        <v>22191.353999999999</v>
      </c>
      <c r="Y7" s="1167" t="s">
        <v>426</v>
      </c>
      <c r="Z7" s="1182">
        <v>1</v>
      </c>
      <c r="AA7" s="1182">
        <v>1</v>
      </c>
      <c r="AB7" s="1099" t="s">
        <v>207</v>
      </c>
      <c r="AC7" s="240"/>
      <c r="AD7" s="44"/>
      <c r="AE7" s="44"/>
      <c r="AF7" s="44"/>
      <c r="AG7" s="44"/>
    </row>
    <row r="8" spans="1:33" ht="17.399999999999999">
      <c r="A8" s="763" t="str">
        <f>A1</f>
        <v>Plan tgl 16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3" t="s">
        <v>454</v>
      </c>
      <c r="S8" s="1167">
        <v>3331560973</v>
      </c>
      <c r="T8" s="1182" t="s">
        <v>453</v>
      </c>
      <c r="U8" s="1167">
        <v>24141507</v>
      </c>
      <c r="V8" s="1217" t="s">
        <v>425</v>
      </c>
      <c r="W8" s="1182" t="s">
        <v>589</v>
      </c>
      <c r="X8" s="1169">
        <v>22191.353999999999</v>
      </c>
      <c r="Y8" s="1167" t="s">
        <v>426</v>
      </c>
      <c r="Z8" s="1182">
        <v>1</v>
      </c>
      <c r="AA8" s="1182">
        <v>1</v>
      </c>
      <c r="AB8" s="1099" t="s">
        <v>207</v>
      </c>
      <c r="AC8" s="240"/>
      <c r="AD8" s="44"/>
      <c r="AE8" s="44"/>
      <c r="AF8" s="44"/>
      <c r="AG8" s="44"/>
    </row>
    <row r="9" spans="1:33" ht="18">
      <c r="A9" s="763" t="str">
        <f>A2</f>
        <v>Realz update 17 OKT’25 jam 07.00</v>
      </c>
      <c r="B9" s="825"/>
      <c r="C9" s="825"/>
      <c r="D9" s="825"/>
      <c r="E9" s="734"/>
      <c r="F9" s="1525" t="str">
        <f>F2</f>
        <v>Tgl 16 OKT’25 diatas jam 15.00</v>
      </c>
      <c r="G9" s="1525"/>
      <c r="H9" s="1525"/>
      <c r="I9" s="826"/>
      <c r="J9" s="1525" t="str">
        <f>J2</f>
        <v>Tgl 16 OKT’25</v>
      </c>
      <c r="K9" s="1525"/>
      <c r="L9" s="1525"/>
      <c r="M9" s="734"/>
      <c r="N9" s="1526"/>
      <c r="O9" s="1526"/>
      <c r="P9" s="1526"/>
      <c r="R9" s="1173" t="s">
        <v>454</v>
      </c>
      <c r="S9" s="1167">
        <v>3331561023</v>
      </c>
      <c r="T9" s="1182" t="s">
        <v>453</v>
      </c>
      <c r="U9" s="1167">
        <v>24141513</v>
      </c>
      <c r="V9" s="1217" t="s">
        <v>425</v>
      </c>
      <c r="W9" s="1182" t="s">
        <v>589</v>
      </c>
      <c r="X9" s="1169">
        <v>22147.09</v>
      </c>
      <c r="Y9" s="1167" t="s">
        <v>426</v>
      </c>
      <c r="Z9" s="1182">
        <v>1</v>
      </c>
      <c r="AA9" s="1182">
        <v>1</v>
      </c>
      <c r="AB9" s="1099" t="s">
        <v>207</v>
      </c>
      <c r="AC9" s="240"/>
      <c r="AD9" s="44"/>
      <c r="AE9" s="44"/>
      <c r="AF9" s="44"/>
      <c r="AG9" s="44"/>
    </row>
    <row r="10" spans="1:33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72" t="s">
        <v>455</v>
      </c>
      <c r="S10" s="1163">
        <v>3331561360</v>
      </c>
      <c r="T10" s="1207" t="s">
        <v>453</v>
      </c>
      <c r="U10" s="1163">
        <v>24141552</v>
      </c>
      <c r="V10" s="1202" t="s">
        <v>429</v>
      </c>
      <c r="W10" s="1207" t="s">
        <v>362</v>
      </c>
      <c r="X10" s="1168">
        <v>24771.743999999999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40"/>
      <c r="AD10" s="44"/>
      <c r="AE10" s="44"/>
      <c r="AF10" s="44"/>
      <c r="AG10" s="44"/>
    </row>
    <row r="11" spans="1:33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3" t="s">
        <v>455</v>
      </c>
      <c r="S11" s="1167">
        <v>3331561385</v>
      </c>
      <c r="T11" s="1182" t="s">
        <v>453</v>
      </c>
      <c r="U11" s="1167">
        <v>24141553</v>
      </c>
      <c r="V11" s="1190" t="s">
        <v>429</v>
      </c>
      <c r="W11" s="1182" t="s">
        <v>362</v>
      </c>
      <c r="X11" s="1169">
        <v>23395.536</v>
      </c>
      <c r="Y11" s="1167" t="s">
        <v>426</v>
      </c>
      <c r="Z11" s="1182">
        <v>1</v>
      </c>
      <c r="AA11" s="1182">
        <v>1</v>
      </c>
      <c r="AB11" s="1099" t="s">
        <v>207</v>
      </c>
      <c r="AC11" s="240"/>
      <c r="AD11" s="44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SUMPRODUCT(--(TRIM(LOWER(W1:W267))="jabodetabek"))</f>
        <v>21</v>
      </c>
      <c r="C12" s="748" cm="1">
        <f t="array" ref="C12">SUMPRODUCT(--(LOWER(AB1:AB267)="masuk"), --(TRIM(LOWER(W1:W267))="jabodetabek"))</f>
        <v>21</v>
      </c>
      <c r="D12" s="973">
        <f>C12+-B12</f>
        <v>0</v>
      </c>
      <c r="E12" s="734"/>
      <c r="F12" s="748" cm="1">
        <f t="array" ref="F12">SUMPRODUCT(--(LOWER(AC1:AC267)="add"), --(TRIM(LOWER(W1:W267))="jabodetabek"))</f>
        <v>0</v>
      </c>
      <c r="G12" s="747" cm="1">
        <f t="array" ref="G12">SUMPRODUCT(--(LOWER(AB1:AB267)="masuk"), --(LOWER(AC1:AC267)="add"), --(TRIM(LOWER(W1:W267))="jabodetabek"))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day",LOWER(W1:W267)))+ISNUMBER(SEARCH("jabodetabek nextday",LOWER(W1:W267)))&gt; 0))</f>
        <v>0</v>
      </c>
      <c r="K12" s="747" cm="1">
        <f t="array" ref="K12">SUMPRODUCT(--(LOWER(AB1:AB267)="masuk"), --(LOWER(TRIM(W1:W267))="jabodetabek next day"))</f>
        <v>0</v>
      </c>
      <c r="L12" s="740">
        <f>K12+-J12</f>
        <v>0</v>
      </c>
      <c r="M12" s="734"/>
      <c r="N12" s="748">
        <f t="shared" ref="N12:P16" si="0">B12+F12+J12</f>
        <v>21</v>
      </c>
      <c r="O12" s="747">
        <f t="shared" si="0"/>
        <v>21</v>
      </c>
      <c r="P12" s="740">
        <f t="shared" si="0"/>
        <v>0</v>
      </c>
      <c r="R12" s="1172" t="s">
        <v>454</v>
      </c>
      <c r="S12" s="1163">
        <v>3331561413</v>
      </c>
      <c r="T12" s="1207" t="s">
        <v>453</v>
      </c>
      <c r="U12" s="1163">
        <v>24141566</v>
      </c>
      <c r="V12" s="1202" t="s">
        <v>429</v>
      </c>
      <c r="W12" s="1207" t="s">
        <v>362</v>
      </c>
      <c r="X12" s="1168">
        <v>24601.73</v>
      </c>
      <c r="Y12" s="1163" t="s">
        <v>426</v>
      </c>
      <c r="Z12" s="1207">
        <v>1</v>
      </c>
      <c r="AA12" s="1207">
        <v>1</v>
      </c>
      <c r="AB12" s="1067" t="s">
        <v>204</v>
      </c>
      <c r="AC12" s="240"/>
      <c r="AD12" s="44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SUMPRODUCT(--(TRIM(LOWER(W1:W267))="jawa tengah"))</f>
        <v>1</v>
      </c>
      <c r="C13" s="750" cm="1">
        <f t="array" ref="C13">SUMPRODUCT(--(LOWER(AB1:AB267)="masuk"), --(TRIM(LOWER(W1:W267))="jawa tengah"))</f>
        <v>1</v>
      </c>
      <c r="D13" s="846">
        <f>C13+-B13</f>
        <v>0</v>
      </c>
      <c r="E13" s="734"/>
      <c r="F13" s="751" cm="1">
        <f t="array" ref="F13">SUMPRODUCT(--(LOWER(AC1:AC267)="add"), --(TRIM(LOWER(W1:W267))="jawa tengah"))</f>
        <v>0</v>
      </c>
      <c r="G13" s="747" cm="1">
        <f t="array" ref="G13">SUMPRODUCT(--(LOWER(AB1:AB267)="masuk"), --(LOWER(AC1:AC267)="add"), --(TRIM(LOWER(W1:W267))="jawa tengah"))</f>
        <v>0</v>
      </c>
      <c r="H13" s="740">
        <f>G13+-F13</f>
        <v>0</v>
      </c>
      <c r="I13" s="734"/>
      <c r="J13" s="748" cm="1">
        <f t="array" ref="J13">SUMPRODUCT(--((LOWER(TRIM(W1:W267))="jawa tengah next day")+(LOWER(TRIM(W1:W267))="jawa tengah nextday")))</f>
        <v>0</v>
      </c>
      <c r="K13" s="747" cm="1">
        <f t="array" ref="K13">SUMPRODUCT(--(LOWER(AB1:AB267)="masuk"), --(LOWER(TRIM(W1:W267))="jawa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172" t="s">
        <v>455</v>
      </c>
      <c r="S13" s="1163">
        <v>3331561418</v>
      </c>
      <c r="T13" s="1207" t="s">
        <v>453</v>
      </c>
      <c r="U13" s="1163">
        <v>24141567</v>
      </c>
      <c r="V13" s="1202" t="s">
        <v>429</v>
      </c>
      <c r="W13" s="1207" t="s">
        <v>362</v>
      </c>
      <c r="X13" s="1168">
        <v>24731.504000000001</v>
      </c>
      <c r="Y13" s="1163" t="s">
        <v>426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SUMPRODUCT(--(TRIM(LOWER(W1:W267))="jawa timur"))</f>
        <v>10</v>
      </c>
      <c r="C14" s="750" cm="1">
        <f t="array" ref="C14">SUMPRODUCT(--(LOWER(AB1:AB267)="masuk"), --(TRIM(LOWER(W1:W267))="jawa timur"))</f>
        <v>10</v>
      </c>
      <c r="D14" s="846">
        <f>C14+-B14</f>
        <v>0</v>
      </c>
      <c r="E14" s="734"/>
      <c r="F14" s="750" cm="1">
        <f t="array" ref="F14">SUMPRODUCT(--(LOWER(AC1:AC267)="add"), --(TRIM(LOWER(W1:W267))="jawa timur"))</f>
        <v>0</v>
      </c>
      <c r="G14" s="747" cm="1">
        <f t="array" ref="G14">SUMPRODUCT(--(LOWER(AB1:AB267)="masuk"), --(LOWER(AC1:AC267)="add"), --(TRIM(LOWER(W1:W267))="jawa timur"))</f>
        <v>0</v>
      </c>
      <c r="H14" s="740">
        <f>G14+-F14</f>
        <v>0</v>
      </c>
      <c r="I14" s="734"/>
      <c r="J14" s="748" cm="1">
        <f t="array" ref="J14">SUMPRODUCT(--((LOWER(TRIM(W1:W267))="jawa timur next day")+(LOWER(TRIM(W1:W267))="jawa timur nextday")))</f>
        <v>9</v>
      </c>
      <c r="K14" s="747" cm="1">
        <f t="array" ref="K14">SUMPRODUCT(--(LOWER(AB1:AB267)="masuk"), --(LOWER(TRIM(W1:W267))="jawa timur next day"))</f>
        <v>7</v>
      </c>
      <c r="L14" s="740">
        <f>K14+-J14</f>
        <v>-2</v>
      </c>
      <c r="M14" s="734"/>
      <c r="N14" s="748">
        <f t="shared" si="0"/>
        <v>19</v>
      </c>
      <c r="O14" s="747">
        <f t="shared" si="0"/>
        <v>17</v>
      </c>
      <c r="P14" s="740">
        <f t="shared" si="0"/>
        <v>-2</v>
      </c>
      <c r="R14" s="1172" t="s">
        <v>455</v>
      </c>
      <c r="S14" s="1163">
        <v>3331561422</v>
      </c>
      <c r="T14" s="1207" t="s">
        <v>453</v>
      </c>
      <c r="U14" s="1163">
        <v>24141568</v>
      </c>
      <c r="V14" s="1202" t="s">
        <v>429</v>
      </c>
      <c r="W14" s="1207" t="s">
        <v>362</v>
      </c>
      <c r="X14" s="1168">
        <v>24084.646000000001</v>
      </c>
      <c r="Y14" s="1163" t="s">
        <v>426</v>
      </c>
      <c r="Z14" s="1207">
        <v>1</v>
      </c>
      <c r="AA14" s="1207">
        <v>1</v>
      </c>
      <c r="AB14" s="1067" t="s">
        <v>204</v>
      </c>
      <c r="AC14" s="240"/>
      <c r="AD14" s="44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SUMPRODUCT(--(TRIM(LOWER(W1:W267))="luar pulau"))</f>
        <v>10</v>
      </c>
      <c r="C15" s="750" cm="1">
        <f t="array" ref="C15">SUMPRODUCT(--(LOWER(AB1:AB267)="masuk"), --(TRIM(LOWER(W1:W267))="luar pulau"))</f>
        <v>8</v>
      </c>
      <c r="D15" s="846">
        <f>C15+-B15</f>
        <v>-2</v>
      </c>
      <c r="E15" s="734"/>
      <c r="F15" s="748" cm="1">
        <f t="array" ref="F15">SUMPRODUCT(--(LOWER(AC1:AC267)="add"), --(TRIM(LOWER(W1:W267))="luar pulau"))</f>
        <v>0</v>
      </c>
      <c r="G15" s="747" cm="1">
        <f t="array" ref="G15">SUMPRODUCT(--(LOWER(AB1:AB267)="masuk"), --(LOWER(AC1:AC267)="add"), --(TRIM(LOWER(W1:W267))="luar pulau"))</f>
        <v>0</v>
      </c>
      <c r="H15" s="740">
        <f>G15+-F15</f>
        <v>0</v>
      </c>
      <c r="I15" s="734"/>
      <c r="J15" s="748" cm="1">
        <f t="array" ref="J15">SUMPRODUCT(--((LOWER(TRIM(W1:W267))="luar pulau next day")+(LOWER(TRIM(W1:W267))="luar pulau nextday")))</f>
        <v>0</v>
      </c>
      <c r="K15" s="747" cm="1">
        <f t="array" ref="K15">SUMPRODUCT(--(LOWER(AB1:AB267)="masuk"), --(LOWER(TRIM(W1:W267))="luar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8</v>
      </c>
      <c r="P15" s="740">
        <f t="shared" si="0"/>
        <v>-2</v>
      </c>
      <c r="R15" s="1172" t="s">
        <v>452</v>
      </c>
      <c r="S15" s="1163">
        <v>3331561537</v>
      </c>
      <c r="T15" s="1207" t="s">
        <v>336</v>
      </c>
      <c r="U15" s="1163">
        <v>24141585</v>
      </c>
      <c r="V15" s="1202" t="s">
        <v>529</v>
      </c>
      <c r="W15" s="1163" t="s">
        <v>584</v>
      </c>
      <c r="X15" s="1168">
        <v>35723.324999999997</v>
      </c>
      <c r="Y15" s="1163" t="s">
        <v>128</v>
      </c>
      <c r="Z15" s="1207">
        <v>1</v>
      </c>
      <c r="AA15" s="1207">
        <v>1</v>
      </c>
      <c r="AB15" s="1208" t="s">
        <v>204</v>
      </c>
      <c r="AC15" s="240"/>
      <c r="AD15" s="44"/>
      <c r="AE15" s="44"/>
      <c r="AF15" s="44"/>
      <c r="AG15" s="44"/>
    </row>
    <row r="16" spans="1:33" ht="17.399999999999999">
      <c r="A16" s="827"/>
      <c r="B16" s="733">
        <f>SUM(B12:B15)</f>
        <v>42</v>
      </c>
      <c r="C16" s="733">
        <f>SUM(C12:C15)</f>
        <v>40</v>
      </c>
      <c r="D16" s="739">
        <f>SUM(D12:D15)</f>
        <v>-2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9</v>
      </c>
      <c r="K16" s="733">
        <f>SUM(K12:K15)</f>
        <v>7</v>
      </c>
      <c r="L16" s="739">
        <f>SUM(L12:L15)</f>
        <v>-2</v>
      </c>
      <c r="M16" s="734"/>
      <c r="N16" s="760">
        <f t="shared" si="0"/>
        <v>51</v>
      </c>
      <c r="O16" s="760">
        <f t="shared" si="0"/>
        <v>47</v>
      </c>
      <c r="P16" s="761">
        <f t="shared" si="0"/>
        <v>-4</v>
      </c>
      <c r="R16" s="1172" t="s">
        <v>455</v>
      </c>
      <c r="S16" s="1163">
        <v>3331561538</v>
      </c>
      <c r="T16" s="1207" t="s">
        <v>336</v>
      </c>
      <c r="U16" s="1163">
        <v>24141586</v>
      </c>
      <c r="V16" s="1202" t="s">
        <v>529</v>
      </c>
      <c r="W16" s="1163" t="s">
        <v>584</v>
      </c>
      <c r="X16" s="1168">
        <v>34077.887000000002</v>
      </c>
      <c r="Y16" s="1163" t="s">
        <v>128</v>
      </c>
      <c r="Z16" s="1207">
        <v>1</v>
      </c>
      <c r="AA16" s="1207">
        <v>1</v>
      </c>
      <c r="AB16" s="1208" t="s">
        <v>204</v>
      </c>
      <c r="AC16" s="240"/>
      <c r="AD16" s="44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2" t="s">
        <v>455</v>
      </c>
      <c r="S17" s="1163">
        <v>3331561540</v>
      </c>
      <c r="T17" s="1207" t="s">
        <v>336</v>
      </c>
      <c r="U17" s="1163">
        <v>24141595</v>
      </c>
      <c r="V17" s="1202" t="s">
        <v>529</v>
      </c>
      <c r="W17" s="1163" t="s">
        <v>584</v>
      </c>
      <c r="X17" s="1168">
        <f>4489.275+29228.175+6327.74</f>
        <v>40045.189999999995</v>
      </c>
      <c r="Y17" s="1163" t="s">
        <v>128</v>
      </c>
      <c r="Z17" s="1207">
        <v>1</v>
      </c>
      <c r="AA17" s="1207">
        <v>1</v>
      </c>
      <c r="AB17" s="1208" t="s">
        <v>204</v>
      </c>
      <c r="AC17" s="240"/>
      <c r="AD17" s="44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2" t="s">
        <v>455</v>
      </c>
      <c r="S18" s="1163">
        <v>3331561542</v>
      </c>
      <c r="T18" s="1207" t="s">
        <v>256</v>
      </c>
      <c r="U18" s="1163" t="s">
        <v>256</v>
      </c>
      <c r="V18" s="1202" t="s">
        <v>256</v>
      </c>
      <c r="W18" s="1163" t="s">
        <v>256</v>
      </c>
      <c r="X18" s="1168" t="s">
        <v>256</v>
      </c>
      <c r="Y18" s="1163" t="s">
        <v>256</v>
      </c>
      <c r="Z18" s="1207" t="s">
        <v>256</v>
      </c>
      <c r="AA18" s="1207" t="s">
        <v>256</v>
      </c>
      <c r="AB18" s="1208" t="s">
        <v>256</v>
      </c>
      <c r="AC18" s="240"/>
      <c r="AD18" s="44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172" t="s">
        <v>452</v>
      </c>
      <c r="S19" s="1163">
        <v>3331561678</v>
      </c>
      <c r="T19" s="1207" t="s">
        <v>256</v>
      </c>
      <c r="U19" s="1163" t="s">
        <v>256</v>
      </c>
      <c r="V19" s="1202" t="s">
        <v>256</v>
      </c>
      <c r="W19" s="1163" t="s">
        <v>256</v>
      </c>
      <c r="X19" s="1168" t="s">
        <v>256</v>
      </c>
      <c r="Y19" s="1163" t="s">
        <v>256</v>
      </c>
      <c r="Z19" s="1207" t="s">
        <v>256</v>
      </c>
      <c r="AA19" s="1207" t="s">
        <v>256</v>
      </c>
      <c r="AB19" s="1208" t="s">
        <v>256</v>
      </c>
      <c r="AC19" s="240"/>
      <c r="AD19" s="44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463</v>
      </c>
      <c r="S20" s="1163">
        <v>3331561708</v>
      </c>
      <c r="T20" s="1207" t="s">
        <v>563</v>
      </c>
      <c r="U20" s="1163">
        <v>24141609</v>
      </c>
      <c r="V20" s="1202" t="s">
        <v>590</v>
      </c>
      <c r="W20" s="1207" t="s">
        <v>362</v>
      </c>
      <c r="X20" s="1168">
        <v>23036.132000000001</v>
      </c>
      <c r="Y20" s="1163" t="s">
        <v>562</v>
      </c>
      <c r="Z20" s="1207">
        <v>1</v>
      </c>
      <c r="AA20" s="1207">
        <v>1</v>
      </c>
      <c r="AB20" s="1208" t="s">
        <v>204</v>
      </c>
      <c r="AC20" s="240"/>
      <c r="AD20" s="44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463</v>
      </c>
      <c r="S21" s="1163">
        <v>3331561733</v>
      </c>
      <c r="T21" s="1207" t="s">
        <v>441</v>
      </c>
      <c r="U21" s="1163">
        <v>24141610</v>
      </c>
      <c r="V21" s="1202" t="s">
        <v>590</v>
      </c>
      <c r="W21" s="1207" t="s">
        <v>362</v>
      </c>
      <c r="X21" s="1168">
        <v>22300.014999999999</v>
      </c>
      <c r="Y21" s="1163" t="s">
        <v>200</v>
      </c>
      <c r="Z21" s="1207">
        <v>1</v>
      </c>
      <c r="AA21" s="1207">
        <v>1</v>
      </c>
      <c r="AB21" s="1208" t="s">
        <v>204</v>
      </c>
      <c r="AC21" s="240"/>
      <c r="AD21" s="44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SUMPRODUCT(--((LOWER(TRIM($W$2:$W$274))="ambil sendiri")+(LOWER(TRIM($W$2:$W$274))="cokot sorangan")))</f>
        <v>3</v>
      </c>
      <c r="C22" s="969" cm="1">
        <f t="array" ref="C22">SUMPRODUCT(--(LOWER(AB2:AB300)="masuk"), --((LOWER(TRIM($W$2:$W$300))="cokot sorangan") + (LOWER(TRIM(W2:W300))="ambil sendiri")))</f>
        <v>3</v>
      </c>
      <c r="D22" s="741">
        <f>C22+-B22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2" t="s">
        <v>452</v>
      </c>
      <c r="S22" s="1163">
        <v>3331561736</v>
      </c>
      <c r="T22" s="1207" t="s">
        <v>441</v>
      </c>
      <c r="U22" s="1163">
        <v>24141611</v>
      </c>
      <c r="V22" s="1202" t="s">
        <v>590</v>
      </c>
      <c r="W22" s="1207" t="s">
        <v>362</v>
      </c>
      <c r="X22" s="1168">
        <v>23772.249</v>
      </c>
      <c r="Y22" s="1163" t="s">
        <v>200</v>
      </c>
      <c r="Z22" s="1207">
        <v>1</v>
      </c>
      <c r="AA22" s="1207">
        <v>1</v>
      </c>
      <c r="AB22" s="1208" t="s">
        <v>204</v>
      </c>
      <c r="AC22" s="240"/>
      <c r="AD22" s="44"/>
      <c r="AE22" s="44"/>
      <c r="AF22" s="44"/>
      <c r="AG22" s="44"/>
    </row>
    <row r="23" spans="1:33" ht="17.399999999999999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01" t="s">
        <v>428</v>
      </c>
      <c r="S23" s="1202">
        <v>3331562160</v>
      </c>
      <c r="T23" s="1207" t="s">
        <v>441</v>
      </c>
      <c r="U23" s="1202">
        <v>24141702</v>
      </c>
      <c r="V23" s="1202" t="s">
        <v>413</v>
      </c>
      <c r="W23" s="1202" t="s">
        <v>205</v>
      </c>
      <c r="X23" s="1203">
        <v>39707.017</v>
      </c>
      <c r="Y23" s="1202" t="s">
        <v>128</v>
      </c>
      <c r="Z23" s="1077">
        <v>1</v>
      </c>
      <c r="AA23" s="1077">
        <v>1</v>
      </c>
      <c r="AB23" s="1078" t="s">
        <v>204</v>
      </c>
      <c r="AC23" s="1192"/>
      <c r="AD23" s="44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201" t="s">
        <v>428</v>
      </c>
      <c r="S24" s="1202">
        <v>3331562158</v>
      </c>
      <c r="T24" s="1162" t="s">
        <v>336</v>
      </c>
      <c r="U24" s="1202">
        <v>24141700</v>
      </c>
      <c r="V24" s="1202" t="s">
        <v>413</v>
      </c>
      <c r="W24" s="1202" t="s">
        <v>205</v>
      </c>
      <c r="X24" s="1203">
        <v>40573.036999999997</v>
      </c>
      <c r="Y24" s="1202" t="s">
        <v>128</v>
      </c>
      <c r="Z24" s="1207">
        <v>1</v>
      </c>
      <c r="AA24" s="1207">
        <v>1</v>
      </c>
      <c r="AB24" s="1208" t="s">
        <v>204</v>
      </c>
      <c r="AC24" s="1192"/>
      <c r="AD24" s="44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201" t="s">
        <v>428</v>
      </c>
      <c r="S25" s="1202">
        <v>3331562163</v>
      </c>
      <c r="T25" s="1207" t="s">
        <v>441</v>
      </c>
      <c r="U25" s="1202">
        <v>24141703</v>
      </c>
      <c r="V25" s="1202" t="s">
        <v>413</v>
      </c>
      <c r="W25" s="1202" t="s">
        <v>205</v>
      </c>
      <c r="X25" s="1203">
        <v>42608.184000000001</v>
      </c>
      <c r="Y25" s="1202" t="s">
        <v>128</v>
      </c>
      <c r="Z25" s="1207">
        <v>1</v>
      </c>
      <c r="AA25" s="1207">
        <v>1</v>
      </c>
      <c r="AB25" s="1208" t="s">
        <v>204</v>
      </c>
      <c r="AC25" s="1192"/>
      <c r="AD25" s="44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201" t="s">
        <v>428</v>
      </c>
      <c r="S26" s="1202">
        <v>3331562167</v>
      </c>
      <c r="T26" s="1207" t="s">
        <v>441</v>
      </c>
      <c r="U26" s="1202">
        <v>24141704</v>
      </c>
      <c r="V26" s="1202" t="s">
        <v>413</v>
      </c>
      <c r="W26" s="1202" t="s">
        <v>205</v>
      </c>
      <c r="X26" s="1203">
        <v>43993.815999999999</v>
      </c>
      <c r="Y26" s="1202" t="s">
        <v>128</v>
      </c>
      <c r="Z26" s="1207">
        <v>1</v>
      </c>
      <c r="AA26" s="1207">
        <v>1</v>
      </c>
      <c r="AB26" s="1208" t="s">
        <v>204</v>
      </c>
      <c r="AC26" s="1192"/>
      <c r="AD26" s="44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201" t="s">
        <v>452</v>
      </c>
      <c r="S27" s="1202">
        <v>3331562170</v>
      </c>
      <c r="T27" s="1162" t="s">
        <v>459</v>
      </c>
      <c r="U27" s="1202">
        <v>24141706</v>
      </c>
      <c r="V27" s="1202" t="s">
        <v>413</v>
      </c>
      <c r="W27" s="1202" t="s">
        <v>205</v>
      </c>
      <c r="X27" s="1203">
        <v>33125.264999999999</v>
      </c>
      <c r="Y27" s="1202" t="s">
        <v>128</v>
      </c>
      <c r="Z27" s="1207">
        <v>1</v>
      </c>
      <c r="AA27" s="1207">
        <v>1</v>
      </c>
      <c r="AB27" s="1208" t="s">
        <v>204</v>
      </c>
      <c r="AC27" s="1192"/>
      <c r="AD27" s="44"/>
      <c r="AE27" s="44"/>
      <c r="AF27" s="44"/>
      <c r="AG27" s="44"/>
    </row>
    <row r="28" spans="1:33" ht="15.6">
      <c r="R28" s="1201" t="s">
        <v>428</v>
      </c>
      <c r="S28" s="1202">
        <v>3331562175</v>
      </c>
      <c r="T28" s="1162" t="s">
        <v>441</v>
      </c>
      <c r="U28" s="1202">
        <v>24141707</v>
      </c>
      <c r="V28" s="1202" t="s">
        <v>413</v>
      </c>
      <c r="W28" s="1202" t="s">
        <v>205</v>
      </c>
      <c r="X28" s="1203">
        <v>31869.536</v>
      </c>
      <c r="Y28" s="1202" t="s">
        <v>591</v>
      </c>
      <c r="Z28" s="1207">
        <v>1</v>
      </c>
      <c r="AA28" s="1207">
        <v>1</v>
      </c>
      <c r="AB28" s="1208" t="s">
        <v>204</v>
      </c>
      <c r="AC28" s="1192"/>
      <c r="AD28" s="44"/>
      <c r="AE28" s="44"/>
      <c r="AF28" s="44"/>
      <c r="AG28" s="44"/>
    </row>
    <row r="29" spans="1:33" ht="15.6">
      <c r="R29" s="1201" t="s">
        <v>428</v>
      </c>
      <c r="S29" s="1202">
        <v>3331562177</v>
      </c>
      <c r="T29" s="1162" t="s">
        <v>459</v>
      </c>
      <c r="U29" s="1202">
        <v>24141708</v>
      </c>
      <c r="V29" s="1202" t="s">
        <v>413</v>
      </c>
      <c r="W29" s="1202" t="s">
        <v>205</v>
      </c>
      <c r="X29" s="1203">
        <v>33861.381999999998</v>
      </c>
      <c r="Y29" s="1202" t="s">
        <v>128</v>
      </c>
      <c r="Z29" s="1207">
        <v>1</v>
      </c>
      <c r="AA29" s="1207">
        <v>1</v>
      </c>
      <c r="AB29" s="1208" t="s">
        <v>204</v>
      </c>
      <c r="AC29" s="1192"/>
      <c r="AD29" s="44"/>
      <c r="AE29" s="44"/>
      <c r="AF29" s="44"/>
      <c r="AG29" s="44"/>
    </row>
    <row r="30" spans="1:33" ht="15.6">
      <c r="R30" s="1201" t="s">
        <v>428</v>
      </c>
      <c r="S30" s="1202">
        <v>3331562178</v>
      </c>
      <c r="T30" s="1207" t="s">
        <v>459</v>
      </c>
      <c r="U30" s="1202">
        <v>24141709</v>
      </c>
      <c r="V30" s="1202" t="s">
        <v>413</v>
      </c>
      <c r="W30" s="1202" t="s">
        <v>592</v>
      </c>
      <c r="X30" s="1203">
        <v>27019.824000000001</v>
      </c>
      <c r="Y30" s="1202" t="s">
        <v>128</v>
      </c>
      <c r="Z30" s="1207">
        <v>1</v>
      </c>
      <c r="AA30" s="1207">
        <v>1</v>
      </c>
      <c r="AB30" s="1208" t="s">
        <v>204</v>
      </c>
      <c r="AC30" s="1192"/>
      <c r="AD30" s="44"/>
      <c r="AE30" s="44"/>
      <c r="AF30" s="44"/>
      <c r="AG30" s="44"/>
    </row>
    <row r="31" spans="1:33" ht="15.6">
      <c r="R31" s="1201" t="s">
        <v>428</v>
      </c>
      <c r="S31" s="1202">
        <v>3331562156</v>
      </c>
      <c r="T31" s="1163" t="s">
        <v>441</v>
      </c>
      <c r="U31" s="1202">
        <v>24141699</v>
      </c>
      <c r="V31" s="1202" t="s">
        <v>430</v>
      </c>
      <c r="W31" s="1202" t="s">
        <v>205</v>
      </c>
      <c r="X31" s="1203">
        <f>11951.076+27669.339</f>
        <v>39620.415000000001</v>
      </c>
      <c r="Y31" s="1202" t="s">
        <v>128</v>
      </c>
      <c r="Z31" s="1207">
        <v>1</v>
      </c>
      <c r="AA31" s="1207">
        <v>1</v>
      </c>
      <c r="AB31" s="1208" t="s">
        <v>204</v>
      </c>
      <c r="AC31" s="1192"/>
      <c r="AD31" s="44"/>
      <c r="AE31" s="44"/>
      <c r="AF31" s="44"/>
      <c r="AG31" s="44"/>
    </row>
    <row r="32" spans="1:33" ht="15.6">
      <c r="R32" s="1201" t="s">
        <v>428</v>
      </c>
      <c r="S32" s="1202">
        <v>3331562157</v>
      </c>
      <c r="T32" s="1163" t="s">
        <v>256</v>
      </c>
      <c r="U32" s="1202" t="s">
        <v>256</v>
      </c>
      <c r="V32" s="1202" t="s">
        <v>256</v>
      </c>
      <c r="W32" s="1202" t="s">
        <v>256</v>
      </c>
      <c r="X32" s="1203" t="s">
        <v>256</v>
      </c>
      <c r="Y32" s="1202" t="s">
        <v>256</v>
      </c>
      <c r="Z32" s="1202" t="s">
        <v>256</v>
      </c>
      <c r="AA32" s="1202" t="s">
        <v>256</v>
      </c>
      <c r="AB32" s="1244" t="s">
        <v>256</v>
      </c>
      <c r="AC32" s="1192"/>
      <c r="AD32" s="44"/>
      <c r="AE32" s="44"/>
      <c r="AF32" s="44"/>
      <c r="AG32" s="44"/>
    </row>
    <row r="33" spans="18:33" ht="15.6">
      <c r="R33" s="1201" t="s">
        <v>428</v>
      </c>
      <c r="S33" s="1202">
        <v>3331562159</v>
      </c>
      <c r="T33" s="1163" t="s">
        <v>441</v>
      </c>
      <c r="U33" s="1202">
        <v>24141701</v>
      </c>
      <c r="V33" s="1202" t="s">
        <v>593</v>
      </c>
      <c r="W33" s="1202" t="s">
        <v>205</v>
      </c>
      <c r="X33" s="1203">
        <f>17407.002+23555.744</f>
        <v>40962.745999999999</v>
      </c>
      <c r="Y33" s="1202" t="s">
        <v>128</v>
      </c>
      <c r="Z33" s="1207">
        <v>1</v>
      </c>
      <c r="AA33" s="1207">
        <v>1</v>
      </c>
      <c r="AB33" s="1208" t="s">
        <v>204</v>
      </c>
      <c r="AC33" s="1192"/>
      <c r="AD33" s="44"/>
      <c r="AE33" s="44"/>
      <c r="AF33" s="44"/>
      <c r="AG33" s="44"/>
    </row>
    <row r="34" spans="18:33" ht="15.6">
      <c r="R34" s="1201" t="s">
        <v>428</v>
      </c>
      <c r="S34" s="1202">
        <v>3331562161</v>
      </c>
      <c r="T34" s="1163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244" t="s">
        <v>256</v>
      </c>
      <c r="AC34" s="1192"/>
      <c r="AD34" s="44"/>
      <c r="AE34" s="44"/>
      <c r="AF34" s="44"/>
      <c r="AG34" s="44"/>
    </row>
    <row r="35" spans="18:33" ht="15.6">
      <c r="R35" s="1201" t="s">
        <v>428</v>
      </c>
      <c r="S35" s="1202">
        <v>3331562174</v>
      </c>
      <c r="T35" s="1163" t="s">
        <v>441</v>
      </c>
      <c r="U35" s="1202">
        <v>24141705</v>
      </c>
      <c r="V35" s="1202" t="s">
        <v>593</v>
      </c>
      <c r="W35" s="1202" t="s">
        <v>205</v>
      </c>
      <c r="X35" s="1203">
        <v>41888.330999999998</v>
      </c>
      <c r="Y35" s="1202" t="s">
        <v>128</v>
      </c>
      <c r="Z35" s="1207">
        <v>1</v>
      </c>
      <c r="AA35" s="1207">
        <v>1</v>
      </c>
      <c r="AB35" s="1208" t="s">
        <v>204</v>
      </c>
      <c r="AC35" s="1192"/>
      <c r="AD35" s="44"/>
      <c r="AE35" s="44"/>
      <c r="AF35" s="44"/>
      <c r="AG35" s="44"/>
    </row>
    <row r="36" spans="18:33" ht="15.6">
      <c r="R36" s="1189" t="s">
        <v>428</v>
      </c>
      <c r="S36" s="1190">
        <v>3331562221</v>
      </c>
      <c r="T36" s="1167" t="s">
        <v>441</v>
      </c>
      <c r="U36" s="1190">
        <v>24141713</v>
      </c>
      <c r="V36" s="1190" t="s">
        <v>413</v>
      </c>
      <c r="W36" s="1190" t="s">
        <v>338</v>
      </c>
      <c r="X36" s="1191">
        <v>44440.553</v>
      </c>
      <c r="Y36" s="1190" t="s">
        <v>128</v>
      </c>
      <c r="Z36" s="1182">
        <v>1</v>
      </c>
      <c r="AA36" s="1182">
        <v>1</v>
      </c>
      <c r="AB36" s="1200" t="s">
        <v>207</v>
      </c>
      <c r="AC36" s="1192"/>
      <c r="AD36" s="44"/>
      <c r="AE36" s="44"/>
      <c r="AF36" s="44"/>
      <c r="AG36" s="44"/>
    </row>
    <row r="37" spans="18:33" ht="15.6">
      <c r="R37" s="1189" t="s">
        <v>428</v>
      </c>
      <c r="S37" s="1190">
        <v>3331562222</v>
      </c>
      <c r="T37" s="1167" t="s">
        <v>441</v>
      </c>
      <c r="U37" s="1190">
        <v>24141714</v>
      </c>
      <c r="V37" s="1190" t="s">
        <v>413</v>
      </c>
      <c r="W37" s="1190" t="s">
        <v>338</v>
      </c>
      <c r="X37" s="1191">
        <v>43651.597999999998</v>
      </c>
      <c r="Y37" s="1190" t="s">
        <v>128</v>
      </c>
      <c r="Z37" s="1182">
        <v>1</v>
      </c>
      <c r="AA37" s="1182">
        <v>1</v>
      </c>
      <c r="AB37" s="1200" t="s">
        <v>207</v>
      </c>
      <c r="AC37" s="1192"/>
      <c r="AD37" s="44"/>
      <c r="AE37" s="44"/>
      <c r="AF37" s="44"/>
      <c r="AG37" s="44"/>
    </row>
    <row r="38" spans="18:33" ht="15.6">
      <c r="R38" s="1201" t="s">
        <v>452</v>
      </c>
      <c r="S38" s="1202">
        <v>3331562223</v>
      </c>
      <c r="T38" s="1163" t="s">
        <v>459</v>
      </c>
      <c r="U38" s="1202">
        <v>24141715</v>
      </c>
      <c r="V38" s="1202" t="s">
        <v>413</v>
      </c>
      <c r="W38" s="1202" t="s">
        <v>338</v>
      </c>
      <c r="X38" s="1203">
        <v>29500.95</v>
      </c>
      <c r="Y38" s="1202" t="s">
        <v>426</v>
      </c>
      <c r="Z38" s="1207">
        <v>1</v>
      </c>
      <c r="AA38" s="1207">
        <v>1</v>
      </c>
      <c r="AB38" s="1208" t="s">
        <v>204</v>
      </c>
      <c r="AC38" s="1192"/>
      <c r="AD38" s="44"/>
      <c r="AE38" s="44"/>
      <c r="AF38" s="44"/>
      <c r="AG38" s="44"/>
    </row>
    <row r="39" spans="18:33" ht="15.6">
      <c r="R39" s="1201" t="s">
        <v>428</v>
      </c>
      <c r="S39" s="1202">
        <v>3331562224</v>
      </c>
      <c r="T39" s="1163" t="s">
        <v>459</v>
      </c>
      <c r="U39" s="1202">
        <v>24141716</v>
      </c>
      <c r="V39" s="1202" t="s">
        <v>413</v>
      </c>
      <c r="W39" s="1202" t="s">
        <v>338</v>
      </c>
      <c r="X39" s="1203">
        <v>31424.924999999999</v>
      </c>
      <c r="Y39" s="1202" t="s">
        <v>426</v>
      </c>
      <c r="Z39" s="1207">
        <v>1</v>
      </c>
      <c r="AA39" s="1207">
        <v>1</v>
      </c>
      <c r="AB39" s="1208" t="s">
        <v>204</v>
      </c>
      <c r="AC39" s="1192"/>
      <c r="AD39" s="44"/>
      <c r="AE39" s="44"/>
      <c r="AF39" s="44"/>
      <c r="AG39" s="44"/>
    </row>
    <row r="40" spans="18:33" ht="15.6">
      <c r="R40" s="1201" t="s">
        <v>428</v>
      </c>
      <c r="S40" s="1202">
        <v>3331562225</v>
      </c>
      <c r="T40" s="1163" t="s">
        <v>459</v>
      </c>
      <c r="U40" s="1202">
        <v>24141717</v>
      </c>
      <c r="V40" s="1202" t="s">
        <v>413</v>
      </c>
      <c r="W40" s="1202" t="s">
        <v>338</v>
      </c>
      <c r="X40" s="1203">
        <v>30527.07</v>
      </c>
      <c r="Y40" s="1202" t="s">
        <v>426</v>
      </c>
      <c r="Z40" s="1207">
        <v>1</v>
      </c>
      <c r="AA40" s="1207">
        <v>1</v>
      </c>
      <c r="AB40" s="1208" t="s">
        <v>204</v>
      </c>
      <c r="AC40" s="1192"/>
      <c r="AD40" s="44"/>
      <c r="AE40" s="44"/>
      <c r="AF40" s="44"/>
      <c r="AG40" s="44"/>
    </row>
    <row r="41" spans="18:33" ht="15.6">
      <c r="R41" s="1201" t="s">
        <v>428</v>
      </c>
      <c r="S41" s="1202">
        <v>3331562226</v>
      </c>
      <c r="T41" s="1163" t="s">
        <v>459</v>
      </c>
      <c r="U41" s="1202">
        <v>24141718</v>
      </c>
      <c r="V41" s="1202" t="s">
        <v>413</v>
      </c>
      <c r="W41" s="1202" t="s">
        <v>338</v>
      </c>
      <c r="X41" s="1203">
        <v>32899.972999999998</v>
      </c>
      <c r="Y41" s="1202" t="s">
        <v>426</v>
      </c>
      <c r="Z41" s="1207">
        <v>1</v>
      </c>
      <c r="AA41" s="1207">
        <v>1</v>
      </c>
      <c r="AB41" s="1208" t="s">
        <v>204</v>
      </c>
      <c r="AC41" s="1192"/>
      <c r="AD41" s="44"/>
      <c r="AE41" s="44"/>
      <c r="AF41" s="44"/>
      <c r="AG41" s="44"/>
    </row>
    <row r="42" spans="18:33" ht="15.6">
      <c r="R42" s="1201" t="s">
        <v>428</v>
      </c>
      <c r="S42" s="1202">
        <v>3331562227</v>
      </c>
      <c r="T42" s="1163" t="s">
        <v>459</v>
      </c>
      <c r="U42" s="1202">
        <v>24141719</v>
      </c>
      <c r="V42" s="1202" t="s">
        <v>413</v>
      </c>
      <c r="W42" s="1202" t="s">
        <v>338</v>
      </c>
      <c r="X42" s="1203">
        <v>30835.66</v>
      </c>
      <c r="Y42" s="1202" t="s">
        <v>426</v>
      </c>
      <c r="Z42" s="1207">
        <v>1</v>
      </c>
      <c r="AA42" s="1207">
        <v>1</v>
      </c>
      <c r="AB42" s="1208" t="s">
        <v>204</v>
      </c>
      <c r="AC42" s="1192"/>
      <c r="AD42" s="44"/>
      <c r="AE42" s="44"/>
      <c r="AF42" s="44"/>
      <c r="AG42" s="44"/>
    </row>
    <row r="43" spans="18:33" ht="15.6">
      <c r="R43" s="1201" t="s">
        <v>428</v>
      </c>
      <c r="S43" s="1202">
        <v>3331562228</v>
      </c>
      <c r="T43" s="1163" t="s">
        <v>459</v>
      </c>
      <c r="U43" s="1202">
        <v>24141720</v>
      </c>
      <c r="V43" s="1202" t="s">
        <v>413</v>
      </c>
      <c r="W43" s="1202" t="s">
        <v>338</v>
      </c>
      <c r="X43" s="1203">
        <v>31308.732</v>
      </c>
      <c r="Y43" s="1202" t="s">
        <v>426</v>
      </c>
      <c r="Z43" s="1207">
        <v>1</v>
      </c>
      <c r="AA43" s="1207">
        <v>1</v>
      </c>
      <c r="AB43" s="1208" t="s">
        <v>204</v>
      </c>
      <c r="AC43" s="1192"/>
      <c r="AD43" s="44"/>
      <c r="AE43" s="44"/>
      <c r="AF43" s="44"/>
      <c r="AG43" s="44"/>
    </row>
    <row r="44" spans="18:33" ht="15.6">
      <c r="R44" s="1201" t="s">
        <v>428</v>
      </c>
      <c r="S44" s="1202">
        <v>3331562229</v>
      </c>
      <c r="T44" s="1163" t="s">
        <v>458</v>
      </c>
      <c r="U44" s="1202">
        <v>24141721</v>
      </c>
      <c r="V44" s="1202" t="s">
        <v>413</v>
      </c>
      <c r="W44" s="1202" t="s">
        <v>338</v>
      </c>
      <c r="X44" s="1203">
        <f>15848.166+26908.74</f>
        <v>42756.906000000003</v>
      </c>
      <c r="Y44" s="1202" t="s">
        <v>128</v>
      </c>
      <c r="Z44" s="1207">
        <v>1</v>
      </c>
      <c r="AA44" s="1207">
        <v>1</v>
      </c>
      <c r="AB44" s="1208" t="s">
        <v>204</v>
      </c>
      <c r="AC44" s="1192"/>
      <c r="AD44" s="44"/>
      <c r="AE44" s="44"/>
      <c r="AF44" s="44"/>
      <c r="AG44" s="44"/>
    </row>
    <row r="45" spans="18:33" ht="15.6">
      <c r="R45" s="1201" t="s">
        <v>428</v>
      </c>
      <c r="S45" s="1202">
        <v>3331562256</v>
      </c>
      <c r="T45" s="1163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7" t="s">
        <v>256</v>
      </c>
      <c r="AA45" s="1207" t="s">
        <v>256</v>
      </c>
      <c r="AB45" s="1208" t="s">
        <v>256</v>
      </c>
      <c r="AC45" s="1192"/>
      <c r="AD45" s="44"/>
      <c r="AE45" s="44"/>
      <c r="AF45" s="44"/>
      <c r="AG45" s="44"/>
    </row>
    <row r="46" spans="18:33" ht="15.6">
      <c r="R46" s="1201" t="s">
        <v>428</v>
      </c>
      <c r="S46" s="1202">
        <v>3331562032</v>
      </c>
      <c r="T46" s="1077" t="s">
        <v>27</v>
      </c>
      <c r="U46" s="1202">
        <v>24141651</v>
      </c>
      <c r="V46" s="1202" t="s">
        <v>498</v>
      </c>
      <c r="W46" s="1202" t="s">
        <v>199</v>
      </c>
      <c r="X46" s="1203">
        <v>25502.856</v>
      </c>
      <c r="Y46" s="1202" t="s">
        <v>200</v>
      </c>
      <c r="Z46" s="1077">
        <v>1</v>
      </c>
      <c r="AA46" s="1077">
        <v>1</v>
      </c>
      <c r="AB46" s="1078" t="s">
        <v>204</v>
      </c>
      <c r="AC46" s="1192"/>
      <c r="AD46" s="44"/>
      <c r="AE46" s="44"/>
      <c r="AF46" s="44"/>
      <c r="AG46" s="44"/>
    </row>
    <row r="47" spans="18:33" ht="15.6">
      <c r="R47" s="1201" t="s">
        <v>428</v>
      </c>
      <c r="S47" s="1202">
        <v>3331562034</v>
      </c>
      <c r="T47" s="1077" t="s">
        <v>27</v>
      </c>
      <c r="U47" s="1202">
        <v>24141652</v>
      </c>
      <c r="V47" s="1202" t="s">
        <v>366</v>
      </c>
      <c r="W47" s="1202" t="s">
        <v>199</v>
      </c>
      <c r="X47" s="1203">
        <v>25764.095000000001</v>
      </c>
      <c r="Y47" s="1202" t="s">
        <v>200</v>
      </c>
      <c r="Z47" s="1202">
        <v>1</v>
      </c>
      <c r="AA47" s="1202">
        <v>1</v>
      </c>
      <c r="AB47" s="1078" t="s">
        <v>204</v>
      </c>
      <c r="AC47" s="1192"/>
      <c r="AD47" s="44"/>
      <c r="AE47" s="44"/>
      <c r="AF47" s="44"/>
      <c r="AG47" s="44"/>
    </row>
    <row r="48" spans="18:33">
      <c r="R48" s="1201" t="s">
        <v>428</v>
      </c>
      <c r="S48" s="1202">
        <v>3331562031</v>
      </c>
      <c r="T48" s="1077" t="s">
        <v>27</v>
      </c>
      <c r="U48" s="1202">
        <v>24141653</v>
      </c>
      <c r="V48" s="1202" t="s">
        <v>290</v>
      </c>
      <c r="W48" s="1202" t="s">
        <v>199</v>
      </c>
      <c r="X48" s="1203">
        <v>25551.146000000001</v>
      </c>
      <c r="Y48" s="1202" t="s">
        <v>200</v>
      </c>
      <c r="Z48" s="1202">
        <v>1</v>
      </c>
      <c r="AA48" s="1202">
        <v>1</v>
      </c>
      <c r="AB48" s="1202" t="s">
        <v>204</v>
      </c>
      <c r="AC48" s="1192"/>
      <c r="AD48" s="44"/>
      <c r="AE48" s="44"/>
      <c r="AF48" s="44"/>
      <c r="AG48" s="44"/>
    </row>
    <row r="49" spans="18:33">
      <c r="R49" s="1201" t="s">
        <v>428</v>
      </c>
      <c r="S49" s="1202">
        <v>3331562036</v>
      </c>
      <c r="T49" s="1202" t="s">
        <v>27</v>
      </c>
      <c r="U49" s="1202">
        <v>24141654</v>
      </c>
      <c r="V49" s="1202" t="s">
        <v>219</v>
      </c>
      <c r="W49" s="1202" t="s">
        <v>199</v>
      </c>
      <c r="X49" s="1203">
        <f>7827.184+12124.28+4489.275</f>
        <v>24440.739000000001</v>
      </c>
      <c r="Y49" s="1202" t="s">
        <v>200</v>
      </c>
      <c r="Z49" s="1202">
        <v>1</v>
      </c>
      <c r="AA49" s="1202">
        <v>1</v>
      </c>
      <c r="AB49" s="1202" t="s">
        <v>204</v>
      </c>
      <c r="AC49" s="1192"/>
      <c r="AD49" s="44"/>
      <c r="AE49" s="44"/>
      <c r="AF49" s="44"/>
      <c r="AG49" s="44"/>
    </row>
    <row r="50" spans="18:33">
      <c r="R50" s="1201" t="s">
        <v>428</v>
      </c>
      <c r="S50" s="1202">
        <v>3331562038</v>
      </c>
      <c r="T50" s="1202" t="s">
        <v>256</v>
      </c>
      <c r="U50" s="1202" t="s">
        <v>256</v>
      </c>
      <c r="V50" s="1202" t="s">
        <v>256</v>
      </c>
      <c r="W50" s="1202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02" t="s">
        <v>256</v>
      </c>
      <c r="AC50" s="1192"/>
      <c r="AD50" s="44"/>
      <c r="AE50" s="44"/>
      <c r="AF50" s="44"/>
      <c r="AG50" s="44"/>
    </row>
    <row r="51" spans="18:33">
      <c r="R51" s="1201" t="s">
        <v>428</v>
      </c>
      <c r="S51" s="1202">
        <v>3331562042</v>
      </c>
      <c r="T51" s="1077" t="s">
        <v>256</v>
      </c>
      <c r="U51" s="1202" t="s">
        <v>256</v>
      </c>
      <c r="V51" s="1202" t="s">
        <v>256</v>
      </c>
      <c r="W51" s="1202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02" t="s">
        <v>256</v>
      </c>
      <c r="AC51" s="1192"/>
      <c r="AD51" s="44"/>
      <c r="AE51" s="44"/>
      <c r="AF51" s="44"/>
      <c r="AG51" s="44"/>
    </row>
    <row r="52" spans="18:33">
      <c r="R52" s="1201" t="s">
        <v>428</v>
      </c>
      <c r="S52" s="1202">
        <v>3331562045</v>
      </c>
      <c r="T52" s="1077" t="s">
        <v>11</v>
      </c>
      <c r="U52" s="1202">
        <v>24141655</v>
      </c>
      <c r="V52" s="1202" t="s">
        <v>219</v>
      </c>
      <c r="W52" s="1202" t="s">
        <v>199</v>
      </c>
      <c r="X52" s="1203">
        <v>25653</v>
      </c>
      <c r="Y52" s="1202" t="s">
        <v>200</v>
      </c>
      <c r="Z52" s="1202">
        <v>1</v>
      </c>
      <c r="AA52" s="1202">
        <v>1</v>
      </c>
      <c r="AB52" s="1202" t="s">
        <v>204</v>
      </c>
      <c r="AC52" s="1192"/>
      <c r="AD52" s="44"/>
      <c r="AE52" s="44"/>
      <c r="AF52" s="44"/>
      <c r="AG52" s="44"/>
    </row>
    <row r="53" spans="18:33">
      <c r="R53" s="1201" t="s">
        <v>428</v>
      </c>
      <c r="S53" s="1202">
        <v>3331562046</v>
      </c>
      <c r="T53" s="1077" t="s">
        <v>27</v>
      </c>
      <c r="U53" s="1202">
        <v>24141656</v>
      </c>
      <c r="V53" s="1202" t="s">
        <v>158</v>
      </c>
      <c r="W53" s="1202" t="s">
        <v>199</v>
      </c>
      <c r="X53" s="1203">
        <f>2009.988+1111.63+22793.948</f>
        <v>25915.565999999999</v>
      </c>
      <c r="Y53" s="1202" t="s">
        <v>200</v>
      </c>
      <c r="Z53" s="1202">
        <v>1</v>
      </c>
      <c r="AA53" s="1202">
        <v>1</v>
      </c>
      <c r="AB53" s="1202" t="s">
        <v>204</v>
      </c>
      <c r="AC53" s="1192"/>
      <c r="AD53" s="44"/>
      <c r="AE53" s="44"/>
      <c r="AF53" s="44"/>
      <c r="AG53" s="44"/>
    </row>
    <row r="54" spans="18:33">
      <c r="R54" s="1201" t="s">
        <v>428</v>
      </c>
      <c r="S54" s="1202">
        <v>3331562047</v>
      </c>
      <c r="T54" s="1077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2" t="s">
        <v>256</v>
      </c>
      <c r="AC54" s="1192"/>
      <c r="AD54" s="44"/>
      <c r="AE54" s="44"/>
      <c r="AF54" s="44"/>
      <c r="AG54" s="44"/>
    </row>
    <row r="55" spans="18:33">
      <c r="R55" s="1260" t="s">
        <v>428</v>
      </c>
      <c r="S55" s="1261">
        <v>3331562048</v>
      </c>
      <c r="T55" s="1262" t="s">
        <v>256</v>
      </c>
      <c r="U55" s="1202" t="s">
        <v>256</v>
      </c>
      <c r="V55" s="1202" t="s">
        <v>256</v>
      </c>
      <c r="W55" s="1202" t="s">
        <v>256</v>
      </c>
      <c r="X55" s="1203" t="s">
        <v>256</v>
      </c>
      <c r="Y55" s="1202" t="s">
        <v>256</v>
      </c>
      <c r="Z55" s="1202" t="s">
        <v>256</v>
      </c>
      <c r="AA55" s="1202" t="s">
        <v>256</v>
      </c>
      <c r="AB55" s="1202" t="s">
        <v>256</v>
      </c>
      <c r="AC55" s="1192"/>
      <c r="AD55" s="44"/>
      <c r="AE55" s="44"/>
      <c r="AF55" s="44"/>
      <c r="AG55" s="44"/>
    </row>
    <row r="56" spans="18:33">
      <c r="R56" s="1201">
        <v>1</v>
      </c>
      <c r="S56" s="1202">
        <v>3331562050</v>
      </c>
      <c r="T56" s="1077" t="s">
        <v>27</v>
      </c>
      <c r="U56" s="1202">
        <v>24141657</v>
      </c>
      <c r="V56" s="1202" t="s">
        <v>158</v>
      </c>
      <c r="W56" s="1202" t="s">
        <v>199</v>
      </c>
      <c r="X56" s="1203">
        <v>26276.971000000001</v>
      </c>
      <c r="Y56" s="1202" t="s">
        <v>200</v>
      </c>
      <c r="Z56" s="1202">
        <v>1</v>
      </c>
      <c r="AA56" s="1202">
        <v>1</v>
      </c>
      <c r="AB56" s="1202" t="s">
        <v>204</v>
      </c>
      <c r="AC56" s="1192"/>
      <c r="AD56" s="44"/>
      <c r="AE56" s="44"/>
      <c r="AF56" s="44"/>
      <c r="AG56" s="44"/>
    </row>
    <row r="57" spans="18:33">
      <c r="R57" s="1201" t="s">
        <v>428</v>
      </c>
      <c r="S57" s="1202">
        <v>3331562052</v>
      </c>
      <c r="T57" s="1077" t="s">
        <v>34</v>
      </c>
      <c r="U57" s="1202">
        <v>24141658</v>
      </c>
      <c r="V57" s="1202" t="s">
        <v>158</v>
      </c>
      <c r="W57" s="1202" t="s">
        <v>199</v>
      </c>
      <c r="X57" s="1203">
        <v>26449.751</v>
      </c>
      <c r="Y57" s="1202" t="s">
        <v>200</v>
      </c>
      <c r="Z57" s="1202">
        <v>1</v>
      </c>
      <c r="AA57" s="1202">
        <v>1</v>
      </c>
      <c r="AB57" s="1202" t="s">
        <v>204</v>
      </c>
      <c r="AC57" s="1192"/>
      <c r="AD57" s="44"/>
      <c r="AE57" s="44"/>
      <c r="AF57" s="44"/>
      <c r="AG57" s="44"/>
    </row>
    <row r="58" spans="18:33">
      <c r="R58" s="1201" t="s">
        <v>428</v>
      </c>
      <c r="S58" s="1202">
        <v>3331562051</v>
      </c>
      <c r="T58" s="1077" t="s">
        <v>34</v>
      </c>
      <c r="U58" s="1202">
        <v>24141659</v>
      </c>
      <c r="V58" s="1202" t="s">
        <v>150</v>
      </c>
      <c r="W58" s="1202" t="s">
        <v>199</v>
      </c>
      <c r="X58" s="1203">
        <f>8257.249+3249.38+12860.397</f>
        <v>24367.026000000002</v>
      </c>
      <c r="Y58" s="1202" t="s">
        <v>200</v>
      </c>
      <c r="Z58" s="1202">
        <v>1</v>
      </c>
      <c r="AA58" s="1202">
        <v>1</v>
      </c>
      <c r="AB58" s="1202" t="s">
        <v>204</v>
      </c>
      <c r="AC58" s="1192"/>
      <c r="AD58" s="44"/>
      <c r="AE58" s="44"/>
      <c r="AF58" s="44"/>
      <c r="AG58" s="44"/>
    </row>
    <row r="59" spans="18:33">
      <c r="R59" s="1201" t="s">
        <v>428</v>
      </c>
      <c r="S59" s="1202">
        <v>3331562053</v>
      </c>
      <c r="T59" s="1077" t="s">
        <v>256</v>
      </c>
      <c r="U59" s="1202" t="s">
        <v>256</v>
      </c>
      <c r="V59" s="1202" t="s">
        <v>256</v>
      </c>
      <c r="W59" s="1202" t="s">
        <v>256</v>
      </c>
      <c r="X59" s="1203" t="s">
        <v>256</v>
      </c>
      <c r="Y59" s="1202" t="s">
        <v>256</v>
      </c>
      <c r="Z59" s="1202" t="s">
        <v>256</v>
      </c>
      <c r="AA59" s="1202" t="s">
        <v>256</v>
      </c>
      <c r="AB59" s="1202" t="s">
        <v>256</v>
      </c>
      <c r="AC59" s="1192"/>
      <c r="AD59" s="44"/>
      <c r="AE59" s="44"/>
      <c r="AF59" s="44"/>
      <c r="AG59" s="44"/>
    </row>
    <row r="60" spans="18:33">
      <c r="R60" s="1201" t="s">
        <v>428</v>
      </c>
      <c r="S60" s="1202">
        <v>3331562054</v>
      </c>
      <c r="T60" s="1202" t="s">
        <v>256</v>
      </c>
      <c r="U60" s="1202" t="s">
        <v>256</v>
      </c>
      <c r="V60" s="1202" t="s">
        <v>256</v>
      </c>
      <c r="W60" s="1202" t="s">
        <v>256</v>
      </c>
      <c r="X60" s="1203" t="s">
        <v>256</v>
      </c>
      <c r="Y60" s="1202" t="s">
        <v>256</v>
      </c>
      <c r="Z60" s="1202" t="s">
        <v>256</v>
      </c>
      <c r="AA60" s="1202" t="s">
        <v>256</v>
      </c>
      <c r="AB60" s="1202" t="s">
        <v>256</v>
      </c>
      <c r="AC60" s="1192"/>
      <c r="AD60" s="44"/>
      <c r="AE60" s="44"/>
      <c r="AF60" s="44"/>
      <c r="AG60" s="44"/>
    </row>
    <row r="61" spans="18:33">
      <c r="R61" s="1201" t="s">
        <v>428</v>
      </c>
      <c r="S61" s="1202">
        <v>3331562058</v>
      </c>
      <c r="T61" s="1077" t="s">
        <v>34</v>
      </c>
      <c r="U61" s="1202">
        <v>24141660</v>
      </c>
      <c r="V61" s="1202" t="s">
        <v>150</v>
      </c>
      <c r="W61" s="1202" t="s">
        <v>199</v>
      </c>
      <c r="X61" s="1203">
        <v>24941.376</v>
      </c>
      <c r="Y61" s="1202" t="s">
        <v>200</v>
      </c>
      <c r="Z61" s="1202">
        <v>1</v>
      </c>
      <c r="AA61" s="1202">
        <v>1</v>
      </c>
      <c r="AB61" s="1202" t="s">
        <v>204</v>
      </c>
      <c r="AC61" s="1192"/>
      <c r="AD61" s="44"/>
      <c r="AE61" s="44"/>
      <c r="AF61" s="44"/>
      <c r="AG61" s="44"/>
    </row>
    <row r="62" spans="18:33">
      <c r="R62" s="1260" t="s">
        <v>428</v>
      </c>
      <c r="S62" s="1261">
        <v>3331562060</v>
      </c>
      <c r="T62" s="1262" t="s">
        <v>462</v>
      </c>
      <c r="U62" s="1202">
        <v>24141661</v>
      </c>
      <c r="V62" s="1202" t="s">
        <v>150</v>
      </c>
      <c r="W62" s="1202" t="s">
        <v>199</v>
      </c>
      <c r="X62" s="1203">
        <v>23382.54</v>
      </c>
      <c r="Y62" s="1202" t="s">
        <v>200</v>
      </c>
      <c r="Z62" s="1202">
        <v>1</v>
      </c>
      <c r="AA62" s="1202">
        <v>1</v>
      </c>
      <c r="AB62" s="1202" t="s">
        <v>204</v>
      </c>
      <c r="AC62" s="1192"/>
    </row>
    <row r="63" spans="18:33">
      <c r="R63" s="1260" t="s">
        <v>428</v>
      </c>
      <c r="S63" s="1261">
        <v>3331562061</v>
      </c>
      <c r="T63" s="1262" t="s">
        <v>34</v>
      </c>
      <c r="U63" s="1202">
        <v>24141662</v>
      </c>
      <c r="V63" s="1202" t="s">
        <v>158</v>
      </c>
      <c r="W63" s="1202" t="s">
        <v>199</v>
      </c>
      <c r="X63" s="1203">
        <v>25718.39</v>
      </c>
      <c r="Y63" s="1202" t="s">
        <v>200</v>
      </c>
      <c r="Z63" s="1202">
        <v>1</v>
      </c>
      <c r="AA63" s="1202">
        <v>1</v>
      </c>
      <c r="AB63" s="1202" t="s">
        <v>204</v>
      </c>
      <c r="AC63" s="1192"/>
    </row>
    <row r="64" spans="18:33">
      <c r="R64" s="1263" t="s">
        <v>428</v>
      </c>
      <c r="S64" s="1264">
        <v>3331562062</v>
      </c>
      <c r="T64" s="1262" t="s">
        <v>287</v>
      </c>
      <c r="U64" s="1202">
        <v>24141663</v>
      </c>
      <c r="V64" s="1257" t="s">
        <v>150</v>
      </c>
      <c r="W64" s="1202" t="s">
        <v>199</v>
      </c>
      <c r="X64" s="1265">
        <v>24032.055</v>
      </c>
      <c r="Y64" s="1202" t="s">
        <v>200</v>
      </c>
      <c r="Z64" s="1202">
        <v>1</v>
      </c>
      <c r="AA64" s="1202">
        <v>1</v>
      </c>
      <c r="AB64" s="1202" t="s">
        <v>204</v>
      </c>
      <c r="AC64" s="1192"/>
    </row>
    <row r="65" spans="18:29">
      <c r="R65" s="1201" t="s">
        <v>428</v>
      </c>
      <c r="S65" s="1202">
        <v>3331562064</v>
      </c>
      <c r="T65" s="1077" t="s">
        <v>11</v>
      </c>
      <c r="U65" s="1202">
        <v>24141664</v>
      </c>
      <c r="V65" s="1202" t="s">
        <v>150</v>
      </c>
      <c r="W65" s="1202" t="s">
        <v>199</v>
      </c>
      <c r="X65" s="1203">
        <v>25937.298999999999</v>
      </c>
      <c r="Y65" s="1202" t="s">
        <v>200</v>
      </c>
      <c r="Z65" s="1202">
        <v>1</v>
      </c>
      <c r="AA65" s="1202">
        <v>1</v>
      </c>
      <c r="AB65" s="1202" t="s">
        <v>204</v>
      </c>
      <c r="AC65" s="1192"/>
    </row>
    <row r="66" spans="18:29">
      <c r="R66" s="1256" t="s">
        <v>428</v>
      </c>
      <c r="S66" s="1257">
        <v>3331562112</v>
      </c>
      <c r="T66" s="1257" t="s">
        <v>34</v>
      </c>
      <c r="U66" s="1257">
        <v>24141690</v>
      </c>
      <c r="V66" s="1257" t="s">
        <v>447</v>
      </c>
      <c r="W66" s="1257" t="s">
        <v>199</v>
      </c>
      <c r="X66" s="1258">
        <v>26101.14</v>
      </c>
      <c r="Y66" s="1257" t="s">
        <v>200</v>
      </c>
      <c r="Z66" s="1257">
        <v>1</v>
      </c>
      <c r="AA66" s="1257">
        <v>1</v>
      </c>
      <c r="AB66" s="1257" t="s">
        <v>204</v>
      </c>
      <c r="AC66" s="1197"/>
    </row>
    <row r="67" spans="18:29">
      <c r="R67" s="1256" t="s">
        <v>428</v>
      </c>
      <c r="S67" s="1257">
        <v>3331562126</v>
      </c>
      <c r="T67" s="1077" t="s">
        <v>287</v>
      </c>
      <c r="U67" s="1257">
        <v>24141692</v>
      </c>
      <c r="V67" s="1257" t="s">
        <v>447</v>
      </c>
      <c r="W67" s="1257" t="s">
        <v>199</v>
      </c>
      <c r="X67" s="1258">
        <f>3327.848+22549.588</f>
        <v>25877.436000000002</v>
      </c>
      <c r="Y67" s="1257" t="s">
        <v>200</v>
      </c>
      <c r="Z67" s="1257">
        <v>1</v>
      </c>
      <c r="AA67" s="1257">
        <v>1</v>
      </c>
      <c r="AB67" s="1257" t="s">
        <v>204</v>
      </c>
      <c r="AC67" s="1197"/>
    </row>
    <row r="68" spans="18:29">
      <c r="R68" s="1201" t="s">
        <v>428</v>
      </c>
      <c r="S68" s="1202">
        <v>3331562127</v>
      </c>
      <c r="T68" s="1202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192"/>
    </row>
    <row r="69" spans="18:29">
      <c r="R69" s="1201" t="s">
        <v>428</v>
      </c>
      <c r="S69" s="1202">
        <v>3331562185</v>
      </c>
      <c r="T69" s="1077" t="s">
        <v>11</v>
      </c>
      <c r="U69" s="1202">
        <v>24141710</v>
      </c>
      <c r="V69" s="1202" t="s">
        <v>466</v>
      </c>
      <c r="W69" s="1257" t="s">
        <v>199</v>
      </c>
      <c r="X69" s="1203">
        <v>21890.560000000001</v>
      </c>
      <c r="Y69" s="1202" t="s">
        <v>200</v>
      </c>
      <c r="Z69" s="1202">
        <v>1</v>
      </c>
      <c r="AA69" s="1202">
        <v>1</v>
      </c>
      <c r="AB69" s="1202" t="s">
        <v>204</v>
      </c>
      <c r="AC69" s="1192"/>
    </row>
    <row r="70" spans="18:29">
      <c r="R70" s="1256" t="s">
        <v>428</v>
      </c>
      <c r="S70" s="1257">
        <v>3331562188</v>
      </c>
      <c r="T70" s="1077" t="s">
        <v>287</v>
      </c>
      <c r="U70" s="1257">
        <v>24141711</v>
      </c>
      <c r="V70" s="1257" t="s">
        <v>466</v>
      </c>
      <c r="W70" s="1257" t="s">
        <v>199</v>
      </c>
      <c r="X70" s="1258">
        <v>19795.564999999999</v>
      </c>
      <c r="Y70" s="1257" t="s">
        <v>200</v>
      </c>
      <c r="Z70" s="1257">
        <v>1</v>
      </c>
      <c r="AA70" s="1257">
        <v>1</v>
      </c>
      <c r="AB70" s="1257" t="s">
        <v>204</v>
      </c>
      <c r="AC70" s="1197"/>
    </row>
    <row r="71" spans="18:29">
      <c r="R71" s="1256" t="s">
        <v>428</v>
      </c>
      <c r="S71" s="1257">
        <v>3331562194</v>
      </c>
      <c r="T71" s="1077" t="s">
        <v>34</v>
      </c>
      <c r="U71" s="1257">
        <v>24141712</v>
      </c>
      <c r="V71" s="1257" t="s">
        <v>290</v>
      </c>
      <c r="W71" s="1257" t="s">
        <v>199</v>
      </c>
      <c r="X71" s="1258">
        <v>25911.928</v>
      </c>
      <c r="Y71" s="1257" t="s">
        <v>200</v>
      </c>
      <c r="Z71" s="1257">
        <v>1</v>
      </c>
      <c r="AA71" s="1257">
        <v>1</v>
      </c>
      <c r="AB71" s="1257" t="s">
        <v>204</v>
      </c>
      <c r="AC71" s="1197"/>
    </row>
    <row r="72" spans="18:29">
      <c r="R72" s="1201" t="s">
        <v>428</v>
      </c>
      <c r="S72" s="1202">
        <v>3331562278</v>
      </c>
      <c r="T72" s="1259" t="s">
        <v>287</v>
      </c>
      <c r="U72" s="1202">
        <v>24141722</v>
      </c>
      <c r="V72" s="1202" t="s">
        <v>131</v>
      </c>
      <c r="W72" s="1202" t="s">
        <v>199</v>
      </c>
      <c r="X72" s="1203">
        <v>26004.375</v>
      </c>
      <c r="Y72" s="1202" t="s">
        <v>200</v>
      </c>
      <c r="Z72" s="1202">
        <v>1</v>
      </c>
      <c r="AA72" s="1202">
        <v>1</v>
      </c>
      <c r="AB72" s="1202" t="s">
        <v>204</v>
      </c>
      <c r="AC72" s="1192"/>
    </row>
    <row r="73" spans="18:29">
      <c r="R73" s="1201" t="s">
        <v>463</v>
      </c>
      <c r="S73" s="1202">
        <v>3331561835</v>
      </c>
      <c r="T73" s="1259" t="s">
        <v>34</v>
      </c>
      <c r="U73" s="1202">
        <v>24141723</v>
      </c>
      <c r="V73" s="1257" t="s">
        <v>131</v>
      </c>
      <c r="W73" s="1202" t="s">
        <v>199</v>
      </c>
      <c r="X73" s="1203">
        <f>1822.118+2025.708+16503.727</f>
        <v>20351.553</v>
      </c>
      <c r="Y73" s="1202" t="s">
        <v>200</v>
      </c>
      <c r="Z73" s="1202">
        <v>1</v>
      </c>
      <c r="AA73" s="1202">
        <v>1</v>
      </c>
      <c r="AB73" s="1202" t="s">
        <v>204</v>
      </c>
      <c r="AC73" s="1192"/>
    </row>
    <row r="74" spans="18:29">
      <c r="R74" s="1201" t="s">
        <v>463</v>
      </c>
      <c r="S74" s="1202">
        <v>3331561838</v>
      </c>
      <c r="T74" s="1202" t="s">
        <v>256</v>
      </c>
      <c r="U74" s="1202" t="s">
        <v>256</v>
      </c>
      <c r="V74" s="1257" t="s">
        <v>256</v>
      </c>
      <c r="W74" s="1202" t="s">
        <v>256</v>
      </c>
      <c r="X74" s="1203" t="s">
        <v>256</v>
      </c>
      <c r="Y74" s="1202" t="s">
        <v>256</v>
      </c>
      <c r="Z74" s="1202" t="s">
        <v>256</v>
      </c>
      <c r="AA74" s="1202" t="s">
        <v>256</v>
      </c>
      <c r="AB74" s="1202" t="s">
        <v>256</v>
      </c>
      <c r="AC74" s="1192"/>
    </row>
    <row r="75" spans="18:29">
      <c r="R75" s="1201" t="s">
        <v>452</v>
      </c>
      <c r="S75" s="1202">
        <v>3331562283</v>
      </c>
      <c r="T75" s="1202" t="s">
        <v>256</v>
      </c>
      <c r="U75" s="1202" t="s">
        <v>256</v>
      </c>
      <c r="V75" s="1202" t="s">
        <v>256</v>
      </c>
      <c r="W75" s="1202" t="s">
        <v>256</v>
      </c>
      <c r="X75" s="1203" t="s">
        <v>256</v>
      </c>
      <c r="Y75" s="1202" t="s">
        <v>256</v>
      </c>
      <c r="Z75" s="1202" t="s">
        <v>256</v>
      </c>
      <c r="AA75" s="1202" t="s">
        <v>256</v>
      </c>
      <c r="AB75" s="1202" t="s">
        <v>256</v>
      </c>
      <c r="AC75" s="1192"/>
    </row>
    <row r="76" spans="18:29">
      <c r="R76" s="1201" t="s">
        <v>428</v>
      </c>
      <c r="S76" s="1202">
        <v>3331562288</v>
      </c>
      <c r="T76" s="1202" t="s">
        <v>342</v>
      </c>
      <c r="U76" s="1202">
        <v>24141724</v>
      </c>
      <c r="V76" s="1202" t="s">
        <v>569</v>
      </c>
      <c r="W76" s="1202" t="s">
        <v>203</v>
      </c>
      <c r="X76" s="1203"/>
      <c r="Y76" s="1202" t="s">
        <v>128</v>
      </c>
      <c r="Z76" s="1202"/>
      <c r="AA76" s="1202"/>
      <c r="AB76" s="1202" t="s">
        <v>204</v>
      </c>
      <c r="AC76" s="1192"/>
    </row>
    <row r="77" spans="18:29">
      <c r="R77" s="1189"/>
      <c r="S77" s="1190"/>
      <c r="T77" s="1190"/>
      <c r="U77" s="1190"/>
      <c r="V77" s="1195"/>
      <c r="W77" s="1190"/>
      <c r="X77" s="1191"/>
      <c r="Y77" s="1190"/>
      <c r="Z77" s="1190"/>
      <c r="AA77" s="1190"/>
      <c r="AB77" s="1190"/>
      <c r="AC77" s="1192"/>
    </row>
    <row r="78" spans="18:29">
      <c r="R78" s="1189"/>
      <c r="S78" s="1190"/>
      <c r="T78" s="1190"/>
      <c r="U78" s="1190"/>
      <c r="V78" s="1195"/>
      <c r="W78" s="1190"/>
      <c r="X78" s="1191"/>
      <c r="Y78" s="1190"/>
      <c r="Z78" s="1190"/>
      <c r="AA78" s="1190"/>
      <c r="AB78" s="1190"/>
      <c r="AC78" s="1192"/>
    </row>
    <row r="79" spans="18:29">
      <c r="R79" s="1190"/>
      <c r="S79" s="1190"/>
      <c r="T79" s="1190"/>
      <c r="U79" s="1190"/>
      <c r="V79" s="1190"/>
      <c r="W79" s="1190"/>
      <c r="X79" s="1190"/>
      <c r="Y79" s="1190"/>
      <c r="Z79" s="1190"/>
      <c r="AA79" s="1190"/>
      <c r="AB79" s="1190"/>
      <c r="AC79" s="1190"/>
    </row>
    <row r="80" spans="18:29">
      <c r="R80" s="1190"/>
      <c r="S80" s="1190"/>
      <c r="T80" s="1190"/>
      <c r="U80" s="1190"/>
      <c r="V80" s="1190"/>
      <c r="W80" s="1190"/>
      <c r="X80" s="1190"/>
      <c r="Y80" s="1190"/>
      <c r="Z80" s="1190"/>
      <c r="AA80" s="1190"/>
      <c r="AB80" s="1190"/>
      <c r="AC80" s="1190"/>
    </row>
    <row r="81" spans="18:29">
      <c r="R81" s="1190"/>
      <c r="S81" s="1190"/>
      <c r="T81" s="1190"/>
      <c r="U81" s="1190"/>
      <c r="V81" s="1190"/>
      <c r="W81" s="1190"/>
      <c r="X81" s="1190"/>
      <c r="Y81" s="1190"/>
      <c r="Z81" s="1190"/>
      <c r="AA81" s="1190"/>
      <c r="AB81" s="1190"/>
      <c r="AC81" s="1190"/>
    </row>
    <row r="82" spans="18:29">
      <c r="R82" s="1190"/>
      <c r="S82" s="1190"/>
      <c r="T82" s="1190"/>
      <c r="U82" s="1190"/>
      <c r="V82" s="1190"/>
      <c r="W82" s="1190"/>
      <c r="X82" s="1190"/>
      <c r="Y82" s="1190"/>
      <c r="Z82" s="1190"/>
      <c r="AA82" s="1190"/>
      <c r="AB82" s="1190"/>
      <c r="AC82" s="1190"/>
    </row>
    <row r="83" spans="18:29">
      <c r="R83" s="1190"/>
      <c r="S83" s="1190"/>
      <c r="T83" s="1190"/>
      <c r="U83" s="1190"/>
      <c r="V83" s="1190"/>
      <c r="W83" s="1190"/>
      <c r="X83" s="1190"/>
      <c r="Y83" s="1190"/>
      <c r="Z83" s="1190"/>
      <c r="AA83" s="1190"/>
      <c r="AB83" s="1190"/>
      <c r="AC83" s="1190"/>
    </row>
    <row r="84" spans="18:29">
      <c r="R84" s="1190"/>
      <c r="S84" s="1190"/>
      <c r="T84" s="1190"/>
      <c r="U84" s="1190"/>
      <c r="V84" s="1190"/>
      <c r="W84" s="1190"/>
      <c r="X84" s="1190"/>
      <c r="Y84" s="1190"/>
      <c r="Z84" s="1190"/>
      <c r="AA84" s="1190"/>
      <c r="AB84" s="1190"/>
      <c r="AC84" s="1190"/>
    </row>
    <row r="85" spans="18:29">
      <c r="R85" s="1190"/>
      <c r="S85" s="1190"/>
      <c r="T85" s="1190"/>
      <c r="U85" s="1190"/>
      <c r="V85" s="1190"/>
      <c r="W85" s="1190"/>
      <c r="X85" s="1190"/>
      <c r="Y85" s="1190"/>
      <c r="Z85" s="1190"/>
      <c r="AA85" s="1190"/>
      <c r="AB85" s="1190"/>
      <c r="AC85" s="1190"/>
    </row>
    <row r="86" spans="18:29">
      <c r="R86" s="1190"/>
      <c r="S86" s="1190"/>
      <c r="T86" s="1190"/>
      <c r="U86" s="1190"/>
      <c r="V86" s="1190"/>
      <c r="W86" s="1190"/>
      <c r="X86" s="1190"/>
      <c r="Y86" s="1190"/>
      <c r="Z86" s="1190"/>
      <c r="AA86" s="1190"/>
      <c r="AB86" s="1190"/>
      <c r="AC86" s="1190"/>
    </row>
    <row r="87" spans="18:29" s="44" customFormat="1">
      <c r="R87" s="1190"/>
      <c r="S87" s="1190"/>
      <c r="T87" s="1190"/>
      <c r="U87" s="1190"/>
      <c r="V87" s="1190"/>
      <c r="W87" s="1190"/>
      <c r="X87" s="1190"/>
      <c r="Y87" s="1190"/>
      <c r="Z87" s="1190"/>
      <c r="AA87" s="1190"/>
      <c r="AB87" s="1190"/>
      <c r="AC87" s="1190"/>
    </row>
    <row r="88" spans="18:29" s="44" customFormat="1">
      <c r="R88" s="1190"/>
      <c r="S88" s="1190"/>
      <c r="T88" s="1190"/>
      <c r="U88" s="1190"/>
      <c r="V88" s="1190"/>
      <c r="W88" s="1190"/>
      <c r="X88" s="1190"/>
      <c r="Y88" s="1190"/>
      <c r="Z88" s="1190"/>
      <c r="AA88" s="1190"/>
      <c r="AB88" s="1190"/>
      <c r="AC88" s="1190"/>
    </row>
    <row r="89" spans="18:29" s="44" customFormat="1">
      <c r="R89" s="1190"/>
      <c r="S89" s="1190"/>
      <c r="T89" s="1190"/>
      <c r="U89" s="1190"/>
      <c r="V89" s="1190"/>
      <c r="W89" s="1190"/>
      <c r="X89" s="1190"/>
      <c r="Y89" s="1190"/>
      <c r="Z89" s="1190"/>
      <c r="AA89" s="1190"/>
      <c r="AB89" s="1190"/>
      <c r="AC89" s="1190"/>
    </row>
    <row r="90" spans="18:29" s="44" customFormat="1">
      <c r="R90"/>
      <c r="S90"/>
      <c r="T90"/>
      <c r="U90"/>
      <c r="V90"/>
      <c r="W90"/>
      <c r="X90"/>
      <c r="Y90"/>
      <c r="Z90"/>
      <c r="AA90"/>
      <c r="AB90"/>
      <c r="AC90"/>
    </row>
    <row r="91" spans="18:29" s="44" customFormat="1">
      <c r="R91"/>
      <c r="S91"/>
      <c r="T91"/>
      <c r="U91"/>
      <c r="V91"/>
      <c r="W91"/>
      <c r="X91"/>
      <c r="Y91"/>
      <c r="Z91"/>
      <c r="AA91"/>
      <c r="AB91"/>
      <c r="AC91"/>
    </row>
    <row r="92" spans="18:29" s="44" customFormat="1">
      <c r="R92"/>
      <c r="S92"/>
      <c r="T92"/>
      <c r="U92"/>
      <c r="V92"/>
      <c r="W92"/>
      <c r="X92"/>
      <c r="Y92"/>
      <c r="Z92"/>
      <c r="AA92"/>
      <c r="AB92"/>
      <c r="AC92"/>
    </row>
    <row r="93" spans="18:29" s="44" customFormat="1">
      <c r="R93"/>
      <c r="S93"/>
      <c r="T93"/>
      <c r="U93"/>
      <c r="V93"/>
      <c r="W93"/>
      <c r="X93"/>
      <c r="Y93"/>
      <c r="Z93"/>
      <c r="AA93"/>
      <c r="AB93"/>
      <c r="AC93"/>
    </row>
    <row r="94" spans="18:29" s="44" customFormat="1">
      <c r="R94"/>
      <c r="S94"/>
      <c r="T94"/>
      <c r="U94"/>
      <c r="V94"/>
      <c r="W94"/>
      <c r="X94"/>
      <c r="Y94"/>
      <c r="Z94"/>
      <c r="AA94"/>
      <c r="AB94"/>
      <c r="AC94"/>
    </row>
    <row r="107" spans="19:19">
      <c r="S107">
        <v>22000</v>
      </c>
    </row>
    <row r="108" spans="19:19">
      <c r="S108">
        <v>30000</v>
      </c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27" name="Range1_65_32_32_30_30_30_30_30_30_30_30_30"/>
    <protectedRange algorithmName="SHA-512" hashValue="XYWjC+iAz2ErgjMh7TSLHlxfTfK0uVcITDFdCCZFdnsWWbUNnsQqu9AM+0WFXQpYcy9ZvQx2KUXfpLhpOROHkg==" saltValue="47TiGLG0rJVTo3iAJH8T4w==" spinCount="100000" sqref="B22:D27" name="Range2_5_2_2_2_2_2_2_2_2_2_2_2"/>
    <protectedRange algorithmName="SHA-512" hashValue="24Yg3M703G5L8OyJWxlkx8c1Gwfrkael5W/l3TUk/Rcz5tR8QOgCx5v0Ebb/UGz+9BDKPJ5wV4hH8uuxvmtGIw==" saltValue="ZSJQ8EEnwGxsiYzxIw6K0Q==" spinCount="100000" sqref="B20:D27" name="Range1_65_32_2_2_2_2_2_2_2_2_2_2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2:S14 S20:S22">
    <cfRule type="duplicateValues" dxfId="31" priority="33"/>
  </conditionalFormatting>
  <conditionalFormatting sqref="S6:S9">
    <cfRule type="duplicateValues" dxfId="30" priority="2"/>
  </conditionalFormatting>
  <conditionalFormatting sqref="S11:S14">
    <cfRule type="duplicateValues" dxfId="29" priority="3"/>
  </conditionalFormatting>
  <conditionalFormatting sqref="S15:S19">
    <cfRule type="duplicateValues" dxfId="28" priority="30"/>
  </conditionalFormatting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621E-678C-472C-808F-0C0621D5BC39}">
  <dimension ref="A1:AG161"/>
  <sheetViews>
    <sheetView showGridLines="0" topLeftCell="U13" zoomScale="55" zoomScaleNormal="55" workbookViewId="0">
      <selection activeCell="V14" sqref="V14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6.88671875" bestFit="1" customWidth="1"/>
    <col min="21" max="21" width="30.6640625" bestFit="1" customWidth="1"/>
    <col min="22" max="22" width="44" customWidth="1"/>
    <col min="23" max="23" width="26.6640625" bestFit="1" customWidth="1"/>
    <col min="24" max="24" width="17.109375" bestFit="1" customWidth="1"/>
    <col min="25" max="25" width="17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bestFit="1" customWidth="1"/>
    <col min="30" max="31" width="9.109375" bestFit="1" customWidth="1"/>
  </cols>
  <sheetData>
    <row r="1" spans="1:33" ht="17.399999999999999">
      <c r="A1" s="1211" t="s">
        <v>594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33" s="1242" customFormat="1" ht="17.399999999999999">
      <c r="A2" s="762" t="s">
        <v>595</v>
      </c>
      <c r="B2" s="733"/>
      <c r="C2" s="733"/>
      <c r="D2" s="733"/>
      <c r="E2" s="735"/>
      <c r="F2" s="1536" t="s">
        <v>596</v>
      </c>
      <c r="G2" s="1536"/>
      <c r="H2" s="1536"/>
      <c r="I2" s="742"/>
      <c r="J2" s="1525" t="s">
        <v>597</v>
      </c>
      <c r="K2" s="1525"/>
      <c r="L2" s="1525"/>
      <c r="M2" s="735"/>
      <c r="N2" s="1535"/>
      <c r="O2" s="1535"/>
      <c r="P2" s="1535"/>
      <c r="R2" s="1173" t="s">
        <v>452</v>
      </c>
      <c r="S2" s="1167">
        <v>3331561348</v>
      </c>
      <c r="T2" s="1182" t="s">
        <v>453</v>
      </c>
      <c r="U2" s="1182">
        <v>24141547</v>
      </c>
      <c r="V2" s="1182" t="s">
        <v>425</v>
      </c>
      <c r="W2" s="1182"/>
      <c r="X2" s="1239">
        <v>24040.633000000002</v>
      </c>
      <c r="Y2" s="1167" t="s">
        <v>426</v>
      </c>
      <c r="Z2" s="1182">
        <v>1</v>
      </c>
      <c r="AA2" s="1182">
        <v>1</v>
      </c>
      <c r="AB2" s="1099" t="s">
        <v>207</v>
      </c>
      <c r="AC2" s="240"/>
      <c r="AD2" s="1243"/>
      <c r="AE2" s="1243"/>
      <c r="AF2" s="1243"/>
      <c r="AG2" s="1243"/>
    </row>
    <row r="3" spans="1:33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3" t="s">
        <v>452</v>
      </c>
      <c r="S3" s="1167">
        <v>3331561351</v>
      </c>
      <c r="T3" s="1182" t="s">
        <v>453</v>
      </c>
      <c r="U3" s="1182">
        <v>24141548</v>
      </c>
      <c r="V3" s="1182" t="s">
        <v>425</v>
      </c>
      <c r="W3" s="1182"/>
      <c r="X3" s="1169">
        <v>23997.627</v>
      </c>
      <c r="Y3" s="1167" t="s">
        <v>426</v>
      </c>
      <c r="Z3" s="1182">
        <v>1</v>
      </c>
      <c r="AA3" s="1182">
        <v>1</v>
      </c>
      <c r="AB3" s="1099" t="s">
        <v>207</v>
      </c>
      <c r="AC3" s="240"/>
      <c r="AD3" s="44"/>
      <c r="AE3" s="44"/>
      <c r="AF3" s="44"/>
      <c r="AG3" s="44"/>
    </row>
    <row r="4" spans="1:33" ht="23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3" t="s">
        <v>452</v>
      </c>
      <c r="S4" s="1167">
        <v>3331561359</v>
      </c>
      <c r="T4" s="1182" t="s">
        <v>453</v>
      </c>
      <c r="U4" s="1182">
        <v>24141549</v>
      </c>
      <c r="V4" s="1182" t="s">
        <v>425</v>
      </c>
      <c r="W4" s="1182"/>
      <c r="X4" s="1169">
        <v>23997.627</v>
      </c>
      <c r="Y4" s="1167" t="s">
        <v>426</v>
      </c>
      <c r="Z4" s="1182">
        <v>1</v>
      </c>
      <c r="AA4" s="1182">
        <v>1</v>
      </c>
      <c r="AB4" s="1099" t="s">
        <v>207</v>
      </c>
      <c r="AC4" s="240"/>
      <c r="AD4" s="44"/>
      <c r="AE4" s="44"/>
      <c r="AF4" s="44"/>
      <c r="AG4" s="44"/>
    </row>
    <row r="5" spans="1:33" ht="18">
      <c r="A5" s="746" t="s">
        <v>427</v>
      </c>
      <c r="B5" s="747" cm="1">
        <f t="array" ref="B5">SUMPRODUCT(--ISNUMBER(MATCH(TRIM(W1:W313), {"JABODETABEK","JAWA TENGAH","JAWA TIMUR","LUAR PULAU"}, 0)))</f>
        <v>51</v>
      </c>
      <c r="C5" s="747" cm="1">
        <f t="array" ref="C5">SUMPRODUCT(--(LOWER(TRIM(AB1:AB339))="masuk"), --(ISNUMBER(MATCH(TRIM(W1:W339), {"JABODETABEK","JAWA TENGAH","JAWA TIMUR","LUAR PULAU"}, 0))))</f>
        <v>49</v>
      </c>
      <c r="D5" s="740">
        <f>C5+-B5</f>
        <v>-2</v>
      </c>
      <c r="E5" s="734"/>
      <c r="F5" s="748" cm="1">
        <f t="array" ref="F5">SUMPRODUCT(--(LOWER(AC1:AC339)="add"), --(ISNUMBER(MATCH(W1:W339, {"JABODETABEK","JAWA TENGAH","JAWA TIMUR","LUAR PULAU"}, 0))))</f>
        <v>0</v>
      </c>
      <c r="G5" s="747" cm="1">
        <f t="array" ref="G5">SUMPRODUCT(--(LOWER(AB1:AB339)="masuk"), --(LOWER(AC1:AC339)="add"))</f>
        <v>0</v>
      </c>
      <c r="H5" s="740">
        <f>G5+-F5</f>
        <v>0</v>
      </c>
      <c r="I5" s="734"/>
      <c r="J5" s="748" cm="1">
        <f t="array" ref="J5">SUMPRODUCT(--(ISNUMBER(SEARCH("next day",LOWER(W1:W339)))+ISNUMBER(SEARCH("nextday",LOWER(W1:W339)))&gt; 0))</f>
        <v>8</v>
      </c>
      <c r="K5" s="747" cm="1">
        <f t="array" ref="K5">SUMPRODUCT(--(LOWER(AB1:AB339)="masuk"), --ISNUMBER(SEARCH("next day", LOWER(W1:W339))))</f>
        <v>8</v>
      </c>
      <c r="L5" s="740">
        <f>K5+-J5</f>
        <v>0</v>
      </c>
      <c r="M5" s="734"/>
      <c r="N5" s="748">
        <f>B5+F5+J5</f>
        <v>59</v>
      </c>
      <c r="O5" s="747">
        <f>C5+G5+K5</f>
        <v>57</v>
      </c>
      <c r="P5" s="740">
        <f>D5+H5+L5</f>
        <v>-2</v>
      </c>
      <c r="R5" s="1173" t="s">
        <v>452</v>
      </c>
      <c r="S5" s="1167">
        <v>3331561361</v>
      </c>
      <c r="T5" s="1182" t="s">
        <v>453</v>
      </c>
      <c r="U5" s="1182">
        <v>24141550</v>
      </c>
      <c r="V5" s="1182" t="s">
        <v>425</v>
      </c>
      <c r="W5" s="1182"/>
      <c r="X5" s="1169">
        <v>23395.536</v>
      </c>
      <c r="Y5" s="1167" t="s">
        <v>426</v>
      </c>
      <c r="Z5" s="1182">
        <v>1</v>
      </c>
      <c r="AA5" s="1182">
        <v>1</v>
      </c>
      <c r="AB5" s="1099" t="s">
        <v>207</v>
      </c>
      <c r="AC5" s="240"/>
      <c r="AD5" s="44"/>
      <c r="AE5" s="44"/>
      <c r="AF5" s="44"/>
      <c r="AG5" s="44"/>
    </row>
    <row r="6" spans="1:33" ht="17.399999999999999">
      <c r="A6" s="733"/>
      <c r="B6" s="733">
        <f>SUM(B5)</f>
        <v>51</v>
      </c>
      <c r="C6" s="733">
        <f>SUM(C5)</f>
        <v>49</v>
      </c>
      <c r="D6" s="739">
        <f>SUM(D5)</f>
        <v>-2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8</v>
      </c>
      <c r="K6" s="733">
        <f>SUM(K5)</f>
        <v>8</v>
      </c>
      <c r="L6" s="739">
        <f>SUM(L5)</f>
        <v>0</v>
      </c>
      <c r="M6" s="733"/>
      <c r="N6" s="760">
        <f>SUM(N5:N5)</f>
        <v>59</v>
      </c>
      <c r="O6" s="760">
        <f>SUM(O5:O5)</f>
        <v>57</v>
      </c>
      <c r="P6" s="761">
        <f>SUM(P5:P5)</f>
        <v>-2</v>
      </c>
      <c r="R6" s="1173" t="s">
        <v>454</v>
      </c>
      <c r="S6" s="1167">
        <v>3331560970</v>
      </c>
      <c r="T6" s="1182" t="s">
        <v>453</v>
      </c>
      <c r="U6" s="1167">
        <v>24141505</v>
      </c>
      <c r="V6" s="1182" t="s">
        <v>425</v>
      </c>
      <c r="W6" s="1182"/>
      <c r="X6" s="1169">
        <v>22191.353999999999</v>
      </c>
      <c r="Y6" s="1167" t="s">
        <v>426</v>
      </c>
      <c r="Z6" s="1182">
        <v>1</v>
      </c>
      <c r="AA6" s="1182">
        <v>1</v>
      </c>
      <c r="AB6" s="1099" t="s">
        <v>207</v>
      </c>
      <c r="AC6" s="240"/>
      <c r="AD6" s="44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3" t="s">
        <v>454</v>
      </c>
      <c r="S7" s="1167">
        <v>3331560972</v>
      </c>
      <c r="T7" s="1182" t="s">
        <v>453</v>
      </c>
      <c r="U7" s="1167">
        <v>24141506</v>
      </c>
      <c r="V7" s="1182" t="s">
        <v>425</v>
      </c>
      <c r="W7" s="1182"/>
      <c r="X7" s="1169">
        <v>22191.353999999999</v>
      </c>
      <c r="Y7" s="1167" t="s">
        <v>426</v>
      </c>
      <c r="Z7" s="1182">
        <v>1</v>
      </c>
      <c r="AA7" s="1182">
        <v>1</v>
      </c>
      <c r="AB7" s="1099" t="s">
        <v>207</v>
      </c>
      <c r="AC7" s="240"/>
      <c r="AD7" s="44"/>
      <c r="AE7" s="44"/>
      <c r="AF7" s="44"/>
      <c r="AG7" s="44"/>
    </row>
    <row r="8" spans="1:33" ht="17.399999999999999">
      <c r="A8" s="763" t="str">
        <f>A1</f>
        <v>Plan tgl 15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3" t="s">
        <v>454</v>
      </c>
      <c r="S8" s="1167">
        <v>3331560973</v>
      </c>
      <c r="T8" s="1182" t="s">
        <v>453</v>
      </c>
      <c r="U8" s="1167">
        <v>24141507</v>
      </c>
      <c r="V8" s="1182" t="s">
        <v>425</v>
      </c>
      <c r="W8" s="1182"/>
      <c r="X8" s="1169">
        <v>22191.353999999999</v>
      </c>
      <c r="Y8" s="1167" t="s">
        <v>426</v>
      </c>
      <c r="Z8" s="1182">
        <v>1</v>
      </c>
      <c r="AA8" s="1182">
        <v>1</v>
      </c>
      <c r="AB8" s="1099" t="s">
        <v>207</v>
      </c>
      <c r="AC8" s="240"/>
      <c r="AD8" s="44"/>
      <c r="AE8" s="44"/>
      <c r="AF8" s="44"/>
      <c r="AG8" s="44"/>
    </row>
    <row r="9" spans="1:33" ht="18">
      <c r="A9" s="763" t="str">
        <f>A2</f>
        <v>Realz update 16 OKT’25 jam 07.00</v>
      </c>
      <c r="B9" s="825"/>
      <c r="C9" s="825"/>
      <c r="D9" s="825"/>
      <c r="E9" s="734"/>
      <c r="F9" s="1525" t="str">
        <f>F2</f>
        <v>Tgl 15 OKT’25 diatas jam 15.00</v>
      </c>
      <c r="G9" s="1525"/>
      <c r="H9" s="1525"/>
      <c r="I9" s="826"/>
      <c r="J9" s="1525" t="str">
        <f>J2</f>
        <v>Tgl 15 OKT’25</v>
      </c>
      <c r="K9" s="1525"/>
      <c r="L9" s="1525"/>
      <c r="M9" s="734"/>
      <c r="N9" s="1526"/>
      <c r="O9" s="1526"/>
      <c r="P9" s="1526"/>
      <c r="R9" s="1173" t="s">
        <v>454</v>
      </c>
      <c r="S9" s="1167">
        <v>3331561023</v>
      </c>
      <c r="T9" s="1182" t="s">
        <v>453</v>
      </c>
      <c r="U9" s="1167">
        <v>24141513</v>
      </c>
      <c r="V9" s="1182" t="s">
        <v>425</v>
      </c>
      <c r="W9" s="1182"/>
      <c r="X9" s="1169">
        <v>22147.09</v>
      </c>
      <c r="Y9" s="1167" t="s">
        <v>426</v>
      </c>
      <c r="Z9" s="1182">
        <v>1</v>
      </c>
      <c r="AA9" s="1182">
        <v>1</v>
      </c>
      <c r="AB9" s="1099" t="s">
        <v>207</v>
      </c>
      <c r="AC9" s="240"/>
      <c r="AD9" s="44"/>
      <c r="AE9" s="44"/>
      <c r="AF9" s="44"/>
      <c r="AG9" s="44"/>
    </row>
    <row r="10" spans="1:33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72" t="s">
        <v>454</v>
      </c>
      <c r="S10" s="1163">
        <v>3331560967</v>
      </c>
      <c r="T10" s="1207" t="s">
        <v>453</v>
      </c>
      <c r="U10" s="1163">
        <v>24141504</v>
      </c>
      <c r="V10" s="1163" t="s">
        <v>429</v>
      </c>
      <c r="W10" s="1207" t="s">
        <v>362</v>
      </c>
      <c r="X10" s="1168">
        <v>22873.924999999999</v>
      </c>
      <c r="Y10" s="1163" t="s">
        <v>426</v>
      </c>
      <c r="Z10" s="1207">
        <v>1</v>
      </c>
      <c r="AA10" s="1207">
        <v>1</v>
      </c>
      <c r="AB10" s="1067" t="s">
        <v>204</v>
      </c>
      <c r="AC10" s="269"/>
      <c r="AD10" s="44"/>
      <c r="AE10" s="44"/>
      <c r="AF10" s="44"/>
      <c r="AG10" s="44"/>
    </row>
    <row r="11" spans="1:33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2" t="s">
        <v>454</v>
      </c>
      <c r="S11" s="1163">
        <v>3331561005</v>
      </c>
      <c r="T11" s="1207" t="s">
        <v>453</v>
      </c>
      <c r="U11" s="1163">
        <v>24141508</v>
      </c>
      <c r="V11" s="1163" t="s">
        <v>429</v>
      </c>
      <c r="W11" s="1207" t="s">
        <v>362</v>
      </c>
      <c r="X11" s="1168">
        <v>22862.928</v>
      </c>
      <c r="Y11" s="1163" t="s">
        <v>426</v>
      </c>
      <c r="Z11" s="1207">
        <v>1</v>
      </c>
      <c r="AA11" s="1207">
        <v>1</v>
      </c>
      <c r="AB11" s="1067" t="s">
        <v>204</v>
      </c>
      <c r="AC11" s="269"/>
      <c r="AD11" s="44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SUMPRODUCT(--(TRIM(LOWER(W1:W339))="jabodetabek"))</f>
        <v>28</v>
      </c>
      <c r="C12" s="748" cm="1">
        <f t="array" ref="C12">SUMPRODUCT(--(LOWER(AB1:AB339)="masuk"), --(TRIM(LOWER(W1:W339))="jabodetabek"))</f>
        <v>28</v>
      </c>
      <c r="D12" s="973">
        <f>C12+-B12</f>
        <v>0</v>
      </c>
      <c r="E12" s="734"/>
      <c r="F12" s="748" cm="1">
        <f t="array" ref="F12">SUMPRODUCT(--(LOWER(AC1:AC339)="add"), --(TRIM(LOWER(W1:W339))="jabodetabek"))</f>
        <v>0</v>
      </c>
      <c r="G12" s="747" cm="1">
        <f t="array" ref="G12">SUMPRODUCT(--(LOWER(AB1:AB339)="masuk"), --(LOWER(AC1:AC339)="add"), --(TRIM(LOWER(W1:W339))="jabodetabek"))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day",LOWER(W1:W339)))+ISNUMBER(SEARCH("jabodetabek nextday",LOWER(W1:W339)))&gt; 0))</f>
        <v>8</v>
      </c>
      <c r="K12" s="747" cm="1">
        <f t="array" ref="K12">SUMPRODUCT(--(LOWER(AB1:AB339)="masuk"), --(LOWER(TRIM(W1:W339))="jabodetabek next day"))</f>
        <v>8</v>
      </c>
      <c r="L12" s="740">
        <f>K12+-J12</f>
        <v>0</v>
      </c>
      <c r="M12" s="734"/>
      <c r="N12" s="748">
        <f t="shared" ref="N12:P16" si="0">B12+F12+J12</f>
        <v>36</v>
      </c>
      <c r="O12" s="747">
        <f t="shared" si="0"/>
        <v>36</v>
      </c>
      <c r="P12" s="740">
        <f t="shared" si="0"/>
        <v>0</v>
      </c>
      <c r="R12" s="1172" t="s">
        <v>454</v>
      </c>
      <c r="S12" s="1163">
        <v>3331561008</v>
      </c>
      <c r="T12" s="1207" t="s">
        <v>453</v>
      </c>
      <c r="U12" s="1163">
        <v>24141509</v>
      </c>
      <c r="V12" s="1163" t="s">
        <v>429</v>
      </c>
      <c r="W12" s="1207" t="s">
        <v>362</v>
      </c>
      <c r="X12" s="1168">
        <v>22862.928</v>
      </c>
      <c r="Y12" s="1163" t="s">
        <v>426</v>
      </c>
      <c r="Z12" s="1207">
        <v>1</v>
      </c>
      <c r="AA12" s="1207">
        <v>1</v>
      </c>
      <c r="AB12" s="1067" t="s">
        <v>204</v>
      </c>
      <c r="AC12" s="269"/>
      <c r="AD12" s="44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SUMPRODUCT(--(TRIM(LOWER(W1:W339))="jawa tengah"))</f>
        <v>1</v>
      </c>
      <c r="C13" s="750" cm="1">
        <f t="array" ref="C13">SUMPRODUCT(--(LOWER(AB1:AB339)="masuk"), --(TRIM(LOWER(W1:W339))="jawa tengah"))</f>
        <v>1</v>
      </c>
      <c r="D13" s="846">
        <f>C13+-B13</f>
        <v>0</v>
      </c>
      <c r="E13" s="734"/>
      <c r="F13" s="751" cm="1">
        <f t="array" ref="F13">SUMPRODUCT(--(LOWER(AC1:AC339)="add"), --(TRIM(LOWER(W1:W339))="jawa tengah"))</f>
        <v>0</v>
      </c>
      <c r="G13" s="747" cm="1">
        <f t="array" ref="G13">SUMPRODUCT(--(LOWER(AB1:AB339)="masuk"), --(LOWER(AC1:AC339)="add"), --(TRIM(LOWER(W1:W339))="jawa tengah"))</f>
        <v>0</v>
      </c>
      <c r="H13" s="740">
        <f>G13+-F13</f>
        <v>0</v>
      </c>
      <c r="I13" s="734"/>
      <c r="J13" s="748" cm="1">
        <f t="array" ref="J13">SUMPRODUCT(--((LOWER(TRIM(W1:W339))="jawa tengah next day")+(LOWER(TRIM(W1:W339))="jawa tengah nextday")))</f>
        <v>0</v>
      </c>
      <c r="K13" s="747" cm="1">
        <f t="array" ref="K13">SUMPRODUCT(--(LOWER(AB1:AB339)="masuk"), --(LOWER(TRIM(W1:W339))="jawa tengah next day"))</f>
        <v>0</v>
      </c>
      <c r="L13" s="740">
        <f>K13+-J13</f>
        <v>0</v>
      </c>
      <c r="M13" s="734"/>
      <c r="N13" s="748">
        <f t="shared" si="0"/>
        <v>1</v>
      </c>
      <c r="O13" s="747">
        <f t="shared" si="0"/>
        <v>1</v>
      </c>
      <c r="P13" s="740">
        <f t="shared" si="0"/>
        <v>0</v>
      </c>
      <c r="R13" s="1172" t="s">
        <v>454</v>
      </c>
      <c r="S13" s="1163">
        <v>3331561011</v>
      </c>
      <c r="T13" s="1207" t="s">
        <v>453</v>
      </c>
      <c r="U13" s="1163">
        <v>24141510</v>
      </c>
      <c r="V13" s="1163" t="s">
        <v>429</v>
      </c>
      <c r="W13" s="1207" t="s">
        <v>362</v>
      </c>
      <c r="X13" s="1168">
        <f>11800.38+11085.056</f>
        <v>22885.436000000002</v>
      </c>
      <c r="Y13" s="1163" t="s">
        <v>426</v>
      </c>
      <c r="Z13" s="1207">
        <v>1</v>
      </c>
      <c r="AA13" s="1207">
        <v>1</v>
      </c>
      <c r="AB13" s="1067" t="s">
        <v>204</v>
      </c>
      <c r="AC13" s="269"/>
      <c r="AD13" s="44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SUMPRODUCT(--(TRIM(LOWER(W1:W339))="jawa timur"))</f>
        <v>6</v>
      </c>
      <c r="C14" s="750" cm="1">
        <f t="array" ref="C14">SUMPRODUCT(--(LOWER(AB1:AB339)="masuk"), --(TRIM(LOWER(W1:W339))="jawa timur"))</f>
        <v>6</v>
      </c>
      <c r="D14" s="846">
        <f>C14+-B14</f>
        <v>0</v>
      </c>
      <c r="E14" s="734"/>
      <c r="F14" s="750" cm="1">
        <f t="array" ref="F14">SUMPRODUCT(--(LOWER(AC1:AC339)="add"), --(TRIM(LOWER(W1:W339))="jawa timur"))</f>
        <v>0</v>
      </c>
      <c r="G14" s="747" cm="1">
        <f t="array" ref="G14">SUMPRODUCT(--(LOWER(AB1:AB339)="masuk"), --(LOWER(AC1:AC339)="add"), --(TRIM(LOWER(W1:W339))="jawa timur"))</f>
        <v>0</v>
      </c>
      <c r="H14" s="740">
        <f>G14+-F14</f>
        <v>0</v>
      </c>
      <c r="I14" s="734"/>
      <c r="J14" s="748" cm="1">
        <f t="array" ref="J14">SUMPRODUCT(--((LOWER(TRIM(W1:W339))="jawa timur next day")+(LOWER(TRIM(W1:W339))="jawa timur nextday")))</f>
        <v>0</v>
      </c>
      <c r="K14" s="747" cm="1">
        <f t="array" ref="K14">SUMPRODUCT(--(LOWER(AB1:AB339)="masuk"), --(LOWER(TRIM(W1:W339))="jawa timur next day"))</f>
        <v>0</v>
      </c>
      <c r="L14" s="740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1172" t="s">
        <v>454</v>
      </c>
      <c r="S14" s="1163">
        <v>3331561016</v>
      </c>
      <c r="T14" s="1207" t="s">
        <v>256</v>
      </c>
      <c r="U14" s="1163" t="s">
        <v>256</v>
      </c>
      <c r="V14" s="1163" t="s">
        <v>256</v>
      </c>
      <c r="W14" s="1207" t="s">
        <v>256</v>
      </c>
      <c r="X14" s="1168" t="s">
        <v>256</v>
      </c>
      <c r="Y14" s="1163" t="s">
        <v>256</v>
      </c>
      <c r="Z14" s="1207" t="s">
        <v>256</v>
      </c>
      <c r="AA14" s="1207" t="s">
        <v>256</v>
      </c>
      <c r="AB14" s="1067" t="s">
        <v>256</v>
      </c>
      <c r="AC14" s="269"/>
      <c r="AD14" s="44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SUMPRODUCT(--(TRIM(LOWER(W1:W339))="luar pulau"))</f>
        <v>16</v>
      </c>
      <c r="C15" s="750" cm="1">
        <f t="array" ref="C15">SUMPRODUCT(--(LOWER(AB1:AB339)="masuk"), --(TRIM(LOWER(W1:W339))="luar pulau"))</f>
        <v>14</v>
      </c>
      <c r="D15" s="846">
        <f>C15+-B15</f>
        <v>-2</v>
      </c>
      <c r="E15" s="734"/>
      <c r="F15" s="748" cm="1">
        <f t="array" ref="F15">SUMPRODUCT(--(LOWER(AC1:AC339)="add"), --(TRIM(LOWER(W1:W339))="luar pulau"))</f>
        <v>0</v>
      </c>
      <c r="G15" s="747" cm="1">
        <f t="array" ref="G15">SUMPRODUCT(--(LOWER(AB1:AB339)="masuk"), --(LOWER(AC1:AC339)="add"), --(TRIM(LOWER(W1:W339))="luar pulau"))</f>
        <v>0</v>
      </c>
      <c r="H15" s="740">
        <f>G15+-F15</f>
        <v>0</v>
      </c>
      <c r="I15" s="734"/>
      <c r="J15" s="748" cm="1">
        <f t="array" ref="J15">SUMPRODUCT(--((LOWER(TRIM(W1:W339))="luar pulau next day")+(LOWER(TRIM(W1:W339))="luar pulau nextday")))</f>
        <v>0</v>
      </c>
      <c r="K15" s="747" cm="1">
        <f t="array" ref="K15">SUMPRODUCT(--(LOWER(AB1:AB339)="masuk"), --(LOWER(TRIM(W1:W339))="luar pulau next day"))</f>
        <v>0</v>
      </c>
      <c r="L15" s="740">
        <f>K15+-J15</f>
        <v>0</v>
      </c>
      <c r="M15" s="734"/>
      <c r="N15" s="748">
        <f t="shared" si="0"/>
        <v>16</v>
      </c>
      <c r="O15" s="747">
        <f t="shared" si="0"/>
        <v>14</v>
      </c>
      <c r="P15" s="740">
        <f t="shared" si="0"/>
        <v>-2</v>
      </c>
      <c r="R15" s="1172" t="s">
        <v>454</v>
      </c>
      <c r="S15" s="1163">
        <v>3331561021</v>
      </c>
      <c r="T15" s="1207" t="s">
        <v>453</v>
      </c>
      <c r="U15" s="1163">
        <v>24141511</v>
      </c>
      <c r="V15" s="1163" t="s">
        <v>429</v>
      </c>
      <c r="W15" s="1207" t="s">
        <v>362</v>
      </c>
      <c r="X15" s="1168">
        <v>22191.352999999999</v>
      </c>
      <c r="Y15" s="1163" t="s">
        <v>426</v>
      </c>
      <c r="Z15" s="1207">
        <v>1</v>
      </c>
      <c r="AA15" s="1207">
        <v>1</v>
      </c>
      <c r="AB15" s="1067" t="s">
        <v>204</v>
      </c>
      <c r="AC15" s="269"/>
      <c r="AD15" s="44"/>
      <c r="AE15" s="44"/>
      <c r="AF15" s="44"/>
      <c r="AG15" s="44"/>
    </row>
    <row r="16" spans="1:33" ht="17.399999999999999">
      <c r="A16" s="827"/>
      <c r="B16" s="733">
        <f>SUM(B12:B15)</f>
        <v>51</v>
      </c>
      <c r="C16" s="733">
        <f>SUM(C12:C15)</f>
        <v>49</v>
      </c>
      <c r="D16" s="739">
        <f>SUM(D12:D15)</f>
        <v>-2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8</v>
      </c>
      <c r="K16" s="733">
        <f>SUM(K12:K15)</f>
        <v>8</v>
      </c>
      <c r="L16" s="739">
        <f>SUM(L12:L15)</f>
        <v>0</v>
      </c>
      <c r="M16" s="734"/>
      <c r="N16" s="760">
        <f t="shared" si="0"/>
        <v>59</v>
      </c>
      <c r="O16" s="760">
        <f t="shared" si="0"/>
        <v>57</v>
      </c>
      <c r="P16" s="761">
        <f t="shared" si="0"/>
        <v>-2</v>
      </c>
      <c r="R16" s="1172" t="s">
        <v>454</v>
      </c>
      <c r="S16" s="1163">
        <v>3331561022</v>
      </c>
      <c r="T16" s="1207" t="s">
        <v>453</v>
      </c>
      <c r="U16" s="1163">
        <v>24141512</v>
      </c>
      <c r="V16" s="1163" t="s">
        <v>429</v>
      </c>
      <c r="W16" s="1207" t="s">
        <v>362</v>
      </c>
      <c r="X16" s="1168">
        <v>22191.353999999999</v>
      </c>
      <c r="Y16" s="1163" t="s">
        <v>426</v>
      </c>
      <c r="Z16" s="1207">
        <v>1</v>
      </c>
      <c r="AA16" s="1207">
        <v>1</v>
      </c>
      <c r="AB16" s="1067" t="s">
        <v>204</v>
      </c>
      <c r="AC16" s="269"/>
      <c r="AD16" s="44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172" t="s">
        <v>455</v>
      </c>
      <c r="S17" s="1163">
        <v>3331561356</v>
      </c>
      <c r="T17" s="1207" t="s">
        <v>453</v>
      </c>
      <c r="U17" s="1163">
        <v>24141551</v>
      </c>
      <c r="V17" s="1163" t="s">
        <v>429</v>
      </c>
      <c r="W17" s="1207" t="s">
        <v>362</v>
      </c>
      <c r="X17" s="1168">
        <v>24771.743999999999</v>
      </c>
      <c r="Y17" s="1163" t="s">
        <v>426</v>
      </c>
      <c r="Z17" s="1207">
        <v>1</v>
      </c>
      <c r="AA17" s="1207">
        <v>1</v>
      </c>
      <c r="AB17" s="1067" t="s">
        <v>204</v>
      </c>
      <c r="AC17" s="240"/>
      <c r="AD17" s="44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173" t="s">
        <v>455</v>
      </c>
      <c r="S18" s="1167">
        <v>3331561360</v>
      </c>
      <c r="T18" s="1182" t="s">
        <v>453</v>
      </c>
      <c r="U18" s="1167">
        <v>24141552</v>
      </c>
      <c r="V18" s="1167" t="s">
        <v>429</v>
      </c>
      <c r="W18" s="1182"/>
      <c r="X18" s="1169">
        <v>24771.743999999999</v>
      </c>
      <c r="Y18" s="1167" t="s">
        <v>426</v>
      </c>
      <c r="Z18" s="1182">
        <v>1</v>
      </c>
      <c r="AA18" s="1182">
        <v>1</v>
      </c>
      <c r="AB18" s="1099" t="s">
        <v>207</v>
      </c>
      <c r="AC18" s="240"/>
      <c r="AD18" s="44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173" t="s">
        <v>455</v>
      </c>
      <c r="S19" s="1167">
        <v>3331561385</v>
      </c>
      <c r="T19" s="1182" t="s">
        <v>453</v>
      </c>
      <c r="U19" s="1167">
        <v>24141553</v>
      </c>
      <c r="V19" s="1167" t="s">
        <v>429</v>
      </c>
      <c r="W19" s="1182"/>
      <c r="X19" s="1169">
        <v>23395.536</v>
      </c>
      <c r="Y19" s="1167" t="s">
        <v>426</v>
      </c>
      <c r="Z19" s="1182">
        <v>1</v>
      </c>
      <c r="AA19" s="1182">
        <v>1</v>
      </c>
      <c r="AB19" s="1099" t="s">
        <v>207</v>
      </c>
      <c r="AC19" s="240"/>
      <c r="AD19" s="44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3" t="s">
        <v>454</v>
      </c>
      <c r="S20" s="1167">
        <v>3331561413</v>
      </c>
      <c r="T20" s="1182" t="s">
        <v>453</v>
      </c>
      <c r="U20" s="1167">
        <v>24141566</v>
      </c>
      <c r="V20" s="1167" t="s">
        <v>429</v>
      </c>
      <c r="W20" s="1182"/>
      <c r="X20" s="1169">
        <v>24601.73</v>
      </c>
      <c r="Y20" s="1167" t="s">
        <v>426</v>
      </c>
      <c r="Z20" s="1182">
        <v>1</v>
      </c>
      <c r="AA20" s="1182">
        <v>1</v>
      </c>
      <c r="AB20" s="1099" t="s">
        <v>207</v>
      </c>
      <c r="AC20" s="240"/>
      <c r="AD20" s="44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3" t="s">
        <v>455</v>
      </c>
      <c r="S21" s="1167">
        <v>3331561418</v>
      </c>
      <c r="T21" s="1182" t="s">
        <v>453</v>
      </c>
      <c r="U21" s="1167">
        <v>24141567</v>
      </c>
      <c r="V21" s="1167" t="s">
        <v>429</v>
      </c>
      <c r="W21" s="1182"/>
      <c r="X21" s="1169">
        <v>24731.504000000001</v>
      </c>
      <c r="Y21" s="1167" t="s">
        <v>426</v>
      </c>
      <c r="Z21" s="1182">
        <v>1</v>
      </c>
      <c r="AA21" s="1182">
        <v>1</v>
      </c>
      <c r="AB21" s="1099" t="s">
        <v>207</v>
      </c>
      <c r="AC21" s="240"/>
      <c r="AD21" s="44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SUMPRODUCT(--((LOWER(TRIM($W$2:$W$346))="ambil sendiri")+(LOWER(TRIM($W$2:$W$346))="cokot sorangan")))</f>
        <v>7</v>
      </c>
      <c r="C22" s="969" cm="1">
        <f t="array" ref="C22">SUMPRODUCT(--(LOWER(AB2:AB372)="masuk"), --((LOWER(TRIM($W$2:$W$372))="cokot sorangan") + (LOWER(TRIM(W2:W372))="ambil sendiri")))</f>
        <v>4</v>
      </c>
      <c r="D22" s="741">
        <f>C22+-B22</f>
        <v>-3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173" t="s">
        <v>455</v>
      </c>
      <c r="S22" s="1167">
        <v>3331561422</v>
      </c>
      <c r="T22" s="1182" t="s">
        <v>453</v>
      </c>
      <c r="U22" s="1167">
        <v>24141568</v>
      </c>
      <c r="V22" s="1167" t="s">
        <v>429</v>
      </c>
      <c r="W22" s="1182"/>
      <c r="X22" s="1169">
        <v>24084.646000000001</v>
      </c>
      <c r="Y22" s="1167" t="s">
        <v>426</v>
      </c>
      <c r="Z22" s="1182">
        <v>1</v>
      </c>
      <c r="AA22" s="1182">
        <v>1</v>
      </c>
      <c r="AB22" s="1099" t="s">
        <v>207</v>
      </c>
      <c r="AC22" s="240"/>
      <c r="AD22" s="44"/>
      <c r="AE22" s="44"/>
      <c r="AF22" s="44"/>
      <c r="AG22" s="44"/>
    </row>
    <row r="23" spans="1:33" ht="17.399999999999999">
      <c r="A23" s="993"/>
      <c r="B23" s="760">
        <f>SUM(B187:B190)</f>
        <v>0</v>
      </c>
      <c r="C23" s="760">
        <f>SUM(C187:C190)</f>
        <v>0</v>
      </c>
      <c r="D23" s="761">
        <f>SUM(D187:D190)</f>
        <v>0</v>
      </c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172" t="s">
        <v>455</v>
      </c>
      <c r="S23" s="1163">
        <v>3331561526</v>
      </c>
      <c r="T23" s="1207" t="s">
        <v>336</v>
      </c>
      <c r="U23" s="1163">
        <v>24141584</v>
      </c>
      <c r="V23" s="1163" t="s">
        <v>529</v>
      </c>
      <c r="W23" s="1163" t="s">
        <v>584</v>
      </c>
      <c r="X23" s="1168">
        <f>11396.723+30706.641</f>
        <v>42103.364000000001</v>
      </c>
      <c r="Y23" s="1163" t="s">
        <v>128</v>
      </c>
      <c r="Z23" s="1207">
        <v>1</v>
      </c>
      <c r="AA23" s="1207">
        <v>1</v>
      </c>
      <c r="AB23" s="1208" t="s">
        <v>204</v>
      </c>
      <c r="AC23" s="240"/>
      <c r="AD23" s="44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172" t="s">
        <v>455</v>
      </c>
      <c r="S24" s="1163">
        <v>3331561532</v>
      </c>
      <c r="T24" s="1207" t="s">
        <v>256</v>
      </c>
      <c r="U24" s="1163" t="s">
        <v>256</v>
      </c>
      <c r="V24" s="1163" t="s">
        <v>256</v>
      </c>
      <c r="W24" s="1163" t="s">
        <v>256</v>
      </c>
      <c r="X24" s="1168" t="s">
        <v>256</v>
      </c>
      <c r="Y24" s="1163" t="s">
        <v>256</v>
      </c>
      <c r="Z24" s="1207" t="s">
        <v>256</v>
      </c>
      <c r="AA24" s="1207" t="s">
        <v>256</v>
      </c>
      <c r="AB24" s="1208" t="s">
        <v>256</v>
      </c>
      <c r="AC24" s="240"/>
      <c r="AD24" s="44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173" t="s">
        <v>452</v>
      </c>
      <c r="S25" s="1167">
        <v>3331561537</v>
      </c>
      <c r="T25" s="1182" t="s">
        <v>336</v>
      </c>
      <c r="U25" s="1167">
        <v>24141585</v>
      </c>
      <c r="V25" s="1167" t="s">
        <v>529</v>
      </c>
      <c r="W25" s="1167" t="s">
        <v>584</v>
      </c>
      <c r="X25" s="1169">
        <v>35723.324999999997</v>
      </c>
      <c r="Y25" s="1167" t="s">
        <v>128</v>
      </c>
      <c r="Z25" s="1182">
        <v>1</v>
      </c>
      <c r="AA25" s="1182">
        <v>1</v>
      </c>
      <c r="AB25" s="1200" t="s">
        <v>207</v>
      </c>
      <c r="AC25" s="240"/>
      <c r="AD25" s="44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173" t="s">
        <v>455</v>
      </c>
      <c r="S26" s="1167">
        <v>3331561538</v>
      </c>
      <c r="T26" s="1182" t="s">
        <v>336</v>
      </c>
      <c r="U26" s="1167">
        <v>24141586</v>
      </c>
      <c r="V26" s="1167" t="s">
        <v>529</v>
      </c>
      <c r="W26" s="1167" t="s">
        <v>584</v>
      </c>
      <c r="X26" s="1169">
        <v>34077.887000000002</v>
      </c>
      <c r="Y26" s="1167" t="s">
        <v>128</v>
      </c>
      <c r="Z26" s="1182">
        <v>1</v>
      </c>
      <c r="AA26" s="1182">
        <v>1</v>
      </c>
      <c r="AB26" s="1200" t="s">
        <v>207</v>
      </c>
      <c r="AC26" s="240"/>
      <c r="AD26" s="44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173" t="s">
        <v>455</v>
      </c>
      <c r="S27" s="1167">
        <v>3331561540</v>
      </c>
      <c r="T27" s="1182" t="s">
        <v>336</v>
      </c>
      <c r="U27" s="1167">
        <v>24141595</v>
      </c>
      <c r="V27" s="1167" t="s">
        <v>529</v>
      </c>
      <c r="W27" s="1167" t="s">
        <v>584</v>
      </c>
      <c r="X27" s="1169">
        <f>4489.275+29228.175+6327.74</f>
        <v>40045.189999999995</v>
      </c>
      <c r="Y27" s="1167" t="s">
        <v>128</v>
      </c>
      <c r="Z27" s="1182">
        <v>1</v>
      </c>
      <c r="AA27" s="1182">
        <v>1</v>
      </c>
      <c r="AB27" s="1200" t="s">
        <v>207</v>
      </c>
      <c r="AC27" s="240"/>
      <c r="AD27" s="44"/>
      <c r="AE27" s="44"/>
      <c r="AF27" s="44"/>
      <c r="AG27" s="44"/>
    </row>
    <row r="28" spans="1:33" ht="17.399999999999999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173" t="s">
        <v>455</v>
      </c>
      <c r="S28" s="1167">
        <v>3331561542</v>
      </c>
      <c r="T28" s="1182" t="s">
        <v>256</v>
      </c>
      <c r="U28" s="1167" t="s">
        <v>256</v>
      </c>
      <c r="V28" s="1167" t="s">
        <v>256</v>
      </c>
      <c r="W28" s="1167" t="s">
        <v>256</v>
      </c>
      <c r="X28" s="1169" t="s">
        <v>256</v>
      </c>
      <c r="Y28" s="1167" t="s">
        <v>256</v>
      </c>
      <c r="Z28" s="1182" t="s">
        <v>256</v>
      </c>
      <c r="AA28" s="1182" t="s">
        <v>256</v>
      </c>
      <c r="AB28" s="1200" t="s">
        <v>256</v>
      </c>
      <c r="AC28" s="240"/>
      <c r="AD28" s="44"/>
      <c r="AE28" s="44"/>
      <c r="AF28" s="44"/>
      <c r="AG28" s="44"/>
    </row>
    <row r="29" spans="1:33" ht="17.399999999999999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173" t="s">
        <v>452</v>
      </c>
      <c r="S29" s="1167">
        <v>3331561678</v>
      </c>
      <c r="T29" s="1182" t="s">
        <v>256</v>
      </c>
      <c r="U29" s="1167" t="s">
        <v>256</v>
      </c>
      <c r="V29" s="1167" t="s">
        <v>256</v>
      </c>
      <c r="W29" s="1167" t="s">
        <v>256</v>
      </c>
      <c r="X29" s="1169" t="s">
        <v>256</v>
      </c>
      <c r="Y29" s="1167" t="s">
        <v>256</v>
      </c>
      <c r="Z29" s="1182" t="s">
        <v>256</v>
      </c>
      <c r="AA29" s="1182" t="s">
        <v>256</v>
      </c>
      <c r="AB29" s="1200" t="s">
        <v>256</v>
      </c>
      <c r="AC29" s="240"/>
      <c r="AD29" s="44"/>
      <c r="AE29" s="44"/>
      <c r="AF29" s="44"/>
      <c r="AG29" s="44"/>
    </row>
    <row r="30" spans="1:33" ht="17.399999999999999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172" t="s">
        <v>463</v>
      </c>
      <c r="S30" s="1163">
        <v>3331561663</v>
      </c>
      <c r="T30" s="1207" t="s">
        <v>439</v>
      </c>
      <c r="U30" s="1163">
        <v>24141588</v>
      </c>
      <c r="V30" s="1163" t="s">
        <v>598</v>
      </c>
      <c r="W30" s="1163" t="s">
        <v>584</v>
      </c>
      <c r="X30" s="1168">
        <v>37157.614999999998</v>
      </c>
      <c r="Y30" s="1163" t="s">
        <v>128</v>
      </c>
      <c r="Z30" s="1207">
        <v>1</v>
      </c>
      <c r="AA30" s="1207">
        <v>1</v>
      </c>
      <c r="AB30" s="1208" t="s">
        <v>204</v>
      </c>
      <c r="AC30" s="240"/>
      <c r="AD30" s="44"/>
      <c r="AE30" s="44"/>
      <c r="AF30" s="44"/>
      <c r="AG30" s="44"/>
    </row>
    <row r="31" spans="1:33" ht="17.399999999999999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172" t="s">
        <v>463</v>
      </c>
      <c r="S31" s="1163">
        <v>3331561668</v>
      </c>
      <c r="T31" s="1207" t="s">
        <v>439</v>
      </c>
      <c r="U31" s="1163">
        <v>24141590</v>
      </c>
      <c r="V31" s="1163" t="s">
        <v>598</v>
      </c>
      <c r="W31" s="1163" t="s">
        <v>584</v>
      </c>
      <c r="X31" s="1168">
        <v>39274.006999999998</v>
      </c>
      <c r="Y31" s="1163" t="s">
        <v>128</v>
      </c>
      <c r="Z31" s="1207">
        <v>1</v>
      </c>
      <c r="AA31" s="1207">
        <v>1</v>
      </c>
      <c r="AB31" s="1208" t="s">
        <v>204</v>
      </c>
      <c r="AC31" s="240"/>
      <c r="AD31" s="44"/>
      <c r="AE31" s="44"/>
      <c r="AF31" s="44"/>
      <c r="AG31" s="44"/>
    </row>
    <row r="32" spans="1:33" ht="17.399999999999999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172" t="s">
        <v>463</v>
      </c>
      <c r="S32" s="1163">
        <v>3331561822</v>
      </c>
      <c r="T32" s="1207" t="s">
        <v>439</v>
      </c>
      <c r="U32" s="1163"/>
      <c r="V32" s="1163" t="s">
        <v>598</v>
      </c>
      <c r="W32" s="1163" t="s">
        <v>584</v>
      </c>
      <c r="X32" s="1168">
        <v>41816.402000000002</v>
      </c>
      <c r="Y32" s="1163" t="s">
        <v>128</v>
      </c>
      <c r="Z32" s="1207">
        <v>1</v>
      </c>
      <c r="AA32" s="1207">
        <v>1</v>
      </c>
      <c r="AB32" s="1208" t="s">
        <v>204</v>
      </c>
      <c r="AC32" s="240"/>
      <c r="AD32" s="44"/>
      <c r="AE32" s="44"/>
      <c r="AF32" s="44"/>
      <c r="AG32" s="44"/>
    </row>
    <row r="33" spans="1:33" ht="17.399999999999999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172" t="s">
        <v>463</v>
      </c>
      <c r="S33" s="1163">
        <v>3331561694</v>
      </c>
      <c r="T33" s="1207" t="s">
        <v>441</v>
      </c>
      <c r="U33" s="1163">
        <v>24141599</v>
      </c>
      <c r="V33" s="1163" t="s">
        <v>561</v>
      </c>
      <c r="W33" s="1207" t="s">
        <v>362</v>
      </c>
      <c r="X33" s="1168">
        <f>5326.023+17444.04</f>
        <v>22770.063000000002</v>
      </c>
      <c r="Y33" s="1163" t="s">
        <v>442</v>
      </c>
      <c r="Z33" s="1207">
        <v>1</v>
      </c>
      <c r="AA33" s="1207">
        <v>1</v>
      </c>
      <c r="AB33" s="1208" t="s">
        <v>204</v>
      </c>
      <c r="AC33" s="240"/>
      <c r="AD33" s="44"/>
      <c r="AE33" s="44"/>
      <c r="AF33" s="44"/>
      <c r="AG33" s="44"/>
    </row>
    <row r="34" spans="1:33" ht="17.399999999999999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172" t="s">
        <v>463</v>
      </c>
      <c r="S34" s="1163">
        <v>3331561703</v>
      </c>
      <c r="T34" s="1207" t="s">
        <v>256</v>
      </c>
      <c r="U34" s="1163" t="s">
        <v>256</v>
      </c>
      <c r="V34" s="1163" t="s">
        <v>256</v>
      </c>
      <c r="W34" s="1207" t="s">
        <v>256</v>
      </c>
      <c r="X34" s="1168" t="s">
        <v>256</v>
      </c>
      <c r="Y34" s="1163" t="s">
        <v>256</v>
      </c>
      <c r="Z34" s="1207" t="s">
        <v>256</v>
      </c>
      <c r="AA34" s="1207" t="s">
        <v>256</v>
      </c>
      <c r="AB34" s="1067" t="s">
        <v>256</v>
      </c>
      <c r="AC34" s="240"/>
      <c r="AD34" s="44"/>
      <c r="AE34" s="44"/>
      <c r="AF34" s="44"/>
      <c r="AG34" s="44"/>
    </row>
    <row r="35" spans="1:33" ht="17.399999999999999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172" t="s">
        <v>463</v>
      </c>
      <c r="S35" s="1163">
        <v>3331561706</v>
      </c>
      <c r="T35" s="1207" t="s">
        <v>563</v>
      </c>
      <c r="U35" s="1163">
        <v>24141608</v>
      </c>
      <c r="V35" s="1163" t="s">
        <v>590</v>
      </c>
      <c r="W35" s="1207" t="s">
        <v>362</v>
      </c>
      <c r="X35" s="1168">
        <v>23599.044999999998</v>
      </c>
      <c r="Y35" s="1163" t="s">
        <v>562</v>
      </c>
      <c r="Z35" s="1207">
        <v>1</v>
      </c>
      <c r="AA35" s="1207">
        <v>1</v>
      </c>
      <c r="AB35" s="1208" t="s">
        <v>204</v>
      </c>
      <c r="AC35" s="240"/>
      <c r="AD35" s="44"/>
      <c r="AE35" s="44"/>
      <c r="AF35" s="44"/>
      <c r="AG35" s="44"/>
    </row>
    <row r="36" spans="1:33" ht="17.399999999999999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173" t="s">
        <v>463</v>
      </c>
      <c r="S36" s="1167">
        <v>3331561708</v>
      </c>
      <c r="T36" s="1182" t="s">
        <v>563</v>
      </c>
      <c r="U36" s="1167">
        <v>24141609</v>
      </c>
      <c r="V36" s="1167" t="s">
        <v>590</v>
      </c>
      <c r="W36" s="1182" t="s">
        <v>362</v>
      </c>
      <c r="X36" s="1169">
        <v>23036.132000000001</v>
      </c>
      <c r="Y36" s="1167" t="s">
        <v>562</v>
      </c>
      <c r="Z36" s="1182">
        <v>1</v>
      </c>
      <c r="AA36" s="1182">
        <v>1</v>
      </c>
      <c r="AB36" s="1200" t="s">
        <v>207</v>
      </c>
      <c r="AC36" s="240"/>
      <c r="AD36" s="44"/>
      <c r="AE36" s="44"/>
      <c r="AF36" s="44"/>
      <c r="AG36" s="44"/>
    </row>
    <row r="37" spans="1:33" ht="17.399999999999999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172" t="s">
        <v>463</v>
      </c>
      <c r="S37" s="1163">
        <v>3331561711</v>
      </c>
      <c r="T37" s="1207" t="s">
        <v>599</v>
      </c>
      <c r="U37" s="1163">
        <v>24141603</v>
      </c>
      <c r="V37" s="1163" t="s">
        <v>590</v>
      </c>
      <c r="W37" s="1207" t="s">
        <v>362</v>
      </c>
      <c r="X37" s="1168">
        <v>25114.58</v>
      </c>
      <c r="Y37" s="1163" t="s">
        <v>200</v>
      </c>
      <c r="Z37" s="1207">
        <v>1</v>
      </c>
      <c r="AA37" s="1207">
        <v>1</v>
      </c>
      <c r="AB37" s="1208" t="s">
        <v>204</v>
      </c>
      <c r="AC37" s="240"/>
      <c r="AD37" s="44"/>
      <c r="AE37" s="44"/>
      <c r="AF37" s="44"/>
      <c r="AG37" s="44"/>
    </row>
    <row r="38" spans="1:33" ht="17.399999999999999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172" t="s">
        <v>463</v>
      </c>
      <c r="S38" s="1163">
        <v>3331561712</v>
      </c>
      <c r="T38" s="1207" t="s">
        <v>599</v>
      </c>
      <c r="U38" s="1163">
        <v>24141604</v>
      </c>
      <c r="V38" s="1163" t="s">
        <v>590</v>
      </c>
      <c r="W38" s="1207" t="s">
        <v>362</v>
      </c>
      <c r="X38" s="1168">
        <v>25027.977999999999</v>
      </c>
      <c r="Y38" s="1163" t="s">
        <v>200</v>
      </c>
      <c r="Z38" s="1207">
        <v>1</v>
      </c>
      <c r="AA38" s="1207">
        <v>1</v>
      </c>
      <c r="AB38" s="1208" t="s">
        <v>204</v>
      </c>
      <c r="AC38" s="240"/>
      <c r="AD38" s="44"/>
      <c r="AE38" s="44"/>
      <c r="AF38" s="44"/>
      <c r="AG38" s="44"/>
    </row>
    <row r="39" spans="1:33" ht="17.399999999999999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172" t="s">
        <v>463</v>
      </c>
      <c r="S39" s="1163">
        <v>3331561714</v>
      </c>
      <c r="T39" s="1207" t="s">
        <v>599</v>
      </c>
      <c r="U39" s="1163">
        <v>24141605</v>
      </c>
      <c r="V39" s="1163" t="s">
        <v>590</v>
      </c>
      <c r="W39" s="1207" t="s">
        <v>362</v>
      </c>
      <c r="X39" s="1168">
        <v>25331.084999999999</v>
      </c>
      <c r="Y39" s="1163" t="s">
        <v>200</v>
      </c>
      <c r="Z39" s="1207">
        <v>1</v>
      </c>
      <c r="AA39" s="1207">
        <v>1</v>
      </c>
      <c r="AB39" s="1208" t="s">
        <v>204</v>
      </c>
      <c r="AC39" s="240"/>
      <c r="AD39" s="44"/>
      <c r="AE39" s="44"/>
      <c r="AF39" s="44"/>
      <c r="AG39" s="44"/>
    </row>
    <row r="40" spans="1:33" ht="17.399999999999999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172" t="s">
        <v>463</v>
      </c>
      <c r="S40" s="1163">
        <v>3331561731</v>
      </c>
      <c r="T40" s="1207" t="s">
        <v>599</v>
      </c>
      <c r="U40" s="1163">
        <v>24141607</v>
      </c>
      <c r="V40" s="1163" t="s">
        <v>590</v>
      </c>
      <c r="W40" s="1207" t="s">
        <v>362</v>
      </c>
      <c r="X40" s="1168">
        <v>26197.105</v>
      </c>
      <c r="Y40" s="1163" t="s">
        <v>200</v>
      </c>
      <c r="Z40" s="1207">
        <v>1</v>
      </c>
      <c r="AA40" s="1207">
        <v>1</v>
      </c>
      <c r="AB40" s="1208" t="s">
        <v>204</v>
      </c>
      <c r="AC40" s="240"/>
      <c r="AD40" s="44"/>
      <c r="AE40" s="44"/>
      <c r="AF40" s="44"/>
      <c r="AG40" s="44"/>
    </row>
    <row r="41" spans="1:33" ht="17.399999999999999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173" t="s">
        <v>463</v>
      </c>
      <c r="S41" s="1167">
        <v>3331561733</v>
      </c>
      <c r="T41" s="1182" t="s">
        <v>563</v>
      </c>
      <c r="U41" s="1167">
        <v>24141610</v>
      </c>
      <c r="V41" s="1167" t="s">
        <v>590</v>
      </c>
      <c r="W41" s="1182" t="s">
        <v>362</v>
      </c>
      <c r="X41" s="1169">
        <v>22300.014999999999</v>
      </c>
      <c r="Y41" s="1167" t="s">
        <v>200</v>
      </c>
      <c r="Z41" s="1182">
        <v>1</v>
      </c>
      <c r="AA41" s="1182">
        <v>1</v>
      </c>
      <c r="AB41" s="1200" t="s">
        <v>207</v>
      </c>
      <c r="AC41" s="240"/>
      <c r="AD41" s="44"/>
      <c r="AE41" s="44"/>
      <c r="AF41" s="44"/>
      <c r="AG41" s="44"/>
    </row>
    <row r="42" spans="1:33" ht="17.399999999999999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172" t="s">
        <v>452</v>
      </c>
      <c r="S42" s="1163">
        <v>3331561736</v>
      </c>
      <c r="T42" s="1207" t="s">
        <v>441</v>
      </c>
      <c r="U42" s="1163">
        <v>24141611</v>
      </c>
      <c r="V42" s="1163" t="s">
        <v>590</v>
      </c>
      <c r="W42" s="1207" t="s">
        <v>362</v>
      </c>
      <c r="X42" s="1168">
        <v>23772.249</v>
      </c>
      <c r="Y42" s="1163" t="s">
        <v>200</v>
      </c>
      <c r="Z42" s="1207">
        <v>1</v>
      </c>
      <c r="AA42" s="1207">
        <v>1</v>
      </c>
      <c r="AB42" s="1208" t="s">
        <v>204</v>
      </c>
      <c r="AC42" s="240"/>
      <c r="AD42" s="44"/>
      <c r="AE42" s="44"/>
      <c r="AF42" s="44"/>
      <c r="AG42" s="44"/>
    </row>
    <row r="43" spans="1:33" ht="17.399999999999999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172" t="s">
        <v>463</v>
      </c>
      <c r="S43" s="1163">
        <v>3331561743</v>
      </c>
      <c r="T43" s="1207" t="s">
        <v>441</v>
      </c>
      <c r="U43" s="1163">
        <v>24141612</v>
      </c>
      <c r="V43" s="1163" t="s">
        <v>430</v>
      </c>
      <c r="W43" s="1163" t="s">
        <v>481</v>
      </c>
      <c r="X43" s="1168">
        <f>17847.698+18365.872</f>
        <v>36213.57</v>
      </c>
      <c r="Y43" s="1163" t="s">
        <v>128</v>
      </c>
      <c r="Z43" s="1207">
        <v>1</v>
      </c>
      <c r="AA43" s="1207">
        <v>1</v>
      </c>
      <c r="AB43" s="1208" t="s">
        <v>204</v>
      </c>
      <c r="AC43" s="269"/>
      <c r="AD43" s="44"/>
      <c r="AE43" s="44"/>
      <c r="AF43" s="44"/>
      <c r="AG43" s="44"/>
    </row>
    <row r="44" spans="1:33" ht="17.399999999999999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172" t="s">
        <v>463</v>
      </c>
      <c r="S44" s="1163">
        <v>3331561744</v>
      </c>
      <c r="T44" s="1207" t="s">
        <v>256</v>
      </c>
      <c r="U44" s="1163" t="s">
        <v>256</v>
      </c>
      <c r="V44" s="1163" t="s">
        <v>256</v>
      </c>
      <c r="W44" s="1163" t="s">
        <v>256</v>
      </c>
      <c r="X44" s="1168" t="s">
        <v>256</v>
      </c>
      <c r="Y44" s="1163" t="s">
        <v>256</v>
      </c>
      <c r="Z44" s="1207" t="s">
        <v>256</v>
      </c>
      <c r="AA44" s="1207" t="s">
        <v>256</v>
      </c>
      <c r="AB44" s="1208" t="s">
        <v>256</v>
      </c>
      <c r="AC44" s="269"/>
      <c r="AD44" s="44"/>
      <c r="AE44" s="44"/>
      <c r="AF44" s="44"/>
      <c r="AG44" s="44"/>
    </row>
    <row r="45" spans="1:33" ht="17.399999999999999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172" t="s">
        <v>463</v>
      </c>
      <c r="S45" s="1163">
        <v>3331561754</v>
      </c>
      <c r="T45" s="1207" t="s">
        <v>441</v>
      </c>
      <c r="U45" s="1163">
        <v>24141615</v>
      </c>
      <c r="V45" s="1163" t="s">
        <v>430</v>
      </c>
      <c r="W45" s="1163" t="s">
        <v>481</v>
      </c>
      <c r="X45" s="1168">
        <f>3976.215+10824.812+21764.531</f>
        <v>36565.557999999997</v>
      </c>
      <c r="Y45" s="1163" t="s">
        <v>128</v>
      </c>
      <c r="Z45" s="1207">
        <v>1</v>
      </c>
      <c r="AA45" s="1207">
        <v>1</v>
      </c>
      <c r="AB45" s="1208" t="s">
        <v>204</v>
      </c>
      <c r="AC45" s="240"/>
      <c r="AD45" s="44"/>
      <c r="AE45" s="44"/>
      <c r="AF45" s="44"/>
      <c r="AG45" s="44"/>
    </row>
    <row r="46" spans="1:33" ht="17.399999999999999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172" t="s">
        <v>463</v>
      </c>
      <c r="S46" s="1163">
        <v>3331561755</v>
      </c>
      <c r="T46" s="1207" t="s">
        <v>256</v>
      </c>
      <c r="U46" s="1163" t="s">
        <v>256</v>
      </c>
      <c r="V46" s="1163" t="s">
        <v>256</v>
      </c>
      <c r="W46" s="1163" t="s">
        <v>256</v>
      </c>
      <c r="X46" s="1168" t="s">
        <v>256</v>
      </c>
      <c r="Y46" s="1163" t="s">
        <v>256</v>
      </c>
      <c r="Z46" s="1207" t="s">
        <v>256</v>
      </c>
      <c r="AA46" s="1207" t="s">
        <v>256</v>
      </c>
      <c r="AB46" s="1208" t="s">
        <v>256</v>
      </c>
      <c r="AC46" s="240"/>
      <c r="AD46" s="44"/>
      <c r="AE46" s="44"/>
      <c r="AF46" s="44"/>
      <c r="AG46" s="44"/>
    </row>
    <row r="47" spans="1:33" ht="17.399999999999999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172" t="s">
        <v>463</v>
      </c>
      <c r="S47" s="1163">
        <v>3331561757</v>
      </c>
      <c r="T47" s="1207" t="s">
        <v>256</v>
      </c>
      <c r="U47" s="1163" t="s">
        <v>256</v>
      </c>
      <c r="V47" s="1163" t="s">
        <v>256</v>
      </c>
      <c r="W47" s="1163" t="s">
        <v>256</v>
      </c>
      <c r="X47" s="1168" t="s">
        <v>256</v>
      </c>
      <c r="Y47" s="1163" t="s">
        <v>256</v>
      </c>
      <c r="Z47" s="1207" t="s">
        <v>256</v>
      </c>
      <c r="AA47" s="1207" t="s">
        <v>256</v>
      </c>
      <c r="AB47" s="1208" t="s">
        <v>256</v>
      </c>
      <c r="AC47" s="240"/>
      <c r="AD47" s="44"/>
      <c r="AE47" s="44"/>
      <c r="AF47" s="44"/>
      <c r="AG47" s="44"/>
    </row>
    <row r="48" spans="1:33" ht="17.399999999999999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172" t="s">
        <v>463</v>
      </c>
      <c r="S48" s="1163">
        <v>3331561750</v>
      </c>
      <c r="T48" s="1207" t="s">
        <v>441</v>
      </c>
      <c r="U48" s="1163">
        <v>24141616</v>
      </c>
      <c r="V48" s="1163" t="s">
        <v>430</v>
      </c>
      <c r="W48" s="1163" t="s">
        <v>481</v>
      </c>
      <c r="X48" s="1168">
        <f>21057.896+10407.573+16152.839</f>
        <v>47618.308000000005</v>
      </c>
      <c r="Y48" s="1163" t="s">
        <v>128</v>
      </c>
      <c r="Z48" s="1207">
        <v>1</v>
      </c>
      <c r="AA48" s="1207">
        <v>1</v>
      </c>
      <c r="AB48" s="1208" t="s">
        <v>204</v>
      </c>
      <c r="AC48" s="240"/>
      <c r="AD48" s="44"/>
      <c r="AE48" s="44"/>
      <c r="AF48" s="44"/>
      <c r="AG48" s="44"/>
    </row>
    <row r="49" spans="1:33" ht="17.399999999999999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172" t="s">
        <v>463</v>
      </c>
      <c r="S49" s="1163">
        <v>3331561756</v>
      </c>
      <c r="T49" s="1207" t="s">
        <v>256</v>
      </c>
      <c r="U49" s="1163" t="s">
        <v>256</v>
      </c>
      <c r="V49" s="1163" t="s">
        <v>256</v>
      </c>
      <c r="W49" s="1163" t="s">
        <v>256</v>
      </c>
      <c r="X49" s="1168" t="s">
        <v>256</v>
      </c>
      <c r="Y49" s="1163" t="s">
        <v>256</v>
      </c>
      <c r="Z49" s="1207" t="s">
        <v>256</v>
      </c>
      <c r="AA49" s="1207" t="s">
        <v>256</v>
      </c>
      <c r="AB49" s="1208" t="s">
        <v>256</v>
      </c>
      <c r="AC49" s="240"/>
      <c r="AD49" s="44"/>
      <c r="AE49" s="44"/>
      <c r="AF49" s="44"/>
      <c r="AG49" s="44"/>
    </row>
    <row r="50" spans="1:33" ht="17.399999999999999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172" t="s">
        <v>463</v>
      </c>
      <c r="S50" s="1163">
        <v>3331561758</v>
      </c>
      <c r="T50" s="1207" t="s">
        <v>256</v>
      </c>
      <c r="U50" s="1163" t="s">
        <v>256</v>
      </c>
      <c r="V50" s="1163" t="s">
        <v>256</v>
      </c>
      <c r="W50" s="1163" t="s">
        <v>256</v>
      </c>
      <c r="X50" s="1168" t="s">
        <v>256</v>
      </c>
      <c r="Y50" s="1163" t="s">
        <v>256</v>
      </c>
      <c r="Z50" s="1207" t="s">
        <v>256</v>
      </c>
      <c r="AA50" s="1207" t="s">
        <v>256</v>
      </c>
      <c r="AB50" s="1208" t="s">
        <v>256</v>
      </c>
      <c r="AC50" s="240"/>
      <c r="AD50" s="44"/>
      <c r="AE50" s="44"/>
      <c r="AF50" s="44"/>
      <c r="AG50" s="44"/>
    </row>
    <row r="51" spans="1:33" ht="17.399999999999999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172" t="s">
        <v>463</v>
      </c>
      <c r="S51" s="1163">
        <v>3331561833</v>
      </c>
      <c r="T51" s="1207" t="s">
        <v>459</v>
      </c>
      <c r="U51" s="1163">
        <v>24141633</v>
      </c>
      <c r="V51" s="1163" t="s">
        <v>225</v>
      </c>
      <c r="W51" s="1163" t="s">
        <v>480</v>
      </c>
      <c r="X51" s="1168">
        <f>14409.944+1634.75+3591.42+10045.832</f>
        <v>29681.946000000004</v>
      </c>
      <c r="Y51" s="1163" t="s">
        <v>426</v>
      </c>
      <c r="Z51" s="1207">
        <v>1</v>
      </c>
      <c r="AA51" s="1207">
        <v>1</v>
      </c>
      <c r="AB51" s="1208" t="s">
        <v>204</v>
      </c>
      <c r="AC51" s="240"/>
      <c r="AD51" s="44"/>
      <c r="AE51" s="44"/>
      <c r="AF51" s="44"/>
      <c r="AG51" s="44"/>
    </row>
    <row r="52" spans="1:33" ht="17.399999999999999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172" t="s">
        <v>463</v>
      </c>
      <c r="S52" s="1163">
        <v>3331561840</v>
      </c>
      <c r="T52" s="1207" t="s">
        <v>256</v>
      </c>
      <c r="U52" s="1163" t="s">
        <v>256</v>
      </c>
      <c r="V52" s="1163" t="s">
        <v>256</v>
      </c>
      <c r="W52" s="1163" t="s">
        <v>256</v>
      </c>
      <c r="X52" s="1168" t="s">
        <v>256</v>
      </c>
      <c r="Y52" s="1163" t="s">
        <v>256</v>
      </c>
      <c r="Z52" s="1207" t="s">
        <v>256</v>
      </c>
      <c r="AA52" s="1207" t="s">
        <v>256</v>
      </c>
      <c r="AB52" s="1208" t="s">
        <v>256</v>
      </c>
      <c r="AC52" s="240"/>
      <c r="AD52" s="44"/>
      <c r="AE52" s="44"/>
      <c r="AF52" s="44"/>
      <c r="AG52" s="44"/>
    </row>
    <row r="53" spans="1:33" ht="17.399999999999999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172" t="s">
        <v>463</v>
      </c>
      <c r="S53" s="1163">
        <v>3331561841</v>
      </c>
      <c r="T53" s="1207" t="s">
        <v>256</v>
      </c>
      <c r="U53" s="1163" t="s">
        <v>256</v>
      </c>
      <c r="V53" s="1163" t="s">
        <v>256</v>
      </c>
      <c r="W53" s="1163" t="s">
        <v>256</v>
      </c>
      <c r="X53" s="1168" t="s">
        <v>256</v>
      </c>
      <c r="Y53" s="1163" t="s">
        <v>256</v>
      </c>
      <c r="Z53" s="1207" t="s">
        <v>256</v>
      </c>
      <c r="AA53" s="1207" t="s">
        <v>256</v>
      </c>
      <c r="AB53" s="1208" t="s">
        <v>256</v>
      </c>
      <c r="AC53" s="240"/>
      <c r="AD53" s="44"/>
      <c r="AE53" s="44"/>
      <c r="AF53" s="44"/>
      <c r="AG53" s="44"/>
    </row>
    <row r="54" spans="1:33" ht="17.399999999999999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172" t="s">
        <v>463</v>
      </c>
      <c r="S54" s="1163">
        <v>3331561845</v>
      </c>
      <c r="T54" s="1207" t="s">
        <v>256</v>
      </c>
      <c r="U54" s="1163" t="s">
        <v>256</v>
      </c>
      <c r="V54" s="1163" t="s">
        <v>256</v>
      </c>
      <c r="W54" s="1163" t="s">
        <v>256</v>
      </c>
      <c r="X54" s="1168" t="s">
        <v>256</v>
      </c>
      <c r="Y54" s="1163" t="s">
        <v>256</v>
      </c>
      <c r="Z54" s="1207" t="s">
        <v>256</v>
      </c>
      <c r="AA54" s="1207" t="s">
        <v>256</v>
      </c>
      <c r="AB54" s="1208" t="s">
        <v>256</v>
      </c>
      <c r="AC54" s="240"/>
      <c r="AD54" s="44"/>
      <c r="AE54" s="44"/>
      <c r="AF54" s="44"/>
      <c r="AG54" s="44"/>
    </row>
    <row r="55" spans="1:33" ht="17.399999999999999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172" t="s">
        <v>452</v>
      </c>
      <c r="S55" s="1163">
        <v>3331561855</v>
      </c>
      <c r="T55" s="1207" t="s">
        <v>441</v>
      </c>
      <c r="U55" s="1163">
        <v>24141640</v>
      </c>
      <c r="V55" s="1163" t="s">
        <v>435</v>
      </c>
      <c r="W55" s="1163" t="s">
        <v>481</v>
      </c>
      <c r="X55" s="1168">
        <v>38094.705000000002</v>
      </c>
      <c r="Y55" s="1163" t="s">
        <v>128</v>
      </c>
      <c r="Z55" s="1207">
        <v>1</v>
      </c>
      <c r="AA55" s="1207">
        <v>1</v>
      </c>
      <c r="AB55" s="1208" t="s">
        <v>204</v>
      </c>
      <c r="AC55" s="240"/>
      <c r="AD55" s="44"/>
      <c r="AE55" s="44"/>
      <c r="AF55" s="44"/>
      <c r="AG55" s="44"/>
    </row>
    <row r="56" spans="1:33" ht="17.399999999999999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172" t="s">
        <v>463</v>
      </c>
      <c r="S56" s="1163">
        <v>3331561859</v>
      </c>
      <c r="T56" s="1207" t="s">
        <v>441</v>
      </c>
      <c r="U56" s="1163">
        <v>24141642</v>
      </c>
      <c r="V56" s="1163" t="s">
        <v>435</v>
      </c>
      <c r="W56" s="1163" t="s">
        <v>481</v>
      </c>
      <c r="X56" s="1168">
        <v>38351.235000000001</v>
      </c>
      <c r="Y56" s="1163" t="s">
        <v>128</v>
      </c>
      <c r="Z56" s="1207">
        <v>1</v>
      </c>
      <c r="AA56" s="1207">
        <v>1</v>
      </c>
      <c r="AB56" s="1208" t="s">
        <v>204</v>
      </c>
      <c r="AC56" s="240"/>
      <c r="AD56" s="44"/>
      <c r="AE56" s="44"/>
      <c r="AF56" s="44"/>
      <c r="AG56" s="44"/>
    </row>
    <row r="57" spans="1:33" ht="17.399999999999999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172" t="s">
        <v>463</v>
      </c>
      <c r="S57" s="1163">
        <v>3331561860</v>
      </c>
      <c r="T57" s="1207" t="s">
        <v>441</v>
      </c>
      <c r="U57" s="1163">
        <v>24141643</v>
      </c>
      <c r="V57" s="1163" t="s">
        <v>435</v>
      </c>
      <c r="W57" s="1163" t="s">
        <v>481</v>
      </c>
      <c r="X57" s="1168">
        <v>36822.114999999998</v>
      </c>
      <c r="Y57" s="1163" t="s">
        <v>128</v>
      </c>
      <c r="Z57" s="1207">
        <v>1</v>
      </c>
      <c r="AA57" s="1207">
        <v>1</v>
      </c>
      <c r="AB57" s="1208" t="s">
        <v>204</v>
      </c>
      <c r="AC57" s="240"/>
      <c r="AD57" s="44"/>
      <c r="AE57" s="44"/>
      <c r="AF57" s="44"/>
      <c r="AG57" s="44"/>
    </row>
    <row r="58" spans="1:33" ht="17.399999999999999">
      <c r="A58" s="993"/>
      <c r="B58" s="1021"/>
      <c r="C58" s="1021"/>
      <c r="D58" s="1022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2"/>
      <c r="R58" s="1201" t="s">
        <v>463</v>
      </c>
      <c r="S58" s="1202">
        <v>3331561660</v>
      </c>
      <c r="T58" s="1202" t="s">
        <v>11</v>
      </c>
      <c r="U58" s="1202">
        <v>24141587</v>
      </c>
      <c r="V58" s="1202" t="s">
        <v>158</v>
      </c>
      <c r="W58" s="1202" t="s">
        <v>199</v>
      </c>
      <c r="X58" s="1203">
        <v>25268.707999999999</v>
      </c>
      <c r="Y58" s="1202" t="s">
        <v>200</v>
      </c>
      <c r="Z58" s="1202">
        <v>1</v>
      </c>
      <c r="AA58" s="1202">
        <v>1</v>
      </c>
      <c r="AB58" s="1078" t="s">
        <v>204</v>
      </c>
      <c r="AC58" s="1210"/>
      <c r="AD58" s="44"/>
      <c r="AE58" s="44"/>
      <c r="AF58" s="44"/>
      <c r="AG58" s="44"/>
    </row>
    <row r="59" spans="1:33" ht="15.6">
      <c r="R59" s="1201" t="s">
        <v>463</v>
      </c>
      <c r="S59" s="1202">
        <v>3331561665</v>
      </c>
      <c r="T59" s="1202" t="s">
        <v>462</v>
      </c>
      <c r="U59" s="1202">
        <v>24141589</v>
      </c>
      <c r="V59" s="1202" t="s">
        <v>158</v>
      </c>
      <c r="W59" s="1202" t="s">
        <v>199</v>
      </c>
      <c r="X59" s="1203">
        <v>23005.207999999999</v>
      </c>
      <c r="Y59" s="1202" t="s">
        <v>200</v>
      </c>
      <c r="Z59" s="1202">
        <v>1</v>
      </c>
      <c r="AA59" s="1202">
        <v>1</v>
      </c>
      <c r="AB59" s="1244" t="s">
        <v>204</v>
      </c>
      <c r="AC59" s="1210"/>
      <c r="AD59" s="44"/>
      <c r="AE59" s="44"/>
      <c r="AF59" s="44"/>
      <c r="AG59" s="44"/>
    </row>
    <row r="60" spans="1:33" ht="15.6">
      <c r="R60" s="1201" t="s">
        <v>463</v>
      </c>
      <c r="S60" s="1202">
        <v>3331561667</v>
      </c>
      <c r="T60" s="1202" t="s">
        <v>287</v>
      </c>
      <c r="U60" s="1202">
        <v>24141591</v>
      </c>
      <c r="V60" s="1202" t="s">
        <v>158</v>
      </c>
      <c r="W60" s="1202" t="s">
        <v>199</v>
      </c>
      <c r="X60" s="1203">
        <v>25850.697</v>
      </c>
      <c r="Y60" s="1202" t="s">
        <v>200</v>
      </c>
      <c r="Z60" s="1202">
        <v>1</v>
      </c>
      <c r="AA60" s="1202">
        <v>1</v>
      </c>
      <c r="AB60" s="1078" t="s">
        <v>204</v>
      </c>
      <c r="AC60" s="1192"/>
      <c r="AD60" s="44"/>
      <c r="AE60" s="44"/>
      <c r="AF60" s="44"/>
      <c r="AG60" s="44"/>
    </row>
    <row r="61" spans="1:33" ht="15.6">
      <c r="R61" s="1201" t="s">
        <v>463</v>
      </c>
      <c r="S61" s="1202">
        <v>3331561672</v>
      </c>
      <c r="T61" s="1202" t="s">
        <v>34</v>
      </c>
      <c r="U61" s="1202">
        <v>24141592</v>
      </c>
      <c r="V61" s="1202" t="s">
        <v>158</v>
      </c>
      <c r="W61" s="1202" t="s">
        <v>199</v>
      </c>
      <c r="X61" s="1203">
        <v>25807.396000000001</v>
      </c>
      <c r="Y61" s="1202" t="s">
        <v>200</v>
      </c>
      <c r="Z61" s="1202">
        <v>1</v>
      </c>
      <c r="AA61" s="1202">
        <v>1</v>
      </c>
      <c r="AB61" s="1078" t="s">
        <v>204</v>
      </c>
      <c r="AC61" s="1192"/>
      <c r="AD61" s="44"/>
      <c r="AE61" s="44"/>
      <c r="AF61" s="44"/>
      <c r="AG61" s="44"/>
    </row>
    <row r="62" spans="1:33" ht="15.6">
      <c r="R62" s="1201" t="s">
        <v>600</v>
      </c>
      <c r="S62" s="1202">
        <v>3331559561</v>
      </c>
      <c r="T62" s="1202" t="s">
        <v>462</v>
      </c>
      <c r="U62" s="1202">
        <v>24141593</v>
      </c>
      <c r="V62" s="1202" t="s">
        <v>464</v>
      </c>
      <c r="W62" s="1202" t="s">
        <v>199</v>
      </c>
      <c r="X62" s="1203">
        <f>18529.436+1460.396+3129.294</f>
        <v>23119.126000000004</v>
      </c>
      <c r="Y62" s="1202" t="s">
        <v>200</v>
      </c>
      <c r="Z62" s="1202">
        <v>1</v>
      </c>
      <c r="AA62" s="1202">
        <v>1</v>
      </c>
      <c r="AB62" s="1244" t="s">
        <v>204</v>
      </c>
      <c r="AC62" s="1210"/>
      <c r="AD62" s="44"/>
      <c r="AE62" s="44"/>
      <c r="AF62" s="44"/>
      <c r="AG62" s="44"/>
    </row>
    <row r="63" spans="1:33" ht="15.6">
      <c r="R63" s="1201" t="s">
        <v>463</v>
      </c>
      <c r="S63" s="1202">
        <v>3331561671</v>
      </c>
      <c r="T63" s="1202" t="s">
        <v>256</v>
      </c>
      <c r="U63" s="1202" t="s">
        <v>256</v>
      </c>
      <c r="V63" s="1202" t="s">
        <v>256</v>
      </c>
      <c r="W63" s="1202" t="s">
        <v>256</v>
      </c>
      <c r="X63" s="1203" t="s">
        <v>256</v>
      </c>
      <c r="Y63" s="1202" t="s">
        <v>256</v>
      </c>
      <c r="Z63" s="1202" t="s">
        <v>256</v>
      </c>
      <c r="AA63" s="1202" t="s">
        <v>256</v>
      </c>
      <c r="AB63" s="1078" t="s">
        <v>256</v>
      </c>
      <c r="AC63" s="1210"/>
      <c r="AD63" s="44"/>
      <c r="AE63" s="44"/>
      <c r="AF63" s="44"/>
      <c r="AG63" s="44"/>
    </row>
    <row r="64" spans="1:33" ht="15.6">
      <c r="R64" s="1201" t="s">
        <v>463</v>
      </c>
      <c r="S64" s="1202">
        <v>3331561673</v>
      </c>
      <c r="T64" s="1202" t="s">
        <v>256</v>
      </c>
      <c r="U64" s="1202" t="s">
        <v>256</v>
      </c>
      <c r="V64" s="1202" t="s">
        <v>256</v>
      </c>
      <c r="W64" s="1202" t="s">
        <v>256</v>
      </c>
      <c r="X64" s="1203" t="s">
        <v>256</v>
      </c>
      <c r="Y64" s="1202" t="s">
        <v>256</v>
      </c>
      <c r="Z64" s="1202" t="s">
        <v>256</v>
      </c>
      <c r="AA64" s="1202" t="s">
        <v>256</v>
      </c>
      <c r="AB64" s="1244" t="s">
        <v>256</v>
      </c>
      <c r="AC64" s="1210"/>
      <c r="AD64" s="44"/>
      <c r="AE64" s="44"/>
      <c r="AF64" s="44"/>
      <c r="AG64" s="44"/>
    </row>
    <row r="65" spans="18:33" ht="15.6">
      <c r="R65" s="1201" t="s">
        <v>463</v>
      </c>
      <c r="S65" s="1202">
        <v>3331561683</v>
      </c>
      <c r="T65" s="1209" t="s">
        <v>287</v>
      </c>
      <c r="U65" s="1202">
        <v>24141594</v>
      </c>
      <c r="V65" s="1202" t="s">
        <v>219</v>
      </c>
      <c r="W65" s="1202" t="s">
        <v>199</v>
      </c>
      <c r="X65" s="1203">
        <v>25418.602999999999</v>
      </c>
      <c r="Y65" s="1202" t="s">
        <v>200</v>
      </c>
      <c r="Z65" s="1202">
        <v>1</v>
      </c>
      <c r="AA65" s="1202">
        <v>1</v>
      </c>
      <c r="AB65" s="1244" t="s">
        <v>204</v>
      </c>
      <c r="AC65" s="1210"/>
      <c r="AD65" s="44"/>
      <c r="AE65" s="44"/>
      <c r="AF65" s="44"/>
      <c r="AG65" s="44"/>
    </row>
    <row r="66" spans="18:33" ht="15.6">
      <c r="R66" s="1201" t="s">
        <v>463</v>
      </c>
      <c r="S66" s="1202">
        <v>3331561684</v>
      </c>
      <c r="T66" s="1209" t="s">
        <v>27</v>
      </c>
      <c r="U66" s="1202">
        <v>24141596</v>
      </c>
      <c r="V66" s="1202" t="s">
        <v>366</v>
      </c>
      <c r="W66" s="1202" t="s">
        <v>199</v>
      </c>
      <c r="X66" s="1203">
        <v>25202.312000000002</v>
      </c>
      <c r="Y66" s="1202" t="s">
        <v>200</v>
      </c>
      <c r="Z66" s="1202">
        <v>1</v>
      </c>
      <c r="AA66" s="1202">
        <v>1</v>
      </c>
      <c r="AB66" s="1244" t="s">
        <v>204</v>
      </c>
      <c r="AC66" s="1210"/>
      <c r="AD66" s="44"/>
      <c r="AE66" s="44"/>
      <c r="AF66" s="44"/>
      <c r="AG66" s="44"/>
    </row>
    <row r="67" spans="18:33" ht="15.6">
      <c r="R67" s="1201" t="s">
        <v>463</v>
      </c>
      <c r="S67" s="1202">
        <v>3331561688</v>
      </c>
      <c r="T67" s="1209" t="s">
        <v>27</v>
      </c>
      <c r="U67" s="1202">
        <v>24141597</v>
      </c>
      <c r="V67" s="1202" t="s">
        <v>366</v>
      </c>
      <c r="W67" s="1202" t="s">
        <v>199</v>
      </c>
      <c r="X67" s="1203">
        <v>25464.878000000001</v>
      </c>
      <c r="Y67" s="1202" t="s">
        <v>200</v>
      </c>
      <c r="Z67" s="1202">
        <v>1</v>
      </c>
      <c r="AA67" s="1202">
        <v>1</v>
      </c>
      <c r="AB67" s="1244" t="s">
        <v>204</v>
      </c>
      <c r="AC67" s="1210"/>
      <c r="AD67" s="44"/>
      <c r="AE67" s="44"/>
      <c r="AF67" s="44"/>
      <c r="AG67" s="44"/>
    </row>
    <row r="68" spans="18:33" ht="15.6">
      <c r="R68" s="1201" t="s">
        <v>463</v>
      </c>
      <c r="S68" s="1202">
        <v>3331561696</v>
      </c>
      <c r="T68" s="1209" t="s">
        <v>11</v>
      </c>
      <c r="U68" s="1202">
        <v>24141598</v>
      </c>
      <c r="V68" s="1202" t="s">
        <v>219</v>
      </c>
      <c r="W68" s="1202" t="s">
        <v>199</v>
      </c>
      <c r="X68" s="1203">
        <v>26846.62</v>
      </c>
      <c r="Y68" s="1202" t="s">
        <v>200</v>
      </c>
      <c r="Z68" s="1202">
        <v>1</v>
      </c>
      <c r="AA68" s="1202">
        <v>1</v>
      </c>
      <c r="AB68" s="1244" t="s">
        <v>204</v>
      </c>
      <c r="AC68" s="1192"/>
      <c r="AD68" s="44"/>
      <c r="AE68" s="44"/>
      <c r="AF68" s="44"/>
      <c r="AG68" s="44"/>
    </row>
    <row r="69" spans="18:33" ht="15.6">
      <c r="R69" s="1201" t="s">
        <v>463</v>
      </c>
      <c r="S69" s="1202">
        <v>3331561670</v>
      </c>
      <c r="T69" s="1209" t="s">
        <v>287</v>
      </c>
      <c r="U69" s="1202">
        <v>24141600</v>
      </c>
      <c r="V69" s="1202" t="s">
        <v>447</v>
      </c>
      <c r="W69" s="1202" t="s">
        <v>199</v>
      </c>
      <c r="X69" s="1203">
        <f>23185.848+2495.886</f>
        <v>25681.734</v>
      </c>
      <c r="Y69" s="1202" t="s">
        <v>200</v>
      </c>
      <c r="Z69" s="1202">
        <v>1</v>
      </c>
      <c r="AA69" s="1202">
        <v>1</v>
      </c>
      <c r="AB69" s="1244" t="s">
        <v>204</v>
      </c>
      <c r="AC69" s="1210"/>
      <c r="AD69" s="44"/>
      <c r="AE69" s="44"/>
      <c r="AF69" s="44"/>
      <c r="AG69" s="44"/>
    </row>
    <row r="70" spans="18:33" ht="15.6">
      <c r="R70" s="1201" t="s">
        <v>463</v>
      </c>
      <c r="S70" s="1202">
        <v>3331561710</v>
      </c>
      <c r="T70" s="1202" t="s">
        <v>256</v>
      </c>
      <c r="U70" s="1202" t="s">
        <v>256</v>
      </c>
      <c r="V70" s="1202" t="s">
        <v>256</v>
      </c>
      <c r="W70" s="1202" t="s">
        <v>256</v>
      </c>
      <c r="X70" s="1203" t="s">
        <v>256</v>
      </c>
      <c r="Y70" s="1202" t="s">
        <v>256</v>
      </c>
      <c r="Z70" s="1202" t="s">
        <v>256</v>
      </c>
      <c r="AA70" s="1202" t="s">
        <v>256</v>
      </c>
      <c r="AB70" s="1078" t="s">
        <v>256</v>
      </c>
      <c r="AC70" s="1210"/>
      <c r="AD70" s="44"/>
      <c r="AE70" s="44"/>
      <c r="AF70" s="44"/>
      <c r="AG70" s="44"/>
    </row>
    <row r="71" spans="18:33" ht="15.6">
      <c r="R71" s="1201" t="s">
        <v>463</v>
      </c>
      <c r="S71" s="1202">
        <v>3331561715</v>
      </c>
      <c r="T71" s="1209" t="s">
        <v>462</v>
      </c>
      <c r="U71" s="1202">
        <v>24141601</v>
      </c>
      <c r="V71" s="1202" t="s">
        <v>447</v>
      </c>
      <c r="W71" s="1202" t="s">
        <v>199</v>
      </c>
      <c r="X71" s="1203">
        <f>24141601+18696.346</f>
        <v>24160297.346000001</v>
      </c>
      <c r="Y71" s="1202" t="s">
        <v>200</v>
      </c>
      <c r="Z71" s="1202">
        <v>1</v>
      </c>
      <c r="AA71" s="1202">
        <v>1</v>
      </c>
      <c r="AB71" s="1244" t="s">
        <v>204</v>
      </c>
      <c r="AC71" s="1210"/>
      <c r="AD71" s="44"/>
      <c r="AE71" s="44"/>
      <c r="AF71" s="44"/>
      <c r="AG71" s="44"/>
    </row>
    <row r="72" spans="18:33" ht="15.6">
      <c r="R72" s="1201" t="s">
        <v>463</v>
      </c>
      <c r="S72" s="1202">
        <v>3331561716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44" t="s">
        <v>256</v>
      </c>
      <c r="AC72" s="1210"/>
      <c r="AD72" s="44"/>
      <c r="AE72" s="44"/>
      <c r="AF72" s="44"/>
      <c r="AG72" s="44"/>
    </row>
    <row r="73" spans="18:33" ht="15.6">
      <c r="R73" s="1201" t="s">
        <v>463</v>
      </c>
      <c r="S73" s="1202">
        <v>3331561721</v>
      </c>
      <c r="T73" s="1209" t="s">
        <v>152</v>
      </c>
      <c r="U73" s="1202">
        <v>24141602</v>
      </c>
      <c r="V73" s="1202" t="s">
        <v>290</v>
      </c>
      <c r="W73" s="1202" t="s">
        <v>199</v>
      </c>
      <c r="X73" s="1203">
        <v>26987.044000000002</v>
      </c>
      <c r="Y73" s="1202" t="s">
        <v>200</v>
      </c>
      <c r="Z73" s="1202">
        <v>1</v>
      </c>
      <c r="AA73" s="1202">
        <v>1</v>
      </c>
      <c r="AB73" s="1244" t="s">
        <v>204</v>
      </c>
      <c r="AC73" s="1192"/>
      <c r="AD73" s="44"/>
      <c r="AE73" s="44"/>
      <c r="AF73" s="44"/>
      <c r="AG73" s="44"/>
    </row>
    <row r="74" spans="18:33" ht="15.6">
      <c r="R74" s="1201" t="s">
        <v>463</v>
      </c>
      <c r="S74" s="1202">
        <v>3331561727</v>
      </c>
      <c r="T74" s="1209" t="s">
        <v>27</v>
      </c>
      <c r="U74" s="1202">
        <v>24141606</v>
      </c>
      <c r="V74" s="1202" t="s">
        <v>290</v>
      </c>
      <c r="W74" s="1202" t="s">
        <v>199</v>
      </c>
      <c r="X74" s="1203">
        <v>24444.121999999999</v>
      </c>
      <c r="Y74" s="1202" t="s">
        <v>200</v>
      </c>
      <c r="Z74" s="1202">
        <v>1</v>
      </c>
      <c r="AA74" s="1202">
        <v>1</v>
      </c>
      <c r="AB74" s="1244" t="s">
        <v>204</v>
      </c>
      <c r="AC74" s="1192"/>
      <c r="AD74" s="44"/>
      <c r="AE74" s="44"/>
      <c r="AF74" s="44"/>
      <c r="AG74" s="44"/>
    </row>
    <row r="75" spans="18:33" ht="15.6">
      <c r="R75" s="1201" t="s">
        <v>463</v>
      </c>
      <c r="S75" s="1202">
        <v>3331561742</v>
      </c>
      <c r="T75" s="1209" t="s">
        <v>27</v>
      </c>
      <c r="U75" s="1202">
        <v>24141613</v>
      </c>
      <c r="V75" s="1202" t="s">
        <v>158</v>
      </c>
      <c r="W75" s="1202" t="s">
        <v>340</v>
      </c>
      <c r="X75" s="1203">
        <v>26456.911</v>
      </c>
      <c r="Y75" s="1202" t="s">
        <v>200</v>
      </c>
      <c r="Z75" s="1202">
        <v>1</v>
      </c>
      <c r="AA75" s="1202">
        <v>1</v>
      </c>
      <c r="AB75" s="1244" t="s">
        <v>204</v>
      </c>
      <c r="AC75" s="1192"/>
      <c r="AD75" s="44"/>
      <c r="AE75" s="44"/>
      <c r="AF75" s="44"/>
      <c r="AG75" s="44"/>
    </row>
    <row r="76" spans="18:33" ht="15.6">
      <c r="R76" s="1201" t="s">
        <v>463</v>
      </c>
      <c r="S76" s="1202">
        <v>3331561745</v>
      </c>
      <c r="T76" s="1209" t="s">
        <v>27</v>
      </c>
      <c r="U76" s="1202">
        <v>24141614</v>
      </c>
      <c r="V76" s="1202" t="s">
        <v>158</v>
      </c>
      <c r="W76" s="1202" t="s">
        <v>340</v>
      </c>
      <c r="X76" s="1203">
        <v>25331.084999999999</v>
      </c>
      <c r="Y76" s="1202" t="s">
        <v>200</v>
      </c>
      <c r="Z76" s="1202">
        <v>1</v>
      </c>
      <c r="AA76" s="1202">
        <v>1</v>
      </c>
      <c r="AB76" s="1244" t="s">
        <v>204</v>
      </c>
      <c r="AC76" s="1192"/>
      <c r="AD76" s="44"/>
      <c r="AE76" s="44"/>
      <c r="AF76" s="44"/>
      <c r="AG76" s="44"/>
    </row>
    <row r="77" spans="18:33" ht="15.6">
      <c r="R77" s="1201" t="s">
        <v>463</v>
      </c>
      <c r="S77" s="1202">
        <v>3331561807</v>
      </c>
      <c r="T77" s="1209" t="s">
        <v>27</v>
      </c>
      <c r="U77" s="1202">
        <v>24141617</v>
      </c>
      <c r="V77" s="1202" t="s">
        <v>368</v>
      </c>
      <c r="W77" s="1202" t="s">
        <v>199</v>
      </c>
      <c r="X77" s="1203">
        <v>23567.562000000002</v>
      </c>
      <c r="Y77" s="1202" t="s">
        <v>200</v>
      </c>
      <c r="Z77" s="1202">
        <v>1</v>
      </c>
      <c r="AA77" s="1202">
        <v>1</v>
      </c>
      <c r="AB77" s="1078" t="s">
        <v>204</v>
      </c>
      <c r="AC77" s="1192"/>
      <c r="AD77" s="44"/>
      <c r="AE77" s="44"/>
      <c r="AF77" s="44"/>
      <c r="AG77" s="44"/>
    </row>
    <row r="78" spans="18:33" ht="15.6">
      <c r="R78" s="1201" t="s">
        <v>463</v>
      </c>
      <c r="S78" s="1202">
        <v>3331561811</v>
      </c>
      <c r="T78" s="1209" t="s">
        <v>287</v>
      </c>
      <c r="U78" s="1202">
        <v>24141618</v>
      </c>
      <c r="V78" s="1202" t="s">
        <v>368</v>
      </c>
      <c r="W78" s="1202" t="s">
        <v>199</v>
      </c>
      <c r="X78" s="1203">
        <v>24987.027999999998</v>
      </c>
      <c r="Y78" s="1202" t="s">
        <v>200</v>
      </c>
      <c r="Z78" s="1202">
        <v>1</v>
      </c>
      <c r="AA78" s="1202">
        <v>1</v>
      </c>
      <c r="AB78" s="1078" t="s">
        <v>204</v>
      </c>
      <c r="AC78" s="1192"/>
      <c r="AD78" s="44"/>
      <c r="AE78" s="44"/>
      <c r="AF78" s="44"/>
      <c r="AG78" s="44"/>
    </row>
    <row r="79" spans="18:33" ht="15.6">
      <c r="R79" s="1201" t="s">
        <v>463</v>
      </c>
      <c r="S79" s="1202">
        <v>3331561813</v>
      </c>
      <c r="T79" s="1209" t="s">
        <v>34</v>
      </c>
      <c r="U79" s="1202">
        <v>24141619</v>
      </c>
      <c r="V79" s="1202" t="s">
        <v>368</v>
      </c>
      <c r="W79" s="1202" t="s">
        <v>199</v>
      </c>
      <c r="X79" s="1203">
        <v>23685.647000000001</v>
      </c>
      <c r="Y79" s="1202" t="s">
        <v>200</v>
      </c>
      <c r="Z79" s="1077">
        <v>1</v>
      </c>
      <c r="AA79" s="1077">
        <v>1</v>
      </c>
      <c r="AB79" s="1078" t="s">
        <v>204</v>
      </c>
      <c r="AC79" s="1192"/>
      <c r="AD79" s="44"/>
      <c r="AE79" s="44"/>
      <c r="AF79" s="44"/>
      <c r="AG79" s="44"/>
    </row>
    <row r="80" spans="18:33" ht="15.6">
      <c r="R80" s="1201" t="s">
        <v>463</v>
      </c>
      <c r="S80" s="1246">
        <v>3331561815</v>
      </c>
      <c r="T80" s="1209" t="s">
        <v>27</v>
      </c>
      <c r="U80" s="1202">
        <v>24141620</v>
      </c>
      <c r="V80" s="1202" t="s">
        <v>368</v>
      </c>
      <c r="W80" s="1202" t="s">
        <v>199</v>
      </c>
      <c r="X80" s="1203">
        <v>24724.870999999999</v>
      </c>
      <c r="Y80" s="1202" t="s">
        <v>200</v>
      </c>
      <c r="Z80" s="1202">
        <v>1</v>
      </c>
      <c r="AA80" s="1202">
        <v>1</v>
      </c>
      <c r="AB80" s="1244" t="s">
        <v>204</v>
      </c>
      <c r="AC80" s="1192"/>
      <c r="AD80" s="44"/>
      <c r="AE80" s="44"/>
      <c r="AF80" s="44"/>
      <c r="AG80" s="44"/>
    </row>
    <row r="81" spans="18:33" ht="15.6">
      <c r="R81" s="1201" t="s">
        <v>463</v>
      </c>
      <c r="S81" s="1202">
        <v>3331561791</v>
      </c>
      <c r="T81" s="1077" t="s">
        <v>34</v>
      </c>
      <c r="U81" s="1202">
        <v>24141621</v>
      </c>
      <c r="V81" s="1202" t="s">
        <v>150</v>
      </c>
      <c r="W81" s="1202" t="s">
        <v>199</v>
      </c>
      <c r="X81" s="1203">
        <v>23741.599999999999</v>
      </c>
      <c r="Y81" s="1202" t="s">
        <v>200</v>
      </c>
      <c r="Z81" s="1077">
        <v>1</v>
      </c>
      <c r="AA81" s="1077">
        <v>1</v>
      </c>
      <c r="AB81" s="1244" t="s">
        <v>204</v>
      </c>
      <c r="AC81" s="1192"/>
      <c r="AD81" s="44"/>
      <c r="AE81" s="44"/>
      <c r="AF81" s="44"/>
      <c r="AG81" s="44"/>
    </row>
    <row r="82" spans="18:33" ht="15.6">
      <c r="R82" s="1201" t="s">
        <v>463</v>
      </c>
      <c r="S82" s="1202">
        <v>3331561796</v>
      </c>
      <c r="T82" s="1202" t="s">
        <v>34</v>
      </c>
      <c r="U82" s="1202">
        <v>24141622</v>
      </c>
      <c r="V82" s="1202" t="s">
        <v>150</v>
      </c>
      <c r="W82" s="1202" t="s">
        <v>199</v>
      </c>
      <c r="X82" s="1203">
        <v>23027.34</v>
      </c>
      <c r="Y82" s="1202" t="s">
        <v>200</v>
      </c>
      <c r="Z82" s="1077">
        <v>1</v>
      </c>
      <c r="AA82" s="1077">
        <v>1</v>
      </c>
      <c r="AB82" s="1244" t="s">
        <v>204</v>
      </c>
      <c r="AC82" s="1192"/>
      <c r="AD82" s="44"/>
      <c r="AE82" s="44"/>
      <c r="AF82" s="44"/>
      <c r="AG82" s="44"/>
    </row>
    <row r="83" spans="18:33" ht="15.6">
      <c r="R83" s="1201" t="s">
        <v>463</v>
      </c>
      <c r="S83" s="1202">
        <v>3331561805</v>
      </c>
      <c r="T83" s="1202" t="s">
        <v>287</v>
      </c>
      <c r="U83" s="1202">
        <v>24141623</v>
      </c>
      <c r="V83" s="1202" t="s">
        <v>150</v>
      </c>
      <c r="W83" s="1202" t="s">
        <v>199</v>
      </c>
      <c r="X83" s="1203">
        <v>22282.397000000001</v>
      </c>
      <c r="Y83" s="1202" t="s">
        <v>200</v>
      </c>
      <c r="Z83" s="1202">
        <v>1</v>
      </c>
      <c r="AA83" s="1202">
        <v>1</v>
      </c>
      <c r="AB83" s="1244" t="s">
        <v>204</v>
      </c>
      <c r="AC83" s="1192"/>
      <c r="AD83" s="44"/>
      <c r="AE83" s="44"/>
      <c r="AF83" s="44"/>
      <c r="AG83" s="44"/>
    </row>
    <row r="84" spans="18:33" ht="15.6">
      <c r="R84" s="1201" t="s">
        <v>463</v>
      </c>
      <c r="S84" s="1202">
        <v>3331561806</v>
      </c>
      <c r="T84" s="1209" t="s">
        <v>27</v>
      </c>
      <c r="U84" s="1202">
        <v>24141624</v>
      </c>
      <c r="V84" s="1202" t="s">
        <v>150</v>
      </c>
      <c r="W84" s="1202" t="s">
        <v>199</v>
      </c>
      <c r="X84" s="1203">
        <v>25029.782999999999</v>
      </c>
      <c r="Y84" s="1202" t="s">
        <v>200</v>
      </c>
      <c r="Z84" s="1077">
        <v>1</v>
      </c>
      <c r="AA84" s="1077">
        <v>1</v>
      </c>
      <c r="AB84" s="1244" t="s">
        <v>204</v>
      </c>
      <c r="AC84" s="1192"/>
    </row>
    <row r="85" spans="18:33" ht="15.6">
      <c r="R85" s="1201" t="s">
        <v>463</v>
      </c>
      <c r="S85" s="1202">
        <v>3331561808</v>
      </c>
      <c r="T85" s="1209" t="s">
        <v>27</v>
      </c>
      <c r="U85" s="1202">
        <v>24141625</v>
      </c>
      <c r="V85" s="1202" t="s">
        <v>150</v>
      </c>
      <c r="W85" s="1202" t="s">
        <v>199</v>
      </c>
      <c r="X85" s="1203">
        <v>26448.998</v>
      </c>
      <c r="Y85" s="1202" t="s">
        <v>200</v>
      </c>
      <c r="Z85" s="1077">
        <v>1</v>
      </c>
      <c r="AA85" s="1077">
        <v>1</v>
      </c>
      <c r="AB85" s="1244" t="s">
        <v>204</v>
      </c>
      <c r="AC85" s="1192"/>
    </row>
    <row r="86" spans="18:33" ht="15.6">
      <c r="R86" s="1201" t="s">
        <v>463</v>
      </c>
      <c r="S86" s="1202">
        <v>3331561810</v>
      </c>
      <c r="T86" s="1209" t="s">
        <v>27</v>
      </c>
      <c r="U86" s="1202">
        <v>24141626</v>
      </c>
      <c r="V86" s="1202" t="s">
        <v>150</v>
      </c>
      <c r="W86" s="1202" t="s">
        <v>199</v>
      </c>
      <c r="X86" s="1203">
        <v>25932.918000000001</v>
      </c>
      <c r="Y86" s="1202" t="s">
        <v>200</v>
      </c>
      <c r="Z86" s="1077">
        <v>1</v>
      </c>
      <c r="AA86" s="1077">
        <v>1</v>
      </c>
      <c r="AB86" s="1244" t="s">
        <v>204</v>
      </c>
      <c r="AC86" s="1192"/>
    </row>
    <row r="87" spans="18:33" ht="15.6">
      <c r="R87" s="1226" t="s">
        <v>463</v>
      </c>
      <c r="S87" s="784">
        <v>3331561812</v>
      </c>
      <c r="T87" s="1209" t="s">
        <v>27</v>
      </c>
      <c r="U87" s="784">
        <v>24141627</v>
      </c>
      <c r="V87" s="1202" t="s">
        <v>150</v>
      </c>
      <c r="W87" s="1202" t="s">
        <v>199</v>
      </c>
      <c r="X87" s="786">
        <v>25677.492999999999</v>
      </c>
      <c r="Y87" s="1202" t="s">
        <v>200</v>
      </c>
      <c r="Z87" s="1248">
        <v>1</v>
      </c>
      <c r="AA87" s="1248">
        <v>1</v>
      </c>
      <c r="AB87" s="1244" t="s">
        <v>204</v>
      </c>
      <c r="AC87" s="1192"/>
    </row>
    <row r="88" spans="18:33" ht="15.6">
      <c r="R88" s="1226" t="s">
        <v>463</v>
      </c>
      <c r="S88" s="784">
        <v>3331561830</v>
      </c>
      <c r="T88" s="1209" t="s">
        <v>27</v>
      </c>
      <c r="U88" s="784">
        <v>24141629</v>
      </c>
      <c r="V88" s="784" t="s">
        <v>131</v>
      </c>
      <c r="W88" s="1202" t="s">
        <v>199</v>
      </c>
      <c r="X88" s="786">
        <v>24685.312999999998</v>
      </c>
      <c r="Y88" s="1202" t="s">
        <v>200</v>
      </c>
      <c r="Z88" s="1077">
        <v>1</v>
      </c>
      <c r="AA88" s="1077">
        <v>1</v>
      </c>
      <c r="AB88" s="1078" t="s">
        <v>204</v>
      </c>
      <c r="AC88" s="1192"/>
    </row>
    <row r="89" spans="18:33" ht="15.6">
      <c r="R89" s="1201" t="s">
        <v>452</v>
      </c>
      <c r="S89" s="1227">
        <v>3331561832</v>
      </c>
      <c r="T89" s="1209" t="s">
        <v>287</v>
      </c>
      <c r="U89" s="1227">
        <v>24141630</v>
      </c>
      <c r="V89" s="784" t="s">
        <v>131</v>
      </c>
      <c r="W89" s="1202" t="s">
        <v>199</v>
      </c>
      <c r="X89" s="1229">
        <v>23591.991000000002</v>
      </c>
      <c r="Y89" s="1202" t="s">
        <v>200</v>
      </c>
      <c r="Z89" s="1202">
        <v>1</v>
      </c>
      <c r="AA89" s="1202">
        <v>1</v>
      </c>
      <c r="AB89" s="1244" t="s">
        <v>204</v>
      </c>
      <c r="AC89" s="1192"/>
    </row>
    <row r="90" spans="18:33" ht="15.6">
      <c r="R90" s="1201" t="s">
        <v>463</v>
      </c>
      <c r="S90" s="1227">
        <v>3331561836</v>
      </c>
      <c r="T90" s="1209" t="s">
        <v>27</v>
      </c>
      <c r="U90" s="1227">
        <v>24141631</v>
      </c>
      <c r="V90" s="784" t="s">
        <v>158</v>
      </c>
      <c r="W90" s="1202" t="s">
        <v>340</v>
      </c>
      <c r="X90" s="1229">
        <v>25807.396000000001</v>
      </c>
      <c r="Y90" s="1202" t="s">
        <v>200</v>
      </c>
      <c r="Z90" s="1202">
        <v>1</v>
      </c>
      <c r="AA90" s="1202">
        <v>1</v>
      </c>
      <c r="AB90" s="1244" t="s">
        <v>204</v>
      </c>
      <c r="AC90" s="1192"/>
    </row>
    <row r="91" spans="18:33" ht="15.6">
      <c r="R91" s="1201" t="s">
        <v>463</v>
      </c>
      <c r="S91" s="1227">
        <v>3331561843</v>
      </c>
      <c r="T91" s="1209" t="s">
        <v>27</v>
      </c>
      <c r="U91" s="1227">
        <v>24141632</v>
      </c>
      <c r="V91" s="784" t="s">
        <v>158</v>
      </c>
      <c r="W91" s="1202" t="s">
        <v>340</v>
      </c>
      <c r="X91" s="1229">
        <v>24944.397000000001</v>
      </c>
      <c r="Y91" s="1202" t="s">
        <v>200</v>
      </c>
      <c r="Z91" s="1202">
        <v>1</v>
      </c>
      <c r="AA91" s="1202">
        <v>1</v>
      </c>
      <c r="AB91" s="1244" t="s">
        <v>204</v>
      </c>
      <c r="AC91" s="1192"/>
    </row>
    <row r="92" spans="18:33" ht="15.6">
      <c r="R92" s="1201" t="s">
        <v>463</v>
      </c>
      <c r="S92" s="1227">
        <v>3331561861</v>
      </c>
      <c r="T92" s="1209" t="s">
        <v>27</v>
      </c>
      <c r="U92" s="1227">
        <v>24141644</v>
      </c>
      <c r="V92" s="784" t="s">
        <v>368</v>
      </c>
      <c r="W92" s="1202" t="s">
        <v>340</v>
      </c>
      <c r="X92" s="1229">
        <v>24161.957999999999</v>
      </c>
      <c r="Y92" s="1202" t="s">
        <v>200</v>
      </c>
      <c r="Z92" s="1202">
        <v>1</v>
      </c>
      <c r="AA92" s="1202">
        <v>1</v>
      </c>
      <c r="AB92" s="1244" t="s">
        <v>204</v>
      </c>
      <c r="AC92" s="1192"/>
    </row>
    <row r="93" spans="18:33" ht="15.6">
      <c r="R93" s="1201" t="s">
        <v>463</v>
      </c>
      <c r="S93" s="1227">
        <v>3331561862</v>
      </c>
      <c r="T93" s="1209" t="s">
        <v>27</v>
      </c>
      <c r="U93" s="1227">
        <v>24141645</v>
      </c>
      <c r="V93" s="1227" t="s">
        <v>368</v>
      </c>
      <c r="W93" s="1202" t="s">
        <v>340</v>
      </c>
      <c r="X93" s="1229">
        <v>24898.075000000001</v>
      </c>
      <c r="Y93" s="1202" t="s">
        <v>200</v>
      </c>
      <c r="Z93" s="1202">
        <v>1</v>
      </c>
      <c r="AA93" s="1202">
        <v>1</v>
      </c>
      <c r="AB93" s="1244" t="s">
        <v>204</v>
      </c>
      <c r="AC93" s="1192"/>
    </row>
    <row r="94" spans="18:33" ht="15.6">
      <c r="R94" s="1201" t="s">
        <v>428</v>
      </c>
      <c r="S94" s="1201">
        <v>3331561869</v>
      </c>
      <c r="T94" s="1209" t="s">
        <v>27</v>
      </c>
      <c r="U94" s="1227">
        <v>24141646</v>
      </c>
      <c r="V94" s="1230" t="s">
        <v>368</v>
      </c>
      <c r="W94" s="1202" t="s">
        <v>340</v>
      </c>
      <c r="X94" s="1253">
        <v>23945.453000000001</v>
      </c>
      <c r="Y94" s="1077" t="s">
        <v>200</v>
      </c>
      <c r="Z94" s="1202">
        <v>1</v>
      </c>
      <c r="AA94" s="1202">
        <v>1</v>
      </c>
      <c r="AB94" s="1244" t="s">
        <v>204</v>
      </c>
      <c r="AC94" s="1192"/>
    </row>
    <row r="95" spans="18:33" ht="15.6">
      <c r="R95" s="1201" t="s">
        <v>428</v>
      </c>
      <c r="S95" s="1201">
        <v>3331561873</v>
      </c>
      <c r="T95" s="1209" t="s">
        <v>27</v>
      </c>
      <c r="U95" s="1227">
        <v>24141647</v>
      </c>
      <c r="V95" s="1230" t="s">
        <v>368</v>
      </c>
      <c r="W95" s="1202" t="s">
        <v>340</v>
      </c>
      <c r="X95" s="1229">
        <v>23382.54</v>
      </c>
      <c r="Y95" s="1077" t="s">
        <v>200</v>
      </c>
      <c r="Z95" s="1202">
        <v>1</v>
      </c>
      <c r="AA95" s="1202">
        <v>1</v>
      </c>
      <c r="AB95" s="1244" t="s">
        <v>204</v>
      </c>
      <c r="AC95" s="1192"/>
    </row>
    <row r="96" spans="18:33" ht="15.6">
      <c r="R96" s="1201" t="s">
        <v>463</v>
      </c>
      <c r="S96" s="1227">
        <v>3331561903</v>
      </c>
      <c r="T96" s="1209" t="s">
        <v>27</v>
      </c>
      <c r="U96" s="1227">
        <v>24141648</v>
      </c>
      <c r="V96" s="1227" t="s">
        <v>601</v>
      </c>
      <c r="W96" s="1202" t="s">
        <v>199</v>
      </c>
      <c r="X96" s="1229">
        <v>23025.704000000002</v>
      </c>
      <c r="Y96" s="1077" t="s">
        <v>200</v>
      </c>
      <c r="Z96" s="1202">
        <v>1</v>
      </c>
      <c r="AA96" s="1202">
        <v>1</v>
      </c>
      <c r="AB96" s="1244" t="s">
        <v>204</v>
      </c>
      <c r="AC96" s="1192"/>
    </row>
    <row r="97" spans="18:29" ht="15.6">
      <c r="R97" s="1201" t="s">
        <v>463</v>
      </c>
      <c r="S97" s="1227">
        <v>3331561898</v>
      </c>
      <c r="T97" s="1209" t="s">
        <v>27</v>
      </c>
      <c r="U97" s="1227">
        <v>24141649</v>
      </c>
      <c r="V97" s="1227" t="s">
        <v>601</v>
      </c>
      <c r="W97" s="1202" t="s">
        <v>199</v>
      </c>
      <c r="X97" s="1229">
        <f>8349.8+3525.406+12396.874</f>
        <v>24272.079999999998</v>
      </c>
      <c r="Y97" s="1077" t="s">
        <v>200</v>
      </c>
      <c r="Z97" s="1202">
        <v>1</v>
      </c>
      <c r="AA97" s="1202">
        <v>1</v>
      </c>
      <c r="AB97" s="1244" t="s">
        <v>204</v>
      </c>
      <c r="AC97" s="1192"/>
    </row>
    <row r="98" spans="18:29" ht="15.6">
      <c r="R98" s="1201" t="s">
        <v>463</v>
      </c>
      <c r="S98" s="1227">
        <v>3331561908</v>
      </c>
      <c r="T98" s="1229" t="s">
        <v>256</v>
      </c>
      <c r="U98" s="1227" t="s">
        <v>256</v>
      </c>
      <c r="V98" s="1227" t="s">
        <v>256</v>
      </c>
      <c r="W98" s="1227" t="s">
        <v>256</v>
      </c>
      <c r="X98" s="1229" t="s">
        <v>256</v>
      </c>
      <c r="Y98" s="1202" t="s">
        <v>256</v>
      </c>
      <c r="Z98" s="1202" t="s">
        <v>256</v>
      </c>
      <c r="AA98" s="1202" t="s">
        <v>256</v>
      </c>
      <c r="AB98" s="1244" t="s">
        <v>256</v>
      </c>
      <c r="AC98" s="1192"/>
    </row>
    <row r="99" spans="18:29" ht="15.6">
      <c r="R99" s="1201" t="s">
        <v>455</v>
      </c>
      <c r="S99" s="1227">
        <v>3331561915</v>
      </c>
      <c r="T99" s="1227" t="s">
        <v>256</v>
      </c>
      <c r="U99" s="1227" t="s">
        <v>256</v>
      </c>
      <c r="V99" s="1227" t="s">
        <v>256</v>
      </c>
      <c r="W99" s="1202" t="s">
        <v>256</v>
      </c>
      <c r="X99" s="1229" t="s">
        <v>256</v>
      </c>
      <c r="Y99" s="1202" t="s">
        <v>256</v>
      </c>
      <c r="Z99" s="1202" t="s">
        <v>256</v>
      </c>
      <c r="AA99" s="1202" t="s">
        <v>256</v>
      </c>
      <c r="AB99" s="1244" t="s">
        <v>256</v>
      </c>
      <c r="AC99" s="1192"/>
    </row>
    <row r="100" spans="18:29" ht="15.6">
      <c r="R100" s="1189"/>
      <c r="S100" s="1189"/>
      <c r="T100" s="1224"/>
      <c r="U100" s="1224"/>
      <c r="V100" s="1224"/>
      <c r="W100" s="1224"/>
      <c r="X100" s="1225"/>
      <c r="Y100" s="1190"/>
      <c r="Z100" s="1190"/>
      <c r="AA100" s="1190"/>
      <c r="AB100" s="1241"/>
      <c r="AC100" s="1192"/>
    </row>
    <row r="101" spans="18:29" ht="15.6">
      <c r="R101" s="1189"/>
      <c r="S101" s="1189"/>
      <c r="T101" s="1106"/>
      <c r="U101" s="1224"/>
      <c r="V101" s="1224"/>
      <c r="W101" s="1224"/>
      <c r="X101" s="1225"/>
      <c r="Y101" s="1190"/>
      <c r="Z101" s="1190"/>
      <c r="AA101" s="1190"/>
      <c r="AB101" s="1241"/>
      <c r="AC101" s="1192"/>
    </row>
    <row r="102" spans="18:29" ht="15.6">
      <c r="R102" s="1189"/>
      <c r="S102" s="1224"/>
      <c r="T102" s="1106"/>
      <c r="U102" s="1224"/>
      <c r="V102" s="1224"/>
      <c r="W102" s="1224"/>
      <c r="X102" s="1225"/>
      <c r="Y102" s="1190"/>
      <c r="Z102" s="1190"/>
      <c r="AA102" s="1190"/>
      <c r="AB102" s="1241"/>
      <c r="AC102" s="1192"/>
    </row>
    <row r="103" spans="18:29" ht="15.6">
      <c r="R103" s="1189"/>
      <c r="S103" s="1224"/>
      <c r="T103" s="1106"/>
      <c r="U103" s="1224"/>
      <c r="V103" s="1224"/>
      <c r="W103" s="1224"/>
      <c r="X103" s="1225"/>
      <c r="Y103" s="1190"/>
      <c r="Z103" s="1190"/>
      <c r="AA103" s="1190"/>
      <c r="AB103" s="1241"/>
      <c r="AC103" s="1192"/>
    </row>
    <row r="104" spans="18:29" ht="15.6">
      <c r="R104" s="1189"/>
      <c r="S104" s="1224"/>
      <c r="T104" s="1106"/>
      <c r="U104" s="1224"/>
      <c r="V104" s="1224"/>
      <c r="W104" s="1224"/>
      <c r="X104" s="1225"/>
      <c r="Y104" s="1190"/>
      <c r="Z104" s="1190"/>
      <c r="AA104" s="1190"/>
      <c r="AB104" s="1241"/>
      <c r="AC104" s="1192"/>
    </row>
    <row r="105" spans="18:29" ht="15.6">
      <c r="R105" s="1189"/>
      <c r="S105" s="1224"/>
      <c r="T105" s="1224"/>
      <c r="U105" s="1224"/>
      <c r="V105" s="1224"/>
      <c r="W105" s="1224"/>
      <c r="X105" s="1225"/>
      <c r="Y105" s="1190"/>
      <c r="Z105" s="1190"/>
      <c r="AA105" s="1190"/>
      <c r="AB105" s="1241"/>
      <c r="AC105" s="1192"/>
    </row>
    <row r="106" spans="18:29" ht="15.6">
      <c r="R106" s="1189"/>
      <c r="S106" s="1224"/>
      <c r="T106" s="1224"/>
      <c r="U106" s="1224"/>
      <c r="V106" s="1224"/>
      <c r="W106" s="1224"/>
      <c r="X106" s="1225"/>
      <c r="Y106" s="1190"/>
      <c r="Z106" s="1190"/>
      <c r="AA106" s="1190"/>
      <c r="AB106" s="1241"/>
      <c r="AC106" s="1192"/>
    </row>
    <row r="107" spans="18:29" ht="15.6">
      <c r="R107" s="1189"/>
      <c r="S107" s="1224"/>
      <c r="T107" s="1224"/>
      <c r="U107" s="1224"/>
      <c r="V107" s="1224"/>
      <c r="W107" s="1224"/>
      <c r="X107" s="1225"/>
      <c r="Y107" s="1190"/>
      <c r="Z107" s="1190"/>
      <c r="AA107" s="1190"/>
      <c r="AB107" s="1241"/>
      <c r="AC107" s="1192"/>
    </row>
    <row r="108" spans="18:29" ht="15.6">
      <c r="R108" s="1189"/>
      <c r="S108" s="1224"/>
      <c r="T108" s="1225"/>
      <c r="U108" s="1224"/>
      <c r="V108" s="1224"/>
      <c r="W108" s="1224"/>
      <c r="X108" s="1225"/>
      <c r="Y108" s="1190"/>
      <c r="Z108" s="1190"/>
      <c r="AA108" s="1190"/>
      <c r="AB108" s="1241"/>
      <c r="AC108" s="1192"/>
    </row>
    <row r="109" spans="18:29" s="44" customFormat="1" ht="15.6">
      <c r="R109" s="1189"/>
      <c r="S109" s="1224"/>
      <c r="T109" s="1224"/>
      <c r="U109" s="1224"/>
      <c r="V109" s="1224"/>
      <c r="W109" s="1224"/>
      <c r="X109" s="1225"/>
      <c r="Y109" s="1190"/>
      <c r="Z109" s="1190"/>
      <c r="AA109" s="1190"/>
      <c r="AB109" s="1241"/>
      <c r="AC109" s="1192"/>
    </row>
    <row r="110" spans="18:29" s="44" customFormat="1" ht="15.6">
      <c r="R110" s="1189"/>
      <c r="S110" s="1224"/>
      <c r="T110" s="1224"/>
      <c r="U110" s="1224"/>
      <c r="V110" s="1224"/>
      <c r="W110" s="1224"/>
      <c r="X110" s="1225"/>
      <c r="Y110" s="1190"/>
      <c r="Z110" s="1190"/>
      <c r="AA110" s="1190"/>
      <c r="AB110" s="1241"/>
      <c r="AC110" s="1192"/>
    </row>
    <row r="111" spans="18:29" s="44" customFormat="1" ht="15.6">
      <c r="R111" s="1189"/>
      <c r="S111" s="1224"/>
      <c r="T111" s="1224"/>
      <c r="U111" s="1224"/>
      <c r="V111" s="1224"/>
      <c r="W111" s="1224"/>
      <c r="X111" s="1225"/>
      <c r="Y111" s="1190"/>
      <c r="Z111" s="1190"/>
      <c r="AA111" s="1190"/>
      <c r="AB111" s="1241"/>
      <c r="AC111" s="1192"/>
    </row>
    <row r="112" spans="18:29" s="44" customFormat="1" ht="15.6">
      <c r="R112" s="1189"/>
      <c r="S112" s="1224"/>
      <c r="T112" s="1224"/>
      <c r="U112" s="1224"/>
      <c r="V112" s="1224"/>
      <c r="W112" s="1224"/>
      <c r="X112" s="1225"/>
      <c r="Y112" s="1190"/>
      <c r="Z112" s="1190"/>
      <c r="AA112" s="1190"/>
      <c r="AB112" s="1241"/>
      <c r="AC112" s="1192"/>
    </row>
    <row r="113" spans="18:29" s="44" customFormat="1" ht="15.6">
      <c r="R113" s="1189"/>
      <c r="S113" s="1224"/>
      <c r="T113" s="1224"/>
      <c r="U113" s="1224"/>
      <c r="V113" s="1224"/>
      <c r="W113" s="1224"/>
      <c r="X113" s="1225"/>
      <c r="Y113" s="1190"/>
      <c r="Z113" s="1190"/>
      <c r="AA113" s="1190"/>
      <c r="AB113" s="1241"/>
      <c r="AC113" s="1192"/>
    </row>
    <row r="114" spans="18:29" s="44" customFormat="1" ht="15.6">
      <c r="R114" s="1189"/>
      <c r="S114" s="1190"/>
      <c r="T114" s="1106"/>
      <c r="U114" s="1190"/>
      <c r="V114" s="1190"/>
      <c r="W114" s="1190"/>
      <c r="X114" s="1191"/>
      <c r="Y114" s="1190"/>
      <c r="Z114" s="1106"/>
      <c r="AA114" s="1106"/>
      <c r="AB114" s="1110"/>
      <c r="AC114" s="1192"/>
    </row>
    <row r="115" spans="18:29" s="44" customFormat="1" ht="15.6">
      <c r="R115" s="1189"/>
      <c r="S115" s="1190"/>
      <c r="T115" s="1106"/>
      <c r="U115" s="1190"/>
      <c r="V115" s="1190"/>
      <c r="W115" s="1190"/>
      <c r="X115" s="1191"/>
      <c r="Y115" s="1190"/>
      <c r="Z115" s="1106"/>
      <c r="AA115" s="1106"/>
      <c r="AB115" s="1110"/>
      <c r="AC115" s="1192"/>
    </row>
    <row r="116" spans="18:29" s="44" customFormat="1" ht="15.6">
      <c r="R116" s="1189"/>
      <c r="S116" s="1190"/>
      <c r="T116" s="1106"/>
      <c r="U116" s="1190"/>
      <c r="V116" s="1190"/>
      <c r="W116" s="1190"/>
      <c r="X116" s="1191"/>
      <c r="Y116" s="1190"/>
      <c r="Z116" s="1106"/>
      <c r="AA116" s="1106"/>
      <c r="AB116" s="1110"/>
      <c r="AC116" s="1192"/>
    </row>
    <row r="117" spans="18:29" ht="15.6">
      <c r="R117" s="1189"/>
      <c r="S117" s="1190"/>
      <c r="T117" s="1106"/>
      <c r="U117" s="1190"/>
      <c r="V117" s="1190"/>
      <c r="W117" s="1190"/>
      <c r="X117" s="1191"/>
      <c r="Y117" s="1190"/>
      <c r="Z117" s="1106"/>
      <c r="AA117" s="1106"/>
      <c r="AB117" s="1110"/>
      <c r="AC117" s="1192"/>
    </row>
    <row r="118" spans="18:29" ht="15.6"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10"/>
      <c r="AC118" s="1192"/>
    </row>
    <row r="119" spans="18:29" ht="15.6">
      <c r="R119" s="1189"/>
      <c r="S119" s="1190"/>
      <c r="T119" s="1106"/>
      <c r="U119" s="1190"/>
      <c r="V119" s="1190"/>
      <c r="W119" s="1190"/>
      <c r="X119" s="1191"/>
      <c r="Y119" s="1190"/>
      <c r="Z119" s="1106"/>
      <c r="AA119" s="1106"/>
      <c r="AB119" s="1110"/>
      <c r="AC119" s="1192"/>
    </row>
    <row r="120" spans="18:29" ht="15.6">
      <c r="R120" s="1189"/>
      <c r="S120" s="1190"/>
      <c r="T120" s="1106"/>
      <c r="U120" s="1190"/>
      <c r="V120" s="1190"/>
      <c r="W120" s="1190"/>
      <c r="X120" s="1191"/>
      <c r="Y120" s="1190"/>
      <c r="Z120" s="1106"/>
      <c r="AA120" s="1106"/>
      <c r="AB120" s="1110"/>
      <c r="AC120" s="1192"/>
    </row>
    <row r="121" spans="18:29" ht="15.6">
      <c r="R121" s="1189"/>
      <c r="S121" s="1190"/>
      <c r="T121" s="1106"/>
      <c r="U121" s="1190"/>
      <c r="V121" s="1190"/>
      <c r="W121" s="1190"/>
      <c r="X121" s="1191"/>
      <c r="Y121" s="1190"/>
      <c r="Z121" s="1106"/>
      <c r="AA121" s="1106"/>
      <c r="AB121" s="1110"/>
      <c r="AC121" s="1192"/>
    </row>
    <row r="122" spans="18:29" ht="15.6">
      <c r="R122" s="1189"/>
      <c r="S122" s="1190"/>
      <c r="T122" s="1106"/>
      <c r="U122" s="1190"/>
      <c r="V122" s="1190"/>
      <c r="W122" s="1190"/>
      <c r="X122" s="1191"/>
      <c r="Y122" s="1190"/>
      <c r="Z122" s="1106"/>
      <c r="AA122" s="1106"/>
      <c r="AB122" s="1110"/>
      <c r="AC122" s="1192"/>
    </row>
    <row r="123" spans="18:29" ht="15.6">
      <c r="R123" s="1189"/>
      <c r="S123" s="1190"/>
      <c r="T123" s="1106"/>
      <c r="U123" s="1190"/>
      <c r="V123" s="1190"/>
      <c r="W123" s="1190"/>
      <c r="X123" s="1191"/>
      <c r="Y123" s="1190"/>
      <c r="Z123" s="1190"/>
      <c r="AA123" s="1190"/>
      <c r="AB123" s="1110"/>
      <c r="AC123" s="1192"/>
    </row>
    <row r="124" spans="18:29" ht="15.6">
      <c r="R124" s="1189"/>
      <c r="S124" s="1190"/>
      <c r="T124" s="1106"/>
      <c r="U124" s="1190"/>
      <c r="V124" s="1190"/>
      <c r="W124" s="1190"/>
      <c r="X124" s="1191"/>
      <c r="Y124" s="1190"/>
      <c r="Z124" s="1190"/>
      <c r="AA124" s="1190"/>
      <c r="AB124" s="1110"/>
      <c r="AC124" s="1192"/>
    </row>
    <row r="125" spans="18:29" ht="15.6">
      <c r="R125" s="1189"/>
      <c r="S125" s="1190"/>
      <c r="T125" s="1106"/>
      <c r="U125" s="1190"/>
      <c r="V125" s="1190"/>
      <c r="W125" s="1190"/>
      <c r="X125" s="1191"/>
      <c r="Y125" s="1190"/>
      <c r="Z125" s="1190"/>
      <c r="AA125" s="1190"/>
      <c r="AB125" s="1110"/>
      <c r="AC125" s="1192"/>
    </row>
    <row r="126" spans="18:29" ht="15.6">
      <c r="R126" s="1189"/>
      <c r="S126" s="1190"/>
      <c r="T126" s="1106"/>
      <c r="U126" s="1190"/>
      <c r="V126" s="1190"/>
      <c r="W126" s="1190"/>
      <c r="X126" s="1191"/>
      <c r="Y126" s="1190"/>
      <c r="Z126" s="1106"/>
      <c r="AA126" s="1106"/>
      <c r="AB126" s="1110"/>
      <c r="AC126" s="1192"/>
    </row>
    <row r="127" spans="18:29" ht="15.6">
      <c r="R127" s="1189"/>
      <c r="S127" s="1190"/>
      <c r="T127" s="1106"/>
      <c r="U127" s="1190"/>
      <c r="V127" s="1190"/>
      <c r="W127" s="1190"/>
      <c r="X127" s="1191"/>
      <c r="Y127" s="1190"/>
      <c r="Z127" s="1190"/>
      <c r="AA127" s="1190"/>
      <c r="AB127" s="1110"/>
      <c r="AC127" s="1192"/>
    </row>
    <row r="128" spans="18:29">
      <c r="R128" s="1189"/>
      <c r="S128" s="1190"/>
      <c r="T128" s="1190"/>
      <c r="U128" s="1190"/>
      <c r="V128" s="1190"/>
      <c r="W128" s="1190"/>
      <c r="X128" s="1191"/>
      <c r="Y128" s="1190"/>
      <c r="Z128" s="1190"/>
      <c r="AA128" s="1190"/>
      <c r="AB128" s="1190"/>
      <c r="AC128" s="1192"/>
    </row>
    <row r="129" spans="18:29"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</row>
    <row r="130" spans="18:29"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</row>
    <row r="131" spans="18:29">
      <c r="R131" s="1189"/>
      <c r="S131" s="1190"/>
      <c r="T131" s="1106"/>
      <c r="U131" s="1190"/>
      <c r="V131" s="1190"/>
      <c r="W131" s="1190"/>
      <c r="X131" s="1191"/>
      <c r="Y131" s="1190"/>
      <c r="Z131" s="1190"/>
      <c r="AA131" s="1190"/>
      <c r="AB131" s="1190"/>
      <c r="AC131" s="1192"/>
    </row>
    <row r="132" spans="18:29">
      <c r="R132" s="1189"/>
      <c r="S132" s="1190"/>
      <c r="T132" s="1106"/>
      <c r="U132" s="1190"/>
      <c r="V132" s="1190"/>
      <c r="W132" s="1190"/>
      <c r="X132" s="1191"/>
      <c r="Y132" s="1190"/>
      <c r="Z132" s="1190"/>
      <c r="AA132" s="1190"/>
      <c r="AB132" s="1190"/>
      <c r="AC132" s="1192"/>
    </row>
    <row r="133" spans="18:29">
      <c r="R133" s="1189"/>
      <c r="S133" s="1190"/>
      <c r="T133" s="1106"/>
      <c r="U133" s="1190"/>
      <c r="V133" s="1190"/>
      <c r="W133" s="1190"/>
      <c r="X133" s="1191"/>
      <c r="Y133" s="1190"/>
      <c r="Z133" s="1190"/>
      <c r="AA133" s="1190"/>
      <c r="AB133" s="1190"/>
      <c r="AC133" s="1192"/>
    </row>
    <row r="134" spans="18:29">
      <c r="R134" s="1189"/>
      <c r="S134" s="1190"/>
      <c r="T134" s="1106"/>
      <c r="U134" s="1190"/>
      <c r="V134" s="1190"/>
      <c r="W134" s="1190"/>
      <c r="X134" s="1191"/>
      <c r="Y134" s="1190"/>
      <c r="Z134" s="1190"/>
      <c r="AA134" s="1190"/>
      <c r="AB134" s="1190"/>
      <c r="AC134" s="1192"/>
    </row>
    <row r="135" spans="18:29">
      <c r="R135" s="1189"/>
      <c r="S135" s="1190"/>
      <c r="T135" s="1106"/>
      <c r="U135" s="1190"/>
      <c r="V135" s="1190"/>
      <c r="W135" s="1190"/>
      <c r="X135" s="1191"/>
      <c r="Y135" s="1190"/>
      <c r="Z135" s="1190"/>
      <c r="AA135" s="1190"/>
      <c r="AB135" s="1190"/>
      <c r="AC135" s="1192"/>
    </row>
    <row r="136" spans="18:29">
      <c r="R136" s="1189"/>
      <c r="S136" s="1190"/>
      <c r="T136" s="1106"/>
      <c r="U136" s="1190"/>
      <c r="V136" s="1190"/>
      <c r="W136" s="1190"/>
      <c r="X136" s="1191"/>
      <c r="Y136" s="1190"/>
      <c r="Z136" s="1190"/>
      <c r="AA136" s="1190"/>
      <c r="AB136" s="1190"/>
      <c r="AC136" s="1192"/>
    </row>
    <row r="137" spans="18:29">
      <c r="R137" s="1189"/>
      <c r="S137" s="1190"/>
      <c r="T137" s="1106"/>
      <c r="U137" s="1190"/>
      <c r="V137" s="1190"/>
      <c r="W137" s="1190"/>
      <c r="X137" s="1191"/>
      <c r="Y137" s="1190"/>
      <c r="Z137" s="1190"/>
      <c r="AA137" s="1190"/>
      <c r="AB137" s="1190"/>
      <c r="AC137" s="1192"/>
    </row>
    <row r="138" spans="18:29">
      <c r="R138" s="1189"/>
      <c r="S138" s="1190"/>
      <c r="T138" s="1106"/>
      <c r="U138" s="1190"/>
      <c r="V138" s="1190"/>
      <c r="W138" s="1190"/>
      <c r="X138" s="1191"/>
      <c r="Y138" s="1190"/>
      <c r="Z138" s="1190"/>
      <c r="AA138" s="1190"/>
      <c r="AB138" s="1190"/>
      <c r="AC138" s="1192"/>
    </row>
    <row r="139" spans="18:29">
      <c r="R139" s="1189"/>
      <c r="S139" s="1190"/>
      <c r="T139" s="1106"/>
      <c r="U139" s="1190"/>
      <c r="V139" s="1190"/>
      <c r="W139" s="1190"/>
      <c r="X139" s="1191"/>
      <c r="Y139" s="1190"/>
      <c r="Z139" s="1190"/>
      <c r="AA139" s="1190"/>
      <c r="AB139" s="1190"/>
      <c r="AC139" s="1192"/>
    </row>
    <row r="140" spans="18:29"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</row>
    <row r="141" spans="18:29">
      <c r="R141" s="1189"/>
      <c r="S141" s="1190"/>
      <c r="T141" s="1106"/>
      <c r="U141" s="1190"/>
      <c r="V141" s="1190"/>
      <c r="W141" s="1190"/>
      <c r="X141" s="1191"/>
      <c r="Y141" s="1190"/>
      <c r="Z141" s="1190"/>
      <c r="AA141" s="1190"/>
      <c r="AB141" s="1190"/>
      <c r="AC141" s="1192"/>
    </row>
    <row r="142" spans="18:29">
      <c r="R142" s="1189"/>
      <c r="S142" s="1190"/>
      <c r="T142" s="1106"/>
      <c r="U142" s="1190"/>
      <c r="V142" s="1190"/>
      <c r="W142" s="1190"/>
      <c r="X142" s="1191"/>
      <c r="Y142" s="1190"/>
      <c r="Z142" s="1190"/>
      <c r="AA142" s="1190"/>
      <c r="AB142" s="1190"/>
      <c r="AC142" s="1192"/>
    </row>
    <row r="143" spans="18:29">
      <c r="R143" s="1189"/>
      <c r="S143" s="1190"/>
      <c r="T143" s="1106"/>
      <c r="U143" s="1190"/>
      <c r="V143" s="1190"/>
      <c r="W143" s="1190"/>
      <c r="X143" s="1191"/>
      <c r="Y143" s="1190"/>
      <c r="Z143" s="1190"/>
      <c r="AA143" s="1190"/>
      <c r="AB143" s="1190"/>
      <c r="AC143" s="1192"/>
    </row>
    <row r="144" spans="18:29">
      <c r="R144" s="1189"/>
      <c r="S144" s="1190"/>
      <c r="T144" s="1190"/>
      <c r="U144" s="1190"/>
      <c r="V144" s="1190"/>
      <c r="W144" s="1190"/>
      <c r="X144" s="1193"/>
      <c r="Y144" s="1190"/>
      <c r="Z144" s="1190"/>
      <c r="AA144" s="1190"/>
      <c r="AB144" s="1190"/>
      <c r="AC144" s="1192"/>
    </row>
    <row r="145" spans="18:29"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</row>
    <row r="146" spans="18:29">
      <c r="R146" s="1194"/>
      <c r="S146" s="1195"/>
      <c r="T146" s="1195"/>
      <c r="U146" s="1195"/>
      <c r="V146" s="1195"/>
      <c r="W146" s="1195"/>
      <c r="X146" s="1196"/>
      <c r="Y146" s="1195"/>
      <c r="Z146" s="1195"/>
      <c r="AA146" s="1195"/>
      <c r="AB146" s="1195"/>
      <c r="AC146" s="1197"/>
    </row>
    <row r="147" spans="18:29">
      <c r="R147" s="1194"/>
      <c r="S147" s="1195"/>
      <c r="T147" s="1195"/>
      <c r="U147" s="1195"/>
      <c r="V147" s="1195"/>
      <c r="W147" s="1195"/>
      <c r="X147" s="1196"/>
      <c r="Y147" s="1195"/>
      <c r="Z147" s="1195"/>
      <c r="AA147" s="1195"/>
      <c r="AB147" s="1195"/>
      <c r="AC147" s="1197"/>
    </row>
    <row r="148" spans="18:29">
      <c r="R148" s="1198"/>
      <c r="S148" s="1198"/>
      <c r="T148" s="1198"/>
      <c r="U148" s="1198"/>
      <c r="V148" s="1198"/>
      <c r="W148" s="1198"/>
      <c r="X148" s="1198"/>
      <c r="Y148" s="1198"/>
      <c r="Z148" s="1198"/>
      <c r="AA148" s="1198"/>
      <c r="AB148" s="1198"/>
      <c r="AC148" s="1198"/>
    </row>
    <row r="149" spans="18:29">
      <c r="R149" s="1198"/>
      <c r="S149" s="1198"/>
      <c r="T149" s="1198"/>
      <c r="U149" s="1198"/>
      <c r="V149" s="1198"/>
      <c r="W149" s="1198"/>
      <c r="X149" s="1198"/>
      <c r="Y149" s="1198"/>
      <c r="Z149" s="1198"/>
      <c r="AA149" s="1198"/>
      <c r="AB149" s="1198"/>
      <c r="AC149" s="1198"/>
    </row>
    <row r="150" spans="18:29">
      <c r="R150" s="1198"/>
      <c r="S150" s="1198"/>
      <c r="T150" s="1198"/>
      <c r="U150" s="1198"/>
      <c r="V150" s="1198"/>
      <c r="W150" s="1198"/>
      <c r="X150" s="1198"/>
      <c r="Y150" s="1198"/>
      <c r="Z150" s="1198"/>
      <c r="AA150" s="1198"/>
      <c r="AB150" s="1198"/>
      <c r="AC150" s="1198"/>
    </row>
    <row r="151" spans="18:29">
      <c r="R151" s="1198"/>
      <c r="S151" s="1198"/>
      <c r="T151" s="1198"/>
      <c r="U151" s="1198"/>
      <c r="V151" s="1198"/>
      <c r="W151" s="1198"/>
      <c r="X151" s="1198"/>
      <c r="Y151" s="1198"/>
      <c r="Z151" s="1198"/>
      <c r="AA151" s="1198"/>
      <c r="AB151" s="1198"/>
      <c r="AC151" s="1198"/>
    </row>
    <row r="152" spans="18:29">
      <c r="R152" s="1198"/>
      <c r="S152" s="1198"/>
      <c r="T152" s="1198"/>
      <c r="U152" s="1198"/>
      <c r="V152" s="1198"/>
      <c r="W152" s="1198"/>
      <c r="X152" s="1198"/>
      <c r="Y152" s="1198"/>
      <c r="Z152" s="1198"/>
      <c r="AA152" s="1198"/>
      <c r="AB152" s="1198"/>
      <c r="AC152" s="1198"/>
    </row>
    <row r="153" spans="18:29">
      <c r="R153" s="1198"/>
      <c r="S153" s="1198"/>
      <c r="T153" s="1198"/>
      <c r="U153" s="1198"/>
      <c r="V153" s="1198"/>
      <c r="W153" s="1198"/>
      <c r="X153" s="1198"/>
      <c r="Y153" s="1198"/>
      <c r="Z153" s="1198"/>
      <c r="AA153" s="1198"/>
      <c r="AB153" s="1198"/>
      <c r="AC153" s="1198"/>
    </row>
    <row r="154" spans="18:29">
      <c r="R154" s="1198"/>
      <c r="S154" s="1198"/>
      <c r="T154" s="1198"/>
      <c r="U154" s="1198"/>
      <c r="V154" s="1198"/>
      <c r="W154" s="1198"/>
      <c r="X154" s="1198"/>
      <c r="Y154" s="1198"/>
      <c r="Z154" s="1198"/>
      <c r="AA154" s="1198"/>
      <c r="AB154" s="1198"/>
      <c r="AC154" s="1198"/>
    </row>
    <row r="155" spans="18:29">
      <c r="R155" s="1198"/>
      <c r="S155" s="1198"/>
      <c r="T155" s="1198"/>
      <c r="U155" s="1198"/>
      <c r="V155" s="1198"/>
      <c r="W155" s="1198"/>
      <c r="X155" s="1198"/>
      <c r="Y155" s="1198"/>
      <c r="Z155" s="1198"/>
      <c r="AA155" s="1198"/>
      <c r="AB155" s="1198"/>
      <c r="AC155" s="1198"/>
    </row>
    <row r="156" spans="18:29">
      <c r="R156" s="1198"/>
      <c r="S156" s="1198"/>
      <c r="T156" s="1198"/>
      <c r="U156" s="1198"/>
      <c r="V156" s="1198"/>
      <c r="W156" s="1198"/>
      <c r="X156" s="1198"/>
      <c r="Y156" s="1198"/>
      <c r="Z156" s="1198"/>
      <c r="AA156" s="1198"/>
      <c r="AB156" s="1198"/>
      <c r="AC156" s="1198"/>
    </row>
    <row r="157" spans="18:29">
      <c r="R157" s="1198"/>
      <c r="S157" s="1198"/>
      <c r="T157" s="1198"/>
      <c r="U157" s="1198"/>
      <c r="V157" s="1198"/>
      <c r="W157" s="1198"/>
      <c r="X157" s="1198"/>
      <c r="Y157" s="1198"/>
      <c r="Z157" s="1198"/>
      <c r="AA157" s="1198"/>
      <c r="AB157" s="1198"/>
      <c r="AC157" s="1198"/>
    </row>
    <row r="158" spans="18:29">
      <c r="R158" s="1198"/>
      <c r="S158" s="1198"/>
      <c r="T158" s="1198"/>
      <c r="U158" s="1198"/>
      <c r="V158" s="1198"/>
      <c r="W158" s="1198"/>
      <c r="X158" s="1198"/>
      <c r="Y158" s="1198"/>
      <c r="Z158" s="1198"/>
      <c r="AA158" s="1198"/>
      <c r="AB158" s="1198"/>
      <c r="AC158" s="1198"/>
    </row>
    <row r="159" spans="18:29">
      <c r="R159" s="1198"/>
      <c r="S159" s="1198"/>
      <c r="T159" s="1198"/>
      <c r="U159" s="1198"/>
      <c r="V159" s="1198"/>
      <c r="W159" s="1198"/>
      <c r="X159" s="1198"/>
      <c r="Y159" s="1198"/>
      <c r="Z159" s="1198"/>
      <c r="AA159" s="1198"/>
      <c r="AB159" s="1198"/>
      <c r="AC159" s="1198"/>
    </row>
    <row r="160" spans="18:29">
      <c r="R160" s="1198"/>
      <c r="S160" s="1198"/>
      <c r="T160" s="1198"/>
      <c r="U160" s="1198"/>
      <c r="V160" s="1198"/>
      <c r="W160" s="1198"/>
      <c r="X160" s="1198"/>
      <c r="Y160" s="1198"/>
      <c r="Z160" s="1198"/>
      <c r="AA160" s="1198"/>
      <c r="AB160" s="1198"/>
      <c r="AC160" s="1198"/>
    </row>
    <row r="161" spans="18:29">
      <c r="R161" s="1198"/>
      <c r="S161" s="1198"/>
      <c r="T161" s="1198"/>
      <c r="U161" s="1198"/>
      <c r="V161" s="1198"/>
      <c r="W161" s="1198"/>
      <c r="X161" s="1198"/>
      <c r="Y161" s="1198"/>
      <c r="Z161" s="1198"/>
      <c r="AA161" s="1198"/>
      <c r="AB161" s="1198"/>
      <c r="AC161" s="1198"/>
    </row>
  </sheetData>
  <protectedRanges>
    <protectedRange algorithmName="SHA-512" hashValue="24Yg3M703G5L8OyJWxlkx8c1Gwfrkael5W/l3TUk/Rcz5tR8QOgCx5v0Ebb/UGz+9BDKPJ5wV4hH8uuxvmtGIw==" saltValue="ZSJQ8EEnwGxsiYzxIw6K0Q==" spinCount="100000" sqref="N4:N8 B4:D19 O4:P33 E4:M33 E34:P58 N10:N18 N20:N33" name="Range1_65_32_32_30_30_30_30_30_30_30_30"/>
    <protectedRange algorithmName="SHA-512" hashValue="XYWjC+iAz2ErgjMh7TSLHlxfTfK0uVcITDFdCCZFdnsWWbUNnsQqu9AM+0WFXQpYcy9ZvQx2KUXfpLhpOROHkg==" saltValue="47TiGLG0rJVTo3iAJH8T4w==" spinCount="100000" sqref="B22:D58" name="Range2_5_2_2_2_2_2_2_2_2_2_2"/>
    <protectedRange algorithmName="SHA-512" hashValue="24Yg3M703G5L8OyJWxlkx8c1Gwfrkael5W/l3TUk/Rcz5tR8QOgCx5v0Ebb/UGz+9BDKPJ5wV4hH8uuxvmtGIw==" saltValue="ZSJQ8EEnwGxsiYzxIw6K0Q==" spinCount="100000" sqref="B20:D58" name="Range1_65_32_2_2_2_2_2_2_2_2_2"/>
  </protectedRanges>
  <autoFilter ref="W156" xr:uid="{FA36621E-678C-472C-808F-0C0621D5BC39}"/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6:S9">
    <cfRule type="duplicateValues" dxfId="27" priority="2"/>
  </conditionalFormatting>
  <conditionalFormatting sqref="S12:S13">
    <cfRule type="duplicateValues" dxfId="26" priority="4"/>
  </conditionalFormatting>
  <conditionalFormatting sqref="S19:S22">
    <cfRule type="duplicateValues" dxfId="25" priority="3"/>
  </conditionalFormatting>
  <conditionalFormatting sqref="S23:S29">
    <cfRule type="duplicateValues" dxfId="24" priority="1"/>
  </conditionalFormatting>
  <conditionalFormatting sqref="S70:S76">
    <cfRule type="duplicateValues" dxfId="23" priority="5"/>
  </conditionalFormatting>
  <conditionalFormatting sqref="S77:S90 S2:S22 S30:S69">
    <cfRule type="duplicateValues" dxfId="22" priority="6"/>
  </conditionalFormatting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3A21-D2F6-4001-A3D7-651EB6D8BDC1}">
  <dimension ref="B3:F10"/>
  <sheetViews>
    <sheetView workbookViewId="0">
      <selection activeCell="B3" sqref="B3:F10"/>
    </sheetView>
  </sheetViews>
  <sheetFormatPr defaultRowHeight="14.4"/>
  <cols>
    <col min="2" max="2" width="11" bestFit="1" customWidth="1"/>
    <col min="3" max="3" width="12" bestFit="1" customWidth="1"/>
    <col min="4" max="4" width="10" bestFit="1" customWidth="1"/>
    <col min="5" max="5" width="9.88671875" bestFit="1" customWidth="1"/>
    <col min="6" max="6" width="36.33203125" bestFit="1" customWidth="1"/>
  </cols>
  <sheetData>
    <row r="3" spans="2:6">
      <c r="B3" s="1163" t="s">
        <v>454</v>
      </c>
      <c r="C3" s="1163">
        <v>3331560897</v>
      </c>
      <c r="D3" s="1068" t="s">
        <v>564</v>
      </c>
      <c r="E3" s="1163">
        <v>24141486</v>
      </c>
      <c r="F3" s="1163" t="s">
        <v>561</v>
      </c>
    </row>
    <row r="4" spans="2:6">
      <c r="B4" s="1167" t="s">
        <v>454</v>
      </c>
      <c r="C4" s="1167">
        <v>3331560898</v>
      </c>
      <c r="D4" s="1096" t="s">
        <v>563</v>
      </c>
      <c r="E4" s="1167">
        <v>24141487</v>
      </c>
      <c r="F4" s="1167" t="s">
        <v>561</v>
      </c>
    </row>
    <row r="5" spans="2:6">
      <c r="B5" s="1232" t="s">
        <v>454</v>
      </c>
      <c r="C5" s="1160">
        <v>3331560899</v>
      </c>
      <c r="D5" s="1068" t="s">
        <v>564</v>
      </c>
      <c r="E5" s="1160">
        <v>24141488</v>
      </c>
      <c r="F5" s="1163" t="s">
        <v>561</v>
      </c>
    </row>
    <row r="6" spans="2:6">
      <c r="B6" s="1233" t="s">
        <v>452</v>
      </c>
      <c r="C6" s="1187">
        <v>3331560902</v>
      </c>
      <c r="D6" s="1096" t="s">
        <v>564</v>
      </c>
      <c r="E6" s="1187">
        <v>24141490</v>
      </c>
      <c r="F6" s="1167" t="s">
        <v>561</v>
      </c>
    </row>
    <row r="7" spans="2:6">
      <c r="B7" s="1182" t="s">
        <v>454</v>
      </c>
      <c r="C7" s="1182">
        <v>3331560907</v>
      </c>
      <c r="D7" s="1096" t="s">
        <v>564</v>
      </c>
      <c r="E7" s="1182">
        <v>24141491</v>
      </c>
      <c r="F7" s="1167" t="s">
        <v>561</v>
      </c>
    </row>
    <row r="8" spans="2:6">
      <c r="B8" s="1167" t="s">
        <v>454</v>
      </c>
      <c r="C8" s="1167">
        <v>3331560909</v>
      </c>
      <c r="D8" s="1096" t="s">
        <v>563</v>
      </c>
      <c r="E8" s="1167">
        <v>24141494</v>
      </c>
      <c r="F8" s="1167" t="s">
        <v>561</v>
      </c>
    </row>
    <row r="9" spans="2:6">
      <c r="B9" s="1233" t="s">
        <v>454</v>
      </c>
      <c r="C9" s="1187">
        <v>3331560911</v>
      </c>
      <c r="D9" s="1096" t="s">
        <v>564</v>
      </c>
      <c r="E9" s="1187">
        <v>24141495</v>
      </c>
      <c r="F9" s="1167" t="s">
        <v>561</v>
      </c>
    </row>
    <row r="10" spans="2:6">
      <c r="B10" s="1233" t="s">
        <v>454</v>
      </c>
      <c r="C10" s="1187">
        <v>3331560912</v>
      </c>
      <c r="D10" s="1096" t="s">
        <v>564</v>
      </c>
      <c r="E10" s="1187">
        <v>24141496</v>
      </c>
      <c r="F10" s="1167" t="s">
        <v>561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E1E1-FD2A-4331-8FFC-0064198B5784}">
  <dimension ref="A1:AC104"/>
  <sheetViews>
    <sheetView showGridLines="0" topLeftCell="P1" workbookViewId="0">
      <selection activeCell="R1" sqref="R1:AB1"/>
    </sheetView>
  </sheetViews>
  <sheetFormatPr defaultRowHeight="14.4"/>
  <cols>
    <col min="1" max="1" width="42" bestFit="1" customWidth="1"/>
    <col min="2" max="4" width="15.88671875" customWidth="1"/>
    <col min="6" max="8" width="13.44140625" customWidth="1"/>
    <col min="10" max="12" width="16.88671875" customWidth="1"/>
    <col min="14" max="16" width="26.6640625" customWidth="1"/>
    <col min="18" max="18" width="11" bestFit="1" customWidth="1"/>
    <col min="19" max="19" width="13.88671875" bestFit="1" customWidth="1"/>
    <col min="20" max="20" width="23" customWidth="1"/>
    <col min="21" max="21" width="9.88671875" bestFit="1" customWidth="1"/>
    <col min="22" max="22" width="46.44140625" bestFit="1" customWidth="1"/>
    <col min="23" max="23" width="24.33203125" bestFit="1" customWidth="1"/>
    <col min="24" max="24" width="17.109375" bestFit="1" customWidth="1"/>
    <col min="25" max="25" width="15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bestFit="1" customWidth="1"/>
  </cols>
  <sheetData>
    <row r="1" spans="1:29" ht="17.399999999999999">
      <c r="A1" s="1211" t="s">
        <v>602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29" ht="17.399999999999999">
      <c r="A2" s="762" t="s">
        <v>603</v>
      </c>
      <c r="B2" s="733"/>
      <c r="C2" s="733"/>
      <c r="D2" s="733"/>
      <c r="E2" s="734"/>
      <c r="F2" s="1536" t="s">
        <v>604</v>
      </c>
      <c r="G2" s="1536"/>
      <c r="H2" s="1536"/>
      <c r="I2" s="742"/>
      <c r="J2" s="1525" t="s">
        <v>605</v>
      </c>
      <c r="K2" s="1525"/>
      <c r="L2" s="1525"/>
      <c r="M2" s="734"/>
      <c r="N2" s="1535"/>
      <c r="O2" s="1535"/>
      <c r="P2" s="1535"/>
      <c r="R2" s="1172" t="s">
        <v>606</v>
      </c>
      <c r="S2" s="1163">
        <v>3331559928</v>
      </c>
      <c r="T2" s="1068" t="s">
        <v>445</v>
      </c>
      <c r="U2" s="1207">
        <v>24141417</v>
      </c>
      <c r="V2" s="1163" t="s">
        <v>224</v>
      </c>
      <c r="W2" s="1163" t="s">
        <v>203</v>
      </c>
      <c r="X2" s="1168">
        <v>22578.413</v>
      </c>
      <c r="Y2" s="1163" t="s">
        <v>200</v>
      </c>
      <c r="Z2" s="1068">
        <v>1</v>
      </c>
      <c r="AA2" s="1068">
        <v>1</v>
      </c>
      <c r="AB2" s="1067" t="s">
        <v>204</v>
      </c>
      <c r="AC2" s="240"/>
    </row>
    <row r="3" spans="1:29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172" t="s">
        <v>606</v>
      </c>
      <c r="S3" s="1163">
        <v>3331559988</v>
      </c>
      <c r="T3" s="1068" t="s">
        <v>11</v>
      </c>
      <c r="U3" s="1163">
        <v>24141423</v>
      </c>
      <c r="V3" s="1163" t="s">
        <v>446</v>
      </c>
      <c r="W3" s="1163" t="s">
        <v>481</v>
      </c>
      <c r="X3" s="1168">
        <f>33932.128+12170.84</f>
        <v>46102.967999999993</v>
      </c>
      <c r="Y3" s="1163" t="s">
        <v>128</v>
      </c>
      <c r="Z3" s="1068">
        <v>1</v>
      </c>
      <c r="AA3" s="1068">
        <v>1</v>
      </c>
      <c r="AB3" s="1067" t="s">
        <v>204</v>
      </c>
      <c r="AC3" s="240"/>
    </row>
    <row r="4" spans="1:29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172" t="s">
        <v>606</v>
      </c>
      <c r="S4" s="1163">
        <v>3331559991</v>
      </c>
      <c r="T4" s="1068" t="s">
        <v>256</v>
      </c>
      <c r="U4" s="1163" t="s">
        <v>256</v>
      </c>
      <c r="V4" s="1163" t="s">
        <v>256</v>
      </c>
      <c r="W4" s="1163" t="s">
        <v>256</v>
      </c>
      <c r="X4" s="1168" t="s">
        <v>256</v>
      </c>
      <c r="Y4" s="1163" t="s">
        <v>256</v>
      </c>
      <c r="Z4" s="1068" t="s">
        <v>256</v>
      </c>
      <c r="AA4" s="1068" t="s">
        <v>256</v>
      </c>
      <c r="AB4" s="1067" t="s">
        <v>256</v>
      </c>
      <c r="AC4" s="240"/>
    </row>
    <row r="5" spans="1:29" ht="18">
      <c r="A5" s="746" t="s">
        <v>427</v>
      </c>
      <c r="B5" s="747" cm="1">
        <f t="array" ref="B5">SUMPRODUCT(--ISNUMBER(MATCH(TRIM(W1:W256), {"JABODETABEK","JAWA TENGAH","JAWA TIMUR","LUAR PULAU"}, 0)))</f>
        <v>42</v>
      </c>
      <c r="C5" s="747" cm="1">
        <f t="array" ref="C5">SUMPRODUCT(--(LOWER(TRIM(AB1:AB282))="masuk"), --(ISNUMBER(MATCH(TRIM(W1:W282), {"JABODETABEK","JAWA TENGAH","JAWA TIMUR","LUAR PULAU"}, 0))))</f>
        <v>42</v>
      </c>
      <c r="D5" s="740">
        <f>C5+-B5</f>
        <v>0</v>
      </c>
      <c r="E5" s="734"/>
      <c r="F5" s="748" cm="1">
        <f t="array" ref="F5">SUMPRODUCT(--(LOWER(AC1:AC282)="add"), --(ISNUMBER(MATCH(W1:W282, {"JABODETABEK","JAWA TENGAH","JAWA TIMUR","LUAR PULAU"}, 0))))</f>
        <v>0</v>
      </c>
      <c r="G5" s="747" cm="1">
        <f t="array" ref="G5">SUMPRODUCT(--(LOWER(AB1:AB282)="masuk"), --(LOWER(AC1:AC282)="add"))</f>
        <v>0</v>
      </c>
      <c r="H5" s="740">
        <f>G5+-F5</f>
        <v>0</v>
      </c>
      <c r="I5" s="734"/>
      <c r="J5" s="748" cm="1">
        <f t="array" ref="J5">SUMPRODUCT(--(ISNUMBER(SEARCH("next day",LOWER(W1:W282)))+ISNUMBER(SEARCH("nextday",LOWER(W1:W282)))&gt; 0))</f>
        <v>6</v>
      </c>
      <c r="K5" s="747" cm="1">
        <f t="array" ref="K5">SUMPRODUCT(--(LOWER(AB1:AB282)="masuk"), --ISNUMBER(SEARCH("next day", LOWER(W1:W282))))</f>
        <v>6</v>
      </c>
      <c r="L5" s="740">
        <f>K5+-J5</f>
        <v>0</v>
      </c>
      <c r="M5" s="734"/>
      <c r="N5" s="748">
        <f>B5+F5+J5</f>
        <v>48</v>
      </c>
      <c r="O5" s="747">
        <f>C5+G5+K5</f>
        <v>48</v>
      </c>
      <c r="P5" s="740">
        <f>D5+H5+L5</f>
        <v>0</v>
      </c>
      <c r="R5" s="1172" t="s">
        <v>606</v>
      </c>
      <c r="S5" s="1163">
        <v>3331559923</v>
      </c>
      <c r="T5" s="1068" t="s">
        <v>342</v>
      </c>
      <c r="U5" s="1163">
        <v>24141419</v>
      </c>
      <c r="V5" s="1163" t="s">
        <v>224</v>
      </c>
      <c r="W5" s="1163" t="s">
        <v>203</v>
      </c>
      <c r="X5" s="1168">
        <v>26018.933000000001</v>
      </c>
      <c r="Y5" s="1163" t="s">
        <v>200</v>
      </c>
      <c r="Z5" s="1068">
        <v>1</v>
      </c>
      <c r="AA5" s="1068">
        <v>1</v>
      </c>
      <c r="AB5" s="1067" t="s">
        <v>204</v>
      </c>
      <c r="AC5" s="240"/>
    </row>
    <row r="6" spans="1:29" ht="17.399999999999999">
      <c r="A6" s="733"/>
      <c r="B6" s="733">
        <f>SUM(B5)</f>
        <v>42</v>
      </c>
      <c r="C6" s="733">
        <f>SUM(C5)</f>
        <v>42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6</v>
      </c>
      <c r="L6" s="739">
        <f>SUM(L5)</f>
        <v>0</v>
      </c>
      <c r="M6" s="733"/>
      <c r="N6" s="760">
        <f>SUM(N5:N5)</f>
        <v>48</v>
      </c>
      <c r="O6" s="760">
        <f>SUM(O5:O5)</f>
        <v>48</v>
      </c>
      <c r="P6" s="761">
        <f>SUM(P5:P5)</f>
        <v>0</v>
      </c>
      <c r="R6" s="1172" t="s">
        <v>606</v>
      </c>
      <c r="S6" s="1163">
        <v>3331559924</v>
      </c>
      <c r="T6" s="1068" t="s">
        <v>342</v>
      </c>
      <c r="U6" s="1163">
        <v>24141418</v>
      </c>
      <c r="V6" s="1163" t="s">
        <v>224</v>
      </c>
      <c r="W6" s="1163" t="s">
        <v>203</v>
      </c>
      <c r="X6" s="1168">
        <v>27137.100999999999</v>
      </c>
      <c r="Y6" s="1163" t="s">
        <v>200</v>
      </c>
      <c r="Z6" s="1068">
        <v>1</v>
      </c>
      <c r="AA6" s="1068">
        <v>1</v>
      </c>
      <c r="AB6" s="1067" t="s">
        <v>204</v>
      </c>
      <c r="AC6" s="240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71" t="s">
        <v>606</v>
      </c>
      <c r="S7" s="1160">
        <v>3331558136</v>
      </c>
      <c r="T7" s="1161" t="s">
        <v>351</v>
      </c>
      <c r="U7" s="1160">
        <v>24141216</v>
      </c>
      <c r="V7" s="1160" t="s">
        <v>607</v>
      </c>
      <c r="W7" s="1162" t="s">
        <v>362</v>
      </c>
      <c r="X7" s="1161">
        <f>5643.66+19225.644</f>
        <v>24869.304</v>
      </c>
      <c r="Y7" s="1068" t="s">
        <v>426</v>
      </c>
      <c r="Z7" s="1068">
        <v>1</v>
      </c>
      <c r="AA7" s="1068">
        <v>1</v>
      </c>
      <c r="AB7" s="1067" t="s">
        <v>204</v>
      </c>
      <c r="AC7" s="240"/>
    </row>
    <row r="8" spans="1:29" ht="17.399999999999999">
      <c r="A8" s="763" t="str">
        <f>A1</f>
        <v>Plan tgl 10-12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1" t="s">
        <v>606</v>
      </c>
      <c r="S8" s="1160">
        <v>3331558139</v>
      </c>
      <c r="T8" s="1161" t="s">
        <v>256</v>
      </c>
      <c r="U8" s="1160" t="s">
        <v>256</v>
      </c>
      <c r="V8" s="1160" t="s">
        <v>256</v>
      </c>
      <c r="W8" s="1162" t="s">
        <v>256</v>
      </c>
      <c r="X8" s="1161" t="s">
        <v>256</v>
      </c>
      <c r="Y8" s="1158" t="s">
        <v>256</v>
      </c>
      <c r="Z8" s="1158" t="s">
        <v>256</v>
      </c>
      <c r="AA8" s="1158" t="s">
        <v>256</v>
      </c>
      <c r="AB8" s="1159" t="s">
        <v>256</v>
      </c>
      <c r="AC8" s="240"/>
    </row>
    <row r="9" spans="1:29" ht="18">
      <c r="A9" s="763" t="str">
        <f>A2</f>
        <v>Realz update 13 OKT’25 jam 07.00</v>
      </c>
      <c r="B9" s="825"/>
      <c r="C9" s="825"/>
      <c r="D9" s="825"/>
      <c r="E9" s="734"/>
      <c r="F9" s="1525" t="str">
        <f>F2</f>
        <v>Tgl 10-12 OKT’25 diatas jam 15.00</v>
      </c>
      <c r="G9" s="1525"/>
      <c r="H9" s="1525"/>
      <c r="I9" s="826"/>
      <c r="J9" s="1525" t="str">
        <f>J2</f>
        <v>Tgl 10-12 OKT’25</v>
      </c>
      <c r="K9" s="1525"/>
      <c r="L9" s="1525"/>
      <c r="M9" s="734"/>
      <c r="N9" s="1526"/>
      <c r="O9" s="1526"/>
      <c r="P9" s="1526"/>
      <c r="R9" s="1172" t="s">
        <v>606</v>
      </c>
      <c r="S9" s="1163">
        <v>3331559895</v>
      </c>
      <c r="T9" s="1068" t="s">
        <v>608</v>
      </c>
      <c r="U9" s="1163">
        <v>24141414</v>
      </c>
      <c r="V9" s="1163" t="s">
        <v>561</v>
      </c>
      <c r="W9" s="1163" t="s">
        <v>362</v>
      </c>
      <c r="X9" s="1168">
        <v>22879.457999999999</v>
      </c>
      <c r="Y9" s="1163" t="s">
        <v>562</v>
      </c>
      <c r="Z9" s="1068">
        <v>1</v>
      </c>
      <c r="AA9" s="1068">
        <v>1</v>
      </c>
      <c r="AB9" s="1067" t="s">
        <v>204</v>
      </c>
      <c r="AC9" s="240"/>
    </row>
    <row r="10" spans="1:29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72" t="s">
        <v>606</v>
      </c>
      <c r="S10" s="1163">
        <v>3331559899</v>
      </c>
      <c r="T10" s="1068" t="s">
        <v>608</v>
      </c>
      <c r="U10" s="1163">
        <v>24141415</v>
      </c>
      <c r="V10" s="1163" t="s">
        <v>561</v>
      </c>
      <c r="W10" s="1163" t="s">
        <v>362</v>
      </c>
      <c r="X10" s="1168">
        <v>23344.23</v>
      </c>
      <c r="Y10" s="1163" t="s">
        <v>562</v>
      </c>
      <c r="Z10" s="1068">
        <v>1</v>
      </c>
      <c r="AA10" s="1068">
        <v>1</v>
      </c>
      <c r="AB10" s="1067" t="s">
        <v>204</v>
      </c>
      <c r="AC10" s="240"/>
    </row>
    <row r="11" spans="1:29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570</v>
      </c>
      <c r="S11" s="1160">
        <v>3331560167</v>
      </c>
      <c r="T11" s="1068" t="s">
        <v>599</v>
      </c>
      <c r="U11" s="1160">
        <v>24141430</v>
      </c>
      <c r="V11" s="1163" t="s">
        <v>561</v>
      </c>
      <c r="W11" s="1163" t="s">
        <v>362</v>
      </c>
      <c r="X11" s="1161">
        <v>25547.59</v>
      </c>
      <c r="Y11" s="1158" t="s">
        <v>200</v>
      </c>
      <c r="Z11" s="1158">
        <v>1</v>
      </c>
      <c r="AA11" s="1158">
        <v>1</v>
      </c>
      <c r="AB11" s="1159" t="s">
        <v>204</v>
      </c>
      <c r="AC11" s="1214"/>
    </row>
    <row r="12" spans="1:29" ht="18">
      <c r="A12" s="845" t="s">
        <v>199</v>
      </c>
      <c r="B12" s="748" cm="1">
        <f t="array" ref="B12">SUMPRODUCT(--(TRIM(LOWER(W1:W282))="jabodetabek"))</f>
        <v>4</v>
      </c>
      <c r="C12" s="748" cm="1">
        <f t="array" ref="C12">SUMPRODUCT(--(LOWER(AB1:AB282)="masuk"), --(TRIM(LOWER(W1:W282))="jabodetabek"))</f>
        <v>4</v>
      </c>
      <c r="D12" s="973">
        <f>C12+-B12</f>
        <v>0</v>
      </c>
      <c r="E12" s="734"/>
      <c r="F12" s="748" cm="1">
        <f t="array" ref="F12">SUMPRODUCT(--(LOWER(AC1:AC282)="add"), --(TRIM(LOWER(W1:W282))="jabodetabek"))</f>
        <v>0</v>
      </c>
      <c r="G12" s="747" cm="1">
        <f t="array" ref="G12">SUMPRODUCT(--(LOWER(AB1:AB282)="masuk"), --(LOWER(AC1:AC282)="add"), --(TRIM(LOWER(W1:W282))="jabodetabek"))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day",LOWER(W1:W282)))+ISNUMBER(SEARCH("jabodetabek nextday",LOWER(W1:W282)))&gt; 0))</f>
        <v>6</v>
      </c>
      <c r="K12" s="747" cm="1">
        <f t="array" ref="K12">SUMPRODUCT(--(LOWER(AB1:AB282)="masuk"), --(LOWER(TRIM(W1:W282))="jabodetabek next day"))</f>
        <v>6</v>
      </c>
      <c r="L12" s="740">
        <f>K12+-J12</f>
        <v>0</v>
      </c>
      <c r="M12" s="734"/>
      <c r="N12" s="748">
        <f>B12+F12+J12</f>
        <v>10</v>
      </c>
      <c r="O12" s="747">
        <f t="shared" ref="N12:P16" si="0">C12+G12+K12</f>
        <v>10</v>
      </c>
      <c r="P12" s="740">
        <f t="shared" si="0"/>
        <v>0</v>
      </c>
      <c r="R12" s="1171" t="s">
        <v>452</v>
      </c>
      <c r="S12" s="1160">
        <v>3331560169</v>
      </c>
      <c r="T12" s="1068" t="s">
        <v>599</v>
      </c>
      <c r="U12" s="1160">
        <v>24141431</v>
      </c>
      <c r="V12" s="1163" t="s">
        <v>561</v>
      </c>
      <c r="W12" s="1163" t="s">
        <v>362</v>
      </c>
      <c r="X12" s="1161">
        <v>23858.850999999999</v>
      </c>
      <c r="Y12" s="1158" t="s">
        <v>200</v>
      </c>
      <c r="Z12" s="1158">
        <v>1</v>
      </c>
      <c r="AA12" s="1158">
        <v>1</v>
      </c>
      <c r="AB12" s="1159" t="s">
        <v>204</v>
      </c>
      <c r="AC12" s="269"/>
    </row>
    <row r="13" spans="1:29" ht="18">
      <c r="A13" s="845" t="s">
        <v>203</v>
      </c>
      <c r="B13" s="750" cm="1">
        <f t="array" ref="B13">SUMPRODUCT(--(TRIM(LOWER(W1:W282))="jawa tengah"))</f>
        <v>17</v>
      </c>
      <c r="C13" s="750" cm="1">
        <f t="array" ref="C13">SUMPRODUCT(--(LOWER(AB1:AB282)="masuk"), --(TRIM(LOWER(W1:W282))="jawa tengah"))</f>
        <v>17</v>
      </c>
      <c r="D13" s="846">
        <f>C13+-B13</f>
        <v>0</v>
      </c>
      <c r="E13" s="734"/>
      <c r="F13" s="751" cm="1">
        <f t="array" ref="F13">SUMPRODUCT(--(LOWER(AC1:AC282)="add"), --(TRIM(LOWER(W1:W282))="jawa tengah"))</f>
        <v>0</v>
      </c>
      <c r="G13" s="747" cm="1">
        <f t="array" ref="G13">SUMPRODUCT(--(LOWER(AB1:AB282)="masuk"), --(LOWER(AC1:AC282)="add"), --(TRIM(LOWER(W1:W282))="jawa tengah"))</f>
        <v>0</v>
      </c>
      <c r="H13" s="740">
        <f>G13+-F13</f>
        <v>0</v>
      </c>
      <c r="I13" s="734"/>
      <c r="J13" s="748" cm="1">
        <f t="array" ref="J13">SUMPRODUCT(--((LOWER(TRIM(W1:W282))="jawa tengah next day")+(LOWER(TRIM(W1:W282))="jawa tengah nextday")))</f>
        <v>0</v>
      </c>
      <c r="K13" s="747" cm="1">
        <f t="array" ref="K13">SUMPRODUCT(--(LOWER(AB1:AB282)="masuk"), --(LOWER(TRIM(W1:W282))="jawa tengah next day"))</f>
        <v>0</v>
      </c>
      <c r="L13" s="740">
        <f>K13+-J13</f>
        <v>0</v>
      </c>
      <c r="M13" s="734"/>
      <c r="N13" s="748">
        <f t="shared" si="0"/>
        <v>17</v>
      </c>
      <c r="O13" s="747">
        <f t="shared" si="0"/>
        <v>17</v>
      </c>
      <c r="P13" s="740">
        <f t="shared" si="0"/>
        <v>0</v>
      </c>
      <c r="R13" s="1205" t="s">
        <v>606</v>
      </c>
      <c r="S13" s="1207">
        <v>3331559995</v>
      </c>
      <c r="T13" s="1068" t="s">
        <v>336</v>
      </c>
      <c r="U13" s="1207">
        <v>24141424</v>
      </c>
      <c r="V13" s="1207" t="s">
        <v>609</v>
      </c>
      <c r="W13" s="1207" t="s">
        <v>481</v>
      </c>
      <c r="X13" s="1212">
        <f>37946.069+2451.371</f>
        <v>40397.440000000002</v>
      </c>
      <c r="Y13" s="1207" t="s">
        <v>128</v>
      </c>
      <c r="Z13" s="1068">
        <v>1</v>
      </c>
      <c r="AA13" s="1068">
        <v>1</v>
      </c>
      <c r="AB13" s="1067" t="s">
        <v>204</v>
      </c>
      <c r="AC13" s="1213"/>
    </row>
    <row r="14" spans="1:29" ht="18">
      <c r="A14" s="845" t="s">
        <v>205</v>
      </c>
      <c r="B14" s="750" cm="1">
        <f t="array" ref="B14">SUMPRODUCT(--(TRIM(LOWER(W1:W282))="jawa timur"))</f>
        <v>9</v>
      </c>
      <c r="C14" s="750" cm="1">
        <f t="array" ref="C14">SUMPRODUCT(--(LOWER(AB1:AB282)="masuk"), --(TRIM(LOWER(W1:W282))="jawa timur"))</f>
        <v>9</v>
      </c>
      <c r="D14" s="846">
        <f>C14+-B14</f>
        <v>0</v>
      </c>
      <c r="E14" s="734"/>
      <c r="F14" s="750" cm="1">
        <f t="array" ref="F14">SUMPRODUCT(--(LOWER(AC1:AC282)="add"), --(TRIM(LOWER(W1:W282))="jawa timur"))</f>
        <v>0</v>
      </c>
      <c r="G14" s="747" cm="1">
        <f t="array" ref="G14">SUMPRODUCT(--(LOWER(AB1:AB282)="masuk"), --(LOWER(AC1:AC282)="add"), --(TRIM(LOWER(W1:W282))="jawa timur"))</f>
        <v>0</v>
      </c>
      <c r="H14" s="740">
        <f>G14+-F14</f>
        <v>0</v>
      </c>
      <c r="I14" s="734"/>
      <c r="J14" s="748" cm="1">
        <f t="array" ref="J14">SUMPRODUCT(--((LOWER(TRIM(W1:W282))="jawa timur next day")+(LOWER(TRIM(W1:W282))="jawa timur nextday")))</f>
        <v>0</v>
      </c>
      <c r="K14" s="747" cm="1">
        <f t="array" ref="K14">SUMPRODUCT(--(LOWER(AB1:AB282)="masuk"), --(LOWER(TRIM(W1:W282))="jawa timur next day"))</f>
        <v>0</v>
      </c>
      <c r="L14" s="740">
        <f>K14+-J14</f>
        <v>0</v>
      </c>
      <c r="M14" s="734"/>
      <c r="N14" s="748">
        <f t="shared" si="0"/>
        <v>9</v>
      </c>
      <c r="O14" s="747">
        <f t="shared" si="0"/>
        <v>9</v>
      </c>
      <c r="P14" s="740">
        <f t="shared" si="0"/>
        <v>0</v>
      </c>
      <c r="R14" s="1205" t="s">
        <v>606</v>
      </c>
      <c r="S14" s="1207">
        <v>3331559996</v>
      </c>
      <c r="T14" s="1068" t="s">
        <v>256</v>
      </c>
      <c r="U14" s="1207" t="s">
        <v>256</v>
      </c>
      <c r="V14" s="1207" t="s">
        <v>256</v>
      </c>
      <c r="W14" s="1207" t="s">
        <v>256</v>
      </c>
      <c r="X14" s="1212" t="s">
        <v>256</v>
      </c>
      <c r="Y14" s="1207" t="s">
        <v>256</v>
      </c>
      <c r="Z14" s="1068" t="s">
        <v>256</v>
      </c>
      <c r="AA14" s="1068" t="s">
        <v>256</v>
      </c>
      <c r="AB14" s="1067" t="s">
        <v>256</v>
      </c>
      <c r="AC14" s="1213"/>
    </row>
    <row r="15" spans="1:29" ht="18">
      <c r="A15" s="845" t="s">
        <v>362</v>
      </c>
      <c r="B15" s="750" cm="1">
        <f t="array" ref="B15">SUMPRODUCT(--(TRIM(LOWER(W1:W282))="luar pulau"))</f>
        <v>12</v>
      </c>
      <c r="C15" s="750" cm="1">
        <f t="array" ref="C15">SUMPRODUCT(--(LOWER(AB1:AB282)="masuk"), --(TRIM(LOWER(W1:W282))="luar pulau"))</f>
        <v>12</v>
      </c>
      <c r="D15" s="846">
        <f>C15+-B15</f>
        <v>0</v>
      </c>
      <c r="E15" s="734"/>
      <c r="F15" s="748" cm="1">
        <f t="array" ref="F15">SUMPRODUCT(--(LOWER(AC1:AC282)="add"), --(TRIM(LOWER(W1:W282))="luar pulau"))</f>
        <v>0</v>
      </c>
      <c r="G15" s="747" cm="1">
        <f t="array" ref="G15">SUMPRODUCT(--(LOWER(AB1:AB282)="masuk"), --(LOWER(AC1:AC282)="add"), --(TRIM(LOWER(W1:W282))="luar pulau"))</f>
        <v>0</v>
      </c>
      <c r="H15" s="740">
        <f>G15+-F15</f>
        <v>0</v>
      </c>
      <c r="I15" s="734"/>
      <c r="J15" s="748" cm="1">
        <f t="array" ref="J15">SUMPRODUCT(--((LOWER(TRIM(W1:W282))="luar pulau next day")+(LOWER(TRIM(W1:W282))="luar pulau nextday")))</f>
        <v>0</v>
      </c>
      <c r="K15" s="747" cm="1">
        <f t="array" ref="K15">SUMPRODUCT(--(LOWER(AB1:AB282)="masuk"), --(LOWER(TRIM(W1:W282))="luar pulau next day"))</f>
        <v>0</v>
      </c>
      <c r="L15" s="740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1172" t="s">
        <v>606</v>
      </c>
      <c r="S15" s="1163">
        <v>3331560008</v>
      </c>
      <c r="T15" s="1068" t="s">
        <v>441</v>
      </c>
      <c r="U15" s="1163">
        <v>24141425</v>
      </c>
      <c r="V15" s="1163" t="s">
        <v>610</v>
      </c>
      <c r="W15" s="1163" t="s">
        <v>481</v>
      </c>
      <c r="X15" s="1168">
        <v>34598.353999999999</v>
      </c>
      <c r="Y15" s="1163" t="s">
        <v>128</v>
      </c>
      <c r="Z15" s="1068">
        <v>1</v>
      </c>
      <c r="AA15" s="1068">
        <v>1</v>
      </c>
      <c r="AB15" s="1067" t="s">
        <v>204</v>
      </c>
      <c r="AC15" s="240"/>
    </row>
    <row r="16" spans="1:29" ht="17.399999999999999">
      <c r="A16" s="827"/>
      <c r="B16" s="733">
        <f>SUM(B12:B15)</f>
        <v>42</v>
      </c>
      <c r="C16" s="733">
        <f>SUM(C12:C15)</f>
        <v>42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6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48</v>
      </c>
      <c r="P16" s="761">
        <f t="shared" si="0"/>
        <v>0</v>
      </c>
      <c r="R16" s="1172" t="s">
        <v>606</v>
      </c>
      <c r="S16" s="1163">
        <v>3331560047</v>
      </c>
      <c r="T16" s="1068" t="s">
        <v>11</v>
      </c>
      <c r="U16" s="1163">
        <v>24141428</v>
      </c>
      <c r="V16" s="1163" t="s">
        <v>430</v>
      </c>
      <c r="W16" s="1163" t="s">
        <v>481</v>
      </c>
      <c r="X16" s="1168">
        <f>17147.813+23884.458</f>
        <v>41032.270999999993</v>
      </c>
      <c r="Y16" s="1163" t="s">
        <v>128</v>
      </c>
      <c r="Z16" s="1068">
        <v>1</v>
      </c>
      <c r="AA16" s="1068">
        <v>1</v>
      </c>
      <c r="AB16" s="1067" t="s">
        <v>204</v>
      </c>
      <c r="AC16" s="240"/>
    </row>
    <row r="17" spans="1:29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2" t="s">
        <v>606</v>
      </c>
      <c r="S17" s="1163">
        <v>3331560048</v>
      </c>
      <c r="T17" s="1207" t="s">
        <v>256</v>
      </c>
      <c r="U17" s="1163" t="s">
        <v>256</v>
      </c>
      <c r="V17" s="1163" t="s">
        <v>256</v>
      </c>
      <c r="W17" s="1163" t="s">
        <v>256</v>
      </c>
      <c r="X17" s="1168" t="s">
        <v>256</v>
      </c>
      <c r="Y17" s="1163" t="s">
        <v>256</v>
      </c>
      <c r="Z17" s="1207" t="s">
        <v>256</v>
      </c>
      <c r="AA17" s="1207" t="s">
        <v>256</v>
      </c>
      <c r="AB17" s="1067" t="s">
        <v>204</v>
      </c>
      <c r="AC17" s="240"/>
    </row>
    <row r="18" spans="1:29" ht="17.399999999999999">
      <c r="A18" s="1520" t="s">
        <v>434</v>
      </c>
      <c r="B18" s="1522" t="s">
        <v>415</v>
      </c>
      <c r="C18" s="1523"/>
      <c r="D18" s="152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2" t="s">
        <v>570</v>
      </c>
      <c r="S18" s="1163">
        <v>3331560187</v>
      </c>
      <c r="T18" s="1068" t="s">
        <v>445</v>
      </c>
      <c r="U18" s="1163">
        <v>24141441</v>
      </c>
      <c r="V18" s="1163" t="s">
        <v>224</v>
      </c>
      <c r="W18" s="1163" t="s">
        <v>203</v>
      </c>
      <c r="X18" s="1168">
        <v>25331.084999999999</v>
      </c>
      <c r="Y18" s="1163" t="s">
        <v>200</v>
      </c>
      <c r="Z18" s="1068">
        <v>1</v>
      </c>
      <c r="AA18" s="1068">
        <v>1</v>
      </c>
      <c r="AB18" s="1067" t="s">
        <v>204</v>
      </c>
      <c r="AC18" s="240"/>
    </row>
    <row r="19" spans="1:29" ht="17.399999999999999">
      <c r="A19" s="152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2" t="s">
        <v>570</v>
      </c>
      <c r="S19" s="1163">
        <v>3331560189</v>
      </c>
      <c r="T19" s="1068" t="s">
        <v>441</v>
      </c>
      <c r="U19" s="1163">
        <v>24141442</v>
      </c>
      <c r="V19" s="1163" t="s">
        <v>224</v>
      </c>
      <c r="W19" s="1163" t="s">
        <v>203</v>
      </c>
      <c r="X19" s="1168">
        <v>23555.743999999999</v>
      </c>
      <c r="Y19" s="1163" t="s">
        <v>200</v>
      </c>
      <c r="Z19" s="1068">
        <v>1</v>
      </c>
      <c r="AA19" s="1068">
        <v>1</v>
      </c>
      <c r="AB19" s="1067" t="s">
        <v>204</v>
      </c>
      <c r="AC19" s="240"/>
    </row>
    <row r="20" spans="1:29" ht="18">
      <c r="A20" s="968" t="s">
        <v>427</v>
      </c>
      <c r="B20" s="970" cm="1">
        <f t="array" ref="B20">SUMPRODUCT(--((LOWER(TRIM($W$2:$W$289))="ambil sendiri")+(LOWER(TRIM($W$2:$W$289))="cokot sorangan")))</f>
        <v>6</v>
      </c>
      <c r="C20" s="969" cm="1">
        <f t="array" ref="C20">SUMPRODUCT(--(LOWER(AB2:AB315)="masuk"), --((LOWER(TRIM($W$2:$W$315))="cokot sorangan") + (LOWER(TRIM(W2:W315))="ambil sendiri")))</f>
        <v>5</v>
      </c>
      <c r="D20" s="741">
        <f>C20+-B20</f>
        <v>-1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2" t="s">
        <v>570</v>
      </c>
      <c r="S20" s="1163">
        <v>3331560190</v>
      </c>
      <c r="T20" s="1068" t="s">
        <v>441</v>
      </c>
      <c r="U20" s="1163">
        <v>24141443</v>
      </c>
      <c r="V20" s="1163" t="s">
        <v>224</v>
      </c>
      <c r="W20" s="1163" t="s">
        <v>203</v>
      </c>
      <c r="X20" s="1168">
        <v>24638.269</v>
      </c>
      <c r="Y20" s="1163" t="s">
        <v>200</v>
      </c>
      <c r="Z20" s="1068">
        <v>1</v>
      </c>
      <c r="AA20" s="1068">
        <v>1</v>
      </c>
      <c r="AB20" s="1067" t="s">
        <v>204</v>
      </c>
      <c r="AC20" s="240"/>
    </row>
    <row r="21" spans="1:29" ht="17.399999999999999">
      <c r="A21" s="993"/>
      <c r="B21" s="760">
        <f>SUM(B141:B144)</f>
        <v>0</v>
      </c>
      <c r="C21" s="760">
        <f>SUM(C141:C144)</f>
        <v>0</v>
      </c>
      <c r="D21" s="761">
        <f>SUM(D141:D144)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2" t="s">
        <v>570</v>
      </c>
      <c r="S21" s="1163">
        <v>3331560191</v>
      </c>
      <c r="T21" s="1068" t="s">
        <v>445</v>
      </c>
      <c r="U21" s="1163">
        <v>24141444</v>
      </c>
      <c r="V21" s="1163" t="s">
        <v>224</v>
      </c>
      <c r="W21" s="1163" t="s">
        <v>203</v>
      </c>
      <c r="X21" s="1168">
        <v>24638.269</v>
      </c>
      <c r="Y21" s="1163" t="s">
        <v>200</v>
      </c>
      <c r="Z21" s="1068">
        <v>1</v>
      </c>
      <c r="AA21" s="1068">
        <v>1</v>
      </c>
      <c r="AB21" s="1067" t="s">
        <v>204</v>
      </c>
      <c r="AC21" s="240"/>
    </row>
    <row r="22" spans="1:29" ht="15.6">
      <c r="R22" s="1172" t="s">
        <v>570</v>
      </c>
      <c r="S22" s="1163">
        <v>3331560192</v>
      </c>
      <c r="T22" s="1068" t="s">
        <v>445</v>
      </c>
      <c r="U22" s="1163">
        <v>24141446</v>
      </c>
      <c r="V22" s="1163" t="s">
        <v>224</v>
      </c>
      <c r="W22" s="1163" t="s">
        <v>203</v>
      </c>
      <c r="X22" s="1168">
        <f>6071.21+19312.246</f>
        <v>25383.455999999998</v>
      </c>
      <c r="Y22" s="1163" t="s">
        <v>200</v>
      </c>
      <c r="Z22" s="1068">
        <v>1</v>
      </c>
      <c r="AA22" s="1068">
        <v>1</v>
      </c>
      <c r="AB22" s="1067" t="s">
        <v>204</v>
      </c>
      <c r="AC22" s="269"/>
    </row>
    <row r="23" spans="1:29" ht="15.6">
      <c r="R23" s="1172" t="s">
        <v>570</v>
      </c>
      <c r="S23" s="1163">
        <v>3331560197</v>
      </c>
      <c r="T23" s="1163" t="s">
        <v>256</v>
      </c>
      <c r="U23" s="1163" t="s">
        <v>256</v>
      </c>
      <c r="V23" s="1163" t="s">
        <v>256</v>
      </c>
      <c r="W23" s="1163" t="s">
        <v>256</v>
      </c>
      <c r="X23" s="1168" t="s">
        <v>256</v>
      </c>
      <c r="Y23" s="1163" t="s">
        <v>256</v>
      </c>
      <c r="Z23" s="1207" t="s">
        <v>256</v>
      </c>
      <c r="AA23" s="1207" t="s">
        <v>256</v>
      </c>
      <c r="AB23" s="1208" t="s">
        <v>256</v>
      </c>
      <c r="AC23" s="269"/>
    </row>
    <row r="24" spans="1:29" ht="15.6">
      <c r="R24" s="1172" t="s">
        <v>570</v>
      </c>
      <c r="S24" s="1163">
        <v>3331560200</v>
      </c>
      <c r="T24" s="1068" t="s">
        <v>599</v>
      </c>
      <c r="U24" s="1163">
        <v>24141445</v>
      </c>
      <c r="V24" s="1163" t="s">
        <v>561</v>
      </c>
      <c r="W24" s="1163" t="s">
        <v>362</v>
      </c>
      <c r="X24" s="1168">
        <v>22862.928</v>
      </c>
      <c r="Y24" s="1163" t="s">
        <v>200</v>
      </c>
      <c r="Z24" s="1068">
        <v>1</v>
      </c>
      <c r="AA24" s="1068">
        <v>1</v>
      </c>
      <c r="AB24" s="1067" t="s">
        <v>204</v>
      </c>
      <c r="AC24" s="269"/>
    </row>
    <row r="25" spans="1:29" ht="15.6">
      <c r="R25" s="1172" t="s">
        <v>570</v>
      </c>
      <c r="S25" s="1163">
        <v>3331560201</v>
      </c>
      <c r="T25" s="1207" t="s">
        <v>441</v>
      </c>
      <c r="U25" s="1163">
        <v>24141447</v>
      </c>
      <c r="V25" s="1163" t="s">
        <v>226</v>
      </c>
      <c r="W25" s="1163" t="s">
        <v>203</v>
      </c>
      <c r="X25" s="1168">
        <f>13120.203+22446.375</f>
        <v>35566.578000000001</v>
      </c>
      <c r="Y25" s="1163" t="s">
        <v>128</v>
      </c>
      <c r="Z25" s="1068">
        <v>1</v>
      </c>
      <c r="AA25" s="1068">
        <v>1</v>
      </c>
      <c r="AB25" s="1067" t="s">
        <v>204</v>
      </c>
      <c r="AC25" s="240"/>
    </row>
    <row r="26" spans="1:29" ht="15.6">
      <c r="R26" s="1172" t="s">
        <v>570</v>
      </c>
      <c r="S26" s="1163">
        <v>3331560203</v>
      </c>
      <c r="T26" s="1207" t="s">
        <v>256</v>
      </c>
      <c r="U26" s="1163" t="s">
        <v>256</v>
      </c>
      <c r="V26" s="1163" t="s">
        <v>256</v>
      </c>
      <c r="W26" s="1163" t="s">
        <v>256</v>
      </c>
      <c r="X26" s="1168" t="s">
        <v>256</v>
      </c>
      <c r="Y26" s="1163" t="s">
        <v>256</v>
      </c>
      <c r="Z26" s="1207" t="s">
        <v>256</v>
      </c>
      <c r="AA26" s="1207" t="s">
        <v>256</v>
      </c>
      <c r="AB26" s="1208" t="s">
        <v>256</v>
      </c>
      <c r="AC26" s="240"/>
    </row>
    <row r="27" spans="1:29" ht="15.6">
      <c r="R27" s="1172" t="s">
        <v>606</v>
      </c>
      <c r="S27" s="1163">
        <v>3331558770</v>
      </c>
      <c r="T27" s="1207" t="s">
        <v>336</v>
      </c>
      <c r="U27" s="1163">
        <v>24141283</v>
      </c>
      <c r="V27" s="1163" t="s">
        <v>529</v>
      </c>
      <c r="W27" s="1163" t="s">
        <v>434</v>
      </c>
      <c r="X27" s="1168">
        <v>37115.364000000001</v>
      </c>
      <c r="Y27" s="1163" t="s">
        <v>128</v>
      </c>
      <c r="Z27" s="1068">
        <v>1</v>
      </c>
      <c r="AA27" s="1068">
        <v>1</v>
      </c>
      <c r="AB27" s="1067" t="s">
        <v>204</v>
      </c>
      <c r="AC27" s="269"/>
    </row>
    <row r="28" spans="1:29" ht="15.6">
      <c r="R28" s="1172" t="s">
        <v>570</v>
      </c>
      <c r="S28" s="1163">
        <v>3331560212</v>
      </c>
      <c r="T28" s="1207" t="s">
        <v>441</v>
      </c>
      <c r="U28" s="1163">
        <v>24141449</v>
      </c>
      <c r="V28" s="1163" t="s">
        <v>435</v>
      </c>
      <c r="W28" s="1163" t="s">
        <v>481</v>
      </c>
      <c r="X28" s="1168">
        <f>13296.805+23223.51</f>
        <v>36520.315000000002</v>
      </c>
      <c r="Y28" s="1163" t="s">
        <v>128</v>
      </c>
      <c r="Z28" s="1068">
        <v>1</v>
      </c>
      <c r="AA28" s="1068">
        <v>1</v>
      </c>
      <c r="AB28" s="1067" t="s">
        <v>204</v>
      </c>
      <c r="AC28" s="240"/>
    </row>
    <row r="29" spans="1:29" ht="15.6">
      <c r="R29" s="1172" t="s">
        <v>570</v>
      </c>
      <c r="S29" s="1163">
        <v>3331560214</v>
      </c>
      <c r="T29" s="1207" t="s">
        <v>256</v>
      </c>
      <c r="U29" s="1163" t="s">
        <v>256</v>
      </c>
      <c r="V29" s="1163" t="s">
        <v>256</v>
      </c>
      <c r="W29" s="1163" t="s">
        <v>256</v>
      </c>
      <c r="X29" s="1168" t="s">
        <v>256</v>
      </c>
      <c r="Y29" s="1163" t="s">
        <v>256</v>
      </c>
      <c r="Z29" s="1207" t="s">
        <v>256</v>
      </c>
      <c r="AA29" s="1207" t="s">
        <v>256</v>
      </c>
      <c r="AB29" s="1208" t="s">
        <v>256</v>
      </c>
      <c r="AC29" s="1178"/>
    </row>
    <row r="30" spans="1:29" ht="15.6">
      <c r="R30" s="1171" t="s">
        <v>570</v>
      </c>
      <c r="S30" s="1160">
        <v>3331558136</v>
      </c>
      <c r="T30" s="1161" t="s">
        <v>351</v>
      </c>
      <c r="U30" s="1160">
        <v>24141436</v>
      </c>
      <c r="V30" s="1160" t="s">
        <v>354</v>
      </c>
      <c r="W30" s="1163" t="s">
        <v>362</v>
      </c>
      <c r="X30" s="1161">
        <f>2598.06+19225.644</f>
        <v>21823.704000000002</v>
      </c>
      <c r="Y30" s="1068" t="s">
        <v>426</v>
      </c>
      <c r="Z30" s="1158">
        <v>1</v>
      </c>
      <c r="AA30" s="1158">
        <v>1</v>
      </c>
      <c r="AB30" s="1159" t="s">
        <v>204</v>
      </c>
      <c r="AC30" s="240"/>
    </row>
    <row r="31" spans="1:29" ht="15.6">
      <c r="R31" s="1171" t="s">
        <v>570</v>
      </c>
      <c r="S31" s="1160">
        <v>3331560172</v>
      </c>
      <c r="T31" s="1161" t="s">
        <v>256</v>
      </c>
      <c r="U31" s="1160" t="s">
        <v>256</v>
      </c>
      <c r="V31" s="1160" t="s">
        <v>256</v>
      </c>
      <c r="W31" s="1162" t="s">
        <v>256</v>
      </c>
      <c r="X31" s="1161" t="s">
        <v>256</v>
      </c>
      <c r="Y31" s="1068" t="s">
        <v>256</v>
      </c>
      <c r="Z31" s="1068" t="s">
        <v>256</v>
      </c>
      <c r="AA31" s="1068" t="s">
        <v>256</v>
      </c>
      <c r="AB31" s="1067" t="s">
        <v>256</v>
      </c>
      <c r="AC31" s="240"/>
    </row>
    <row r="32" spans="1:29" ht="15.6">
      <c r="R32" s="1205" t="s">
        <v>570</v>
      </c>
      <c r="S32" s="1162">
        <v>3331560210</v>
      </c>
      <c r="T32" s="1206" t="s">
        <v>445</v>
      </c>
      <c r="U32" s="1162">
        <v>24141454</v>
      </c>
      <c r="V32" s="1162" t="s">
        <v>435</v>
      </c>
      <c r="W32" s="1162" t="s">
        <v>611</v>
      </c>
      <c r="X32" s="1206">
        <v>22446.375</v>
      </c>
      <c r="Y32" s="1207" t="s">
        <v>200</v>
      </c>
      <c r="Z32" s="1207">
        <v>1</v>
      </c>
      <c r="AA32" s="1207">
        <v>1</v>
      </c>
      <c r="AB32" s="1208" t="s">
        <v>204</v>
      </c>
      <c r="AC32" s="240"/>
    </row>
    <row r="33" spans="18:29" ht="15.6">
      <c r="R33" s="1205" t="s">
        <v>570</v>
      </c>
      <c r="S33" s="1162">
        <v>3331560211</v>
      </c>
      <c r="T33" s="1206" t="s">
        <v>445</v>
      </c>
      <c r="U33" s="1162">
        <v>24141453</v>
      </c>
      <c r="V33" s="1162" t="s">
        <v>435</v>
      </c>
      <c r="W33" s="1162" t="s">
        <v>611</v>
      </c>
      <c r="X33" s="1206">
        <v>22360.865000000002</v>
      </c>
      <c r="Y33" s="1207" t="s">
        <v>200</v>
      </c>
      <c r="Z33" s="1207">
        <v>1</v>
      </c>
      <c r="AA33" s="1207">
        <v>1</v>
      </c>
      <c r="AB33" s="1208" t="s">
        <v>204</v>
      </c>
      <c r="AC33" s="269"/>
    </row>
    <row r="34" spans="18:29" ht="15.6">
      <c r="R34" s="1205" t="s">
        <v>570</v>
      </c>
      <c r="S34" s="1162">
        <v>3331560239</v>
      </c>
      <c r="T34" s="1206" t="s">
        <v>599</v>
      </c>
      <c r="U34" s="1162">
        <v>24141450</v>
      </c>
      <c r="V34" s="1162" t="s">
        <v>561</v>
      </c>
      <c r="W34" s="1162" t="s">
        <v>362</v>
      </c>
      <c r="X34" s="1206">
        <v>24498.615000000002</v>
      </c>
      <c r="Y34" s="1207" t="s">
        <v>200</v>
      </c>
      <c r="Z34" s="1207">
        <v>1</v>
      </c>
      <c r="AA34" s="1207">
        <v>1</v>
      </c>
      <c r="AB34" s="1208" t="s">
        <v>204</v>
      </c>
      <c r="AC34" s="269"/>
    </row>
    <row r="35" spans="18:29" ht="15.6">
      <c r="R35" s="1205" t="s">
        <v>570</v>
      </c>
      <c r="S35" s="1162">
        <v>3331560240</v>
      </c>
      <c r="T35" s="1206" t="s">
        <v>599</v>
      </c>
      <c r="U35" s="1162">
        <v>24141451</v>
      </c>
      <c r="V35" s="1162" t="s">
        <v>561</v>
      </c>
      <c r="W35" s="1162" t="s">
        <v>362</v>
      </c>
      <c r="X35" s="1206">
        <v>22446.375</v>
      </c>
      <c r="Y35" s="1207" t="s">
        <v>200</v>
      </c>
      <c r="Z35" s="1207">
        <v>1</v>
      </c>
      <c r="AA35" s="1207">
        <v>1</v>
      </c>
      <c r="AB35" s="1208" t="s">
        <v>204</v>
      </c>
      <c r="AC35" s="269"/>
    </row>
    <row r="36" spans="18:29" ht="15.6">
      <c r="R36" s="1205" t="s">
        <v>570</v>
      </c>
      <c r="S36" s="1162">
        <v>3331560241</v>
      </c>
      <c r="T36" s="1206" t="s">
        <v>599</v>
      </c>
      <c r="U36" s="1162">
        <v>24141452</v>
      </c>
      <c r="V36" s="1162" t="s">
        <v>561</v>
      </c>
      <c r="W36" s="1162" t="s">
        <v>362</v>
      </c>
      <c r="X36" s="1206">
        <v>23258.720000000001</v>
      </c>
      <c r="Y36" s="1207" t="s">
        <v>200</v>
      </c>
      <c r="Z36" s="1207">
        <v>1</v>
      </c>
      <c r="AA36" s="1207">
        <v>1</v>
      </c>
      <c r="AB36" s="1208" t="s">
        <v>204</v>
      </c>
      <c r="AC36" s="240"/>
    </row>
    <row r="37" spans="18:29" ht="15.6">
      <c r="R37" s="1205" t="s">
        <v>570</v>
      </c>
      <c r="S37" s="1162">
        <v>3331560249</v>
      </c>
      <c r="T37" s="1206" t="s">
        <v>599</v>
      </c>
      <c r="U37" s="1162">
        <v>24141455</v>
      </c>
      <c r="V37" s="1162" t="s">
        <v>561</v>
      </c>
      <c r="W37" s="1162" t="s">
        <v>362</v>
      </c>
      <c r="X37" s="1206">
        <v>26251.57</v>
      </c>
      <c r="Y37" s="1207" t="s">
        <v>200</v>
      </c>
      <c r="Z37" s="1207">
        <v>1</v>
      </c>
      <c r="AA37" s="1207">
        <v>1</v>
      </c>
      <c r="AB37" s="1208" t="s">
        <v>204</v>
      </c>
      <c r="AC37" s="240"/>
    </row>
    <row r="38" spans="18:29" ht="15.6">
      <c r="R38" s="1205" t="s">
        <v>570</v>
      </c>
      <c r="S38" s="1162">
        <v>3331560251</v>
      </c>
      <c r="T38" s="1206" t="s">
        <v>612</v>
      </c>
      <c r="U38" s="1162">
        <v>24141456</v>
      </c>
      <c r="V38" s="1162" t="s">
        <v>561</v>
      </c>
      <c r="W38" s="1162" t="s">
        <v>362</v>
      </c>
      <c r="X38" s="1206">
        <v>22873.924999999999</v>
      </c>
      <c r="Y38" s="1207" t="s">
        <v>200</v>
      </c>
      <c r="Z38" s="1207">
        <v>1</v>
      </c>
      <c r="AA38" s="1207">
        <v>1</v>
      </c>
      <c r="AB38" s="1208" t="s">
        <v>204</v>
      </c>
      <c r="AC38" s="269"/>
    </row>
    <row r="39" spans="18:29" ht="15.6">
      <c r="R39" s="1205" t="s">
        <v>570</v>
      </c>
      <c r="S39" s="1162">
        <v>3331560253</v>
      </c>
      <c r="T39" s="1206" t="s">
        <v>227</v>
      </c>
      <c r="U39" s="1162">
        <v>24141457</v>
      </c>
      <c r="V39" s="1162" t="s">
        <v>446</v>
      </c>
      <c r="W39" s="1162" t="s">
        <v>481</v>
      </c>
      <c r="X39" s="1206">
        <f>5814.68+33234.971</f>
        <v>39049.650999999998</v>
      </c>
      <c r="Y39" s="1207" t="s">
        <v>128</v>
      </c>
      <c r="Z39" s="1207">
        <v>1</v>
      </c>
      <c r="AA39" s="1207">
        <v>1</v>
      </c>
      <c r="AB39" s="1208" t="s">
        <v>204</v>
      </c>
      <c r="AC39" s="240"/>
    </row>
    <row r="40" spans="18:29" ht="15.6">
      <c r="R40" s="1205" t="s">
        <v>570</v>
      </c>
      <c r="S40" s="1162">
        <v>3331560255</v>
      </c>
      <c r="T40" s="1162" t="s">
        <v>256</v>
      </c>
      <c r="U40" s="1162" t="s">
        <v>256</v>
      </c>
      <c r="V40" s="1162" t="s">
        <v>256</v>
      </c>
      <c r="W40" s="1162" t="s">
        <v>256</v>
      </c>
      <c r="X40" s="1206" t="s">
        <v>256</v>
      </c>
      <c r="Y40" s="1207" t="s">
        <v>256</v>
      </c>
      <c r="Z40" s="1207" t="s">
        <v>256</v>
      </c>
      <c r="AA40" s="1207" t="s">
        <v>256</v>
      </c>
      <c r="AB40" s="1208" t="s">
        <v>204</v>
      </c>
      <c r="AC40" s="240"/>
    </row>
    <row r="41" spans="18:29" ht="15.6">
      <c r="R41" s="1205" t="s">
        <v>452</v>
      </c>
      <c r="S41" s="1162">
        <v>3331560261</v>
      </c>
      <c r="T41" s="1162" t="s">
        <v>342</v>
      </c>
      <c r="U41" s="1162">
        <v>24141459</v>
      </c>
      <c r="V41" s="1162" t="s">
        <v>444</v>
      </c>
      <c r="W41" s="1207" t="s">
        <v>434</v>
      </c>
      <c r="X41" s="1206">
        <v>26965.075000000001</v>
      </c>
      <c r="Y41" s="1207" t="s">
        <v>200</v>
      </c>
      <c r="Z41" s="1207">
        <v>1</v>
      </c>
      <c r="AA41" s="1207">
        <v>1</v>
      </c>
      <c r="AB41" s="1208" t="s">
        <v>204</v>
      </c>
      <c r="AC41" s="269"/>
    </row>
    <row r="42" spans="18:29" ht="15.6">
      <c r="R42" s="1199" t="s">
        <v>570</v>
      </c>
      <c r="S42" s="1188">
        <v>3331560262</v>
      </c>
      <c r="T42" s="1188" t="s">
        <v>342</v>
      </c>
      <c r="U42" s="1188">
        <v>24141458</v>
      </c>
      <c r="V42" s="1188" t="s">
        <v>444</v>
      </c>
      <c r="W42" s="1182" t="s">
        <v>434</v>
      </c>
      <c r="X42" s="1204">
        <f>22965.471+3115.5</f>
        <v>26080.971000000001</v>
      </c>
      <c r="Y42" s="1182" t="s">
        <v>200</v>
      </c>
      <c r="Z42" s="1182">
        <v>1</v>
      </c>
      <c r="AA42" s="1182">
        <v>1</v>
      </c>
      <c r="AB42" s="1200" t="s">
        <v>207</v>
      </c>
      <c r="AC42" s="240"/>
    </row>
    <row r="43" spans="18:29" ht="15.6">
      <c r="R43" s="1199" t="s">
        <v>452</v>
      </c>
      <c r="S43" s="1188">
        <v>3331560269</v>
      </c>
      <c r="T43" s="1188" t="s">
        <v>256</v>
      </c>
      <c r="U43" s="1188" t="s">
        <v>256</v>
      </c>
      <c r="V43" s="1188" t="s">
        <v>256</v>
      </c>
      <c r="W43" s="1188" t="s">
        <v>256</v>
      </c>
      <c r="X43" s="1204" t="s">
        <v>256</v>
      </c>
      <c r="Y43" s="1182" t="s">
        <v>256</v>
      </c>
      <c r="Z43" s="1182" t="s">
        <v>256</v>
      </c>
      <c r="AA43" s="1182" t="s">
        <v>256</v>
      </c>
      <c r="AB43" s="1200" t="s">
        <v>256</v>
      </c>
      <c r="AC43" s="240"/>
    </row>
    <row r="44" spans="18:29" ht="15.6">
      <c r="R44" s="1205" t="s">
        <v>613</v>
      </c>
      <c r="S44" s="1162">
        <v>3331560287</v>
      </c>
      <c r="T44" s="1068" t="s">
        <v>445</v>
      </c>
      <c r="U44" s="1162">
        <v>24141462</v>
      </c>
      <c r="V44" s="1162" t="s">
        <v>224</v>
      </c>
      <c r="W44" s="1162" t="s">
        <v>203</v>
      </c>
      <c r="X44" s="1206">
        <v>23052.49</v>
      </c>
      <c r="Y44" s="1207" t="s">
        <v>200</v>
      </c>
      <c r="Z44" s="1207">
        <v>1</v>
      </c>
      <c r="AA44" s="1207">
        <v>1</v>
      </c>
      <c r="AB44" s="1208" t="s">
        <v>204</v>
      </c>
      <c r="AC44" s="269"/>
    </row>
    <row r="45" spans="18:29" ht="15.6">
      <c r="R45" s="1205" t="s">
        <v>613</v>
      </c>
      <c r="S45" s="1162">
        <v>3331560289</v>
      </c>
      <c r="T45" s="1068" t="s">
        <v>445</v>
      </c>
      <c r="U45" s="1162">
        <v>24141463</v>
      </c>
      <c r="V45" s="1162" t="s">
        <v>224</v>
      </c>
      <c r="W45" s="1162" t="s">
        <v>203</v>
      </c>
      <c r="X45" s="1206">
        <v>23138</v>
      </c>
      <c r="Y45" s="1207" t="s">
        <v>200</v>
      </c>
      <c r="Z45" s="1207">
        <v>1</v>
      </c>
      <c r="AA45" s="1207">
        <v>1</v>
      </c>
      <c r="AB45" s="1208" t="s">
        <v>204</v>
      </c>
      <c r="AC45" s="269"/>
    </row>
    <row r="46" spans="18:29" ht="15.6">
      <c r="R46" s="1205" t="s">
        <v>613</v>
      </c>
      <c r="S46" s="1162">
        <v>3331560295</v>
      </c>
      <c r="T46" s="1068" t="s">
        <v>445</v>
      </c>
      <c r="U46" s="1162">
        <v>24141464</v>
      </c>
      <c r="V46" s="1162" t="s">
        <v>224</v>
      </c>
      <c r="W46" s="1162" t="s">
        <v>203</v>
      </c>
      <c r="X46" s="1206">
        <v>23567.562000000002</v>
      </c>
      <c r="Y46" s="1207" t="s">
        <v>200</v>
      </c>
      <c r="Z46" s="1207">
        <v>1</v>
      </c>
      <c r="AA46" s="1207">
        <v>1</v>
      </c>
      <c r="AB46" s="1208" t="s">
        <v>204</v>
      </c>
      <c r="AC46" s="269"/>
    </row>
    <row r="47" spans="18:29" ht="15.6">
      <c r="R47" s="1205" t="s">
        <v>613</v>
      </c>
      <c r="S47" s="1162">
        <v>3331560301</v>
      </c>
      <c r="T47" s="1068" t="s">
        <v>445</v>
      </c>
      <c r="U47" s="1162">
        <v>24141465</v>
      </c>
      <c r="V47" s="1162" t="s">
        <v>224</v>
      </c>
      <c r="W47" s="1162" t="s">
        <v>203</v>
      </c>
      <c r="X47" s="1206">
        <v>23183.269</v>
      </c>
      <c r="Y47" s="1207" t="s">
        <v>200</v>
      </c>
      <c r="Z47" s="1207">
        <v>1</v>
      </c>
      <c r="AA47" s="1207">
        <v>1</v>
      </c>
      <c r="AB47" s="1208" t="s">
        <v>204</v>
      </c>
      <c r="AC47" s="269"/>
    </row>
    <row r="48" spans="18:29" ht="15.6">
      <c r="R48" s="1205" t="s">
        <v>613</v>
      </c>
      <c r="S48" s="1162">
        <v>3331560305</v>
      </c>
      <c r="T48" s="1215" t="s">
        <v>445</v>
      </c>
      <c r="U48" s="1162">
        <v>24141466</v>
      </c>
      <c r="V48" s="1162" t="s">
        <v>224</v>
      </c>
      <c r="W48" s="1162" t="s">
        <v>203</v>
      </c>
      <c r="X48" s="1206">
        <v>23741.599999999999</v>
      </c>
      <c r="Y48" s="1207" t="s">
        <v>200</v>
      </c>
      <c r="Z48" s="1207">
        <v>1</v>
      </c>
      <c r="AA48" s="1207">
        <v>1</v>
      </c>
      <c r="AB48" s="1208" t="s">
        <v>204</v>
      </c>
      <c r="AC48" s="240"/>
    </row>
    <row r="49" spans="18:29" ht="15.6">
      <c r="R49" s="1205" t="s">
        <v>613</v>
      </c>
      <c r="S49" s="1162">
        <v>3331560306</v>
      </c>
      <c r="T49" s="1215" t="s">
        <v>445</v>
      </c>
      <c r="U49" s="1162">
        <v>24141468</v>
      </c>
      <c r="V49" s="1162" t="s">
        <v>224</v>
      </c>
      <c r="W49" s="1162" t="s">
        <v>203</v>
      </c>
      <c r="X49" s="1206">
        <v>24470.95</v>
      </c>
      <c r="Y49" s="1207" t="s">
        <v>200</v>
      </c>
      <c r="Z49" s="1207">
        <v>1</v>
      </c>
      <c r="AA49" s="1207">
        <v>1</v>
      </c>
      <c r="AB49" s="1208" t="s">
        <v>204</v>
      </c>
      <c r="AC49" s="240"/>
    </row>
    <row r="50" spans="18:29" ht="15.6">
      <c r="R50" s="1205" t="s">
        <v>613</v>
      </c>
      <c r="S50" s="1162">
        <v>3331560308</v>
      </c>
      <c r="T50" s="1215" t="s">
        <v>445</v>
      </c>
      <c r="U50" s="1162">
        <v>24141467</v>
      </c>
      <c r="V50" s="1162" t="s">
        <v>224</v>
      </c>
      <c r="W50" s="1162" t="s">
        <v>203</v>
      </c>
      <c r="X50" s="1206">
        <f>11120.324+12515.647</f>
        <v>23635.971000000001</v>
      </c>
      <c r="Y50" s="1207" t="s">
        <v>200</v>
      </c>
      <c r="Z50" s="1207">
        <v>1</v>
      </c>
      <c r="AA50" s="1207">
        <v>1</v>
      </c>
      <c r="AB50" s="1208" t="s">
        <v>204</v>
      </c>
      <c r="AC50" s="240"/>
    </row>
    <row r="51" spans="18:29" ht="15.6">
      <c r="R51" s="1205" t="s">
        <v>613</v>
      </c>
      <c r="S51" s="1162">
        <v>3331560310</v>
      </c>
      <c r="T51" s="1206" t="s">
        <v>256</v>
      </c>
      <c r="U51" s="1162" t="s">
        <v>256</v>
      </c>
      <c r="V51" s="1162" t="s">
        <v>256</v>
      </c>
      <c r="W51" s="1162" t="s">
        <v>256</v>
      </c>
      <c r="X51" s="1206" t="s">
        <v>256</v>
      </c>
      <c r="Y51" s="1207" t="s">
        <v>256</v>
      </c>
      <c r="Z51" s="1207" t="s">
        <v>256</v>
      </c>
      <c r="AA51" s="1207" t="s">
        <v>256</v>
      </c>
      <c r="AB51" s="1208" t="s">
        <v>256</v>
      </c>
      <c r="AC51" s="240"/>
    </row>
    <row r="52" spans="18:29" ht="15.6">
      <c r="R52" s="1205" t="s">
        <v>613</v>
      </c>
      <c r="S52" s="1162">
        <v>3331560311</v>
      </c>
      <c r="T52" s="1215" t="s">
        <v>445</v>
      </c>
      <c r="U52" s="1162">
        <v>24141469</v>
      </c>
      <c r="V52" s="1162" t="s">
        <v>224</v>
      </c>
      <c r="W52" s="1162" t="s">
        <v>203</v>
      </c>
      <c r="X52" s="1206">
        <v>24370.35</v>
      </c>
      <c r="Y52" s="1207" t="s">
        <v>200</v>
      </c>
      <c r="Z52" s="1207">
        <v>1</v>
      </c>
      <c r="AA52" s="1207">
        <v>1</v>
      </c>
      <c r="AB52" s="1208" t="s">
        <v>204</v>
      </c>
      <c r="AC52" s="240"/>
    </row>
    <row r="53" spans="18:29" ht="15.6">
      <c r="R53" s="1205" t="s">
        <v>570</v>
      </c>
      <c r="S53" s="1162">
        <v>3331560321</v>
      </c>
      <c r="T53" s="1215" t="s">
        <v>445</v>
      </c>
      <c r="U53" s="1162">
        <v>24141471</v>
      </c>
      <c r="V53" s="1162" t="s">
        <v>430</v>
      </c>
      <c r="W53" s="1162" t="s">
        <v>481</v>
      </c>
      <c r="X53" s="1206">
        <v>21120.97</v>
      </c>
      <c r="Y53" s="1207" t="s">
        <v>200</v>
      </c>
      <c r="Z53" s="1207">
        <v>1</v>
      </c>
      <c r="AA53" s="1207">
        <v>1</v>
      </c>
      <c r="AB53" s="1208" t="s">
        <v>204</v>
      </c>
      <c r="AC53" s="240"/>
    </row>
    <row r="54" spans="18:29" ht="15.6">
      <c r="R54" s="1205" t="s">
        <v>570</v>
      </c>
      <c r="S54" s="1162">
        <v>3331560330</v>
      </c>
      <c r="T54" s="1215" t="s">
        <v>441</v>
      </c>
      <c r="U54" s="1162">
        <v>24141472</v>
      </c>
      <c r="V54" s="1162" t="s">
        <v>430</v>
      </c>
      <c r="W54" s="1162" t="s">
        <v>481</v>
      </c>
      <c r="X54" s="1206">
        <v>22138.539000000001</v>
      </c>
      <c r="Y54" s="1207" t="s">
        <v>200</v>
      </c>
      <c r="Z54" s="1207">
        <v>1</v>
      </c>
      <c r="AA54" s="1207">
        <v>1</v>
      </c>
      <c r="AB54" s="1208" t="s">
        <v>204</v>
      </c>
      <c r="AC54" s="240"/>
    </row>
    <row r="55" spans="18:29" ht="15.6">
      <c r="R55" s="1205" t="s">
        <v>570</v>
      </c>
      <c r="S55" s="1162">
        <v>3331560335</v>
      </c>
      <c r="T55" s="1162" t="s">
        <v>614</v>
      </c>
      <c r="U55" s="1162">
        <v>24141473</v>
      </c>
      <c r="V55" s="1162" t="s">
        <v>430</v>
      </c>
      <c r="W55" s="1162" t="s">
        <v>481</v>
      </c>
      <c r="X55" s="1206">
        <f>14793.23+33070.791</f>
        <v>47864.020999999993</v>
      </c>
      <c r="Y55" s="1207" t="s">
        <v>128</v>
      </c>
      <c r="Z55" s="1207">
        <v>1</v>
      </c>
      <c r="AA55" s="1207">
        <v>1</v>
      </c>
      <c r="AB55" s="1208" t="s">
        <v>204</v>
      </c>
      <c r="AC55" s="269"/>
    </row>
    <row r="56" spans="18:29" ht="15.6">
      <c r="R56" s="1205" t="s">
        <v>570</v>
      </c>
      <c r="S56" s="1162">
        <v>3331560338</v>
      </c>
      <c r="T56" s="1215" t="s">
        <v>256</v>
      </c>
      <c r="U56" s="1162" t="s">
        <v>256</v>
      </c>
      <c r="V56" s="1162" t="s">
        <v>256</v>
      </c>
      <c r="W56" s="1162" t="s">
        <v>256</v>
      </c>
      <c r="X56" s="1206" t="s">
        <v>256</v>
      </c>
      <c r="Y56" s="1207" t="s">
        <v>256</v>
      </c>
      <c r="Z56" s="1207" t="s">
        <v>256</v>
      </c>
      <c r="AA56" s="1207" t="s">
        <v>256</v>
      </c>
      <c r="AB56" s="1208" t="s">
        <v>256</v>
      </c>
      <c r="AC56" s="269"/>
    </row>
    <row r="57" spans="18:29" ht="15.6">
      <c r="R57" s="1201" t="s">
        <v>570</v>
      </c>
      <c r="S57" s="1202">
        <v>3331560159</v>
      </c>
      <c r="T57" s="1102" t="s">
        <v>34</v>
      </c>
      <c r="U57" s="1202">
        <v>24141432</v>
      </c>
      <c r="V57" s="1202" t="s">
        <v>158</v>
      </c>
      <c r="W57" s="1202" t="s">
        <v>199</v>
      </c>
      <c r="X57" s="1203">
        <v>26666.042000000001</v>
      </c>
      <c r="Y57" s="1202" t="s">
        <v>200</v>
      </c>
      <c r="Z57" s="1077">
        <v>1</v>
      </c>
      <c r="AA57" s="1077">
        <v>1</v>
      </c>
      <c r="AB57" s="1078" t="s">
        <v>204</v>
      </c>
      <c r="AC57" s="240"/>
    </row>
    <row r="58" spans="18:29" ht="15.6">
      <c r="R58" s="1201" t="s">
        <v>570</v>
      </c>
      <c r="S58" s="1202">
        <v>3331560162</v>
      </c>
      <c r="T58" s="1102" t="s">
        <v>34</v>
      </c>
      <c r="U58" s="1202">
        <v>24141433</v>
      </c>
      <c r="V58" s="1202" t="s">
        <v>158</v>
      </c>
      <c r="W58" s="1202" t="s">
        <v>199</v>
      </c>
      <c r="X58" s="1203">
        <v>25333.091</v>
      </c>
      <c r="Y58" s="1202" t="s">
        <v>200</v>
      </c>
      <c r="Z58" s="1077">
        <v>1</v>
      </c>
      <c r="AA58" s="1077">
        <v>1</v>
      </c>
      <c r="AB58" s="1078" t="s">
        <v>204</v>
      </c>
      <c r="AC58" s="240"/>
    </row>
    <row r="59" spans="18:29" ht="15.6">
      <c r="R59" s="1201" t="s">
        <v>570</v>
      </c>
      <c r="S59" s="1202">
        <v>3331560168</v>
      </c>
      <c r="T59" s="1102" t="s">
        <v>11</v>
      </c>
      <c r="U59" s="1202">
        <v>24141434</v>
      </c>
      <c r="V59" s="1202" t="s">
        <v>158</v>
      </c>
      <c r="W59" s="1202" t="s">
        <v>199</v>
      </c>
      <c r="X59" s="1203">
        <v>25718.39</v>
      </c>
      <c r="Y59" s="1202" t="s">
        <v>200</v>
      </c>
      <c r="Z59" s="1077">
        <v>1</v>
      </c>
      <c r="AA59" s="1077">
        <v>1</v>
      </c>
      <c r="AB59" s="1078" t="s">
        <v>204</v>
      </c>
      <c r="AC59" s="240"/>
    </row>
    <row r="60" spans="18:29" ht="15.6">
      <c r="R60" s="1201" t="s">
        <v>615</v>
      </c>
      <c r="S60" s="1202">
        <v>3331560171</v>
      </c>
      <c r="T60" s="1102" t="s">
        <v>58</v>
      </c>
      <c r="U60" s="1202">
        <v>24141435</v>
      </c>
      <c r="V60" s="1202" t="s">
        <v>158</v>
      </c>
      <c r="W60" s="1202" t="s">
        <v>340</v>
      </c>
      <c r="X60" s="1203">
        <v>25333.093000000001</v>
      </c>
      <c r="Y60" s="1202" t="s">
        <v>200</v>
      </c>
      <c r="Z60" s="1077">
        <v>1</v>
      </c>
      <c r="AA60" s="1077">
        <v>1</v>
      </c>
      <c r="AB60" s="1078" t="s">
        <v>204</v>
      </c>
      <c r="AC60" s="240"/>
    </row>
    <row r="61" spans="18:29" ht="15.6">
      <c r="R61" s="1201" t="s">
        <v>570</v>
      </c>
      <c r="S61" s="1209">
        <v>3331560273</v>
      </c>
      <c r="T61" s="1102" t="s">
        <v>34</v>
      </c>
      <c r="U61" s="1202">
        <v>24141460</v>
      </c>
      <c r="V61" s="1202" t="s">
        <v>572</v>
      </c>
      <c r="W61" s="1202" t="s">
        <v>340</v>
      </c>
      <c r="X61" s="1203">
        <v>27063.125</v>
      </c>
      <c r="Y61" s="1202" t="s">
        <v>200</v>
      </c>
      <c r="Z61" s="1202">
        <v>1</v>
      </c>
      <c r="AA61" s="1202">
        <v>1</v>
      </c>
      <c r="AB61" s="1078" t="s">
        <v>204</v>
      </c>
      <c r="AC61" s="1210"/>
    </row>
    <row r="62" spans="18:29" ht="15.6">
      <c r="R62" s="1201" t="s">
        <v>570</v>
      </c>
      <c r="S62" s="1209">
        <v>3331560275</v>
      </c>
      <c r="T62" s="1102" t="s">
        <v>287</v>
      </c>
      <c r="U62" s="1202">
        <v>24141461</v>
      </c>
      <c r="V62" s="1202" t="s">
        <v>572</v>
      </c>
      <c r="W62" s="1202" t="s">
        <v>340</v>
      </c>
      <c r="X62" s="1203">
        <v>26716.717000000001</v>
      </c>
      <c r="Y62" s="1202" t="s">
        <v>200</v>
      </c>
      <c r="Z62" s="1077">
        <v>1</v>
      </c>
      <c r="AA62" s="1077">
        <v>1</v>
      </c>
      <c r="AB62" s="1078" t="s">
        <v>204</v>
      </c>
      <c r="AC62" s="1192"/>
    </row>
    <row r="63" spans="18:29" s="44" customFormat="1" ht="15.6">
      <c r="R63" s="1201" t="s">
        <v>615</v>
      </c>
      <c r="S63" s="1202">
        <v>3331560180</v>
      </c>
      <c r="T63" s="1102" t="s">
        <v>58</v>
      </c>
      <c r="U63" s="1202">
        <v>24141439</v>
      </c>
      <c r="V63" s="1202" t="s">
        <v>158</v>
      </c>
      <c r="W63" s="1202" t="s">
        <v>340</v>
      </c>
      <c r="X63" s="1203">
        <v>25720.794000000002</v>
      </c>
      <c r="Y63" s="1202" t="s">
        <v>200</v>
      </c>
      <c r="Z63" s="1077">
        <v>1</v>
      </c>
      <c r="AA63" s="1077">
        <v>1</v>
      </c>
      <c r="AB63" s="1078" t="s">
        <v>204</v>
      </c>
      <c r="AC63" s="1192"/>
    </row>
    <row r="64" spans="18:29" s="44" customFormat="1" ht="15.6">
      <c r="R64" s="1201" t="s">
        <v>615</v>
      </c>
      <c r="S64" s="1202">
        <v>3331560183</v>
      </c>
      <c r="T64" s="1102" t="s">
        <v>34</v>
      </c>
      <c r="U64" s="1202">
        <v>24141440</v>
      </c>
      <c r="V64" s="1202" t="s">
        <v>158</v>
      </c>
      <c r="W64" s="1202" t="s">
        <v>340</v>
      </c>
      <c r="X64" s="1203">
        <v>25590.891</v>
      </c>
      <c r="Y64" s="1202" t="s">
        <v>200</v>
      </c>
      <c r="Z64" s="1077">
        <v>1</v>
      </c>
      <c r="AA64" s="1077">
        <v>1</v>
      </c>
      <c r="AB64" s="1078" t="s">
        <v>204</v>
      </c>
      <c r="AC64" s="1210"/>
    </row>
    <row r="65" spans="18:29" s="44" customFormat="1" ht="15.6">
      <c r="R65" s="1201" t="s">
        <v>570</v>
      </c>
      <c r="S65" s="1202">
        <v>3331560163</v>
      </c>
      <c r="T65" s="1102" t="s">
        <v>34</v>
      </c>
      <c r="U65" s="1202">
        <v>24141448</v>
      </c>
      <c r="V65" s="1202" t="s">
        <v>135</v>
      </c>
      <c r="W65" s="1202" t="s">
        <v>199</v>
      </c>
      <c r="X65" s="1203">
        <v>25884.028999999999</v>
      </c>
      <c r="Y65" s="1202" t="s">
        <v>200</v>
      </c>
      <c r="Z65" s="1077">
        <v>1</v>
      </c>
      <c r="AA65" s="1077">
        <v>1</v>
      </c>
      <c r="AB65" s="1078" t="s">
        <v>204</v>
      </c>
      <c r="AC65" s="240"/>
    </row>
    <row r="66" spans="18:29" s="44" customFormat="1" ht="15.6">
      <c r="R66" s="1201" t="s">
        <v>570</v>
      </c>
      <c r="S66" s="1202">
        <v>3331560318</v>
      </c>
      <c r="T66" s="1102" t="s">
        <v>34</v>
      </c>
      <c r="U66" s="1202">
        <v>24141470</v>
      </c>
      <c r="V66" s="1202" t="s">
        <v>135</v>
      </c>
      <c r="W66" s="1202" t="s">
        <v>340</v>
      </c>
      <c r="X66" s="1203">
        <v>26671.994999999999</v>
      </c>
      <c r="Y66" s="1202" t="s">
        <v>200</v>
      </c>
      <c r="Z66" s="1202">
        <v>1</v>
      </c>
      <c r="AA66" s="1202">
        <v>1</v>
      </c>
      <c r="AB66" s="1078" t="s">
        <v>204</v>
      </c>
      <c r="AC66" s="1210"/>
    </row>
    <row r="67" spans="18:29" s="44" customFormat="1" ht="15.6">
      <c r="R67" s="1201" t="s">
        <v>452</v>
      </c>
      <c r="S67" s="1202">
        <v>3331560342</v>
      </c>
      <c r="T67" s="1149" t="s">
        <v>616</v>
      </c>
      <c r="U67" s="1202">
        <v>24141474</v>
      </c>
      <c r="V67" s="1202" t="s">
        <v>529</v>
      </c>
      <c r="W67" s="1202" t="s">
        <v>434</v>
      </c>
      <c r="X67" s="1203">
        <v>37022.355000000003</v>
      </c>
      <c r="Y67" s="1202" t="s">
        <v>128</v>
      </c>
      <c r="Z67" s="1202">
        <v>1</v>
      </c>
      <c r="AA67" s="1202">
        <v>1</v>
      </c>
      <c r="AB67" s="1078" t="s">
        <v>204</v>
      </c>
      <c r="AC67" s="1192"/>
    </row>
    <row r="68" spans="18:29" s="44" customFormat="1" ht="15.6">
      <c r="R68" s="1201" t="s">
        <v>570</v>
      </c>
      <c r="S68" s="1202">
        <v>3331560346</v>
      </c>
      <c r="T68" s="1149" t="s">
        <v>616</v>
      </c>
      <c r="U68" s="1202">
        <v>24141476</v>
      </c>
      <c r="V68" s="1202" t="s">
        <v>529</v>
      </c>
      <c r="W68" s="1202" t="s">
        <v>434</v>
      </c>
      <c r="X68" s="1203">
        <f>15978.069+21634.03</f>
        <v>37612.099000000002</v>
      </c>
      <c r="Y68" s="1202" t="s">
        <v>128</v>
      </c>
      <c r="Z68" s="1202">
        <v>1</v>
      </c>
      <c r="AA68" s="1202">
        <v>1</v>
      </c>
      <c r="AB68" s="1078" t="s">
        <v>204</v>
      </c>
      <c r="AC68" s="1192"/>
    </row>
    <row r="69" spans="18:29" s="44" customFormat="1" ht="15.6">
      <c r="R69" s="1201" t="s">
        <v>570</v>
      </c>
      <c r="S69" s="1202">
        <v>3331560347</v>
      </c>
      <c r="T69" s="1149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077" t="s">
        <v>256</v>
      </c>
      <c r="AA69" s="1077" t="s">
        <v>256</v>
      </c>
      <c r="AB69" s="1078" t="s">
        <v>256</v>
      </c>
      <c r="AC69" s="1216"/>
    </row>
    <row r="70" spans="18:29" s="44" customFormat="1" ht="15.6">
      <c r="R70" s="1201" t="s">
        <v>570</v>
      </c>
      <c r="S70" s="1202">
        <v>3331560356</v>
      </c>
      <c r="T70" s="1149" t="s">
        <v>616</v>
      </c>
      <c r="U70" s="1202">
        <v>24141477</v>
      </c>
      <c r="V70" s="1202" t="s">
        <v>185</v>
      </c>
      <c r="W70" s="1202" t="s">
        <v>434</v>
      </c>
      <c r="X70" s="1203">
        <f>4085.617+33298.469</f>
        <v>37384.085999999996</v>
      </c>
      <c r="Y70" s="1202" t="s">
        <v>617</v>
      </c>
      <c r="Z70" s="1202">
        <v>1</v>
      </c>
      <c r="AA70" s="1202">
        <v>1</v>
      </c>
      <c r="AB70" s="1078" t="s">
        <v>204</v>
      </c>
      <c r="AC70" s="1192"/>
    </row>
    <row r="71" spans="18:29">
      <c r="R71" s="1201" t="s">
        <v>570</v>
      </c>
      <c r="S71" s="1202">
        <v>3331560360</v>
      </c>
      <c r="T71" s="1202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>
        <v>1</v>
      </c>
      <c r="AA71" s="1202">
        <v>1</v>
      </c>
      <c r="AB71" s="1202" t="s">
        <v>256</v>
      </c>
      <c r="AC71" s="1192"/>
    </row>
    <row r="72" spans="18:29">
      <c r="R72" s="1201" t="s">
        <v>613</v>
      </c>
      <c r="S72" s="1202">
        <v>3331560374</v>
      </c>
      <c r="T72" s="1202" t="s">
        <v>27</v>
      </c>
      <c r="U72" s="1202">
        <v>24141479</v>
      </c>
      <c r="V72" s="1202" t="s">
        <v>618</v>
      </c>
      <c r="W72" s="1202"/>
      <c r="X72" s="1203">
        <v>22164</v>
      </c>
      <c r="Y72" s="1202" t="s">
        <v>200</v>
      </c>
      <c r="Z72" s="1202">
        <v>1</v>
      </c>
      <c r="AA72" s="1202"/>
      <c r="AB72" s="1202" t="s">
        <v>204</v>
      </c>
      <c r="AC72" s="1210"/>
    </row>
    <row r="73" spans="18:29">
      <c r="R73" s="1201" t="s">
        <v>613</v>
      </c>
      <c r="S73" s="1202">
        <v>3331560370</v>
      </c>
      <c r="T73" s="1202" t="s">
        <v>27</v>
      </c>
      <c r="U73" s="1202">
        <v>24141478</v>
      </c>
      <c r="V73" s="1202" t="s">
        <v>618</v>
      </c>
      <c r="W73" s="1202"/>
      <c r="X73" s="1203">
        <v>23319</v>
      </c>
      <c r="Y73" s="1202" t="s">
        <v>200</v>
      </c>
      <c r="Z73" s="1202">
        <v>1</v>
      </c>
      <c r="AA73" s="1202"/>
      <c r="AB73" s="1202" t="s">
        <v>204</v>
      </c>
      <c r="AC73" s="1210"/>
    </row>
    <row r="74" spans="18:29">
      <c r="R74" s="1189"/>
      <c r="S74" s="1190"/>
      <c r="T74" s="1111"/>
      <c r="U74" s="1190"/>
      <c r="V74" s="1190"/>
      <c r="W74" s="1190"/>
      <c r="X74" s="1191"/>
      <c r="Y74" s="1190"/>
      <c r="Z74" s="1190"/>
      <c r="AA74" s="1190"/>
      <c r="AB74" s="1190"/>
      <c r="AC74" s="1192"/>
    </row>
    <row r="75" spans="18:29">
      <c r="R75" s="1189"/>
      <c r="S75" s="1190"/>
      <c r="T75" s="1111"/>
      <c r="U75" s="1190"/>
      <c r="V75" s="1190"/>
      <c r="W75" s="1190"/>
      <c r="X75" s="1191"/>
      <c r="Y75" s="1190"/>
      <c r="Z75" s="1190"/>
      <c r="AA75" s="1190"/>
      <c r="AB75" s="1190"/>
      <c r="AC75" s="1192"/>
    </row>
    <row r="76" spans="18:29">
      <c r="R76" s="1189"/>
      <c r="S76" s="1190"/>
      <c r="T76" s="1111"/>
      <c r="U76" s="1190"/>
      <c r="V76" s="1190"/>
      <c r="W76" s="1190"/>
      <c r="X76" s="1191"/>
      <c r="Y76" s="1190"/>
      <c r="Z76" s="1190"/>
      <c r="AA76" s="1190"/>
      <c r="AB76" s="1190"/>
      <c r="AC76" s="1192"/>
    </row>
    <row r="77" spans="18:29">
      <c r="R77" s="1189"/>
      <c r="S77" s="1190"/>
      <c r="T77" s="1111"/>
      <c r="U77" s="1190"/>
      <c r="V77" s="1190"/>
      <c r="W77" s="1190"/>
      <c r="X77" s="1191"/>
      <c r="Y77" s="1190"/>
      <c r="Z77" s="1190"/>
      <c r="AA77" s="1190"/>
      <c r="AB77" s="1190"/>
      <c r="AC77" s="1192"/>
    </row>
    <row r="78" spans="18:29">
      <c r="R78" s="1189"/>
      <c r="S78" s="1190"/>
      <c r="T78" s="1111"/>
      <c r="U78" s="1190"/>
      <c r="V78" s="1190"/>
      <c r="W78" s="1190"/>
      <c r="X78" s="1191"/>
      <c r="Y78" s="1190"/>
      <c r="Z78" s="1190"/>
      <c r="AA78" s="1190"/>
      <c r="AB78" s="1190"/>
      <c r="AC78" s="1192"/>
    </row>
    <row r="79" spans="18:29">
      <c r="R79" s="1189"/>
      <c r="S79" s="1190"/>
      <c r="T79" s="1111"/>
      <c r="U79" s="1190"/>
      <c r="V79" s="1190"/>
      <c r="W79" s="1190"/>
      <c r="X79" s="1191"/>
      <c r="Y79" s="1190"/>
      <c r="Z79" s="1190"/>
      <c r="AA79" s="1190"/>
      <c r="AB79" s="1190"/>
      <c r="AC79" s="1192"/>
    </row>
    <row r="80" spans="18:29">
      <c r="R80" s="1189"/>
      <c r="S80" s="1190"/>
      <c r="T80" s="1111"/>
      <c r="U80" s="1190"/>
      <c r="V80" s="1190"/>
      <c r="W80" s="1190"/>
      <c r="X80" s="1191"/>
      <c r="Y80" s="1190"/>
      <c r="Z80" s="1190"/>
      <c r="AA80" s="1190"/>
      <c r="AB80" s="1190"/>
      <c r="AC80" s="1192"/>
    </row>
    <row r="81" spans="18:29">
      <c r="R81" s="1189"/>
      <c r="S81" s="1190"/>
      <c r="T81" s="1111"/>
      <c r="U81" s="1190"/>
      <c r="V81" s="1190"/>
      <c r="W81" s="1190"/>
      <c r="X81" s="1191"/>
      <c r="Y81" s="1190"/>
      <c r="Z81" s="1190"/>
      <c r="AA81" s="1190"/>
      <c r="AB81" s="1190"/>
      <c r="AC81" s="1192"/>
    </row>
    <row r="82" spans="18:29">
      <c r="R82" s="1189"/>
      <c r="S82" s="1190"/>
      <c r="T82" s="1111"/>
      <c r="U82" s="1190"/>
      <c r="V82" s="1190"/>
      <c r="W82" s="1190"/>
      <c r="X82" s="1191"/>
      <c r="Y82" s="1190"/>
      <c r="Z82" s="1190"/>
      <c r="AA82" s="1190"/>
      <c r="AB82" s="1190"/>
      <c r="AC82" s="1192"/>
    </row>
    <row r="83" spans="18:29">
      <c r="R83" s="1189"/>
      <c r="S83" s="1190"/>
      <c r="T83" s="1190"/>
      <c r="U83" s="1190"/>
      <c r="V83" s="1190"/>
      <c r="W83" s="1190"/>
      <c r="X83" s="1191"/>
      <c r="Y83" s="1190"/>
      <c r="Z83" s="1190"/>
      <c r="AA83" s="1190"/>
      <c r="AB83" s="1190"/>
      <c r="AC83" s="1192"/>
    </row>
    <row r="84" spans="18:29">
      <c r="R84" s="1189"/>
      <c r="S84" s="1190"/>
      <c r="T84" s="1111"/>
      <c r="U84" s="1190"/>
      <c r="V84" s="1190"/>
      <c r="W84" s="1190"/>
      <c r="X84" s="1191"/>
      <c r="Y84" s="1190"/>
      <c r="Z84" s="1190"/>
      <c r="AA84" s="1190"/>
      <c r="AB84" s="1190"/>
      <c r="AC84" s="1192"/>
    </row>
    <row r="85" spans="18:29">
      <c r="R85" s="1189"/>
      <c r="S85" s="1190"/>
      <c r="T85" s="1111"/>
      <c r="U85" s="1190"/>
      <c r="V85" s="1190"/>
      <c r="W85" s="1190"/>
      <c r="X85" s="1191"/>
      <c r="Y85" s="1190"/>
      <c r="Z85" s="1190"/>
      <c r="AA85" s="1190"/>
      <c r="AB85" s="1190"/>
      <c r="AC85" s="1192"/>
    </row>
    <row r="86" spans="18:29">
      <c r="R86" s="1189"/>
      <c r="S86" s="1190"/>
      <c r="T86" s="1111"/>
      <c r="U86" s="1190"/>
      <c r="V86" s="1190"/>
      <c r="W86" s="1190"/>
      <c r="X86" s="1191"/>
      <c r="Y86" s="1190"/>
      <c r="Z86" s="1190"/>
      <c r="AA86" s="1190"/>
      <c r="AB86" s="1190"/>
      <c r="AC86" s="1192"/>
    </row>
    <row r="87" spans="18:29">
      <c r="R87" s="1189"/>
      <c r="S87" s="1190"/>
      <c r="T87" s="1190"/>
      <c r="U87" s="1190"/>
      <c r="V87" s="1190"/>
      <c r="W87" s="1190"/>
      <c r="X87" s="1193"/>
      <c r="Y87" s="1190"/>
      <c r="Z87" s="1190"/>
      <c r="AA87" s="1190"/>
      <c r="AB87" s="1190"/>
      <c r="AC87" s="1192"/>
    </row>
    <row r="88" spans="18:29">
      <c r="R88" s="1189"/>
      <c r="S88" s="1190"/>
      <c r="T88" s="1190"/>
      <c r="U88" s="1190"/>
      <c r="V88" s="1190"/>
      <c r="W88" s="1190"/>
      <c r="X88" s="1191"/>
      <c r="Y88" s="1190"/>
      <c r="Z88" s="1190"/>
      <c r="AA88" s="1190"/>
      <c r="AB88" s="1190"/>
      <c r="AC88" s="1192"/>
    </row>
    <row r="89" spans="18:29">
      <c r="R89" s="1194"/>
      <c r="S89" s="1195"/>
      <c r="T89" s="1195"/>
      <c r="U89" s="1195"/>
      <c r="V89" s="1195"/>
      <c r="W89" s="1195"/>
      <c r="X89" s="1196"/>
      <c r="Y89" s="1195"/>
      <c r="Z89" s="1195"/>
      <c r="AA89" s="1195"/>
      <c r="AB89" s="1195"/>
      <c r="AC89" s="1197"/>
    </row>
    <row r="90" spans="18:29">
      <c r="R90" s="1194"/>
      <c r="S90" s="1195"/>
      <c r="T90" s="1195"/>
      <c r="U90" s="1195"/>
      <c r="V90" s="1195"/>
      <c r="W90" s="1195"/>
      <c r="X90" s="1196"/>
      <c r="Y90" s="1195"/>
      <c r="Z90" s="1195"/>
      <c r="AA90" s="1195"/>
      <c r="AB90" s="1195"/>
      <c r="AC90" s="1197"/>
    </row>
    <row r="91" spans="18:29">
      <c r="R91" s="1198"/>
      <c r="S91" s="1198"/>
      <c r="T91" s="1198"/>
      <c r="U91" s="1198"/>
      <c r="V91" s="1198"/>
      <c r="W91" s="1198"/>
      <c r="X91" s="1198"/>
      <c r="Y91" s="1198"/>
      <c r="Z91" s="1198"/>
      <c r="AA91" s="1198"/>
      <c r="AB91" s="1198"/>
      <c r="AC91" s="1198"/>
    </row>
    <row r="92" spans="18:29">
      <c r="R92" s="1198"/>
      <c r="S92" s="1198"/>
      <c r="T92" s="1198"/>
      <c r="U92" s="1198"/>
      <c r="V92" s="1198"/>
      <c r="W92" s="1198"/>
      <c r="X92" s="1198"/>
      <c r="Y92" s="1198"/>
      <c r="Z92" s="1198"/>
      <c r="AA92" s="1198"/>
      <c r="AB92" s="1198"/>
      <c r="AC92" s="1198"/>
    </row>
    <row r="93" spans="18:29">
      <c r="R93" s="1198"/>
      <c r="S93" s="1198"/>
      <c r="T93" s="1198"/>
      <c r="U93" s="1198"/>
      <c r="V93" s="1198"/>
      <c r="W93" s="1198"/>
      <c r="X93" s="1198"/>
      <c r="Y93" s="1198"/>
      <c r="Z93" s="1198"/>
      <c r="AA93" s="1198"/>
      <c r="AB93" s="1198"/>
      <c r="AC93" s="1198"/>
    </row>
    <row r="94" spans="18:29">
      <c r="R94" s="1198"/>
      <c r="S94" s="1198"/>
      <c r="T94" s="1198"/>
      <c r="U94" s="1198"/>
      <c r="V94" s="1198"/>
      <c r="W94" s="1198"/>
      <c r="X94" s="1198"/>
      <c r="Y94" s="1198"/>
      <c r="Z94" s="1198"/>
      <c r="AA94" s="1198"/>
      <c r="AB94" s="1198"/>
      <c r="AC94" s="1198"/>
    </row>
    <row r="95" spans="18:29">
      <c r="R95" s="1198"/>
      <c r="S95" s="1198"/>
      <c r="T95" s="1198"/>
      <c r="U95" s="1198"/>
      <c r="V95" s="1198"/>
      <c r="W95" s="1198"/>
      <c r="X95" s="1198"/>
      <c r="Y95" s="1198"/>
      <c r="Z95" s="1198"/>
      <c r="AA95" s="1198"/>
      <c r="AB95" s="1198"/>
      <c r="AC95" s="1198"/>
    </row>
    <row r="96" spans="18:29">
      <c r="R96" s="1198"/>
      <c r="S96" s="1198"/>
      <c r="T96" s="1198"/>
      <c r="U96" s="1198"/>
      <c r="V96" s="1198"/>
      <c r="W96" s="1198"/>
      <c r="X96" s="1198"/>
      <c r="Y96" s="1198"/>
      <c r="Z96" s="1198"/>
      <c r="AA96" s="1198"/>
      <c r="AB96" s="1198"/>
      <c r="AC96" s="1198"/>
    </row>
    <row r="97" spans="18:29">
      <c r="R97" s="1198"/>
      <c r="S97" s="1198"/>
      <c r="T97" s="1198"/>
      <c r="U97" s="1198"/>
      <c r="V97" s="1198"/>
      <c r="W97" s="1198"/>
      <c r="X97" s="1198"/>
      <c r="Y97" s="1198"/>
      <c r="Z97" s="1198"/>
      <c r="AA97" s="1198"/>
      <c r="AB97" s="1198"/>
      <c r="AC97" s="1198"/>
    </row>
    <row r="98" spans="18:29">
      <c r="R98" s="1198"/>
      <c r="S98" s="1198"/>
      <c r="T98" s="1198"/>
      <c r="U98" s="1198"/>
      <c r="V98" s="1198"/>
      <c r="W98" s="1198"/>
      <c r="X98" s="1198"/>
      <c r="Y98" s="1198"/>
      <c r="Z98" s="1198"/>
      <c r="AA98" s="1198"/>
      <c r="AB98" s="1198"/>
      <c r="AC98" s="1198"/>
    </row>
    <row r="99" spans="18:29">
      <c r="R99" s="1198"/>
      <c r="S99" s="1198"/>
      <c r="T99" s="1198"/>
      <c r="U99" s="1198"/>
      <c r="V99" s="1198"/>
      <c r="W99" s="1198"/>
      <c r="X99" s="1198"/>
      <c r="Y99" s="1198"/>
      <c r="Z99" s="1198"/>
      <c r="AA99" s="1198"/>
      <c r="AB99" s="1198"/>
      <c r="AC99" s="1198"/>
    </row>
    <row r="100" spans="18:29">
      <c r="R100" s="1198"/>
      <c r="S100" s="1198"/>
      <c r="T100" s="1198"/>
      <c r="U100" s="1198"/>
      <c r="V100" s="1198"/>
      <c r="W100" s="1198"/>
      <c r="X100" s="1198"/>
      <c r="Y100" s="1198"/>
      <c r="Z100" s="1198"/>
      <c r="AA100" s="1198"/>
      <c r="AB100" s="1198"/>
      <c r="AC100" s="1198"/>
    </row>
    <row r="101" spans="18:29">
      <c r="R101" s="1198"/>
      <c r="S101" s="1198"/>
      <c r="T101" s="1198"/>
      <c r="U101" s="1198"/>
      <c r="V101" s="1198"/>
      <c r="W101" s="1198"/>
      <c r="X101" s="1198"/>
      <c r="Y101" s="1198"/>
      <c r="Z101" s="1198"/>
      <c r="AA101" s="1198"/>
      <c r="AB101" s="1198"/>
      <c r="AC101" s="1198"/>
    </row>
    <row r="102" spans="18:29">
      <c r="R102" s="1198"/>
      <c r="S102" s="1198"/>
      <c r="T102" s="1198"/>
      <c r="U102" s="1198"/>
      <c r="V102" s="1198"/>
      <c r="W102" s="1198"/>
      <c r="X102" s="1198"/>
      <c r="Y102" s="1198"/>
      <c r="Z102" s="1198"/>
      <c r="AA102" s="1198"/>
      <c r="AB102" s="1198"/>
      <c r="AC102" s="1198"/>
    </row>
    <row r="103" spans="18:29">
      <c r="R103" s="1198"/>
      <c r="S103" s="1198"/>
      <c r="T103" s="1198"/>
      <c r="U103" s="1198"/>
      <c r="V103" s="1198"/>
      <c r="W103" s="1198"/>
      <c r="X103" s="1198"/>
      <c r="Y103" s="1198"/>
      <c r="Z103" s="1198"/>
      <c r="AA103" s="1198"/>
      <c r="AB103" s="1198"/>
      <c r="AC103" s="1198"/>
    </row>
    <row r="104" spans="18:29">
      <c r="R104" s="1198"/>
      <c r="S104" s="1198"/>
      <c r="T104" s="1198"/>
      <c r="U104" s="1198"/>
      <c r="V104" s="1198"/>
      <c r="W104" s="1198"/>
      <c r="X104" s="1198"/>
      <c r="Y104" s="1198"/>
      <c r="Z104" s="1198"/>
      <c r="AA104" s="1198"/>
      <c r="AB104" s="1198"/>
      <c r="AC104" s="1198"/>
    </row>
  </sheetData>
  <protectedRanges>
    <protectedRange algorithmName="SHA-512" hashValue="24Yg3M703G5L8OyJWxlkx8c1Gwfrkael5W/l3TUk/Rcz5tR8QOgCx5v0Ebb/UGz+9BDKPJ5wV4hH8uuxvmtGIw==" saltValue="ZSJQ8EEnwGxsiYzxIw6K0Q==" spinCount="100000" sqref="N4:N8 O4:P21 B4:D17 N10:N21 E4:M21" name="Range1_65_32_32_30_30_30_30_30"/>
    <protectedRange algorithmName="SHA-512" hashValue="XYWjC+iAz2ErgjMh7TSLHlxfTfK0uVcITDFdCCZFdnsWWbUNnsQqu9AM+0WFXQpYcy9ZvQx2KUXfpLhpOROHkg==" saltValue="47TiGLG0rJVTo3iAJH8T4w==" spinCount="100000" sqref="B20:D21" name="Range2_5_2_2_2_2_2_2_2"/>
    <protectedRange algorithmName="SHA-512" hashValue="24Yg3M703G5L8OyJWxlkx8c1Gwfrkael5W/l3TUk/Rcz5tR8QOgCx5v0Ebb/UGz+9BDKPJ5wV4hH8uuxvmtGIw==" saltValue="ZSJQ8EEnwGxsiYzxIw6K0Q==" spinCount="100000" sqref="B18:D21" name="Range1_65_32_2_2_2_2_2_2"/>
  </protectedRanges>
  <mergeCells count="22"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F04E-7050-41D3-8D78-73F1CC08DE7C}">
  <dimension ref="A1:AD158"/>
  <sheetViews>
    <sheetView showGridLines="0" zoomScale="70" zoomScaleNormal="70" workbookViewId="0">
      <selection activeCell="K4" sqref="K4"/>
    </sheetView>
  </sheetViews>
  <sheetFormatPr defaultColWidth="9.109375" defaultRowHeight="10.5" customHeight="1"/>
  <cols>
    <col min="1" max="1" width="42.109375" style="448" customWidth="1"/>
    <col min="2" max="4" width="10.5546875" style="448" customWidth="1"/>
    <col min="5" max="5" width="1.6640625" style="55" customWidth="1"/>
    <col min="6" max="6" width="13.109375" style="448" customWidth="1"/>
    <col min="7" max="7" width="10.5546875" style="448" customWidth="1"/>
    <col min="8" max="8" width="15.88671875" style="448" customWidth="1"/>
    <col min="9" max="9" width="1.5546875" style="448" customWidth="1"/>
    <col min="10" max="12" width="13.44140625" style="448" customWidth="1"/>
    <col min="13" max="13" width="1.6640625" style="448" customWidth="1"/>
    <col min="14" max="14" width="21" style="448" customWidth="1"/>
    <col min="15" max="15" width="10.44140625" style="448" customWidth="1"/>
    <col min="16" max="16" width="9.88671875" style="448" customWidth="1"/>
    <col min="17" max="17" width="9.109375" style="44"/>
    <col min="18" max="18" width="11" style="44" bestFit="1" customWidth="1"/>
    <col min="19" max="19" width="29" style="44" bestFit="1" customWidth="1"/>
    <col min="20" max="20" width="14" style="44" bestFit="1" customWidth="1"/>
    <col min="21" max="21" width="9.88671875" style="44" bestFit="1" customWidth="1"/>
    <col min="22" max="22" width="46.44140625" style="44" bestFit="1" customWidth="1"/>
    <col min="23" max="23" width="23.109375" style="44" bestFit="1" customWidth="1"/>
    <col min="24" max="24" width="14.88671875" style="44" bestFit="1" customWidth="1"/>
    <col min="25" max="25" width="22" style="44" bestFit="1" customWidth="1"/>
    <col min="26" max="26" width="12.44140625" style="44" bestFit="1" customWidth="1"/>
    <col min="27" max="27" width="14.88671875" style="44" bestFit="1" customWidth="1"/>
    <col min="28" max="28" width="25.5546875" style="44" bestFit="1" customWidth="1"/>
    <col min="29" max="29" width="7.6640625" style="44" customWidth="1"/>
    <col min="30" max="30" width="5.88671875" style="44" hidden="1" customWidth="1"/>
    <col min="31" max="16384" width="9.109375" style="44"/>
  </cols>
  <sheetData>
    <row r="1" spans="1:30" ht="17.399999999999999">
      <c r="A1" s="762" t="s">
        <v>619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734"/>
      <c r="O1" s="734"/>
      <c r="P1" s="734"/>
      <c r="V1" s="358"/>
    </row>
    <row r="2" spans="1:30" ht="18.75" customHeight="1">
      <c r="A2" s="762" t="s">
        <v>620</v>
      </c>
      <c r="B2" s="733"/>
      <c r="C2" s="733"/>
      <c r="D2" s="733"/>
      <c r="E2" s="734"/>
      <c r="F2" s="1536" t="s">
        <v>621</v>
      </c>
      <c r="G2" s="1536"/>
      <c r="H2" s="1536"/>
      <c r="I2" s="742"/>
      <c r="J2" s="1536" t="s">
        <v>622</v>
      </c>
      <c r="K2" s="1536"/>
      <c r="L2" s="1536"/>
      <c r="M2" s="734"/>
      <c r="N2" s="1535" t="s">
        <v>405</v>
      </c>
      <c r="O2" s="1535"/>
      <c r="P2" s="1535"/>
      <c r="R2" s="948" t="s">
        <v>1</v>
      </c>
      <c r="S2" s="949" t="s">
        <v>2</v>
      </c>
      <c r="T2" s="949" t="s">
        <v>3</v>
      </c>
      <c r="U2" s="949" t="s">
        <v>211</v>
      </c>
      <c r="V2" s="949" t="s">
        <v>5</v>
      </c>
      <c r="W2" s="949" t="s">
        <v>194</v>
      </c>
      <c r="X2" s="949" t="s">
        <v>212</v>
      </c>
      <c r="Y2" s="949" t="s">
        <v>213</v>
      </c>
      <c r="Z2" s="949" t="s">
        <v>406</v>
      </c>
      <c r="AA2" s="950" t="s">
        <v>215</v>
      </c>
      <c r="AB2" s="951" t="s">
        <v>216</v>
      </c>
      <c r="AC2" s="720" t="s">
        <v>407</v>
      </c>
      <c r="AD2" s="952" t="s">
        <v>536</v>
      </c>
    </row>
    <row r="3" spans="1:30" ht="29.25" customHeight="1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908" t="s">
        <v>355</v>
      </c>
      <c r="S3" s="480">
        <v>3331556846</v>
      </c>
      <c r="T3" s="480" t="s">
        <v>206</v>
      </c>
      <c r="U3" s="480">
        <v>24141025</v>
      </c>
      <c r="V3" s="480" t="s">
        <v>224</v>
      </c>
      <c r="W3" s="721" t="s">
        <v>203</v>
      </c>
      <c r="X3" s="481">
        <v>36199.635999999999</v>
      </c>
      <c r="Y3" s="480" t="s">
        <v>128</v>
      </c>
      <c r="Z3" s="480">
        <v>1</v>
      </c>
      <c r="AA3" s="480">
        <v>1</v>
      </c>
      <c r="AB3" s="722" t="s">
        <v>207</v>
      </c>
      <c r="AC3" s="767"/>
      <c r="AD3" s="767" t="e">
        <f>VLOOKUP(Table134657891011141213[[#This Row],[Delivery]],#REF!,7,FALSE)</f>
        <v>#REF!</v>
      </c>
    </row>
    <row r="4" spans="1:30" ht="33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908" t="s">
        <v>355</v>
      </c>
      <c r="S4" s="480">
        <v>3331556847</v>
      </c>
      <c r="T4" s="480" t="s">
        <v>206</v>
      </c>
      <c r="U4" s="480">
        <v>24141031</v>
      </c>
      <c r="V4" s="480" t="s">
        <v>224</v>
      </c>
      <c r="W4" s="721" t="s">
        <v>203</v>
      </c>
      <c r="X4" s="481">
        <f>11096.18+24768.172</f>
        <v>35864.351999999999</v>
      </c>
      <c r="Y4" s="480" t="s">
        <v>128</v>
      </c>
      <c r="Z4" s="480">
        <v>1</v>
      </c>
      <c r="AA4" s="480">
        <v>1</v>
      </c>
      <c r="AB4" s="722" t="s">
        <v>207</v>
      </c>
      <c r="AC4" s="767"/>
      <c r="AD4" s="767" t="e">
        <f>VLOOKUP(Table134657891011141213[[#This Row],[Delivery]],#REF!,7,FALSE)</f>
        <v>#REF!</v>
      </c>
    </row>
    <row r="5" spans="1:30" ht="18">
      <c r="A5" s="746" t="s">
        <v>427</v>
      </c>
      <c r="B5" s="747" cm="1">
        <f t="array" ref="B5">SUM(COUNTIF(W1:W149, {"JABODETABEK","JAWA TENGAH","JAWA TIMUR","LUAR PULAU"}))</f>
        <v>45</v>
      </c>
      <c r="C5" s="747" cm="1">
        <f t="array" ref="C5">SUMPRODUCT(--(LOWER(AB1:AB149)="masuk"), --(ISNUMBER(MATCH(W1:W149, {"JABODETABEK","JAWA TENGAH","JAWA TIMUR","LUAR PULAU"}, 0))))</f>
        <v>40</v>
      </c>
      <c r="D5" s="740">
        <f>C5+-B5</f>
        <v>-5</v>
      </c>
      <c r="E5" s="734"/>
      <c r="F5" s="748" cm="1">
        <f t="array" ref="F5">SUMPRODUCT(--(LOWER(AC1:AC149)="add"), --(ISNUMBER(MATCH(W1:W149, {"JABODETABEK","JAWA TENGAH","JAWA TIMUR","LUAR PULAU"}, 0))))</f>
        <v>0</v>
      </c>
      <c r="G5" s="747" cm="1">
        <f t="array" ref="G5">SUMPRODUCT(--(LOWER(AB1:AB149)="masuk"), --(LOWER(AC1:AC149)="add"))</f>
        <v>0</v>
      </c>
      <c r="H5" s="740">
        <f>G5+-F5</f>
        <v>0</v>
      </c>
      <c r="I5" s="734"/>
      <c r="J5" s="748" cm="1">
        <f t="array" ref="J5">SUMPRODUCT(--ISNUMBER(SEARCH("next day", LOWER(W1:W149))))</f>
        <v>11</v>
      </c>
      <c r="K5" s="747" cm="1">
        <f t="array" ref="K5">SUMPRODUCT(--(LOWER(AB1:AB149)="masuk"), --ISNUMBER(SEARCH("next day", LOWER(W1:W149))))</f>
        <v>7</v>
      </c>
      <c r="L5" s="747">
        <f>K5+-J5</f>
        <v>-4</v>
      </c>
      <c r="M5" s="734"/>
      <c r="N5" s="748">
        <f>B5+F5+J5</f>
        <v>56</v>
      </c>
      <c r="O5" s="747">
        <f>C5+G5+K5</f>
        <v>47</v>
      </c>
      <c r="P5" s="740">
        <f>D5+H5+L5</f>
        <v>-9</v>
      </c>
      <c r="R5" s="908" t="s">
        <v>355</v>
      </c>
      <c r="S5" s="480">
        <v>3331556855</v>
      </c>
      <c r="T5" s="480" t="s">
        <v>256</v>
      </c>
      <c r="U5" s="480" t="s">
        <v>256</v>
      </c>
      <c r="V5" s="480" t="s">
        <v>256</v>
      </c>
      <c r="W5" s="721" t="s">
        <v>256</v>
      </c>
      <c r="X5" s="481" t="s">
        <v>256</v>
      </c>
      <c r="Y5" s="480" t="s">
        <v>256</v>
      </c>
      <c r="Z5" s="480" t="s">
        <v>256</v>
      </c>
      <c r="AA5" s="480" t="s">
        <v>256</v>
      </c>
      <c r="AB5" s="722" t="str">
        <f>SUBSTITUTE(Table134657891011141213[[#This Row],[AREA]], "JABODETABE", "BELUM MASU")</f>
        <v>=</v>
      </c>
      <c r="AC5" s="767"/>
      <c r="AD5" s="767" t="e">
        <f>VLOOKUP(Table134657891011141213[[#This Row],[Delivery]],#REF!,7,FALSE)</f>
        <v>#REF!</v>
      </c>
    </row>
    <row r="6" spans="1:30" ht="17.399999999999999">
      <c r="A6" s="733"/>
      <c r="B6" s="733">
        <f>SUM(B5)</f>
        <v>45</v>
      </c>
      <c r="C6" s="733">
        <f>SUM(C5)</f>
        <v>40</v>
      </c>
      <c r="D6" s="739">
        <f>SUM(D5)</f>
        <v>-5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11</v>
      </c>
      <c r="K6" s="733">
        <f>SUM(K5)</f>
        <v>7</v>
      </c>
      <c r="L6" s="733">
        <f>SUM(L5)</f>
        <v>-4</v>
      </c>
      <c r="M6" s="733"/>
      <c r="N6" s="760">
        <f>SUM(N5:N5)</f>
        <v>56</v>
      </c>
      <c r="O6" s="760">
        <f>SUM(O5:O5)</f>
        <v>47</v>
      </c>
      <c r="P6" s="761">
        <f>SUM(P5:P5)</f>
        <v>-9</v>
      </c>
      <c r="R6" s="723" t="s">
        <v>514</v>
      </c>
      <c r="S6" s="724">
        <v>3331556938</v>
      </c>
      <c r="T6" s="725" t="s">
        <v>457</v>
      </c>
      <c r="U6" s="953">
        <v>24141047</v>
      </c>
      <c r="V6" s="953" t="s">
        <v>446</v>
      </c>
      <c r="W6" s="726" t="s">
        <v>205</v>
      </c>
      <c r="X6" s="954">
        <v>41372.252999999997</v>
      </c>
      <c r="Y6" s="726" t="s">
        <v>128</v>
      </c>
      <c r="Z6" s="724">
        <v>1</v>
      </c>
      <c r="AA6" s="727">
        <v>1</v>
      </c>
      <c r="AB6" s="728" t="s">
        <v>204</v>
      </c>
      <c r="AC6" s="729"/>
      <c r="AD6" s="764" t="e">
        <f>VLOOKUP(Table134657891011141213[[#This Row],[Delivery]],#REF!,7,FALSE)</f>
        <v>#REF!</v>
      </c>
    </row>
    <row r="7" spans="1:30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769" t="s">
        <v>623</v>
      </c>
      <c r="S7" s="452">
        <v>3331556946</v>
      </c>
      <c r="T7" s="452" t="s">
        <v>206</v>
      </c>
      <c r="U7" s="452">
        <v>24141049</v>
      </c>
      <c r="V7" s="452" t="s">
        <v>446</v>
      </c>
      <c r="W7" s="730" t="s">
        <v>205</v>
      </c>
      <c r="X7" s="456">
        <f>9289.404+28389.32</f>
        <v>37678.724000000002</v>
      </c>
      <c r="Y7" s="452" t="s">
        <v>128</v>
      </c>
      <c r="Z7" s="452">
        <v>1</v>
      </c>
      <c r="AA7" s="452">
        <v>1</v>
      </c>
      <c r="AB7" s="731" t="s">
        <v>204</v>
      </c>
      <c r="AC7" s="780"/>
      <c r="AD7" s="767" t="e">
        <f>VLOOKUP(Table134657891011141213[[#This Row],[Delivery]],#REF!,7,FALSE)</f>
        <v>#REF!</v>
      </c>
    </row>
    <row r="8" spans="1:30" ht="17.399999999999999">
      <c r="A8" s="763" t="str">
        <f>A1</f>
        <v>Plan tgl 30 SEPT'25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734"/>
      <c r="O8" s="733"/>
      <c r="P8" s="733"/>
      <c r="R8" s="769" t="s">
        <v>623</v>
      </c>
      <c r="S8" s="452">
        <v>3331556949</v>
      </c>
      <c r="T8" s="452" t="s">
        <v>256</v>
      </c>
      <c r="U8" s="452" t="s">
        <v>256</v>
      </c>
      <c r="V8" s="452" t="s">
        <v>256</v>
      </c>
      <c r="W8" s="730" t="s">
        <v>256</v>
      </c>
      <c r="X8" s="456" t="s">
        <v>256</v>
      </c>
      <c r="Y8" s="452" t="s">
        <v>256</v>
      </c>
      <c r="Z8" s="452" t="s">
        <v>256</v>
      </c>
      <c r="AA8" s="452" t="s">
        <v>256</v>
      </c>
      <c r="AB8" s="731" t="s">
        <v>256</v>
      </c>
      <c r="AC8" s="780"/>
      <c r="AD8" s="767" t="e">
        <f>VLOOKUP(Table134657891011141213[[#This Row],[Delivery]],#REF!,7,FALSE)</f>
        <v>#REF!</v>
      </c>
    </row>
    <row r="9" spans="1:30" ht="17.399999999999999">
      <c r="A9" s="763" t="str">
        <f>A2</f>
        <v>Realz update 01 OKT’25 jam 07.00</v>
      </c>
      <c r="B9" s="733"/>
      <c r="C9" s="733"/>
      <c r="D9" s="733"/>
      <c r="E9" s="734"/>
      <c r="F9" s="1536" t="str">
        <f>F2</f>
        <v>Tgl 30 SEPT’25 diatas jam 15.00</v>
      </c>
      <c r="G9" s="1536"/>
      <c r="H9" s="1536"/>
      <c r="I9" s="742"/>
      <c r="J9" s="1536" t="str">
        <f>J2</f>
        <v>Tgl 30 SEPT’25</v>
      </c>
      <c r="K9" s="1536"/>
      <c r="L9" s="1536"/>
      <c r="M9" s="734"/>
      <c r="N9" s="1535" t="str">
        <f>N2</f>
        <v>Summary (Plan+ Add + Next Day)</v>
      </c>
      <c r="O9" s="1535"/>
      <c r="P9" s="1535"/>
      <c r="R9" s="769" t="s">
        <v>623</v>
      </c>
      <c r="S9" s="452">
        <v>3331556959</v>
      </c>
      <c r="T9" s="452" t="s">
        <v>206</v>
      </c>
      <c r="U9" s="452">
        <v>24141050</v>
      </c>
      <c r="V9" s="452" t="s">
        <v>446</v>
      </c>
      <c r="W9" s="730" t="s">
        <v>205</v>
      </c>
      <c r="X9" s="456">
        <v>38992.811999999998</v>
      </c>
      <c r="Y9" s="452" t="s">
        <v>128</v>
      </c>
      <c r="Z9" s="452">
        <v>1</v>
      </c>
      <c r="AA9" s="452">
        <v>1</v>
      </c>
      <c r="AB9" s="731" t="s">
        <v>204</v>
      </c>
      <c r="AC9" s="780"/>
      <c r="AD9" s="767" t="e">
        <f>VLOOKUP(Table134657891011141213[[#This Row],[Delivery]],#REF!,7,FALSE)</f>
        <v>#REF!</v>
      </c>
    </row>
    <row r="10" spans="1:30" ht="17.399999999999999">
      <c r="A10" s="1537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769" t="s">
        <v>623</v>
      </c>
      <c r="S10" s="452">
        <v>3331556964</v>
      </c>
      <c r="T10" s="452" t="s">
        <v>175</v>
      </c>
      <c r="U10" s="452">
        <v>24141054</v>
      </c>
      <c r="V10" s="452" t="s">
        <v>624</v>
      </c>
      <c r="W10" s="730" t="s">
        <v>205</v>
      </c>
      <c r="X10" s="456">
        <f>17804.691+8908.885+1539.18+3554.198</f>
        <v>31806.954000000002</v>
      </c>
      <c r="Y10" s="452" t="s">
        <v>128</v>
      </c>
      <c r="Z10" s="452">
        <v>1</v>
      </c>
      <c r="AA10" s="452">
        <v>0</v>
      </c>
      <c r="AB10" s="731" t="s">
        <v>204</v>
      </c>
      <c r="AC10" s="780"/>
      <c r="AD10" s="767" t="e">
        <f>VLOOKUP(Table134657891011141213[[#This Row],[Delivery]],#REF!,7,FALSE)</f>
        <v>#REF!</v>
      </c>
    </row>
    <row r="11" spans="1:30" ht="27.6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769" t="s">
        <v>623</v>
      </c>
      <c r="S11" s="452">
        <v>3331556966</v>
      </c>
      <c r="T11" s="452" t="s">
        <v>256</v>
      </c>
      <c r="U11" s="452" t="s">
        <v>256</v>
      </c>
      <c r="V11" s="452" t="s">
        <v>256</v>
      </c>
      <c r="W11" s="730" t="s">
        <v>256</v>
      </c>
      <c r="X11" s="456" t="s">
        <v>256</v>
      </c>
      <c r="Y11" s="452" t="s">
        <v>256</v>
      </c>
      <c r="Z11" s="452" t="s">
        <v>256</v>
      </c>
      <c r="AA11" s="452" t="s">
        <v>256</v>
      </c>
      <c r="AB11" s="731" t="str">
        <f>SUBSTITUTE(Table134657891011141213[[#This Row],[AREA]], "JABODETABE", "BELUM MASU")</f>
        <v>=</v>
      </c>
      <c r="AC11" s="780"/>
      <c r="AD11" s="767" t="e">
        <f>VLOOKUP(Table134657891011141213[[#This Row],[Delivery]],#REF!,7,FALSE)</f>
        <v>#REF!</v>
      </c>
    </row>
    <row r="12" spans="1:30" ht="18">
      <c r="A12" s="746" t="s">
        <v>199</v>
      </c>
      <c r="B12" s="749" cm="1">
        <f t="array" ref="B12">SUMPRODUCT(--(TRIM(LOWER(W1:W149))="jabodetabek"))</f>
        <v>14</v>
      </c>
      <c r="C12" s="749" cm="1">
        <f t="array" ref="C12">SUMPRODUCT(--(LOWER(AB1:AB149)="masuk"), --(TRIM(LOWER(W1:W149))="jabodetabek"))</f>
        <v>14</v>
      </c>
      <c r="D12" s="741">
        <f>C12+-B12</f>
        <v>0</v>
      </c>
      <c r="E12" s="734"/>
      <c r="F12" s="748" cm="1">
        <f t="array" ref="F12">SUMPRODUCT(--(LOWER(AC1:AC149)="add"), --(TRIM(LOWER(W1:W149))="jabodetabek"))</f>
        <v>0</v>
      </c>
      <c r="G12" s="749" cm="1">
        <f t="array" ref="G12">SUMPRODUCT(--(LOWER(AB1:AB149)="masuk"), --(LOWER(AC1:AC149)="add"), --(TRIM(LOWER(W1:W149))="jabodetabek"))</f>
        <v>0</v>
      </c>
      <c r="H12" s="741">
        <f>G12+-F12</f>
        <v>0</v>
      </c>
      <c r="I12" s="734"/>
      <c r="J12" s="748" cm="1">
        <f t="array" ref="J12">SUMPRODUCT(--(LOWER(TRIM(W1:W149))="jabodetabek next day"))</f>
        <v>11</v>
      </c>
      <c r="K12" s="749" cm="1">
        <f t="array" ref="K12">SUMPRODUCT(--(LOWER(AB1:AB149)="masuk"), --(LOWER(TRIM(W1:W149))="jabodetabek next day"))</f>
        <v>7</v>
      </c>
      <c r="L12" s="749">
        <f>K12+-J12</f>
        <v>-4</v>
      </c>
      <c r="M12" s="734"/>
      <c r="N12" s="750">
        <f t="shared" ref="N12:P16" si="0">B12+F12+J12</f>
        <v>25</v>
      </c>
      <c r="O12" s="749">
        <f t="shared" si="0"/>
        <v>21</v>
      </c>
      <c r="P12" s="741">
        <f t="shared" si="0"/>
        <v>-4</v>
      </c>
      <c r="R12" s="769" t="s">
        <v>623</v>
      </c>
      <c r="S12" s="452">
        <v>3331556971</v>
      </c>
      <c r="T12" s="452" t="s">
        <v>256</v>
      </c>
      <c r="U12" s="452" t="s">
        <v>256</v>
      </c>
      <c r="V12" s="452" t="s">
        <v>256</v>
      </c>
      <c r="W12" s="730" t="s">
        <v>256</v>
      </c>
      <c r="X12" s="456" t="s">
        <v>256</v>
      </c>
      <c r="Y12" s="452" t="s">
        <v>256</v>
      </c>
      <c r="Z12" s="452" t="s">
        <v>256</v>
      </c>
      <c r="AA12" s="452" t="s">
        <v>256</v>
      </c>
      <c r="AB12" s="731" t="str">
        <f>SUBSTITUTE(Table134657891011141213[[#This Row],[AREA]], "JABODETABE", "BELUM MASU")</f>
        <v>=</v>
      </c>
      <c r="AC12" s="780"/>
      <c r="AD12" s="767" t="e">
        <f>VLOOKUP(Table134657891011141213[[#This Row],[Delivery]],#REF!,7,FALSE)</f>
        <v>#REF!</v>
      </c>
    </row>
    <row r="13" spans="1:30" ht="18">
      <c r="A13" s="746" t="s">
        <v>203</v>
      </c>
      <c r="B13" s="747" cm="1">
        <f t="array" ref="B13">SUMPRODUCT(--(TRIM(LOWER(W1:W149))="jawa tengah"))</f>
        <v>2</v>
      </c>
      <c r="C13" s="747" cm="1">
        <f t="array" ref="C13">SUMPRODUCT(--(LOWER(AB1:AB149)="masuk"), --(TRIM(LOWER(W1:W149))="jawa tengah"))</f>
        <v>0</v>
      </c>
      <c r="D13" s="740">
        <f>C13+-B13</f>
        <v>-2</v>
      </c>
      <c r="E13" s="734"/>
      <c r="F13" s="751" cm="1">
        <f t="array" ref="F13">SUMPRODUCT(--(LOWER(AC1:AC149)="add"), --(TRIM(LOWER(W1:W149))="jawa tengah"))</f>
        <v>0</v>
      </c>
      <c r="G13" s="747" cm="1">
        <f t="array" ref="G13">SUMPRODUCT(--(LOWER(AB1:AB149)="masuk"), --(LOWER(AC1:AC149)="add"), --(TRIM(LOWER(W1:W149))="jawa tengah"))</f>
        <v>0</v>
      </c>
      <c r="H13" s="740">
        <f>G13+-F13</f>
        <v>0</v>
      </c>
      <c r="I13" s="734"/>
      <c r="J13" s="748" cm="1">
        <f t="array" ref="J13">SUMPRODUCT(--(LOWER(TRIM(W1:W149))="jawa tengah next day"))</f>
        <v>0</v>
      </c>
      <c r="K13" s="747" cm="1">
        <f t="array" ref="K13">SUMPRODUCT(--(LOWER(AB1:AB149)="masuk"), --(LOWER(TRIM(W1:W149))="jawa tengah next day"))</f>
        <v>0</v>
      </c>
      <c r="L13" s="747">
        <f>K13+-J13</f>
        <v>0</v>
      </c>
      <c r="M13" s="734"/>
      <c r="N13" s="748">
        <f t="shared" si="0"/>
        <v>2</v>
      </c>
      <c r="O13" s="747">
        <f t="shared" si="0"/>
        <v>0</v>
      </c>
      <c r="P13" s="740">
        <f t="shared" si="0"/>
        <v>-2</v>
      </c>
      <c r="R13" s="769" t="s">
        <v>623</v>
      </c>
      <c r="S13" s="452">
        <v>3331556973</v>
      </c>
      <c r="T13" s="452" t="s">
        <v>256</v>
      </c>
      <c r="U13" s="452" t="s">
        <v>256</v>
      </c>
      <c r="V13" s="452" t="s">
        <v>256</v>
      </c>
      <c r="W13" s="730" t="s">
        <v>256</v>
      </c>
      <c r="X13" s="456" t="s">
        <v>256</v>
      </c>
      <c r="Y13" s="452" t="s">
        <v>256</v>
      </c>
      <c r="Z13" s="452" t="s">
        <v>256</v>
      </c>
      <c r="AA13" s="452" t="s">
        <v>256</v>
      </c>
      <c r="AB13" s="731" t="str">
        <f>SUBSTITUTE(Table134657891011141213[[#This Row],[AREA]], "JABODETABE", "BELUM MASU")</f>
        <v>=</v>
      </c>
      <c r="AC13" s="780"/>
      <c r="AD13" s="767" t="e">
        <f>VLOOKUP(Table134657891011141213[[#This Row],[Delivery]],#REF!,7,FALSE)</f>
        <v>#REF!</v>
      </c>
    </row>
    <row r="14" spans="1:30" ht="18">
      <c r="A14" s="746" t="s">
        <v>205</v>
      </c>
      <c r="B14" s="747" cm="1">
        <f t="array" ref="B14">SUMPRODUCT(--(TRIM(LOWER(W1:W149))="jawa timur"))</f>
        <v>17</v>
      </c>
      <c r="C14" s="747" cm="1">
        <f t="array" ref="C14">SUMPRODUCT(--(LOWER(AB1:AB149)="masuk"), --(TRIM(LOWER(W1:W149))="jawa timur"))</f>
        <v>14</v>
      </c>
      <c r="D14" s="740">
        <f>C14+-B14</f>
        <v>-3</v>
      </c>
      <c r="E14" s="734"/>
      <c r="F14" s="750" cm="1">
        <f t="array" ref="F14">SUMPRODUCT(--(LOWER(AC1:AC149)="add"), --(TRIM(LOWER(W1:W149))="jawa timur"))</f>
        <v>0</v>
      </c>
      <c r="G14" s="747" cm="1">
        <f t="array" ref="G14">SUMPRODUCT(--(LOWER(AB1:AB149)="masuk"), --(LOWER(AC1:AC149)="add"), --(TRIM(LOWER(W1:W149))="jawa timur"))</f>
        <v>0</v>
      </c>
      <c r="H14" s="740">
        <f>G14+-F14</f>
        <v>0</v>
      </c>
      <c r="I14" s="734"/>
      <c r="J14" s="748" cm="1">
        <f t="array" ref="J14">SUMPRODUCT(--(LOWER(TRIM(W1:W149))="jawa timur next day"))</f>
        <v>0</v>
      </c>
      <c r="K14" s="747" cm="1">
        <f t="array" ref="K14">SUMPRODUCT(--(LOWER(AB1:AB149)="masuk"), --(LOWER(TRIM(W1:W149))="jawa timur next day"))</f>
        <v>0</v>
      </c>
      <c r="L14" s="747">
        <f>K14+-J14</f>
        <v>0</v>
      </c>
      <c r="M14" s="734"/>
      <c r="N14" s="748">
        <f t="shared" si="0"/>
        <v>17</v>
      </c>
      <c r="O14" s="747">
        <f t="shared" si="0"/>
        <v>14</v>
      </c>
      <c r="P14" s="740">
        <f t="shared" si="0"/>
        <v>-3</v>
      </c>
      <c r="R14" s="769" t="s">
        <v>623</v>
      </c>
      <c r="S14" s="452">
        <v>3331556984</v>
      </c>
      <c r="T14" s="524" t="s">
        <v>27</v>
      </c>
      <c r="U14" s="452">
        <v>24141056</v>
      </c>
      <c r="V14" s="452" t="s">
        <v>625</v>
      </c>
      <c r="W14" s="730" t="s">
        <v>205</v>
      </c>
      <c r="X14" s="456">
        <v>40623.035000000003</v>
      </c>
      <c r="Y14" s="452" t="s">
        <v>128</v>
      </c>
      <c r="Z14" s="452">
        <v>1</v>
      </c>
      <c r="AA14" s="452">
        <v>1</v>
      </c>
      <c r="AB14" s="731" t="s">
        <v>204</v>
      </c>
      <c r="AC14" s="780"/>
      <c r="AD14" s="767" t="e">
        <f>VLOOKUP(Table134657891011141213[[#This Row],[Delivery]],#REF!,7,FALSE)</f>
        <v>#REF!</v>
      </c>
    </row>
    <row r="15" spans="1:30" ht="18">
      <c r="A15" s="746" t="s">
        <v>362</v>
      </c>
      <c r="B15" s="747" cm="1">
        <f t="array" ref="B15">SUMPRODUCT(--(TRIM(LOWER(W1:W149))="luar pulau"))</f>
        <v>12</v>
      </c>
      <c r="C15" s="747" cm="1">
        <f t="array" ref="C15">SUMPRODUCT(--(LOWER(AB1:AB149)="masuk"), --(TRIM(LOWER(W1:W149))="luar pulau"))</f>
        <v>12</v>
      </c>
      <c r="D15" s="740">
        <f>C15+-B15</f>
        <v>0</v>
      </c>
      <c r="E15" s="734"/>
      <c r="F15" s="748" cm="1">
        <f t="array" ref="F15">SUMPRODUCT(--(LOWER(AC1:AC149)="add"), --(TRIM(LOWER(W1:W149))="luar pulau"))</f>
        <v>0</v>
      </c>
      <c r="G15" s="747" cm="1">
        <f t="array" ref="G15">SUMPRODUCT(--(LOWER(AB1:AB149)="masuk"), --(LOWER(AC1:AC149)="add"), --(TRIM(LOWER(W1:W149))="luar pulau"))</f>
        <v>0</v>
      </c>
      <c r="H15" s="740">
        <f>G15+-F15</f>
        <v>0</v>
      </c>
      <c r="I15" s="734"/>
      <c r="J15" s="748" cm="1">
        <f t="array" ref="J15">SUMPRODUCT(--(LOWER(TRIM(W1:W149))="luar pulau next day"))</f>
        <v>0</v>
      </c>
      <c r="K15" s="747" cm="1">
        <f t="array" ref="K15">SUMPRODUCT(--(LOWER(AB1:AB149)="masuk"), --(LOWER(TRIM(W1:W149))="luar pulau next day"))</f>
        <v>0</v>
      </c>
      <c r="L15" s="747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769" t="s">
        <v>623</v>
      </c>
      <c r="S15" s="524">
        <v>3331556986</v>
      </c>
      <c r="T15" s="524" t="s">
        <v>206</v>
      </c>
      <c r="U15" s="452">
        <v>24141058</v>
      </c>
      <c r="V15" s="452" t="s">
        <v>625</v>
      </c>
      <c r="W15" s="730" t="s">
        <v>205</v>
      </c>
      <c r="X15" s="456">
        <f>15990.37+23653.826</f>
        <v>39644.196000000004</v>
      </c>
      <c r="Y15" s="452" t="s">
        <v>128</v>
      </c>
      <c r="Z15" s="452">
        <v>1</v>
      </c>
      <c r="AA15" s="452">
        <v>1</v>
      </c>
      <c r="AB15" s="731" t="s">
        <v>204</v>
      </c>
      <c r="AC15" s="780"/>
      <c r="AD15" s="767" t="e">
        <f>VLOOKUP(Table134657891011141213[[#This Row],[Delivery]],#REF!,7,FALSE)</f>
        <v>#REF!</v>
      </c>
    </row>
    <row r="16" spans="1:30" ht="17.399999999999999">
      <c r="A16" s="752"/>
      <c r="B16" s="733">
        <f>SUM(B12:B15)</f>
        <v>45</v>
      </c>
      <c r="C16" s="733">
        <f>SUM(C12:C15)</f>
        <v>40</v>
      </c>
      <c r="D16" s="739">
        <f>SUM(D12:D15)</f>
        <v>-5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11</v>
      </c>
      <c r="K16" s="733">
        <f>SUM(K12:K15)</f>
        <v>7</v>
      </c>
      <c r="L16" s="733">
        <f>SUM(L12:L15)</f>
        <v>-4</v>
      </c>
      <c r="M16" s="734"/>
      <c r="N16" s="760">
        <f t="shared" si="0"/>
        <v>56</v>
      </c>
      <c r="O16" s="760">
        <f t="shared" si="0"/>
        <v>47</v>
      </c>
      <c r="P16" s="761">
        <f t="shared" si="0"/>
        <v>-9</v>
      </c>
      <c r="R16" s="769" t="s">
        <v>623</v>
      </c>
      <c r="S16" s="524">
        <v>3331556993</v>
      </c>
      <c r="T16" s="524" t="s">
        <v>256</v>
      </c>
      <c r="U16" s="452" t="s">
        <v>256</v>
      </c>
      <c r="V16" s="452" t="s">
        <v>256</v>
      </c>
      <c r="W16" s="730" t="s">
        <v>256</v>
      </c>
      <c r="X16" s="456" t="s">
        <v>256</v>
      </c>
      <c r="Y16" s="452" t="s">
        <v>256</v>
      </c>
      <c r="Z16" s="452" t="s">
        <v>256</v>
      </c>
      <c r="AA16" s="452" t="s">
        <v>256</v>
      </c>
      <c r="AB16" s="731" t="s">
        <v>204</v>
      </c>
      <c r="AC16" s="780"/>
      <c r="AD16" s="767" t="e">
        <f>VLOOKUP(Table134657891011141213[[#This Row],[Delivery]],#REF!,7,FALSE)</f>
        <v>#REF!</v>
      </c>
    </row>
    <row r="17" spans="1:30" ht="10.5" customHeight="1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769" t="s">
        <v>623</v>
      </c>
      <c r="S17" s="524">
        <v>3331556995</v>
      </c>
      <c r="T17" s="524" t="s">
        <v>27</v>
      </c>
      <c r="U17" s="452">
        <v>24141059</v>
      </c>
      <c r="V17" s="452" t="s">
        <v>625</v>
      </c>
      <c r="W17" s="730" t="s">
        <v>205</v>
      </c>
      <c r="X17" s="456">
        <v>40814.427000000003</v>
      </c>
      <c r="Y17" s="452" t="s">
        <v>128</v>
      </c>
      <c r="Z17" s="452">
        <v>1</v>
      </c>
      <c r="AA17" s="452">
        <v>1</v>
      </c>
      <c r="AB17" s="731" t="s">
        <v>204</v>
      </c>
      <c r="AC17" s="780"/>
      <c r="AD17" s="767" t="e">
        <f>VLOOKUP(Table134657891011141213[[#This Row],[Delivery]],#REF!,7,FALSE)</f>
        <v>#REF!</v>
      </c>
    </row>
    <row r="18" spans="1:30" ht="10.5" customHeight="1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769" t="s">
        <v>623</v>
      </c>
      <c r="S18" s="452">
        <v>3331557018</v>
      </c>
      <c r="T18" s="452" t="s">
        <v>206</v>
      </c>
      <c r="U18" s="452">
        <v>24141067</v>
      </c>
      <c r="V18" s="452" t="s">
        <v>236</v>
      </c>
      <c r="W18" s="730" t="s">
        <v>205</v>
      </c>
      <c r="X18" s="456">
        <v>41045.557000000001</v>
      </c>
      <c r="Y18" s="452" t="s">
        <v>128</v>
      </c>
      <c r="Z18" s="452">
        <v>1</v>
      </c>
      <c r="AA18" s="452">
        <v>1</v>
      </c>
      <c r="AB18" s="731" t="s">
        <v>204</v>
      </c>
      <c r="AC18" s="780"/>
      <c r="AD18" s="767" t="e">
        <f>VLOOKUP(Table134657891011141213[[#This Row],[Delivery]],#REF!,7,FALSE)</f>
        <v>#REF!</v>
      </c>
    </row>
    <row r="19" spans="1:30" s="619" customFormat="1" ht="14.25" customHeight="1">
      <c r="A19" s="1565" t="s">
        <v>434</v>
      </c>
      <c r="B19" s="1541" t="s">
        <v>415</v>
      </c>
      <c r="C19" s="1539"/>
      <c r="D19" s="1542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769" t="s">
        <v>623</v>
      </c>
      <c r="S19" s="452">
        <v>3331557023</v>
      </c>
      <c r="T19" s="452" t="s">
        <v>206</v>
      </c>
      <c r="U19" s="452">
        <v>24141068</v>
      </c>
      <c r="V19" s="452" t="s">
        <v>236</v>
      </c>
      <c r="W19" s="730" t="s">
        <v>205</v>
      </c>
      <c r="X19" s="456">
        <v>40369.741999999998</v>
      </c>
      <c r="Y19" s="452" t="s">
        <v>128</v>
      </c>
      <c r="Z19" s="452">
        <v>1</v>
      </c>
      <c r="AA19" s="452">
        <v>1</v>
      </c>
      <c r="AB19" s="731" t="s">
        <v>204</v>
      </c>
      <c r="AC19" s="780"/>
      <c r="AD19" s="767" t="e">
        <f>VLOOKUP(Table134657891011141213[[#This Row],[Delivery]],#REF!,7,FALSE)</f>
        <v>#REF!</v>
      </c>
    </row>
    <row r="20" spans="1:30" s="619" customFormat="1" ht="14.25" customHeight="1">
      <c r="A20" s="1566"/>
      <c r="B20" s="1558"/>
      <c r="C20" s="1568"/>
      <c r="D20" s="1569"/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769" t="s">
        <v>623</v>
      </c>
      <c r="S20" s="452">
        <v>3331557031</v>
      </c>
      <c r="T20" s="452" t="s">
        <v>152</v>
      </c>
      <c r="U20" s="452">
        <v>24141069</v>
      </c>
      <c r="V20" s="452" t="s">
        <v>236</v>
      </c>
      <c r="W20" s="730" t="s">
        <v>205</v>
      </c>
      <c r="X20" s="456">
        <f>28282.433+12384.112+1319.062</f>
        <v>41985.606999999996</v>
      </c>
      <c r="Y20" s="452" t="s">
        <v>128</v>
      </c>
      <c r="Z20" s="452">
        <v>1</v>
      </c>
      <c r="AA20" s="452">
        <v>1</v>
      </c>
      <c r="AB20" s="731" t="s">
        <v>204</v>
      </c>
      <c r="AC20" s="780"/>
      <c r="AD20" s="780" t="e">
        <f>VLOOKUP(Table134657891011141213[[#This Row],[Delivery]],#REF!,7,FALSE)</f>
        <v>#REF!</v>
      </c>
    </row>
    <row r="21" spans="1:30" s="619" customFormat="1" ht="14.25" customHeight="1">
      <c r="A21" s="1566"/>
      <c r="B21" s="1558"/>
      <c r="C21" s="1568"/>
      <c r="D21" s="1569"/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769" t="s">
        <v>623</v>
      </c>
      <c r="S21" s="452">
        <v>3331557033</v>
      </c>
      <c r="T21" s="452" t="s">
        <v>256</v>
      </c>
      <c r="U21" s="452" t="s">
        <v>256</v>
      </c>
      <c r="V21" s="452" t="s">
        <v>256</v>
      </c>
      <c r="W21" s="730" t="s">
        <v>256</v>
      </c>
      <c r="X21" s="456" t="s">
        <v>256</v>
      </c>
      <c r="Y21" s="452" t="s">
        <v>256</v>
      </c>
      <c r="Z21" s="452" t="s">
        <v>256</v>
      </c>
      <c r="AA21" s="452" t="s">
        <v>256</v>
      </c>
      <c r="AB21" s="731" t="str">
        <f>SUBSTITUTE(Table134657891011141213[[#This Row],[AREA]], "JABODETABE", "BELUM MASU")</f>
        <v>=</v>
      </c>
      <c r="AC21" s="780"/>
      <c r="AD21" s="780" t="e">
        <f>VLOOKUP(Table134657891011141213[[#This Row],[Delivery]],#REF!,7,FALSE)</f>
        <v>#REF!</v>
      </c>
    </row>
    <row r="22" spans="1:30" s="619" customFormat="1" ht="14.25" customHeight="1">
      <c r="A22" s="1566"/>
      <c r="B22" s="1558"/>
      <c r="C22" s="1568"/>
      <c r="D22" s="1570"/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769" t="s">
        <v>623</v>
      </c>
      <c r="S22" s="452">
        <v>3331557041</v>
      </c>
      <c r="T22" s="452" t="s">
        <v>256</v>
      </c>
      <c r="U22" s="452" t="s">
        <v>256</v>
      </c>
      <c r="V22" s="452" t="s">
        <v>256</v>
      </c>
      <c r="W22" s="730" t="s">
        <v>256</v>
      </c>
      <c r="X22" s="456" t="s">
        <v>256</v>
      </c>
      <c r="Y22" s="452" t="s">
        <v>256</v>
      </c>
      <c r="Z22" s="452" t="s">
        <v>256</v>
      </c>
      <c r="AA22" s="452" t="s">
        <v>256</v>
      </c>
      <c r="AB22" s="731" t="str">
        <f>SUBSTITUTE(Table134657891011141213[[#This Row],[AREA]], "JABODETABE", "BELUM MASU")</f>
        <v>=</v>
      </c>
      <c r="AC22" s="780"/>
      <c r="AD22" s="780" t="e">
        <f>VLOOKUP(Table134657891011141213[[#This Row],[Delivery]],#REF!,7,FALSE)</f>
        <v>#REF!</v>
      </c>
    </row>
    <row r="23" spans="1:30" s="619" customFormat="1" ht="18.75" customHeight="1">
      <c r="A23" s="1567"/>
      <c r="B23" s="759" t="s">
        <v>419</v>
      </c>
      <c r="C23" s="757" t="s">
        <v>420</v>
      </c>
      <c r="D23" s="758" t="s">
        <v>421</v>
      </c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769" t="s">
        <v>623</v>
      </c>
      <c r="S23" s="452">
        <v>3331557000</v>
      </c>
      <c r="T23" s="525" t="s">
        <v>441</v>
      </c>
      <c r="U23" s="592">
        <v>24141060</v>
      </c>
      <c r="V23" s="518" t="s">
        <v>561</v>
      </c>
      <c r="W23" s="730" t="s">
        <v>362</v>
      </c>
      <c r="X23" s="456">
        <v>24797.9</v>
      </c>
      <c r="Y23" s="452" t="s">
        <v>200</v>
      </c>
      <c r="Z23" s="452">
        <v>1</v>
      </c>
      <c r="AA23" s="452">
        <v>0</v>
      </c>
      <c r="AB23" s="731" t="s">
        <v>204</v>
      </c>
      <c r="AC23" s="780"/>
      <c r="AD23" s="767" t="e">
        <f>VLOOKUP(Table134657891011141213[[#This Row],[Delivery]],#REF!,7,FALSE)</f>
        <v>#REF!</v>
      </c>
    </row>
    <row r="24" spans="1:30" s="619" customFormat="1" ht="22.5" customHeight="1">
      <c r="A24" s="753" t="s">
        <v>427</v>
      </c>
      <c r="B24" s="747" cm="1">
        <f t="array" ref="B24">SUMPRODUCT(--(LOWER(TRIM(W1:W123))="ambil sendiri"))</f>
        <v>0</v>
      </c>
      <c r="C24" s="747" cm="1">
        <f t="array" ref="C24">SUMPRODUCT(--(LOWER(AB1:AB149)="masuk"), --(LOWER(TRIM(W1:W149))="ambil sendiri"))</f>
        <v>0</v>
      </c>
      <c r="D24" s="740">
        <f>C24+-B24</f>
        <v>0</v>
      </c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769" t="s">
        <v>623</v>
      </c>
      <c r="S24" s="452">
        <v>3331557001</v>
      </c>
      <c r="T24" s="524" t="s">
        <v>608</v>
      </c>
      <c r="U24" s="452">
        <v>24141061</v>
      </c>
      <c r="V24" s="452" t="s">
        <v>561</v>
      </c>
      <c r="W24" s="730" t="s">
        <v>362</v>
      </c>
      <c r="X24" s="456">
        <v>25054.43</v>
      </c>
      <c r="Y24" s="452" t="s">
        <v>200</v>
      </c>
      <c r="Z24" s="452">
        <v>1</v>
      </c>
      <c r="AA24" s="452">
        <v>1</v>
      </c>
      <c r="AB24" s="731" t="s">
        <v>204</v>
      </c>
      <c r="AC24" s="780"/>
      <c r="AD24" s="767" t="e">
        <f>VLOOKUP(Table134657891011141213[[#This Row],[Delivery]],#REF!,7,FALSE)</f>
        <v>#REF!</v>
      </c>
    </row>
    <row r="25" spans="1:30" s="619" customFormat="1" ht="13.5" customHeight="1">
      <c r="A25" s="734"/>
      <c r="B25" s="760">
        <f>SUM(B18:B24)</f>
        <v>0</v>
      </c>
      <c r="C25" s="760">
        <f>SUM(C18:C24)</f>
        <v>0</v>
      </c>
      <c r="D25" s="761">
        <f>SUM(D18:D24)</f>
        <v>0</v>
      </c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769" t="s">
        <v>623</v>
      </c>
      <c r="S25" s="452">
        <v>3331557002</v>
      </c>
      <c r="T25" s="524" t="s">
        <v>608</v>
      </c>
      <c r="U25" s="452">
        <v>24141062</v>
      </c>
      <c r="V25" s="452" t="s">
        <v>561</v>
      </c>
      <c r="W25" s="730" t="s">
        <v>362</v>
      </c>
      <c r="X25" s="456">
        <v>25114.58</v>
      </c>
      <c r="Y25" s="452" t="s">
        <v>200</v>
      </c>
      <c r="Z25" s="452">
        <v>1</v>
      </c>
      <c r="AA25" s="452">
        <v>1</v>
      </c>
      <c r="AB25" s="731" t="s">
        <v>204</v>
      </c>
      <c r="AC25" s="780"/>
      <c r="AD25" s="767" t="e">
        <f>VLOOKUP(Table134657891011141213[[#This Row],[Delivery]],#REF!,7,FALSE)</f>
        <v>#REF!</v>
      </c>
    </row>
    <row r="26" spans="1:30" s="619" customFormat="1" ht="10.5" customHeight="1">
      <c r="A26" s="736"/>
      <c r="B26" s="736"/>
      <c r="C26" s="736"/>
      <c r="D26" s="736"/>
      <c r="E26" s="55"/>
      <c r="F26" s="736"/>
      <c r="G26" s="736"/>
      <c r="H26" s="736"/>
      <c r="I26" s="736"/>
      <c r="J26" s="736"/>
      <c r="K26" s="736"/>
      <c r="L26" s="736"/>
      <c r="M26" s="736"/>
      <c r="N26" s="736"/>
      <c r="O26" s="736"/>
      <c r="P26" s="736"/>
      <c r="Q26" s="660"/>
      <c r="R26" s="769" t="s">
        <v>623</v>
      </c>
      <c r="S26" s="452">
        <v>3331557003</v>
      </c>
      <c r="T26" s="524" t="s">
        <v>564</v>
      </c>
      <c r="U26" s="452">
        <v>24141063</v>
      </c>
      <c r="V26" s="452" t="s">
        <v>561</v>
      </c>
      <c r="W26" s="730" t="s">
        <v>362</v>
      </c>
      <c r="X26" s="456">
        <v>25504.289000000001</v>
      </c>
      <c r="Y26" s="452" t="s">
        <v>200</v>
      </c>
      <c r="Z26" s="452">
        <v>1</v>
      </c>
      <c r="AA26" s="452">
        <v>1</v>
      </c>
      <c r="AB26" s="731" t="s">
        <v>204</v>
      </c>
      <c r="AC26" s="780"/>
      <c r="AD26" s="767" t="e">
        <f>VLOOKUP(Table134657891011141213[[#This Row],[Delivery]],#REF!,7,FALSE)</f>
        <v>#REF!</v>
      </c>
    </row>
    <row r="27" spans="1:30" s="619" customFormat="1" ht="10.5" customHeight="1">
      <c r="A27" s="448"/>
      <c r="B27" s="448"/>
      <c r="C27" s="448"/>
      <c r="D27" s="448"/>
      <c r="E27" s="55"/>
      <c r="F27" s="448"/>
      <c r="G27" s="448"/>
      <c r="H27" s="448"/>
      <c r="I27" s="448"/>
      <c r="J27" s="448"/>
      <c r="K27" s="448"/>
      <c r="L27" s="448"/>
      <c r="M27" s="448"/>
      <c r="N27" s="448"/>
      <c r="O27" s="448"/>
      <c r="P27" s="448"/>
      <c r="R27" s="769" t="s">
        <v>623</v>
      </c>
      <c r="S27" s="452">
        <v>3331557004</v>
      </c>
      <c r="T27" s="524" t="s">
        <v>608</v>
      </c>
      <c r="U27" s="452">
        <v>24141064</v>
      </c>
      <c r="V27" s="452" t="s">
        <v>561</v>
      </c>
      <c r="W27" s="730" t="s">
        <v>362</v>
      </c>
      <c r="X27" s="456">
        <v>25932.919000000002</v>
      </c>
      <c r="Y27" s="452" t="s">
        <v>200</v>
      </c>
      <c r="Z27" s="452">
        <v>1</v>
      </c>
      <c r="AA27" s="452">
        <v>1</v>
      </c>
      <c r="AB27" s="731" t="s">
        <v>204</v>
      </c>
      <c r="AC27" s="780"/>
      <c r="AD27" s="767" t="e">
        <f>VLOOKUP(Table134657891011141213[[#This Row],[Delivery]],#REF!,7,FALSE)</f>
        <v>#REF!</v>
      </c>
    </row>
    <row r="28" spans="1:30" s="619" customFormat="1" ht="10.5" customHeight="1">
      <c r="A28" s="448"/>
      <c r="B28" s="448"/>
      <c r="C28" s="448"/>
      <c r="D28" s="448"/>
      <c r="E28" s="55"/>
      <c r="F28" s="448"/>
      <c r="G28" s="448"/>
      <c r="H28" s="448"/>
      <c r="I28" s="448"/>
      <c r="J28" s="448"/>
      <c r="K28" s="448"/>
      <c r="L28" s="448"/>
      <c r="M28" s="448"/>
      <c r="N28" s="448"/>
      <c r="O28" s="448"/>
      <c r="P28" s="448"/>
      <c r="R28" s="769" t="s">
        <v>623</v>
      </c>
      <c r="S28" s="452">
        <v>3331557005</v>
      </c>
      <c r="T28" s="524" t="s">
        <v>564</v>
      </c>
      <c r="U28" s="452">
        <v>24141066</v>
      </c>
      <c r="V28" s="452" t="s">
        <v>561</v>
      </c>
      <c r="W28" s="730" t="s">
        <v>362</v>
      </c>
      <c r="X28" s="456">
        <v>25975.927</v>
      </c>
      <c r="Y28" s="452" t="s">
        <v>200</v>
      </c>
      <c r="Z28" s="452">
        <v>1</v>
      </c>
      <c r="AA28" s="452">
        <v>1</v>
      </c>
      <c r="AB28" s="731" t="s">
        <v>204</v>
      </c>
      <c r="AC28" s="780"/>
      <c r="AD28" s="767" t="e">
        <f>VLOOKUP(Table134657891011141213[[#This Row],[Delivery]],#REF!,7,FALSE)</f>
        <v>#REF!</v>
      </c>
    </row>
    <row r="29" spans="1:30" s="619" customFormat="1" ht="10.5" customHeight="1">
      <c r="A29" s="448"/>
      <c r="B29" s="448"/>
      <c r="C29" s="448"/>
      <c r="D29" s="448"/>
      <c r="E29" s="55"/>
      <c r="F29" s="448"/>
      <c r="G29" s="448"/>
      <c r="H29" s="448"/>
      <c r="I29" s="448"/>
      <c r="J29" s="448"/>
      <c r="K29" s="448"/>
      <c r="L29" s="448"/>
      <c r="M29" s="448"/>
      <c r="N29" s="448"/>
      <c r="O29" s="448"/>
      <c r="P29" s="448"/>
      <c r="R29" s="769" t="s">
        <v>355</v>
      </c>
      <c r="S29" s="452">
        <v>3331557293</v>
      </c>
      <c r="T29" s="524" t="s">
        <v>608</v>
      </c>
      <c r="U29" s="452">
        <v>24141079</v>
      </c>
      <c r="V29" s="452" t="s">
        <v>561</v>
      </c>
      <c r="W29" s="730" t="s">
        <v>362</v>
      </c>
      <c r="X29" s="456">
        <v>25760.894</v>
      </c>
      <c r="Y29" s="452" t="s">
        <v>200</v>
      </c>
      <c r="Z29" s="452">
        <v>1</v>
      </c>
      <c r="AA29" s="452">
        <v>1</v>
      </c>
      <c r="AB29" s="731" t="s">
        <v>204</v>
      </c>
      <c r="AC29" s="780"/>
      <c r="AD29" s="767" t="e">
        <f>VLOOKUP(Table134657891011141213[[#This Row],[Delivery]],#REF!,7,FALSE)</f>
        <v>#REF!</v>
      </c>
    </row>
    <row r="30" spans="1:30" s="619" customFormat="1" ht="10.5" customHeight="1">
      <c r="A30" s="1571" t="s">
        <v>626</v>
      </c>
      <c r="B30" s="1572"/>
      <c r="C30" s="1572"/>
      <c r="D30" s="1572"/>
      <c r="E30" s="1572"/>
      <c r="F30" s="1572"/>
      <c r="G30" s="1572"/>
      <c r="H30" s="1572"/>
      <c r="I30" s="1572"/>
      <c r="J30" s="1572"/>
      <c r="K30" s="1572"/>
      <c r="L30" s="1572"/>
      <c r="M30" s="1572"/>
      <c r="N30" s="1572"/>
      <c r="O30" s="1572"/>
      <c r="P30" s="1572"/>
      <c r="R30" s="769" t="s">
        <v>355</v>
      </c>
      <c r="S30" s="452">
        <v>3331557294</v>
      </c>
      <c r="T30" s="524" t="s">
        <v>608</v>
      </c>
      <c r="U30" s="452">
        <v>24141080</v>
      </c>
      <c r="V30" s="452" t="s">
        <v>561</v>
      </c>
      <c r="W30" s="730" t="s">
        <v>362</v>
      </c>
      <c r="X30" s="456">
        <v>25760.894</v>
      </c>
      <c r="Y30" s="452" t="s">
        <v>200</v>
      </c>
      <c r="Z30" s="452">
        <v>1</v>
      </c>
      <c r="AA30" s="452">
        <v>1</v>
      </c>
      <c r="AB30" s="731" t="s">
        <v>204</v>
      </c>
      <c r="AC30" s="780"/>
      <c r="AD30" s="767" t="e">
        <f>VLOOKUP(Table134657891011141213[[#This Row],[Delivery]],#REF!,7,FALSE)</f>
        <v>#REF!</v>
      </c>
    </row>
    <row r="31" spans="1:30" s="619" customFormat="1" ht="10.5" customHeight="1">
      <c r="A31" s="1572"/>
      <c r="B31" s="1572"/>
      <c r="C31" s="1572"/>
      <c r="D31" s="1572"/>
      <c r="E31" s="1572"/>
      <c r="F31" s="1572"/>
      <c r="G31" s="1572"/>
      <c r="H31" s="1572"/>
      <c r="I31" s="1572"/>
      <c r="J31" s="1572"/>
      <c r="K31" s="1572"/>
      <c r="L31" s="1572"/>
      <c r="M31" s="1572"/>
      <c r="N31" s="1572"/>
      <c r="O31" s="1572"/>
      <c r="P31" s="1572"/>
      <c r="R31" s="769" t="s">
        <v>355</v>
      </c>
      <c r="S31" s="452">
        <v>3331557295</v>
      </c>
      <c r="T31" s="524" t="s">
        <v>608</v>
      </c>
      <c r="U31" s="452">
        <v>24141081</v>
      </c>
      <c r="V31" s="452" t="s">
        <v>561</v>
      </c>
      <c r="W31" s="730" t="s">
        <v>362</v>
      </c>
      <c r="X31" s="456">
        <v>25547.59</v>
      </c>
      <c r="Y31" s="452" t="s">
        <v>200</v>
      </c>
      <c r="Z31" s="452">
        <v>1</v>
      </c>
      <c r="AA31" s="452">
        <v>1</v>
      </c>
      <c r="AB31" s="731" t="s">
        <v>204</v>
      </c>
      <c r="AC31" s="780"/>
      <c r="AD31" s="767" t="e">
        <f>VLOOKUP(Table134657891011141213[[#This Row],[Delivery]],#REF!,7,FALSE)</f>
        <v>#REF!</v>
      </c>
    </row>
    <row r="32" spans="1:30" s="619" customFormat="1" ht="10.5" customHeight="1">
      <c r="A32" s="1572"/>
      <c r="B32" s="1572"/>
      <c r="C32" s="1572"/>
      <c r="D32" s="1572"/>
      <c r="E32" s="1572"/>
      <c r="F32" s="1572"/>
      <c r="G32" s="1572"/>
      <c r="H32" s="1572"/>
      <c r="I32" s="1572"/>
      <c r="J32" s="1572"/>
      <c r="K32" s="1572"/>
      <c r="L32" s="1572"/>
      <c r="M32" s="1572"/>
      <c r="N32" s="1572"/>
      <c r="O32" s="1572"/>
      <c r="P32" s="1572"/>
      <c r="R32" s="769" t="s">
        <v>355</v>
      </c>
      <c r="S32" s="592">
        <v>3331557296</v>
      </c>
      <c r="T32" s="525" t="s">
        <v>564</v>
      </c>
      <c r="U32" s="592">
        <v>24141082</v>
      </c>
      <c r="V32" s="490" t="s">
        <v>561</v>
      </c>
      <c r="W32" s="730" t="s">
        <v>362</v>
      </c>
      <c r="X32" s="456">
        <v>25201.182000000001</v>
      </c>
      <c r="Y32" s="452" t="s">
        <v>200</v>
      </c>
      <c r="Z32" s="452">
        <v>1</v>
      </c>
      <c r="AA32" s="452">
        <v>0</v>
      </c>
      <c r="AB32" s="731" t="s">
        <v>204</v>
      </c>
      <c r="AC32" s="780"/>
      <c r="AD32" s="767" t="e">
        <f>VLOOKUP(Table134657891011141213[[#This Row],[Delivery]],#REF!,7,FALSE)</f>
        <v>#REF!</v>
      </c>
    </row>
    <row r="33" spans="1:30" s="619" customFormat="1" ht="10.5" customHeight="1">
      <c r="A33" s="1572"/>
      <c r="B33" s="1572"/>
      <c r="C33" s="1572"/>
      <c r="D33" s="1572"/>
      <c r="E33" s="1572"/>
      <c r="F33" s="1572"/>
      <c r="G33" s="1572"/>
      <c r="H33" s="1572"/>
      <c r="I33" s="1572"/>
      <c r="J33" s="1572"/>
      <c r="K33" s="1572"/>
      <c r="L33" s="1572"/>
      <c r="M33" s="1572"/>
      <c r="N33" s="1572"/>
      <c r="O33" s="1572"/>
      <c r="P33" s="1572"/>
      <c r="R33" s="769" t="s">
        <v>355</v>
      </c>
      <c r="S33" s="592">
        <v>3331557304</v>
      </c>
      <c r="T33" s="525" t="s">
        <v>441</v>
      </c>
      <c r="U33" s="592">
        <v>24141092</v>
      </c>
      <c r="V33" s="490" t="s">
        <v>561</v>
      </c>
      <c r="W33" s="730" t="s">
        <v>362</v>
      </c>
      <c r="X33" s="456">
        <v>24926.165000000001</v>
      </c>
      <c r="Y33" s="490" t="s">
        <v>200</v>
      </c>
      <c r="Z33" s="452">
        <v>1</v>
      </c>
      <c r="AA33" s="452">
        <v>0</v>
      </c>
      <c r="AB33" s="731" t="s">
        <v>204</v>
      </c>
      <c r="AC33" s="780"/>
      <c r="AD33" s="767" t="e">
        <f>VLOOKUP(Table134657891011141213[[#This Row],[Delivery]],#REF!,7,FALSE)</f>
        <v>#REF!</v>
      </c>
    </row>
    <row r="34" spans="1:30" s="619" customFormat="1" ht="10.5" customHeight="1">
      <c r="A34" s="1572"/>
      <c r="B34" s="1572"/>
      <c r="C34" s="1572"/>
      <c r="D34" s="1572"/>
      <c r="E34" s="1572"/>
      <c r="F34" s="1572"/>
      <c r="G34" s="1572"/>
      <c r="H34" s="1572"/>
      <c r="I34" s="1572"/>
      <c r="J34" s="1572"/>
      <c r="K34" s="1572"/>
      <c r="L34" s="1572"/>
      <c r="M34" s="1572"/>
      <c r="N34" s="1572"/>
      <c r="O34" s="1572"/>
      <c r="P34" s="1572"/>
      <c r="R34" s="769" t="s">
        <v>355</v>
      </c>
      <c r="S34" s="592">
        <v>3331557305</v>
      </c>
      <c r="T34" s="525" t="s">
        <v>441</v>
      </c>
      <c r="U34" s="592">
        <v>24141093</v>
      </c>
      <c r="V34" s="490" t="s">
        <v>561</v>
      </c>
      <c r="W34" s="730" t="s">
        <v>362</v>
      </c>
      <c r="X34" s="456">
        <v>24968.92</v>
      </c>
      <c r="Y34" s="490" t="s">
        <v>200</v>
      </c>
      <c r="Z34" s="452">
        <v>1</v>
      </c>
      <c r="AA34" s="452">
        <v>0</v>
      </c>
      <c r="AB34" s="731" t="s">
        <v>204</v>
      </c>
      <c r="AC34" s="780"/>
      <c r="AD34" s="767" t="e">
        <f>VLOOKUP(Table134657891011141213[[#This Row],[Delivery]],#REF!,7,FALSE)</f>
        <v>#REF!</v>
      </c>
    </row>
    <row r="35" spans="1:30" s="619" customFormat="1" ht="10.5" customHeight="1">
      <c r="A35" s="1572"/>
      <c r="B35" s="1572"/>
      <c r="C35" s="1572"/>
      <c r="D35" s="1572"/>
      <c r="E35" s="1572"/>
      <c r="F35" s="1572"/>
      <c r="G35" s="1572"/>
      <c r="H35" s="1572"/>
      <c r="I35" s="1572"/>
      <c r="J35" s="1572"/>
      <c r="K35" s="1572"/>
      <c r="L35" s="1572"/>
      <c r="M35" s="1572"/>
      <c r="N35" s="1572"/>
      <c r="O35" s="1572"/>
      <c r="P35" s="1572"/>
      <c r="R35" s="769" t="s">
        <v>623</v>
      </c>
      <c r="S35" s="452">
        <v>3331556909</v>
      </c>
      <c r="T35" s="452" t="s">
        <v>336</v>
      </c>
      <c r="U35" s="452">
        <v>24141057</v>
      </c>
      <c r="V35" s="452" t="s">
        <v>253</v>
      </c>
      <c r="W35" s="730" t="s">
        <v>205</v>
      </c>
      <c r="X35" s="456">
        <v>35368.673000000003</v>
      </c>
      <c r="Y35" s="452" t="s">
        <v>128</v>
      </c>
      <c r="Z35" s="452">
        <v>1</v>
      </c>
      <c r="AA35" s="452">
        <v>1</v>
      </c>
      <c r="AB35" s="731" t="s">
        <v>204</v>
      </c>
      <c r="AC35" s="780"/>
      <c r="AD35" s="767" t="e">
        <f>VLOOKUP(Table134657891011141213[[#This Row],[Delivery]],#REF!,7,FALSE)</f>
        <v>#REF!</v>
      </c>
    </row>
    <row r="36" spans="1:30" s="619" customFormat="1" ht="10.5" customHeight="1">
      <c r="A36" s="1573" t="s">
        <v>627</v>
      </c>
      <c r="B36" s="1574"/>
      <c r="C36" s="1574"/>
      <c r="D36" s="1574"/>
      <c r="E36" s="1574"/>
      <c r="F36" s="1574"/>
      <c r="G36" s="1574"/>
      <c r="H36" s="1574"/>
      <c r="I36" s="1574"/>
      <c r="J36" s="1574"/>
      <c r="K36" s="1574"/>
      <c r="L36" s="1574"/>
      <c r="M36" s="1574"/>
      <c r="N36" s="1574"/>
      <c r="O36" s="1574"/>
      <c r="P36" s="1574"/>
      <c r="R36" s="769" t="s">
        <v>355</v>
      </c>
      <c r="S36" s="452">
        <v>3331556942</v>
      </c>
      <c r="T36" s="452" t="s">
        <v>336</v>
      </c>
      <c r="U36" s="452">
        <v>24141048</v>
      </c>
      <c r="V36" s="452" t="s">
        <v>628</v>
      </c>
      <c r="W36" s="730" t="s">
        <v>205</v>
      </c>
      <c r="X36" s="456">
        <v>37243.629000000001</v>
      </c>
      <c r="Y36" s="452" t="s">
        <v>128</v>
      </c>
      <c r="Z36" s="452">
        <v>1</v>
      </c>
      <c r="AA36" s="452">
        <v>1</v>
      </c>
      <c r="AB36" s="731" t="s">
        <v>204</v>
      </c>
      <c r="AC36" s="780"/>
      <c r="AD36" s="780" t="e">
        <f>VLOOKUP(Table134657891011141213[[#This Row],[Delivery]],#REF!,7,FALSE)</f>
        <v>#REF!</v>
      </c>
    </row>
    <row r="37" spans="1:30" s="619" customFormat="1" ht="10.5" customHeight="1">
      <c r="A37" s="1574"/>
      <c r="B37" s="1574"/>
      <c r="C37" s="1574"/>
      <c r="D37" s="1574"/>
      <c r="E37" s="1574"/>
      <c r="F37" s="1574"/>
      <c r="G37" s="1574"/>
      <c r="H37" s="1574"/>
      <c r="I37" s="1574"/>
      <c r="J37" s="1574"/>
      <c r="K37" s="1574"/>
      <c r="L37" s="1574"/>
      <c r="M37" s="1574"/>
      <c r="N37" s="1574"/>
      <c r="O37" s="1574"/>
      <c r="P37" s="1574"/>
      <c r="R37" s="769" t="s">
        <v>355</v>
      </c>
      <c r="S37" s="452">
        <v>3331556934</v>
      </c>
      <c r="T37" s="452" t="s">
        <v>27</v>
      </c>
      <c r="U37" s="452">
        <v>24141083</v>
      </c>
      <c r="V37" s="452" t="s">
        <v>243</v>
      </c>
      <c r="W37" s="730" t="s">
        <v>199</v>
      </c>
      <c r="X37" s="456">
        <v>24647</v>
      </c>
      <c r="Y37" s="452" t="s">
        <v>200</v>
      </c>
      <c r="Z37" s="452">
        <v>1</v>
      </c>
      <c r="AA37" s="452">
        <v>1</v>
      </c>
      <c r="AB37" s="731" t="s">
        <v>204</v>
      </c>
      <c r="AC37" s="780"/>
      <c r="AD37" s="767" t="e">
        <f>VLOOKUP(Table134657891011141213[[#This Row],[Delivery]],#REF!,7,FALSE)</f>
        <v>#REF!</v>
      </c>
    </row>
    <row r="38" spans="1:30" s="619" customFormat="1" ht="10.5" customHeight="1">
      <c r="A38" s="1574"/>
      <c r="B38" s="1574"/>
      <c r="C38" s="1574"/>
      <c r="D38" s="1574"/>
      <c r="E38" s="1574"/>
      <c r="F38" s="1574"/>
      <c r="G38" s="1574"/>
      <c r="H38" s="1574"/>
      <c r="I38" s="1574"/>
      <c r="J38" s="1574"/>
      <c r="K38" s="1574"/>
      <c r="L38" s="1574"/>
      <c r="M38" s="1574"/>
      <c r="N38" s="1574"/>
      <c r="O38" s="1574"/>
      <c r="P38" s="1574"/>
      <c r="R38" s="769" t="s">
        <v>355</v>
      </c>
      <c r="S38" s="452">
        <v>3331557307</v>
      </c>
      <c r="T38" s="452" t="s">
        <v>27</v>
      </c>
      <c r="U38" s="452">
        <v>24141084</v>
      </c>
      <c r="V38" s="452" t="s">
        <v>219</v>
      </c>
      <c r="W38" s="730" t="s">
        <v>199</v>
      </c>
      <c r="X38" s="456">
        <v>26023.901000000002</v>
      </c>
      <c r="Y38" s="452" t="s">
        <v>200</v>
      </c>
      <c r="Z38" s="452">
        <v>1</v>
      </c>
      <c r="AA38" s="768">
        <v>1</v>
      </c>
      <c r="AB38" s="731" t="s">
        <v>204</v>
      </c>
      <c r="AC38" s="955"/>
      <c r="AD38" s="767" t="e">
        <f>VLOOKUP(Table134657891011141213[[#This Row],[Delivery]],#REF!,7,FALSE)</f>
        <v>#REF!</v>
      </c>
    </row>
    <row r="39" spans="1:30" s="619" customFormat="1" ht="10.5" customHeight="1">
      <c r="A39" s="1574"/>
      <c r="B39" s="1574"/>
      <c r="C39" s="1574"/>
      <c r="D39" s="1574"/>
      <c r="E39" s="1574"/>
      <c r="F39" s="1574"/>
      <c r="G39" s="1574"/>
      <c r="H39" s="1574"/>
      <c r="I39" s="1574"/>
      <c r="J39" s="1574"/>
      <c r="K39" s="1574"/>
      <c r="L39" s="1574"/>
      <c r="M39" s="1574"/>
      <c r="N39" s="1574"/>
      <c r="O39" s="1574"/>
      <c r="P39" s="1574"/>
      <c r="R39" s="769" t="s">
        <v>355</v>
      </c>
      <c r="S39" s="452">
        <v>3331557308</v>
      </c>
      <c r="T39" s="452" t="s">
        <v>287</v>
      </c>
      <c r="U39" s="452">
        <v>24141085</v>
      </c>
      <c r="V39" s="452" t="s">
        <v>219</v>
      </c>
      <c r="W39" s="730" t="s">
        <v>199</v>
      </c>
      <c r="X39" s="456">
        <v>26673.416000000001</v>
      </c>
      <c r="Y39" s="452" t="s">
        <v>200</v>
      </c>
      <c r="Z39" s="452">
        <v>1</v>
      </c>
      <c r="AA39" s="768">
        <v>1</v>
      </c>
      <c r="AB39" s="731" t="s">
        <v>204</v>
      </c>
      <c r="AC39" s="955"/>
      <c r="AD39" s="767" t="e">
        <f>VLOOKUP(Table134657891011141213[[#This Row],[Delivery]],#REF!,7,FALSE)</f>
        <v>#REF!</v>
      </c>
    </row>
    <row r="40" spans="1:30" s="619" customFormat="1" ht="10.5" customHeight="1">
      <c r="A40" s="1574"/>
      <c r="B40" s="1574"/>
      <c r="C40" s="1574"/>
      <c r="D40" s="1574"/>
      <c r="E40" s="1574"/>
      <c r="F40" s="1574"/>
      <c r="G40" s="1574"/>
      <c r="H40" s="1574"/>
      <c r="I40" s="1574"/>
      <c r="J40" s="1574"/>
      <c r="K40" s="1574"/>
      <c r="L40" s="1574"/>
      <c r="M40" s="1574"/>
      <c r="N40" s="1574"/>
      <c r="O40" s="1574"/>
      <c r="P40" s="1574"/>
      <c r="R40" s="769" t="s">
        <v>355</v>
      </c>
      <c r="S40" s="452">
        <v>3331557310</v>
      </c>
      <c r="T40" s="452" t="s">
        <v>27</v>
      </c>
      <c r="U40" s="452">
        <v>24141086</v>
      </c>
      <c r="V40" s="452" t="s">
        <v>219</v>
      </c>
      <c r="W40" s="730" t="s">
        <v>199</v>
      </c>
      <c r="X40" s="456">
        <v>25374.385999999999</v>
      </c>
      <c r="Y40" s="452" t="s">
        <v>200</v>
      </c>
      <c r="Z40" s="452">
        <v>1</v>
      </c>
      <c r="AA40" s="768">
        <v>1</v>
      </c>
      <c r="AB40" s="731" t="s">
        <v>204</v>
      </c>
      <c r="AC40" s="955"/>
      <c r="AD40" s="767" t="e">
        <f>VLOOKUP(Table134657891011141213[[#This Row],[Delivery]],#REF!,7,FALSE)</f>
        <v>#REF!</v>
      </c>
    </row>
    <row r="41" spans="1:30" s="619" customFormat="1" ht="10.5" customHeight="1">
      <c r="A41" s="448"/>
      <c r="B41" s="448"/>
      <c r="C41" s="448"/>
      <c r="D41" s="448"/>
      <c r="E41" s="55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R41" s="769" t="s">
        <v>355</v>
      </c>
      <c r="S41" s="452">
        <v>3331557314</v>
      </c>
      <c r="T41" s="493" t="s">
        <v>287</v>
      </c>
      <c r="U41" s="452">
        <v>24141088</v>
      </c>
      <c r="V41" s="452" t="s">
        <v>219</v>
      </c>
      <c r="W41" s="730" t="s">
        <v>340</v>
      </c>
      <c r="X41" s="456">
        <v>25980.6</v>
      </c>
      <c r="Y41" s="452" t="s">
        <v>200</v>
      </c>
      <c r="Z41" s="452">
        <v>1</v>
      </c>
      <c r="AA41" s="768">
        <v>1</v>
      </c>
      <c r="AB41" s="731" t="s">
        <v>204</v>
      </c>
      <c r="AC41" s="955"/>
      <c r="AD41" s="767" t="e">
        <f>VLOOKUP(Table134657891011141213[[#This Row],[Delivery]],#REF!,7,FALSE)</f>
        <v>#REF!</v>
      </c>
    </row>
    <row r="42" spans="1:30" s="619" customFormat="1" ht="10.5" customHeight="1">
      <c r="A42" s="448"/>
      <c r="B42" s="448"/>
      <c r="C42" s="448"/>
      <c r="D42" s="448"/>
      <c r="E42" s="55"/>
      <c r="F42" s="448"/>
      <c r="G42" s="448"/>
      <c r="H42" s="448"/>
      <c r="I42" s="448"/>
      <c r="J42" s="448"/>
      <c r="K42" s="448"/>
      <c r="L42" s="448"/>
      <c r="M42" s="448"/>
      <c r="N42" s="448"/>
      <c r="O42" s="448"/>
      <c r="P42" s="448"/>
      <c r="R42" s="769" t="s">
        <v>355</v>
      </c>
      <c r="S42" s="452">
        <v>3331557297</v>
      </c>
      <c r="T42" s="452" t="s">
        <v>27</v>
      </c>
      <c r="U42" s="452">
        <v>24141091</v>
      </c>
      <c r="V42" s="452" t="s">
        <v>464</v>
      </c>
      <c r="W42" s="730" t="s">
        <v>199</v>
      </c>
      <c r="X42" s="456">
        <f>2695.074+1084.395+8005.748+11967.54</f>
        <v>23752.757000000001</v>
      </c>
      <c r="Y42" s="452" t="s">
        <v>200</v>
      </c>
      <c r="Z42" s="452">
        <v>1</v>
      </c>
      <c r="AA42" s="768">
        <v>1</v>
      </c>
      <c r="AB42" s="731" t="s">
        <v>204</v>
      </c>
      <c r="AC42" s="955"/>
      <c r="AD42" s="767" t="e">
        <f>VLOOKUP(Table134657891011141213[[#This Row],[Delivery]],#REF!,7,FALSE)</f>
        <v>#REF!</v>
      </c>
    </row>
    <row r="43" spans="1:30" s="619" customFormat="1" ht="10.5" customHeight="1">
      <c r="A43" s="448"/>
      <c r="B43" s="448"/>
      <c r="C43" s="448"/>
      <c r="D43" s="448"/>
      <c r="E43" s="55"/>
      <c r="F43" s="448"/>
      <c r="G43" s="448"/>
      <c r="H43" s="448"/>
      <c r="I43" s="448"/>
      <c r="J43" s="448"/>
      <c r="K43" s="448"/>
      <c r="L43" s="448"/>
      <c r="M43" s="448"/>
      <c r="N43" s="448"/>
      <c r="O43" s="448"/>
      <c r="P43" s="448"/>
      <c r="R43" s="769" t="s">
        <v>355</v>
      </c>
      <c r="S43" s="452">
        <v>3331557299</v>
      </c>
      <c r="T43" s="452" t="s">
        <v>256</v>
      </c>
      <c r="U43" s="452" t="s">
        <v>256</v>
      </c>
      <c r="V43" s="452" t="s">
        <v>256</v>
      </c>
      <c r="W43" s="490" t="s">
        <v>256</v>
      </c>
      <c r="X43" s="456" t="s">
        <v>256</v>
      </c>
      <c r="Y43" s="452" t="s">
        <v>256</v>
      </c>
      <c r="Z43" s="452" t="s">
        <v>256</v>
      </c>
      <c r="AA43" s="452" t="s">
        <v>256</v>
      </c>
      <c r="AB43" s="731" t="str">
        <f>SUBSTITUTE(Table134657891011141213[[#This Row],[AREA]], "JABODETABE", "BELUM MASU")</f>
        <v>=</v>
      </c>
      <c r="AC43" s="780"/>
      <c r="AD43" s="767" t="e">
        <f>VLOOKUP(Table134657891011141213[[#This Row],[Delivery]],#REF!,7,FALSE)</f>
        <v>#REF!</v>
      </c>
    </row>
    <row r="44" spans="1:30" s="619" customFormat="1" ht="10.5" customHeight="1">
      <c r="A44" s="448"/>
      <c r="B44" s="448"/>
      <c r="C44" s="448"/>
      <c r="D44" s="448"/>
      <c r="E44" s="55"/>
      <c r="F44" s="448"/>
      <c r="G44" s="448"/>
      <c r="H44" s="448"/>
      <c r="I44" s="448"/>
      <c r="J44" s="448"/>
      <c r="K44" s="448"/>
      <c r="L44" s="448"/>
      <c r="M44" s="448"/>
      <c r="N44" s="448"/>
      <c r="O44" s="448"/>
      <c r="P44" s="448"/>
      <c r="R44" s="769" t="s">
        <v>355</v>
      </c>
      <c r="S44" s="452">
        <v>3331557302</v>
      </c>
      <c r="T44" s="452" t="s">
        <v>256</v>
      </c>
      <c r="U44" s="452" t="s">
        <v>256</v>
      </c>
      <c r="V44" s="452" t="s">
        <v>256</v>
      </c>
      <c r="W44" s="490" t="s">
        <v>256</v>
      </c>
      <c r="X44" s="456" t="s">
        <v>256</v>
      </c>
      <c r="Y44" s="452" t="s">
        <v>256</v>
      </c>
      <c r="Z44" s="452" t="s">
        <v>256</v>
      </c>
      <c r="AA44" s="452" t="s">
        <v>256</v>
      </c>
      <c r="AB44" s="731" t="str">
        <f>SUBSTITUTE(Table134657891011141213[[#This Row],[AREA]], "JABODETABE", "BELUM MASU")</f>
        <v>=</v>
      </c>
      <c r="AC44" s="780"/>
      <c r="AD44" s="767" t="e">
        <f>VLOOKUP(Table134657891011141213[[#This Row],[Delivery]],#REF!,7,FALSE)</f>
        <v>#REF!</v>
      </c>
    </row>
    <row r="45" spans="1:30" s="619" customFormat="1" ht="10.5" customHeight="1">
      <c r="A45" s="448"/>
      <c r="B45" s="448"/>
      <c r="C45" s="448"/>
      <c r="D45" s="448"/>
      <c r="E45" s="55"/>
      <c r="F45" s="448"/>
      <c r="G45" s="448"/>
      <c r="H45" s="448"/>
      <c r="I45" s="448"/>
      <c r="J45" s="448"/>
      <c r="K45" s="448"/>
      <c r="L45" s="448"/>
      <c r="M45" s="448"/>
      <c r="N45" s="448"/>
      <c r="O45" s="448"/>
      <c r="P45" s="448"/>
      <c r="R45" s="769" t="s">
        <v>355</v>
      </c>
      <c r="S45" s="452">
        <v>3331557306</v>
      </c>
      <c r="T45" s="452" t="s">
        <v>256</v>
      </c>
      <c r="U45" s="452" t="s">
        <v>256</v>
      </c>
      <c r="V45" s="452" t="s">
        <v>256</v>
      </c>
      <c r="W45" s="490" t="s">
        <v>256</v>
      </c>
      <c r="X45" s="456" t="s">
        <v>256</v>
      </c>
      <c r="Y45" s="452" t="s">
        <v>256</v>
      </c>
      <c r="Z45" s="452" t="s">
        <v>256</v>
      </c>
      <c r="AA45" s="452" t="s">
        <v>256</v>
      </c>
      <c r="AB45" s="731" t="str">
        <f>SUBSTITUTE(Table134657891011141213[[#This Row],[AREA]], "JABODETABE", "BELUM MASU")</f>
        <v>=</v>
      </c>
      <c r="AC45" s="780"/>
      <c r="AD45" s="767" t="e">
        <f>VLOOKUP(Table134657891011141213[[#This Row],[Delivery]],#REF!,7,FALSE)</f>
        <v>#REF!</v>
      </c>
    </row>
    <row r="46" spans="1:30" s="619" customFormat="1" ht="10.5" customHeight="1">
      <c r="A46" s="448"/>
      <c r="B46" s="448"/>
      <c r="C46" s="448"/>
      <c r="D46" s="448"/>
      <c r="E46" s="55"/>
      <c r="F46" s="448"/>
      <c r="G46" s="448"/>
      <c r="H46" s="448"/>
      <c r="I46" s="448"/>
      <c r="J46" s="448"/>
      <c r="K46" s="448"/>
      <c r="L46" s="448"/>
      <c r="M46" s="448"/>
      <c r="N46" s="448"/>
      <c r="O46" s="448"/>
      <c r="P46" s="448"/>
      <c r="R46" s="908" t="s">
        <v>355</v>
      </c>
      <c r="S46" s="480">
        <v>3331557291</v>
      </c>
      <c r="T46" s="480" t="s">
        <v>441</v>
      </c>
      <c r="U46" s="480">
        <v>24141087</v>
      </c>
      <c r="V46" s="480" t="s">
        <v>629</v>
      </c>
      <c r="W46" s="721" t="s">
        <v>205</v>
      </c>
      <c r="X46" s="481">
        <v>25653</v>
      </c>
      <c r="Y46" s="480" t="s">
        <v>200</v>
      </c>
      <c r="Z46" s="480">
        <v>1</v>
      </c>
      <c r="AA46" s="480">
        <v>1</v>
      </c>
      <c r="AB46" s="722" t="s">
        <v>207</v>
      </c>
      <c r="AC46" s="767"/>
      <c r="AD46" s="767" t="e">
        <f>VLOOKUP(Table134657891011141213[[#This Row],[Delivery]],#REF!,7,FALSE)</f>
        <v>#REF!</v>
      </c>
    </row>
    <row r="47" spans="1:30" s="619" customFormat="1" ht="10.5" customHeight="1">
      <c r="A47" s="448"/>
      <c r="B47" s="448"/>
      <c r="C47" s="448"/>
      <c r="D47" s="448"/>
      <c r="E47" s="55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R47" s="769" t="s">
        <v>355</v>
      </c>
      <c r="S47" s="452">
        <v>3331557292</v>
      </c>
      <c r="T47" s="452" t="s">
        <v>287</v>
      </c>
      <c r="U47" s="452">
        <v>24141089</v>
      </c>
      <c r="V47" s="452" t="s">
        <v>629</v>
      </c>
      <c r="W47" s="730" t="s">
        <v>205</v>
      </c>
      <c r="X47" s="456">
        <v>25653</v>
      </c>
      <c r="Y47" s="452" t="s">
        <v>200</v>
      </c>
      <c r="Z47" s="452">
        <v>1</v>
      </c>
      <c r="AA47" s="452">
        <v>1</v>
      </c>
      <c r="AB47" s="731" t="s">
        <v>204</v>
      </c>
      <c r="AC47" s="780"/>
      <c r="AD47" s="767" t="e">
        <f>VLOOKUP(Table134657891011141213[[#This Row],[Delivery]],#REF!,7,FALSE)</f>
        <v>#REF!</v>
      </c>
    </row>
    <row r="48" spans="1:30" s="619" customFormat="1" ht="10.5" customHeight="1">
      <c r="A48" s="448"/>
      <c r="B48" s="448"/>
      <c r="C48" s="448"/>
      <c r="D48" s="448"/>
      <c r="E48" s="55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R48" s="908" t="s">
        <v>355</v>
      </c>
      <c r="S48" s="480">
        <v>3331557301</v>
      </c>
      <c r="T48" s="578" t="s">
        <v>27</v>
      </c>
      <c r="U48" s="480">
        <v>24141090</v>
      </c>
      <c r="V48" s="480" t="s">
        <v>629</v>
      </c>
      <c r="W48" s="721" t="s">
        <v>205</v>
      </c>
      <c r="X48" s="481">
        <v>24413.105</v>
      </c>
      <c r="Y48" s="480" t="s">
        <v>200</v>
      </c>
      <c r="Z48" s="480">
        <v>1</v>
      </c>
      <c r="AA48" s="480">
        <v>1</v>
      </c>
      <c r="AB48" s="722" t="s">
        <v>207</v>
      </c>
      <c r="AC48" s="767"/>
      <c r="AD48" s="767" t="e">
        <f>VLOOKUP(Table134657891011141213[[#This Row],[Delivery]],#REF!,7,FALSE)</f>
        <v>#REF!</v>
      </c>
    </row>
    <row r="49" spans="1:30" s="619" customFormat="1" ht="10.5" customHeight="1">
      <c r="A49" s="448"/>
      <c r="B49" s="448"/>
      <c r="C49" s="448"/>
      <c r="D49" s="448"/>
      <c r="E49" s="55"/>
      <c r="F49" s="448"/>
      <c r="G49" s="448"/>
      <c r="H49" s="448"/>
      <c r="I49" s="448"/>
      <c r="J49" s="448"/>
      <c r="K49" s="448"/>
      <c r="L49" s="448"/>
      <c r="M49" s="448"/>
      <c r="N49" s="448"/>
      <c r="O49" s="448"/>
      <c r="P49" s="448"/>
      <c r="R49" s="908" t="s">
        <v>355</v>
      </c>
      <c r="S49" s="480">
        <v>3331557360</v>
      </c>
      <c r="T49" s="578" t="s">
        <v>27</v>
      </c>
      <c r="U49" s="480">
        <v>24141102</v>
      </c>
      <c r="V49" s="480" t="s">
        <v>629</v>
      </c>
      <c r="W49" s="721" t="s">
        <v>205</v>
      </c>
      <c r="X49" s="481">
        <v>25353.715</v>
      </c>
      <c r="Y49" s="502" t="s">
        <v>200</v>
      </c>
      <c r="Z49" s="480">
        <v>1</v>
      </c>
      <c r="AA49" s="480">
        <v>1</v>
      </c>
      <c r="AB49" s="722" t="s">
        <v>207</v>
      </c>
      <c r="AC49" s="767"/>
      <c r="AD49" s="767" t="e">
        <f>VLOOKUP(Table134657891011141213[[#This Row],[Delivery]],#REF!,7,FALSE)</f>
        <v>#REF!</v>
      </c>
    </row>
    <row r="50" spans="1:30" ht="10.5" customHeight="1">
      <c r="R50" s="769" t="s">
        <v>630</v>
      </c>
      <c r="S50" s="452">
        <v>3331557318</v>
      </c>
      <c r="T50" s="452" t="s">
        <v>34</v>
      </c>
      <c r="U50" s="452">
        <v>24141094</v>
      </c>
      <c r="V50" s="769" t="s">
        <v>158</v>
      </c>
      <c r="W50" s="730" t="s">
        <v>340</v>
      </c>
      <c r="X50" s="456">
        <v>24941.376</v>
      </c>
      <c r="Y50" s="490" t="s">
        <v>200</v>
      </c>
      <c r="Z50" s="452">
        <v>1</v>
      </c>
      <c r="AA50" s="768">
        <v>1</v>
      </c>
      <c r="AB50" s="731" t="s">
        <v>204</v>
      </c>
      <c r="AC50" s="955"/>
      <c r="AD50" s="767" t="e">
        <f>VLOOKUP(Table134657891011141213[[#This Row],[Delivery]],#REF!,7,FALSE)</f>
        <v>#REF!</v>
      </c>
    </row>
    <row r="51" spans="1:30" ht="10.5" customHeight="1">
      <c r="R51" s="769" t="s">
        <v>630</v>
      </c>
      <c r="S51" s="452">
        <v>3331557320</v>
      </c>
      <c r="T51" s="452" t="s">
        <v>34</v>
      </c>
      <c r="U51" s="452">
        <v>24141095</v>
      </c>
      <c r="V51" s="769" t="s">
        <v>158</v>
      </c>
      <c r="W51" s="730" t="s">
        <v>340</v>
      </c>
      <c r="X51" s="456">
        <v>24508.366000000002</v>
      </c>
      <c r="Y51" s="452" t="s">
        <v>200</v>
      </c>
      <c r="Z51" s="452">
        <v>1</v>
      </c>
      <c r="AA51" s="452">
        <v>1</v>
      </c>
      <c r="AB51" s="731" t="s">
        <v>204</v>
      </c>
      <c r="AC51" s="780"/>
      <c r="AD51" s="767" t="e">
        <f>VLOOKUP(Table134657891011141213[[#This Row],[Delivery]],#REF!,7,FALSE)</f>
        <v>#REF!</v>
      </c>
    </row>
    <row r="52" spans="1:30" ht="10.5" customHeight="1">
      <c r="R52" s="769" t="s">
        <v>630</v>
      </c>
      <c r="S52" s="452">
        <v>3331557322</v>
      </c>
      <c r="T52" s="452" t="s">
        <v>11</v>
      </c>
      <c r="U52" s="452">
        <v>24141096</v>
      </c>
      <c r="V52" s="452" t="s">
        <v>158</v>
      </c>
      <c r="W52" s="730" t="s">
        <v>340</v>
      </c>
      <c r="X52" s="456">
        <v>25287.682000000001</v>
      </c>
      <c r="Y52" s="452" t="s">
        <v>200</v>
      </c>
      <c r="Z52" s="452">
        <v>1</v>
      </c>
      <c r="AA52" s="452">
        <v>1</v>
      </c>
      <c r="AB52" s="731" t="s">
        <v>204</v>
      </c>
      <c r="AC52" s="780"/>
      <c r="AD52" s="767" t="e">
        <f>VLOOKUP(Table134657891011141213[[#This Row],[Delivery]],#REF!,7,FALSE)</f>
        <v>#REF!</v>
      </c>
    </row>
    <row r="53" spans="1:30" ht="10.5" customHeight="1">
      <c r="R53" s="769" t="s">
        <v>630</v>
      </c>
      <c r="S53" s="770">
        <v>3331557329</v>
      </c>
      <c r="T53" s="493" t="s">
        <v>441</v>
      </c>
      <c r="U53" s="452">
        <v>24141097</v>
      </c>
      <c r="V53" s="452" t="s">
        <v>158</v>
      </c>
      <c r="W53" s="730" t="s">
        <v>340</v>
      </c>
      <c r="X53" s="456">
        <v>25502.672999999999</v>
      </c>
      <c r="Y53" s="452" t="s">
        <v>200</v>
      </c>
      <c r="Z53" s="452">
        <v>1</v>
      </c>
      <c r="AA53" s="452">
        <v>1</v>
      </c>
      <c r="AB53" s="731" t="s">
        <v>204</v>
      </c>
      <c r="AC53" s="780"/>
      <c r="AD53" s="767" t="e">
        <f>VLOOKUP(Table134657891011141213[[#This Row],[Delivery]],#REF!,7,FALSE)</f>
        <v>#REF!</v>
      </c>
    </row>
    <row r="54" spans="1:30" ht="10.5" customHeight="1">
      <c r="R54" s="908" t="s">
        <v>630</v>
      </c>
      <c r="S54" s="708">
        <v>3331557331</v>
      </c>
      <c r="T54" s="738" t="s">
        <v>441</v>
      </c>
      <c r="U54" s="480">
        <v>24141098</v>
      </c>
      <c r="V54" s="480" t="s">
        <v>158</v>
      </c>
      <c r="W54" s="721" t="s">
        <v>340</v>
      </c>
      <c r="X54" s="481">
        <v>24898.075000000001</v>
      </c>
      <c r="Y54" s="480" t="s">
        <v>200</v>
      </c>
      <c r="Z54" s="480">
        <v>1</v>
      </c>
      <c r="AA54" s="480">
        <v>1</v>
      </c>
      <c r="AB54" s="722" t="s">
        <v>207</v>
      </c>
      <c r="AC54" s="767"/>
      <c r="AD54" s="767" t="e">
        <f>VLOOKUP(Table134657891011141213[[#This Row],[Delivery]],#REF!,7,FALSE)</f>
        <v>#REF!</v>
      </c>
    </row>
    <row r="55" spans="1:30" ht="10.5" customHeight="1">
      <c r="R55" s="769" t="s">
        <v>630</v>
      </c>
      <c r="S55" s="452">
        <v>3331557339</v>
      </c>
      <c r="T55" s="452" t="s">
        <v>27</v>
      </c>
      <c r="U55" s="452">
        <v>24141099</v>
      </c>
      <c r="V55" s="452" t="s">
        <v>158</v>
      </c>
      <c r="W55" s="730" t="s">
        <v>340</v>
      </c>
      <c r="X55" s="456">
        <f>22906.229+1892.286</f>
        <v>24798.514999999999</v>
      </c>
      <c r="Y55" s="452" t="s">
        <v>200</v>
      </c>
      <c r="Z55" s="452">
        <v>1</v>
      </c>
      <c r="AA55" s="452">
        <v>1</v>
      </c>
      <c r="AB55" s="731" t="s">
        <v>204</v>
      </c>
      <c r="AC55" s="780"/>
      <c r="AD55" s="767" t="e">
        <f>VLOOKUP(Table134657891011141213[[#This Row],[Delivery]],#REF!,7,FALSE)</f>
        <v>#REF!</v>
      </c>
    </row>
    <row r="56" spans="1:30" ht="10.5" customHeight="1">
      <c r="R56" s="769" t="s">
        <v>630</v>
      </c>
      <c r="S56" s="452">
        <v>3331557343</v>
      </c>
      <c r="T56" s="452" t="s">
        <v>256</v>
      </c>
      <c r="U56" s="452" t="s">
        <v>256</v>
      </c>
      <c r="V56" s="452" t="s">
        <v>256</v>
      </c>
      <c r="W56" s="490" t="s">
        <v>256</v>
      </c>
      <c r="X56" s="456" t="s">
        <v>256</v>
      </c>
      <c r="Y56" s="452" t="s">
        <v>256</v>
      </c>
      <c r="Z56" s="452" t="s">
        <v>256</v>
      </c>
      <c r="AA56" s="452" t="s">
        <v>256</v>
      </c>
      <c r="AB56" s="731" t="str">
        <f>SUBSTITUTE(Table134657891011141213[[#This Row],[AREA]], "JABODETABE", "BELUM MASU")</f>
        <v>=</v>
      </c>
      <c r="AC56" s="780"/>
      <c r="AD56" s="767" t="e">
        <f>VLOOKUP(Table134657891011141213[[#This Row],[Delivery]],#REF!,7,FALSE)</f>
        <v>#REF!</v>
      </c>
    </row>
    <row r="57" spans="1:30" ht="10.5" customHeight="1">
      <c r="R57" s="769" t="s">
        <v>355</v>
      </c>
      <c r="S57" s="452">
        <v>3331555739</v>
      </c>
      <c r="T57" s="452" t="s">
        <v>34</v>
      </c>
      <c r="U57" s="452">
        <v>24141100</v>
      </c>
      <c r="V57" s="452" t="s">
        <v>368</v>
      </c>
      <c r="W57" s="730" t="s">
        <v>199</v>
      </c>
      <c r="X57" s="456">
        <f>3399.632+5943.448+18782.327</f>
        <v>28125.406999999999</v>
      </c>
      <c r="Y57" s="452" t="s">
        <v>200</v>
      </c>
      <c r="Z57" s="452">
        <v>1</v>
      </c>
      <c r="AA57" s="452">
        <v>1</v>
      </c>
      <c r="AB57" s="731" t="s">
        <v>204</v>
      </c>
      <c r="AC57" s="780"/>
      <c r="AD57" s="767" t="e">
        <f>VLOOKUP(Table134657891011141213[[#This Row],[Delivery]],#REF!,7,FALSE)</f>
        <v>#REF!</v>
      </c>
    </row>
    <row r="58" spans="1:30" ht="10.5" customHeight="1">
      <c r="R58" s="769" t="s">
        <v>355</v>
      </c>
      <c r="S58" s="452">
        <v>3331555750</v>
      </c>
      <c r="T58" s="452" t="s">
        <v>256</v>
      </c>
      <c r="U58" s="452" t="s">
        <v>256</v>
      </c>
      <c r="V58" s="769" t="s">
        <v>256</v>
      </c>
      <c r="W58" s="730" t="s">
        <v>256</v>
      </c>
      <c r="X58" s="456" t="s">
        <v>256</v>
      </c>
      <c r="Y58" s="490" t="s">
        <v>256</v>
      </c>
      <c r="Z58" s="452" t="s">
        <v>256</v>
      </c>
      <c r="AA58" s="768" t="s">
        <v>256</v>
      </c>
      <c r="AB58" s="731" t="s">
        <v>256</v>
      </c>
      <c r="AC58" s="955"/>
      <c r="AD58" s="767" t="e">
        <f>VLOOKUP(Table134657891011141213[[#This Row],[Delivery]],#REF!,7,FALSE)</f>
        <v>#REF!</v>
      </c>
    </row>
    <row r="59" spans="1:30" ht="10.5" customHeight="1">
      <c r="R59" s="452" t="s">
        <v>355</v>
      </c>
      <c r="S59" s="452">
        <v>3331557352</v>
      </c>
      <c r="T59" s="452" t="s">
        <v>256</v>
      </c>
      <c r="U59" s="452" t="s">
        <v>256</v>
      </c>
      <c r="V59" s="769" t="s">
        <v>256</v>
      </c>
      <c r="W59" s="730" t="s">
        <v>256</v>
      </c>
      <c r="X59" s="453" t="s">
        <v>256</v>
      </c>
      <c r="Y59" s="490" t="s">
        <v>256</v>
      </c>
      <c r="Z59" s="452" t="s">
        <v>256</v>
      </c>
      <c r="AA59" s="768" t="s">
        <v>256</v>
      </c>
      <c r="AB59" s="731" t="s">
        <v>256</v>
      </c>
      <c r="AC59" s="778"/>
      <c r="AD59" s="732" t="e">
        <f>VLOOKUP(Table134657891011141213[[#This Row],[Delivery]],#REF!,7,FALSE)</f>
        <v>#REF!</v>
      </c>
    </row>
    <row r="60" spans="1:30" ht="10.5" customHeight="1">
      <c r="R60" s="769" t="s">
        <v>355</v>
      </c>
      <c r="S60" s="452">
        <v>3331557367</v>
      </c>
      <c r="T60" s="452" t="s">
        <v>34</v>
      </c>
      <c r="U60" s="452">
        <v>24141101</v>
      </c>
      <c r="V60" s="452" t="s">
        <v>491</v>
      </c>
      <c r="W60" s="730" t="s">
        <v>199</v>
      </c>
      <c r="X60" s="456">
        <f>7905.148+11009.664+10542.881</f>
        <v>29457.692999999999</v>
      </c>
      <c r="Y60" s="452" t="s">
        <v>200</v>
      </c>
      <c r="Z60" s="452">
        <v>1</v>
      </c>
      <c r="AA60" s="452">
        <v>1</v>
      </c>
      <c r="AB60" s="731" t="s">
        <v>204</v>
      </c>
      <c r="AC60" s="449"/>
      <c r="AD60" s="732" t="e">
        <f>VLOOKUP(Table134657891011141213[[#This Row],[Delivery]],#REF!,7,FALSE)</f>
        <v>#REF!</v>
      </c>
    </row>
    <row r="61" spans="1:30" ht="10.5" customHeight="1">
      <c r="R61" s="769" t="s">
        <v>355</v>
      </c>
      <c r="S61" s="452">
        <v>3331557369</v>
      </c>
      <c r="T61" s="452" t="s">
        <v>256</v>
      </c>
      <c r="U61" s="452" t="s">
        <v>256</v>
      </c>
      <c r="V61" s="452" t="s">
        <v>256</v>
      </c>
      <c r="W61" s="452" t="s">
        <v>256</v>
      </c>
      <c r="X61" s="456" t="s">
        <v>256</v>
      </c>
      <c r="Y61" s="452" t="s">
        <v>256</v>
      </c>
      <c r="Z61" s="452" t="s">
        <v>256</v>
      </c>
      <c r="AA61" s="452" t="s">
        <v>256</v>
      </c>
      <c r="AB61" s="731" t="str">
        <f>SUBSTITUTE(Table134657891011141213[[#This Row],[AREA]], "JABODETABE", "BELUM MASU")</f>
        <v>=</v>
      </c>
      <c r="AC61" s="449"/>
      <c r="AD61" s="732" t="e">
        <f>VLOOKUP(Table134657891011141213[[#This Row],[Delivery]],#REF!,7,FALSE)</f>
        <v>#REF!</v>
      </c>
    </row>
    <row r="62" spans="1:30" ht="10.5" customHeight="1">
      <c r="R62" s="769" t="s">
        <v>355</v>
      </c>
      <c r="S62" s="452">
        <v>3331557370</v>
      </c>
      <c r="T62" s="452" t="s">
        <v>256</v>
      </c>
      <c r="U62" s="452" t="s">
        <v>256</v>
      </c>
      <c r="V62" s="452" t="s">
        <v>256</v>
      </c>
      <c r="W62" s="452" t="s">
        <v>256</v>
      </c>
      <c r="X62" s="456" t="s">
        <v>256</v>
      </c>
      <c r="Y62" s="452" t="s">
        <v>256</v>
      </c>
      <c r="Z62" s="452" t="s">
        <v>256</v>
      </c>
      <c r="AA62" s="452" t="s">
        <v>256</v>
      </c>
      <c r="AB62" s="731" t="str">
        <f>SUBSTITUTE(Table134657891011141213[[#This Row],[AREA]], "JABODETABE", "BELUM MASU")</f>
        <v>=</v>
      </c>
      <c r="AC62" s="449"/>
      <c r="AD62" s="732" t="e">
        <f>VLOOKUP(Table134657891011141213[[#This Row],[Delivery]],#REF!,7,FALSE)</f>
        <v>#REF!</v>
      </c>
    </row>
    <row r="63" spans="1:30" ht="10.5" customHeight="1">
      <c r="R63" s="769" t="s">
        <v>355</v>
      </c>
      <c r="S63" s="769">
        <v>3331557330</v>
      </c>
      <c r="T63" s="452" t="s">
        <v>27</v>
      </c>
      <c r="U63" s="769">
        <v>24141104</v>
      </c>
      <c r="V63" s="769" t="s">
        <v>150</v>
      </c>
      <c r="W63" s="730" t="s">
        <v>199</v>
      </c>
      <c r="X63" s="956">
        <f>4945.748+15718.263+1239.895+3655.553</f>
        <v>25559.458999999999</v>
      </c>
      <c r="Y63" s="769" t="s">
        <v>200</v>
      </c>
      <c r="Z63" s="769">
        <v>1</v>
      </c>
      <c r="AA63" s="769">
        <v>1</v>
      </c>
      <c r="AB63" s="731" t="s">
        <v>204</v>
      </c>
      <c r="AC63" s="449"/>
      <c r="AD63" s="732" t="e">
        <f>VLOOKUP(Table134657891011141213[[#This Row],[Delivery]],#REF!,7,FALSE)</f>
        <v>#REF!</v>
      </c>
    </row>
    <row r="64" spans="1:30" ht="10.5" customHeight="1">
      <c r="R64" s="769" t="s">
        <v>355</v>
      </c>
      <c r="S64" s="769">
        <v>3331557332</v>
      </c>
      <c r="T64" s="769" t="s">
        <v>256</v>
      </c>
      <c r="U64" s="769" t="s">
        <v>256</v>
      </c>
      <c r="V64" s="769" t="s">
        <v>256</v>
      </c>
      <c r="W64" s="769" t="s">
        <v>256</v>
      </c>
      <c r="X64" s="769" t="s">
        <v>256</v>
      </c>
      <c r="Y64" s="769" t="s">
        <v>256</v>
      </c>
      <c r="Z64" s="769" t="s">
        <v>256</v>
      </c>
      <c r="AA64" s="769" t="s">
        <v>256</v>
      </c>
      <c r="AB64" s="731" t="str">
        <f>SUBSTITUTE(Table134657891011141213[[#This Row],[AREA]], "JABODETABE", "BELUM MASU")</f>
        <v>=</v>
      </c>
      <c r="AC64" s="449"/>
      <c r="AD64" s="732" t="e">
        <f>VLOOKUP(Table134657891011141213[[#This Row],[Delivery]],#REF!,7,FALSE)</f>
        <v>#REF!</v>
      </c>
    </row>
    <row r="65" spans="18:30" ht="10.5" customHeight="1">
      <c r="R65" s="769" t="s">
        <v>355</v>
      </c>
      <c r="S65" s="769">
        <v>3331557333</v>
      </c>
      <c r="T65" s="769" t="s">
        <v>256</v>
      </c>
      <c r="U65" s="769" t="s">
        <v>256</v>
      </c>
      <c r="V65" s="769" t="s">
        <v>256</v>
      </c>
      <c r="W65" s="769" t="s">
        <v>256</v>
      </c>
      <c r="X65" s="769" t="s">
        <v>256</v>
      </c>
      <c r="Y65" s="769" t="s">
        <v>256</v>
      </c>
      <c r="Z65" s="769" t="s">
        <v>256</v>
      </c>
      <c r="AA65" s="769" t="s">
        <v>256</v>
      </c>
      <c r="AB65" s="731" t="str">
        <f>SUBSTITUTE(Table134657891011141213[[#This Row],[AREA]], "JABODETABE", "BELUM MASU")</f>
        <v>=</v>
      </c>
      <c r="AC65" s="449"/>
      <c r="AD65" s="732" t="e">
        <f>VLOOKUP(Table134657891011141213[[#This Row],[Delivery]],#REF!,7,FALSE)</f>
        <v>#REF!</v>
      </c>
    </row>
    <row r="66" spans="18:30" ht="10.5" customHeight="1">
      <c r="R66" s="769" t="s">
        <v>355</v>
      </c>
      <c r="S66" s="769">
        <v>3331557336</v>
      </c>
      <c r="T66" s="769" t="s">
        <v>256</v>
      </c>
      <c r="U66" s="769" t="s">
        <v>256</v>
      </c>
      <c r="V66" s="769" t="s">
        <v>256</v>
      </c>
      <c r="W66" s="769" t="s">
        <v>256</v>
      </c>
      <c r="X66" s="769" t="s">
        <v>256</v>
      </c>
      <c r="Y66" s="769" t="s">
        <v>256</v>
      </c>
      <c r="Z66" s="769" t="s">
        <v>256</v>
      </c>
      <c r="AA66" s="769" t="s">
        <v>256</v>
      </c>
      <c r="AB66" s="771" t="str">
        <f>SUBSTITUTE(Table134657891011141213[[#This Row],[AREA]], "JABODETABE", "BELUM MASU")</f>
        <v>=</v>
      </c>
      <c r="AC66" s="779"/>
      <c r="AD66" s="767" t="e">
        <f>VLOOKUP(Table134657891011141213[[#This Row],[Delivery]],#REF!,7,FALSE)</f>
        <v>#REF!</v>
      </c>
    </row>
    <row r="67" spans="18:30" ht="10.5" customHeight="1">
      <c r="R67" s="769" t="s">
        <v>355</v>
      </c>
      <c r="S67" s="769">
        <v>3331557373</v>
      </c>
      <c r="T67" s="524" t="s">
        <v>457</v>
      </c>
      <c r="U67" s="769">
        <v>24141105</v>
      </c>
      <c r="V67" s="769" t="s">
        <v>625</v>
      </c>
      <c r="W67" s="769" t="s">
        <v>205</v>
      </c>
      <c r="X67" s="956">
        <v>43675.993000000002</v>
      </c>
      <c r="Y67" s="769" t="s">
        <v>128</v>
      </c>
      <c r="Z67" s="769">
        <v>1</v>
      </c>
      <c r="AA67" s="769">
        <v>1</v>
      </c>
      <c r="AB67" s="731" t="s">
        <v>204</v>
      </c>
      <c r="AC67" s="780"/>
      <c r="AD67" s="767" t="e">
        <f>VLOOKUP(Table134657891011141213[[#This Row],[Delivery]],#REF!,7,FALSE)</f>
        <v>#REF!</v>
      </c>
    </row>
    <row r="68" spans="18:30" ht="10.5" customHeight="1">
      <c r="R68" s="769" t="s">
        <v>355</v>
      </c>
      <c r="S68" s="769">
        <v>3331556200</v>
      </c>
      <c r="T68" s="452" t="s">
        <v>34</v>
      </c>
      <c r="U68" s="769">
        <v>24141106</v>
      </c>
      <c r="V68" s="769" t="s">
        <v>535</v>
      </c>
      <c r="W68" s="730" t="s">
        <v>199</v>
      </c>
      <c r="X68" s="956">
        <f>1460.396+4436.46+3683.851+5606.02+6171.333</f>
        <v>21358.06</v>
      </c>
      <c r="Y68" s="769" t="s">
        <v>200</v>
      </c>
      <c r="Z68" s="769">
        <v>1</v>
      </c>
      <c r="AA68" s="769">
        <v>1</v>
      </c>
      <c r="AB68" s="731" t="s">
        <v>204</v>
      </c>
      <c r="AC68" s="780"/>
      <c r="AD68" s="767" t="e">
        <f>VLOOKUP(Table134657891011141213[[#This Row],[Delivery]],#REF!,7,FALSE)</f>
        <v>#REF!</v>
      </c>
    </row>
    <row r="69" spans="18:30" ht="10.5" customHeight="1">
      <c r="R69" s="769" t="s">
        <v>355</v>
      </c>
      <c r="S69" s="769">
        <v>3331556205</v>
      </c>
      <c r="T69" s="769" t="s">
        <v>256</v>
      </c>
      <c r="U69" s="769" t="s">
        <v>256</v>
      </c>
      <c r="V69" s="769" t="s">
        <v>256</v>
      </c>
      <c r="W69" s="769" t="s">
        <v>256</v>
      </c>
      <c r="X69" s="956" t="s">
        <v>256</v>
      </c>
      <c r="Y69" s="769" t="s">
        <v>256</v>
      </c>
      <c r="Z69" s="769" t="s">
        <v>256</v>
      </c>
      <c r="AA69" s="769" t="s">
        <v>256</v>
      </c>
      <c r="AB69" s="731" t="str">
        <f>SUBSTITUTE(Table134657891011141213[[#This Row],[AREA]], "JABODETABE", "BELUM MASU")</f>
        <v>=</v>
      </c>
      <c r="AC69" s="780"/>
      <c r="AD69" s="767" t="e">
        <f>VLOOKUP(Table134657891011141213[[#This Row],[Delivery]],#REF!,7,FALSE)</f>
        <v>#REF!</v>
      </c>
    </row>
    <row r="70" spans="18:30" ht="10.5" customHeight="1">
      <c r="R70" s="769" t="s">
        <v>355</v>
      </c>
      <c r="S70" s="452">
        <v>3331556207</v>
      </c>
      <c r="T70" s="452" t="s">
        <v>256</v>
      </c>
      <c r="U70" s="452" t="s">
        <v>256</v>
      </c>
      <c r="V70" s="452" t="s">
        <v>256</v>
      </c>
      <c r="W70" s="490" t="s">
        <v>256</v>
      </c>
      <c r="X70" s="456" t="s">
        <v>256</v>
      </c>
      <c r="Y70" s="452" t="s">
        <v>256</v>
      </c>
      <c r="Z70" s="452" t="s">
        <v>256</v>
      </c>
      <c r="AA70" s="452" t="s">
        <v>256</v>
      </c>
      <c r="AB70" s="731" t="str">
        <f>SUBSTITUTE(Table134657891011141213[[#This Row],[AREA]], "JABODETABE", "BELUM MASU")</f>
        <v>=</v>
      </c>
      <c r="AC70" s="780"/>
      <c r="AD70" s="767" t="e">
        <f>VLOOKUP(Table134657891011141213[[#This Row],[Delivery]],#REF!,7,FALSE)</f>
        <v>#REF!</v>
      </c>
    </row>
    <row r="71" spans="18:30" ht="10.5" customHeight="1">
      <c r="R71" s="769" t="s">
        <v>355</v>
      </c>
      <c r="S71" s="452">
        <v>3331556209</v>
      </c>
      <c r="T71" s="452" t="s">
        <v>256</v>
      </c>
      <c r="U71" s="452" t="s">
        <v>256</v>
      </c>
      <c r="V71" s="452" t="s">
        <v>256</v>
      </c>
      <c r="W71" s="490" t="s">
        <v>256</v>
      </c>
      <c r="X71" s="456" t="s">
        <v>256</v>
      </c>
      <c r="Y71" s="452" t="s">
        <v>256</v>
      </c>
      <c r="Z71" s="452" t="s">
        <v>256</v>
      </c>
      <c r="AA71" s="452" t="s">
        <v>256</v>
      </c>
      <c r="AB71" s="731" t="str">
        <f>SUBSTITUTE(Table134657891011141213[[#This Row],[AREA]], "JABODETABE", "BELUM MASU")</f>
        <v>=</v>
      </c>
      <c r="AC71" s="780"/>
      <c r="AD71" s="767" t="e">
        <f>VLOOKUP(Table134657891011141213[[#This Row],[Delivery]],#REF!,7,FALSE)</f>
        <v>#REF!</v>
      </c>
    </row>
    <row r="72" spans="18:30" ht="10.5" customHeight="1">
      <c r="R72" s="769" t="s">
        <v>355</v>
      </c>
      <c r="S72" s="452">
        <v>3331557356</v>
      </c>
      <c r="T72" s="452" t="s">
        <v>256</v>
      </c>
      <c r="U72" s="452" t="s">
        <v>256</v>
      </c>
      <c r="V72" s="452" t="s">
        <v>256</v>
      </c>
      <c r="W72" s="490" t="s">
        <v>256</v>
      </c>
      <c r="X72" s="456" t="s">
        <v>256</v>
      </c>
      <c r="Y72" s="452" t="s">
        <v>256</v>
      </c>
      <c r="Z72" s="452" t="s">
        <v>256</v>
      </c>
      <c r="AA72" s="452" t="s">
        <v>256</v>
      </c>
      <c r="AB72" s="731" t="str">
        <f>SUBSTITUTE(Table134657891011141213[[#This Row],[AREA]], "JABODETABE", "BELUM MASU")</f>
        <v>=</v>
      </c>
      <c r="AC72" s="780"/>
      <c r="AD72" s="767" t="e">
        <f>VLOOKUP(Table134657891011141213[[#This Row],[Delivery]],#REF!,7,FALSE)</f>
        <v>#REF!</v>
      </c>
    </row>
    <row r="73" spans="18:30" ht="10.5" customHeight="1">
      <c r="R73" s="769" t="s">
        <v>355</v>
      </c>
      <c r="S73" s="452">
        <v>3331557345</v>
      </c>
      <c r="T73" s="452" t="s">
        <v>34</v>
      </c>
      <c r="U73" s="452">
        <v>24141107</v>
      </c>
      <c r="V73" s="452" t="s">
        <v>290</v>
      </c>
      <c r="W73" s="730" t="s">
        <v>199</v>
      </c>
      <c r="X73" s="456">
        <f>7700.15+12509.61</f>
        <v>20209.760000000002</v>
      </c>
      <c r="Y73" s="452" t="s">
        <v>200</v>
      </c>
      <c r="Z73" s="452">
        <v>1</v>
      </c>
      <c r="AA73" s="452">
        <v>1</v>
      </c>
      <c r="AB73" s="731" t="s">
        <v>204</v>
      </c>
      <c r="AC73" s="780"/>
      <c r="AD73" s="767" t="e">
        <f>VLOOKUP(Table134657891011141213[[#This Row],[Delivery]],#REF!,7,FALSE)</f>
        <v>#REF!</v>
      </c>
    </row>
    <row r="74" spans="18:30" ht="10.5" customHeight="1">
      <c r="R74" s="769" t="s">
        <v>355</v>
      </c>
      <c r="S74" s="452">
        <v>3331557348</v>
      </c>
      <c r="T74" s="452" t="s">
        <v>256</v>
      </c>
      <c r="U74" s="452" t="s">
        <v>256</v>
      </c>
      <c r="V74" s="452" t="s">
        <v>256</v>
      </c>
      <c r="W74" s="490" t="s">
        <v>256</v>
      </c>
      <c r="X74" s="456" t="s">
        <v>256</v>
      </c>
      <c r="Y74" s="452" t="s">
        <v>256</v>
      </c>
      <c r="Z74" s="452" t="s">
        <v>256</v>
      </c>
      <c r="AA74" s="452" t="s">
        <v>256</v>
      </c>
      <c r="AB74" s="731" t="str">
        <f>SUBSTITUTE(Table134657891011141213[[#This Row],[AREA]], "JABODETABE", "BELUM MASU")</f>
        <v>=</v>
      </c>
      <c r="AC74" s="780"/>
      <c r="AD74" s="767" t="e">
        <f>VLOOKUP(Table134657891011141213[[#This Row],[Delivery]],#REF!,7,FALSE)</f>
        <v>#REF!</v>
      </c>
    </row>
    <row r="75" spans="18:30" ht="10.5" customHeight="1">
      <c r="R75" s="769" t="s">
        <v>355</v>
      </c>
      <c r="S75" s="452">
        <v>3331557407</v>
      </c>
      <c r="T75" s="452" t="s">
        <v>287</v>
      </c>
      <c r="U75" s="452">
        <v>24141108</v>
      </c>
      <c r="V75" s="452" t="s">
        <v>491</v>
      </c>
      <c r="W75" s="730" t="s">
        <v>199</v>
      </c>
      <c r="X75" s="456">
        <v>25287.823</v>
      </c>
      <c r="Y75" s="452" t="s">
        <v>200</v>
      </c>
      <c r="Z75" s="452">
        <v>1</v>
      </c>
      <c r="AA75" s="452">
        <v>1</v>
      </c>
      <c r="AB75" s="731" t="s">
        <v>204</v>
      </c>
      <c r="AC75" s="780"/>
      <c r="AD75" s="767" t="e">
        <f>VLOOKUP(Table134657891011141213[[#This Row],[Delivery]],#REF!,7,FALSE)</f>
        <v>#REF!</v>
      </c>
    </row>
    <row r="76" spans="18:30" ht="10.5" customHeight="1">
      <c r="R76" s="769" t="s">
        <v>355</v>
      </c>
      <c r="S76" s="452">
        <v>3331557412</v>
      </c>
      <c r="T76" s="452" t="s">
        <v>27</v>
      </c>
      <c r="U76" s="452">
        <v>24141109</v>
      </c>
      <c r="V76" s="452" t="s">
        <v>491</v>
      </c>
      <c r="W76" s="730" t="s">
        <v>199</v>
      </c>
      <c r="X76" s="456">
        <v>24883.41</v>
      </c>
      <c r="Y76" s="452" t="s">
        <v>200</v>
      </c>
      <c r="Z76" s="452">
        <v>1</v>
      </c>
      <c r="AA76" s="452">
        <v>1</v>
      </c>
      <c r="AB76" s="731" t="s">
        <v>204</v>
      </c>
      <c r="AC76" s="780"/>
      <c r="AD76" s="767" t="e">
        <f>VLOOKUP(Table134657891011141213[[#This Row],[Delivery]],#REF!,7,FALSE)</f>
        <v>#REF!</v>
      </c>
    </row>
    <row r="77" spans="18:30" ht="10.5" customHeight="1">
      <c r="R77" s="769" t="s">
        <v>355</v>
      </c>
      <c r="S77" s="452">
        <v>3331557416</v>
      </c>
      <c r="T77" s="452" t="s">
        <v>27</v>
      </c>
      <c r="U77" s="452">
        <v>24141110</v>
      </c>
      <c r="V77" s="452" t="s">
        <v>491</v>
      </c>
      <c r="W77" s="730" t="s">
        <v>199</v>
      </c>
      <c r="X77" s="456">
        <v>26245.030999999999</v>
      </c>
      <c r="Y77" s="452" t="s">
        <v>200</v>
      </c>
      <c r="Z77" s="452">
        <v>1</v>
      </c>
      <c r="AA77" s="452">
        <v>1</v>
      </c>
      <c r="AB77" s="731" t="s">
        <v>204</v>
      </c>
      <c r="AC77" s="780"/>
      <c r="AD77" s="767" t="e">
        <f>VLOOKUP(Table134657891011141213[[#This Row],[Delivery]],#REF!,7,FALSE)</f>
        <v>#REF!</v>
      </c>
    </row>
    <row r="78" spans="18:30" ht="10.5" customHeight="1">
      <c r="R78" s="769" t="s">
        <v>355</v>
      </c>
      <c r="S78" s="452">
        <v>3331557419</v>
      </c>
      <c r="T78" s="452" t="s">
        <v>27</v>
      </c>
      <c r="U78" s="452">
        <v>24141111</v>
      </c>
      <c r="V78" s="452" t="s">
        <v>491</v>
      </c>
      <c r="W78" s="730" t="s">
        <v>199</v>
      </c>
      <c r="X78" s="456">
        <v>25562.46</v>
      </c>
      <c r="Y78" s="452" t="s">
        <v>200</v>
      </c>
      <c r="Z78" s="452">
        <v>1</v>
      </c>
      <c r="AA78" s="452">
        <v>1</v>
      </c>
      <c r="AB78" s="731" t="s">
        <v>204</v>
      </c>
      <c r="AC78" s="780"/>
      <c r="AD78" s="767" t="e">
        <f>VLOOKUP(Table134657891011141213[[#This Row],[Delivery]],#REF!,7,FALSE)</f>
        <v>#REF!</v>
      </c>
    </row>
    <row r="79" spans="18:30" ht="10.5" customHeight="1">
      <c r="R79" s="908" t="s">
        <v>355</v>
      </c>
      <c r="S79" s="480">
        <v>3331557493</v>
      </c>
      <c r="T79" s="738" t="s">
        <v>359</v>
      </c>
      <c r="U79" s="480">
        <v>24141112</v>
      </c>
      <c r="V79" s="480" t="s">
        <v>498</v>
      </c>
      <c r="W79" s="721" t="s">
        <v>340</v>
      </c>
      <c r="X79" s="481">
        <v>25502.855</v>
      </c>
      <c r="Y79" s="480" t="s">
        <v>200</v>
      </c>
      <c r="Z79" s="480">
        <v>1</v>
      </c>
      <c r="AA79" s="480">
        <v>1</v>
      </c>
      <c r="AB79" s="722" t="s">
        <v>207</v>
      </c>
      <c r="AC79" s="767"/>
      <c r="AD79" s="767" t="e">
        <f>VLOOKUP(Table134657891011141213[[#This Row],[Delivery]],#REF!,7,FALSE)</f>
        <v>#REF!</v>
      </c>
    </row>
    <row r="80" spans="18:30" ht="10.5" customHeight="1">
      <c r="R80" s="908" t="s">
        <v>355</v>
      </c>
      <c r="S80" s="480">
        <v>3331557500</v>
      </c>
      <c r="T80" s="738" t="s">
        <v>359</v>
      </c>
      <c r="U80" s="480">
        <v>24141113</v>
      </c>
      <c r="V80" s="480" t="s">
        <v>498</v>
      </c>
      <c r="W80" s="721" t="s">
        <v>340</v>
      </c>
      <c r="X80" s="481">
        <v>25975.925999999999</v>
      </c>
      <c r="Y80" s="480" t="s">
        <v>200</v>
      </c>
      <c r="Z80" s="480">
        <v>1</v>
      </c>
      <c r="AA80" s="480">
        <v>1</v>
      </c>
      <c r="AB80" s="722" t="s">
        <v>207</v>
      </c>
      <c r="AC80" s="767"/>
      <c r="AD80" s="767" t="e">
        <f>VLOOKUP(Table134657891011141213[[#This Row],[Delivery]],#REF!,7,FALSE)</f>
        <v>#REF!</v>
      </c>
    </row>
    <row r="81" spans="1:30" ht="10.5" customHeight="1">
      <c r="R81" s="908" t="s">
        <v>452</v>
      </c>
      <c r="S81" s="480">
        <v>3331557484</v>
      </c>
      <c r="T81" s="738" t="s">
        <v>359</v>
      </c>
      <c r="U81" s="480">
        <v>24141114</v>
      </c>
      <c r="V81" s="480" t="s">
        <v>498</v>
      </c>
      <c r="W81" s="721" t="s">
        <v>340</v>
      </c>
      <c r="X81" s="481">
        <v>25610.244999999999</v>
      </c>
      <c r="Y81" s="480" t="s">
        <v>200</v>
      </c>
      <c r="Z81" s="480">
        <v>1</v>
      </c>
      <c r="AA81" s="480">
        <v>1</v>
      </c>
      <c r="AB81" s="722" t="s">
        <v>207</v>
      </c>
      <c r="AC81" s="767"/>
      <c r="AD81" s="767" t="e">
        <f>VLOOKUP(Table134657891011141213[[#This Row],[Delivery]],#REF!,7,FALSE)</f>
        <v>#REF!</v>
      </c>
    </row>
    <row r="82" spans="1:30" ht="10.5" customHeight="1">
      <c r="R82" s="769" t="s">
        <v>355</v>
      </c>
      <c r="S82" s="452">
        <v>3331557491</v>
      </c>
      <c r="T82" s="493" t="s">
        <v>287</v>
      </c>
      <c r="U82" s="452">
        <v>24141115</v>
      </c>
      <c r="V82" s="452" t="s">
        <v>498</v>
      </c>
      <c r="W82" s="730" t="s">
        <v>340</v>
      </c>
      <c r="X82" s="456">
        <v>25268.205000000002</v>
      </c>
      <c r="Y82" s="452" t="s">
        <v>200</v>
      </c>
      <c r="Z82" s="452">
        <v>1</v>
      </c>
      <c r="AA82" s="452">
        <v>1</v>
      </c>
      <c r="AB82" s="731" t="s">
        <v>204</v>
      </c>
      <c r="AC82" s="780"/>
      <c r="AD82" s="767" t="e">
        <f>VLOOKUP(Table134657891011141213[[#This Row],[Delivery]],#REF!,7,FALSE)</f>
        <v>#REF!</v>
      </c>
    </row>
    <row r="83" spans="1:30" ht="10.5" customHeight="1">
      <c r="R83" s="908"/>
      <c r="S83" s="480"/>
      <c r="T83" s="480"/>
      <c r="U83" s="480"/>
      <c r="V83" s="480"/>
      <c r="W83" s="502"/>
      <c r="X83" s="481"/>
      <c r="Y83" s="480"/>
      <c r="Z83" s="480"/>
      <c r="AA83" s="480"/>
      <c r="AB83" s="722" t="str">
        <f>SUBSTITUTE(Table134657891011141213[[#This Row],[AREA]], "JABODETABE", "BELUM MASU")</f>
        <v/>
      </c>
      <c r="AC83" s="767"/>
      <c r="AD83" s="767" t="e">
        <f>VLOOKUP(Table134657891011141213[[#This Row],[Delivery]],#REF!,7,FALSE)</f>
        <v>#REF!</v>
      </c>
    </row>
    <row r="84" spans="1:30" ht="10.5" customHeight="1">
      <c r="R84" s="908"/>
      <c r="S84" s="480"/>
      <c r="T84" s="480"/>
      <c r="U84" s="480"/>
      <c r="V84" s="480"/>
      <c r="W84" s="502"/>
      <c r="X84" s="481"/>
      <c r="Y84" s="480"/>
      <c r="Z84" s="480"/>
      <c r="AA84" s="480"/>
      <c r="AB84" s="722" t="str">
        <f>SUBSTITUTE(Table134657891011141213[[#This Row],[AREA]], "JABODETABE", "BELUM MASU")</f>
        <v/>
      </c>
      <c r="AC84" s="767"/>
      <c r="AD84" s="767" t="e">
        <f>VLOOKUP(Table134657891011141213[[#This Row],[Delivery]],#REF!,7,FALSE)</f>
        <v>#REF!</v>
      </c>
    </row>
    <row r="85" spans="1:30" ht="10.5" customHeight="1">
      <c r="R85" s="908"/>
      <c r="S85" s="480"/>
      <c r="T85" s="480"/>
      <c r="U85" s="480"/>
      <c r="V85" s="480"/>
      <c r="W85" s="502"/>
      <c r="X85" s="481"/>
      <c r="Y85" s="480"/>
      <c r="Z85" s="480"/>
      <c r="AA85" s="480"/>
      <c r="AB85" s="722" t="str">
        <f>SUBSTITUTE(Table134657891011141213[[#This Row],[AREA]], "JABODETABE", "BELUM MASU")</f>
        <v/>
      </c>
      <c r="AC85" s="767"/>
      <c r="AD85" s="767" t="e">
        <f>VLOOKUP(Table134657891011141213[[#This Row],[Delivery]],#REF!,7,FALSE)</f>
        <v>#REF!</v>
      </c>
    </row>
    <row r="86" spans="1:30" ht="10.5" customHeight="1">
      <c r="R86" s="908"/>
      <c r="S86" s="480"/>
      <c r="T86" s="480"/>
      <c r="U86" s="480"/>
      <c r="V86" s="480"/>
      <c r="W86" s="502"/>
      <c r="X86" s="481"/>
      <c r="Y86" s="480"/>
      <c r="Z86" s="480"/>
      <c r="AA86" s="480"/>
      <c r="AB86" s="722" t="str">
        <f>SUBSTITUTE(Table134657891011141213[[#This Row],[AREA]], "JABODETABE", "BELUM MASU")</f>
        <v/>
      </c>
      <c r="AC86" s="767"/>
      <c r="AD86" s="767" t="e">
        <f>VLOOKUP(Table134657891011141213[[#This Row],[Delivery]],#REF!,7,FALSE)</f>
        <v>#REF!</v>
      </c>
    </row>
    <row r="87" spans="1:30" s="584" customFormat="1" ht="10.5" customHeight="1">
      <c r="A87" s="737"/>
      <c r="B87" s="737"/>
      <c r="C87" s="737"/>
      <c r="D87" s="737"/>
      <c r="E87" s="737"/>
      <c r="F87" s="737"/>
      <c r="G87" s="737"/>
      <c r="H87" s="737"/>
      <c r="I87" s="737"/>
      <c r="J87" s="737"/>
      <c r="K87" s="737"/>
      <c r="L87" s="737"/>
      <c r="M87" s="737"/>
      <c r="N87" s="737"/>
      <c r="O87" s="737"/>
      <c r="P87" s="737"/>
      <c r="R87" s="908"/>
      <c r="S87" s="908"/>
      <c r="T87" s="908"/>
      <c r="U87" s="908"/>
      <c r="V87" s="908"/>
      <c r="W87" s="908"/>
      <c r="X87" s="908"/>
      <c r="Y87" s="908"/>
      <c r="Z87" s="908"/>
      <c r="AA87" s="908"/>
      <c r="AB87" s="722" t="str">
        <f>SUBSTITUTE(Table134657891011141213[[#This Row],[AREA]], "JABODETABE", "BELUM MASU")</f>
        <v/>
      </c>
      <c r="AC87" s="767"/>
      <c r="AD87" s="767" t="e">
        <f>VLOOKUP(Table134657891011141213[[#This Row],[Delivery]],#REF!,7,FALSE)</f>
        <v>#REF!</v>
      </c>
    </row>
    <row r="88" spans="1:30" s="584" customFormat="1" ht="10.5" customHeight="1">
      <c r="A88" s="737"/>
      <c r="B88" s="737"/>
      <c r="C88" s="737"/>
      <c r="D88" s="737"/>
      <c r="E88" s="737"/>
      <c r="F88" s="737"/>
      <c r="G88" s="737"/>
      <c r="H88" s="737"/>
      <c r="I88" s="737"/>
      <c r="J88" s="737"/>
      <c r="K88" s="737"/>
      <c r="L88" s="737"/>
      <c r="M88" s="737"/>
      <c r="N88" s="737"/>
      <c r="O88" s="737"/>
      <c r="P88" s="737"/>
      <c r="R88" s="908"/>
      <c r="S88" s="480"/>
      <c r="T88" s="480"/>
      <c r="U88" s="480"/>
      <c r="V88" s="480"/>
      <c r="W88" s="502"/>
      <c r="X88" s="481"/>
      <c r="Y88" s="480"/>
      <c r="Z88" s="480"/>
      <c r="AA88" s="480"/>
      <c r="AB88" s="722" t="str">
        <f>SUBSTITUTE(Table134657891011141213[[#This Row],[AREA]], "JABODETABE", "BELUM MASU")</f>
        <v/>
      </c>
      <c r="AC88" s="767"/>
      <c r="AD88" s="767" t="e">
        <f>VLOOKUP(Table134657891011141213[[#This Row],[Delivery]],#REF!,7,FALSE)</f>
        <v>#REF!</v>
      </c>
    </row>
    <row r="89" spans="1:30" s="584" customFormat="1" ht="10.5" customHeight="1">
      <c r="A89" s="737"/>
      <c r="B89" s="737"/>
      <c r="C89" s="737"/>
      <c r="D89" s="737"/>
      <c r="E89" s="737"/>
      <c r="F89" s="737"/>
      <c r="G89" s="737"/>
      <c r="H89" s="737"/>
      <c r="I89" s="737"/>
      <c r="J89" s="737"/>
      <c r="K89" s="737"/>
      <c r="L89" s="737"/>
      <c r="M89" s="737"/>
      <c r="N89" s="737"/>
      <c r="O89" s="737"/>
      <c r="P89" s="737"/>
      <c r="R89" s="908"/>
      <c r="S89" s="480"/>
      <c r="T89" s="480"/>
      <c r="U89" s="480"/>
      <c r="V89" s="480"/>
      <c r="W89" s="502"/>
      <c r="X89" s="481"/>
      <c r="Y89" s="480"/>
      <c r="Z89" s="480"/>
      <c r="AA89" s="480"/>
      <c r="AB89" s="722" t="str">
        <f>SUBSTITUTE(Table134657891011141213[[#This Row],[AREA]], "JABODETABE", "BELUM MASU")</f>
        <v/>
      </c>
      <c r="AC89" s="767"/>
      <c r="AD89" s="767" t="e">
        <f>VLOOKUP(Table134657891011141213[[#This Row],[Delivery]],#REF!,7,FALSE)</f>
        <v>#REF!</v>
      </c>
    </row>
    <row r="90" spans="1:30" s="584" customFormat="1" ht="10.5" customHeight="1">
      <c r="A90" s="737"/>
      <c r="B90" s="737"/>
      <c r="C90" s="737"/>
      <c r="D90" s="737"/>
      <c r="E90" s="737"/>
      <c r="F90" s="737"/>
      <c r="G90" s="737"/>
      <c r="H90" s="737"/>
      <c r="I90" s="737"/>
      <c r="J90" s="737"/>
      <c r="K90" s="737"/>
      <c r="L90" s="737"/>
      <c r="M90" s="737"/>
      <c r="N90" s="737"/>
      <c r="O90" s="737"/>
      <c r="P90" s="737"/>
      <c r="R90" s="908"/>
      <c r="S90" s="908"/>
      <c r="T90" s="908"/>
      <c r="U90" s="908"/>
      <c r="V90" s="908"/>
      <c r="W90" s="908"/>
      <c r="X90" s="908"/>
      <c r="Y90" s="908"/>
      <c r="Z90" s="908"/>
      <c r="AA90" s="908"/>
      <c r="AB90" s="722" t="str">
        <f>SUBSTITUTE(Table134657891011141213[[#This Row],[AREA]], "JABODETABE", "BELUM MASU")</f>
        <v/>
      </c>
      <c r="AC90" s="767"/>
      <c r="AD90" s="767" t="e">
        <f>VLOOKUP(Table134657891011141213[[#This Row],[Delivery]],#REF!,7,FALSE)</f>
        <v>#REF!</v>
      </c>
    </row>
    <row r="91" spans="1:30" s="584" customFormat="1" ht="10.5" customHeight="1">
      <c r="A91" s="737"/>
      <c r="B91" s="737"/>
      <c r="C91" s="737"/>
      <c r="D91" s="737"/>
      <c r="E91" s="737"/>
      <c r="F91" s="737"/>
      <c r="G91" s="737"/>
      <c r="H91" s="737"/>
      <c r="I91" s="737"/>
      <c r="J91" s="737"/>
      <c r="K91" s="737"/>
      <c r="L91" s="737"/>
      <c r="M91" s="737"/>
      <c r="N91" s="737"/>
      <c r="O91" s="737"/>
      <c r="P91" s="737"/>
      <c r="R91" s="44"/>
      <c r="S91" s="44"/>
      <c r="T91" s="44"/>
      <c r="U91"/>
      <c r="V91"/>
      <c r="W91"/>
      <c r="X91" s="44"/>
      <c r="Y91" s="44"/>
      <c r="Z91" s="44"/>
      <c r="AA91" s="44"/>
      <c r="AB91" s="44"/>
      <c r="AC91" s="44"/>
      <c r="AD91" s="44"/>
    </row>
    <row r="92" spans="1:30" s="584" customFormat="1" ht="10.5" customHeight="1">
      <c r="A92" s="737"/>
      <c r="B92" s="737"/>
      <c r="C92" s="737"/>
      <c r="D92" s="737"/>
      <c r="E92" s="737"/>
      <c r="F92" s="737"/>
      <c r="G92" s="737"/>
      <c r="H92" s="737"/>
      <c r="I92" s="737"/>
      <c r="J92" s="737"/>
      <c r="K92" s="737"/>
      <c r="L92" s="737"/>
      <c r="M92" s="737"/>
      <c r="N92" s="737"/>
      <c r="O92" s="737"/>
      <c r="P92" s="737"/>
      <c r="R92" s="44"/>
      <c r="S92" s="44"/>
      <c r="T92" s="44"/>
      <c r="U92"/>
      <c r="V92"/>
      <c r="W92"/>
      <c r="X92" s="44"/>
      <c r="Y92" s="44"/>
      <c r="Z92" s="44"/>
      <c r="AA92" s="44"/>
      <c r="AB92" s="44"/>
      <c r="AC92" s="44"/>
      <c r="AD92" s="44"/>
    </row>
    <row r="93" spans="1:30" s="584" customFormat="1" ht="14.4">
      <c r="A93" s="737"/>
      <c r="B93" s="737"/>
      <c r="C93" s="737"/>
      <c r="D93" s="737"/>
      <c r="E93" s="737"/>
      <c r="F93" s="737"/>
      <c r="G93" s="737"/>
      <c r="H93" s="737"/>
      <c r="I93" s="737"/>
      <c r="J93" s="737"/>
      <c r="K93" s="737"/>
      <c r="L93" s="737"/>
      <c r="M93" s="737"/>
      <c r="N93" s="737"/>
      <c r="O93" s="737"/>
      <c r="P93" s="737"/>
      <c r="R93"/>
      <c r="S93" s="1548">
        <f ca="1">TODAY()</f>
        <v>45977</v>
      </c>
      <c r="T93" s="1554"/>
      <c r="U93" s="44"/>
      <c r="V93" s="44"/>
      <c r="W93" s="44"/>
      <c r="X93"/>
      <c r="Y93"/>
      <c r="Z93"/>
      <c r="AA93"/>
      <c r="AB93"/>
      <c r="AC93"/>
      <c r="AD93" s="44"/>
    </row>
    <row r="94" spans="1:30" s="584" customFormat="1" ht="14.4">
      <c r="A94" s="737"/>
      <c r="B94" s="737"/>
      <c r="C94" s="737"/>
      <c r="D94" s="737"/>
      <c r="E94" s="737"/>
      <c r="F94" s="737"/>
      <c r="G94" s="737"/>
      <c r="H94" s="737"/>
      <c r="I94" s="737"/>
      <c r="J94" s="737"/>
      <c r="K94" s="737"/>
      <c r="L94" s="737"/>
      <c r="M94" s="737"/>
      <c r="N94" s="737"/>
      <c r="O94" s="737"/>
      <c r="P94" s="737"/>
      <c r="R94" s="44"/>
      <c r="S94" s="1555"/>
      <c r="T94" s="1556"/>
      <c r="U94" s="44"/>
      <c r="V94" s="44"/>
      <c r="W94" s="44"/>
      <c r="X94"/>
      <c r="Y94"/>
      <c r="Z94" s="373"/>
      <c r="AA94"/>
      <c r="AB94"/>
      <c r="AC94"/>
      <c r="AD94" s="44"/>
    </row>
    <row r="95" spans="1:30" s="584" customFormat="1" ht="33.6">
      <c r="A95" s="737"/>
      <c r="B95" s="737"/>
      <c r="C95" s="737"/>
      <c r="D95" s="737"/>
      <c r="E95" s="737"/>
      <c r="F95" s="737"/>
      <c r="G95" s="737"/>
      <c r="H95" s="737"/>
      <c r="I95" s="737"/>
      <c r="J95" s="737"/>
      <c r="K95" s="737"/>
      <c r="L95" s="737"/>
      <c r="M95" s="737"/>
      <c r="N95" s="737"/>
      <c r="O95" s="737"/>
      <c r="P95" s="737"/>
      <c r="R95"/>
      <c r="S95" s="512" t="s">
        <v>307</v>
      </c>
      <c r="T95" s="513">
        <f>SUM(Table134657891011141213[KEBUTUHAN])</f>
        <v>56</v>
      </c>
      <c r="U95" s="44"/>
      <c r="V95" s="44"/>
      <c r="W95" s="44"/>
      <c r="X95"/>
      <c r="Y95"/>
      <c r="Z95"/>
      <c r="AA95"/>
      <c r="AB95"/>
      <c r="AC95"/>
      <c r="AD95" s="44"/>
    </row>
    <row r="96" spans="1:30" s="584" customFormat="1" ht="33.6">
      <c r="A96" s="737"/>
      <c r="B96" s="737"/>
      <c r="C96" s="737"/>
      <c r="D96" s="737"/>
      <c r="E96" s="737"/>
      <c r="F96" s="737"/>
      <c r="G96" s="737"/>
      <c r="H96" s="737"/>
      <c r="I96" s="737"/>
      <c r="J96" s="737"/>
      <c r="K96" s="737"/>
      <c r="L96" s="737"/>
      <c r="M96" s="737"/>
      <c r="N96" s="737"/>
      <c r="O96" s="737"/>
      <c r="P96" s="737"/>
      <c r="R96"/>
      <c r="S96" s="432" t="s">
        <v>201</v>
      </c>
      <c r="T96" s="434">
        <f>SUM(Table134657891011141213[KETERSEDIAAN])</f>
        <v>51</v>
      </c>
      <c r="U96" s="44"/>
      <c r="V96" s="44"/>
      <c r="W96" s="44"/>
      <c r="X96"/>
      <c r="Y96"/>
      <c r="Z96"/>
      <c r="AA96"/>
      <c r="AB96"/>
      <c r="AC96"/>
      <c r="AD96" s="44"/>
    </row>
    <row r="97" spans="1:30" s="584" customFormat="1" ht="33.6">
      <c r="A97" s="737"/>
      <c r="B97" s="737"/>
      <c r="C97" s="737"/>
      <c r="D97" s="737"/>
      <c r="E97" s="737"/>
      <c r="F97" s="737"/>
      <c r="G97" s="737"/>
      <c r="H97" s="737"/>
      <c r="I97" s="737"/>
      <c r="J97" s="737"/>
      <c r="K97" s="737"/>
      <c r="L97" s="737"/>
      <c r="M97" s="737"/>
      <c r="N97" s="737"/>
      <c r="O97" s="737"/>
      <c r="P97" s="737"/>
      <c r="R97"/>
      <c r="S97" s="545" t="s">
        <v>249</v>
      </c>
      <c r="T97" s="546">
        <f>T95-T96</f>
        <v>5</v>
      </c>
      <c r="U97" s="44"/>
      <c r="V97" s="44"/>
      <c r="W97" s="44"/>
      <c r="X97"/>
      <c r="Y97"/>
      <c r="Z97"/>
      <c r="AA97"/>
      <c r="AB97"/>
      <c r="AC97"/>
      <c r="AD97" s="44"/>
    </row>
    <row r="98" spans="1:30" s="584" customFormat="1" ht="33.6">
      <c r="A98" s="737"/>
      <c r="B98" s="737"/>
      <c r="C98" s="737"/>
      <c r="D98" s="737"/>
      <c r="E98" s="737"/>
      <c r="F98" s="737"/>
      <c r="G98" s="737"/>
      <c r="H98" s="737"/>
      <c r="I98" s="737"/>
      <c r="J98" s="737"/>
      <c r="K98" s="737"/>
      <c r="L98" s="737"/>
      <c r="M98" s="737"/>
      <c r="N98" s="737"/>
      <c r="O98" s="737"/>
      <c r="P98" s="737"/>
      <c r="R98"/>
      <c r="S98" s="351" t="s">
        <v>265</v>
      </c>
      <c r="T98" s="315">
        <f>COUNTIF($AB$3:$AB$1039,"MASUK")</f>
        <v>48</v>
      </c>
      <c r="U98" s="44"/>
      <c r="V98" s="44"/>
      <c r="W98" s="44"/>
      <c r="X98"/>
      <c r="Y98"/>
      <c r="Z98"/>
      <c r="AA98"/>
      <c r="AB98"/>
      <c r="AC98"/>
      <c r="AD98" s="44"/>
    </row>
    <row r="99" spans="1:30" s="584" customFormat="1" ht="33.6">
      <c r="A99" s="737"/>
      <c r="B99" s="737"/>
      <c r="C99" s="737"/>
      <c r="D99" s="737"/>
      <c r="E99" s="737"/>
      <c r="F99" s="737"/>
      <c r="G99" s="737"/>
      <c r="H99" s="737"/>
      <c r="I99" s="737"/>
      <c r="J99" s="737"/>
      <c r="K99" s="737"/>
      <c r="L99" s="737"/>
      <c r="M99" s="737"/>
      <c r="N99" s="737"/>
      <c r="O99" s="737"/>
      <c r="P99" s="737"/>
      <c r="R99" s="44"/>
      <c r="S99" s="766" t="s">
        <v>207</v>
      </c>
      <c r="T99" s="765">
        <f>COUNTIF($AB$3:$AB$1039,"BELUM MASUK")</f>
        <v>9</v>
      </c>
      <c r="U99"/>
      <c r="V99"/>
      <c r="W99"/>
      <c r="X99" s="44"/>
      <c r="Y99" s="44"/>
      <c r="Z99" s="44"/>
      <c r="AA99" s="44"/>
      <c r="AB99" s="44"/>
      <c r="AC99" s="44"/>
      <c r="AD99" s="44"/>
    </row>
    <row r="100" spans="1:30" s="514" customFormat="1" ht="10.5" customHeight="1">
      <c r="A100" s="737"/>
      <c r="B100" s="737"/>
      <c r="C100" s="737"/>
      <c r="D100" s="737"/>
      <c r="E100" s="737"/>
      <c r="F100" s="737"/>
      <c r="G100" s="737"/>
      <c r="H100" s="737"/>
      <c r="I100" s="737"/>
      <c r="J100" s="737"/>
      <c r="K100" s="737"/>
      <c r="L100" s="737"/>
      <c r="M100" s="737"/>
      <c r="N100" s="737"/>
      <c r="O100" s="737"/>
      <c r="P100" s="737"/>
      <c r="Q100" s="58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s="584" customFormat="1" ht="10.5" customHeight="1">
      <c r="A101" s="737"/>
      <c r="B101" s="737"/>
      <c r="C101" s="737"/>
      <c r="D101" s="737"/>
      <c r="E101" s="737"/>
      <c r="F101" s="737"/>
      <c r="G101" s="737"/>
      <c r="H101" s="737"/>
      <c r="I101" s="737"/>
      <c r="J101" s="737"/>
      <c r="K101" s="737"/>
      <c r="L101" s="737"/>
      <c r="M101" s="737"/>
      <c r="N101" s="737"/>
      <c r="O101" s="737"/>
      <c r="P101" s="737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0.5" customHeight="1">
      <c r="A102" s="737"/>
      <c r="B102" s="737"/>
      <c r="C102" s="737"/>
      <c r="D102" s="737"/>
      <c r="E102" s="737"/>
      <c r="F102" s="737"/>
      <c r="G102" s="737"/>
      <c r="H102" s="737"/>
      <c r="I102" s="737"/>
      <c r="J102" s="737"/>
      <c r="K102" s="737"/>
      <c r="L102" s="737"/>
      <c r="M102" s="737"/>
      <c r="N102" s="737"/>
      <c r="O102" s="737"/>
      <c r="P102" s="737"/>
      <c r="Q102" s="584"/>
    </row>
    <row r="103" spans="1:30" ht="10.5" customHeight="1">
      <c r="A103" s="737"/>
      <c r="B103" s="737"/>
      <c r="C103" s="737"/>
      <c r="D103" s="737"/>
      <c r="E103" s="737"/>
      <c r="F103" s="737"/>
      <c r="G103" s="737"/>
      <c r="H103" s="737"/>
      <c r="I103" s="737"/>
      <c r="J103" s="737"/>
      <c r="K103" s="737"/>
      <c r="L103" s="737"/>
      <c r="M103" s="737"/>
      <c r="N103" s="737"/>
      <c r="O103" s="737"/>
      <c r="P103" s="737"/>
      <c r="Q103" s="584"/>
      <c r="V103" s="358"/>
    </row>
    <row r="104" spans="1:30" ht="10.5" customHeight="1">
      <c r="A104" s="737"/>
      <c r="B104" s="737"/>
      <c r="C104" s="737"/>
      <c r="D104" s="737"/>
      <c r="E104" s="737"/>
      <c r="F104" s="737"/>
      <c r="G104" s="737"/>
      <c r="H104" s="737"/>
      <c r="I104" s="737"/>
      <c r="J104" s="737"/>
      <c r="K104" s="737"/>
      <c r="L104" s="737"/>
      <c r="M104" s="737"/>
      <c r="N104" s="737"/>
      <c r="O104" s="737"/>
      <c r="P104" s="737"/>
      <c r="Q104" s="584"/>
      <c r="V104" s="358"/>
    </row>
    <row r="105" spans="1:30" ht="10.5" customHeight="1">
      <c r="A105" s="737"/>
      <c r="B105" s="737"/>
      <c r="C105" s="737"/>
      <c r="D105" s="737"/>
      <c r="E105" s="737"/>
      <c r="F105" s="737"/>
      <c r="G105" s="737"/>
      <c r="H105" s="737"/>
      <c r="I105" s="737"/>
      <c r="J105" s="737"/>
      <c r="K105" s="737"/>
      <c r="L105" s="737"/>
      <c r="M105" s="737"/>
      <c r="N105" s="737"/>
      <c r="O105" s="737"/>
      <c r="P105" s="737"/>
      <c r="Q105" s="584"/>
      <c r="V105" s="358"/>
    </row>
    <row r="106" spans="1:30" ht="10.5" customHeight="1">
      <c r="A106" s="737"/>
      <c r="B106" s="737"/>
      <c r="C106" s="737"/>
      <c r="D106" s="737"/>
      <c r="E106" s="737"/>
      <c r="F106" s="737"/>
      <c r="G106" s="737"/>
      <c r="H106" s="737"/>
      <c r="I106" s="737"/>
      <c r="J106" s="737"/>
      <c r="K106" s="737"/>
      <c r="L106" s="737"/>
      <c r="M106" s="737"/>
      <c r="N106" s="737"/>
      <c r="O106" s="737"/>
      <c r="P106" s="737"/>
      <c r="Q106" s="584"/>
      <c r="V106" s="358"/>
    </row>
    <row r="107" spans="1:30" ht="10.5" customHeight="1">
      <c r="A107" s="737"/>
      <c r="B107" s="737"/>
      <c r="C107" s="737"/>
      <c r="D107" s="737"/>
      <c r="E107" s="737"/>
      <c r="F107" s="737"/>
      <c r="G107" s="737"/>
      <c r="H107" s="737"/>
      <c r="I107" s="737"/>
      <c r="J107" s="737"/>
      <c r="K107" s="737"/>
      <c r="L107" s="737"/>
      <c r="M107" s="737"/>
      <c r="N107" s="737"/>
      <c r="O107" s="737"/>
      <c r="P107" s="737"/>
      <c r="Q107" s="584"/>
    </row>
    <row r="108" spans="1:30" ht="10.5" customHeight="1">
      <c r="A108" s="737"/>
      <c r="B108" s="737"/>
      <c r="C108" s="737"/>
      <c r="D108" s="737"/>
      <c r="E108" s="737"/>
      <c r="F108" s="737"/>
      <c r="G108" s="737"/>
      <c r="H108" s="737"/>
      <c r="I108" s="737"/>
      <c r="J108" s="737"/>
      <c r="K108" s="737"/>
      <c r="L108" s="737"/>
      <c r="M108" s="737"/>
      <c r="N108" s="737"/>
      <c r="O108" s="737"/>
      <c r="P108" s="737"/>
      <c r="Q108" s="584"/>
    </row>
    <row r="109" spans="1:30" ht="10.5" customHeight="1">
      <c r="A109" s="737"/>
      <c r="B109" s="737"/>
      <c r="C109" s="737"/>
      <c r="D109" s="737"/>
      <c r="E109" s="737"/>
      <c r="F109" s="737"/>
      <c r="G109" s="737"/>
      <c r="H109" s="737"/>
      <c r="I109" s="737"/>
      <c r="J109" s="737"/>
      <c r="K109" s="737"/>
      <c r="L109" s="737"/>
      <c r="M109" s="737"/>
      <c r="N109" s="737"/>
      <c r="O109" s="737"/>
      <c r="P109" s="737"/>
      <c r="Q109" s="584"/>
    </row>
    <row r="110" spans="1:30" ht="10.5" customHeight="1">
      <c r="A110" s="737"/>
      <c r="B110" s="737"/>
      <c r="C110" s="737"/>
      <c r="D110" s="737"/>
      <c r="E110" s="737"/>
      <c r="F110" s="737"/>
      <c r="G110" s="737"/>
      <c r="H110" s="737"/>
      <c r="I110" s="737"/>
      <c r="J110" s="737"/>
      <c r="K110" s="737"/>
      <c r="L110" s="737"/>
      <c r="M110" s="737"/>
      <c r="N110" s="737"/>
      <c r="O110" s="737"/>
      <c r="P110" s="737"/>
      <c r="Q110" s="584"/>
    </row>
    <row r="111" spans="1:30" ht="10.5" customHeight="1">
      <c r="A111" s="737"/>
      <c r="B111" s="737"/>
      <c r="C111" s="737"/>
      <c r="D111" s="737"/>
      <c r="E111" s="737"/>
      <c r="F111" s="737"/>
      <c r="G111" s="737"/>
      <c r="H111" s="737"/>
      <c r="I111" s="737"/>
      <c r="J111" s="737"/>
      <c r="K111" s="737"/>
      <c r="L111" s="737"/>
      <c r="M111" s="737"/>
      <c r="N111" s="737"/>
      <c r="O111" s="737"/>
      <c r="P111" s="737"/>
      <c r="Q111" s="584"/>
    </row>
    <row r="112" spans="1:30" ht="10.5" customHeight="1">
      <c r="A112" s="737"/>
      <c r="B112" s="737"/>
      <c r="C112" s="737"/>
      <c r="D112" s="737"/>
      <c r="E112" s="737"/>
      <c r="F112" s="737"/>
      <c r="G112" s="737"/>
      <c r="H112" s="737"/>
      <c r="I112" s="737"/>
      <c r="J112" s="737"/>
      <c r="K112" s="737"/>
      <c r="L112" s="737"/>
      <c r="M112" s="737"/>
      <c r="N112" s="737"/>
      <c r="O112" s="737"/>
      <c r="P112" s="737"/>
      <c r="Q112" s="584"/>
    </row>
    <row r="113" spans="1:22" ht="10.5" customHeight="1">
      <c r="A113" s="737"/>
      <c r="B113" s="737"/>
      <c r="C113" s="737"/>
      <c r="D113" s="737"/>
      <c r="E113" s="737"/>
      <c r="F113" s="737"/>
      <c r="G113" s="737"/>
      <c r="H113" s="737"/>
      <c r="I113" s="737"/>
      <c r="J113" s="737"/>
      <c r="K113" s="737"/>
      <c r="L113" s="737"/>
      <c r="M113" s="737"/>
      <c r="N113" s="737"/>
      <c r="O113" s="737"/>
      <c r="P113" s="737"/>
      <c r="Q113" s="584"/>
    </row>
    <row r="114" spans="1:22" ht="10.5" customHeight="1">
      <c r="A114" s="737"/>
      <c r="B114" s="737"/>
      <c r="C114" s="737"/>
      <c r="D114" s="737"/>
      <c r="E114" s="737"/>
      <c r="F114" s="737"/>
      <c r="G114" s="737"/>
      <c r="H114" s="737"/>
      <c r="I114" s="737"/>
      <c r="J114" s="737"/>
      <c r="K114" s="737"/>
      <c r="L114" s="737"/>
      <c r="M114" s="737"/>
      <c r="N114" s="737"/>
      <c r="O114" s="737"/>
      <c r="P114" s="737"/>
      <c r="Q114" s="584"/>
    </row>
    <row r="123" spans="1:22" ht="10.5" customHeight="1">
      <c r="V123" s="358"/>
    </row>
    <row r="141" spans="5:5" ht="10.5" customHeight="1">
      <c r="E141" s="448"/>
    </row>
    <row r="142" spans="5:5" ht="10.5" customHeight="1">
      <c r="E142" s="448"/>
    </row>
    <row r="143" spans="5:5" ht="10.5" customHeight="1">
      <c r="E143" s="448"/>
    </row>
    <row r="144" spans="5:5" ht="10.5" customHeight="1">
      <c r="E144" s="448"/>
    </row>
    <row r="145" spans="5:5" ht="10.5" customHeight="1">
      <c r="E145" s="448"/>
    </row>
    <row r="146" spans="5:5" ht="10.5" customHeight="1">
      <c r="E146" s="448"/>
    </row>
    <row r="147" spans="5:5" ht="10.5" customHeight="1">
      <c r="E147" s="448"/>
    </row>
    <row r="148" spans="5:5" ht="10.5" customHeight="1">
      <c r="E148" s="448"/>
    </row>
    <row r="149" spans="5:5" ht="10.5" customHeight="1">
      <c r="E149" s="448"/>
    </row>
    <row r="150" spans="5:5" ht="10.5" customHeight="1">
      <c r="E150" s="448"/>
    </row>
    <row r="151" spans="5:5" ht="10.5" customHeight="1">
      <c r="E151" s="448"/>
    </row>
    <row r="152" spans="5:5" ht="10.5" customHeight="1">
      <c r="E152" s="448"/>
    </row>
    <row r="153" spans="5:5" ht="10.5" customHeight="1">
      <c r="E153" s="448"/>
    </row>
    <row r="154" spans="5:5" ht="10.5" customHeight="1">
      <c r="E154" s="448"/>
    </row>
    <row r="155" spans="5:5" ht="10.5" customHeight="1">
      <c r="E155" s="448"/>
    </row>
    <row r="156" spans="5:5" ht="10.5" customHeight="1">
      <c r="E156" s="448"/>
    </row>
    <row r="157" spans="5:5" ht="10.5" customHeight="1">
      <c r="E157" s="448"/>
    </row>
    <row r="158" spans="5:5" ht="10.5" customHeight="1">
      <c r="E158" s="448"/>
    </row>
  </sheetData>
  <protectedRanges>
    <protectedRange algorithmName="SHA-512" hashValue="XYWjC+iAz2ErgjMh7TSLHlxfTfK0uVcITDFdCCZFdnsWWbUNnsQqu9AM+0WFXQpYcy9ZvQx2KUXfpLhpOROHkg==" saltValue="47TiGLG0rJVTo3iAJH8T4w==" spinCount="100000" sqref="B24:D25" name="Range2"/>
    <protectedRange algorithmName="SHA-512" hashValue="24Yg3M703G5L8OyJWxlkx8c1Gwfrkael5W/l3TUk/Rcz5tR8QOgCx5v0Ebb/UGz+9BDKPJ5wV4hH8uuxvmtGIw==" saltValue="ZSJQ8EEnwGxsiYzxIw6K0Q==" spinCount="100000" sqref="B4:P26" name="Range1"/>
  </protectedRanges>
  <mergeCells count="25">
    <mergeCell ref="S93:T94"/>
    <mergeCell ref="F2:H2"/>
    <mergeCell ref="F1:H1"/>
    <mergeCell ref="N3:P3"/>
    <mergeCell ref="F8:H8"/>
    <mergeCell ref="F9:H9"/>
    <mergeCell ref="J9:L9"/>
    <mergeCell ref="J8:L8"/>
    <mergeCell ref="J3:L3"/>
    <mergeCell ref="J10:L10"/>
    <mergeCell ref="N2:P2"/>
    <mergeCell ref="N9:P9"/>
    <mergeCell ref="J1:L1"/>
    <mergeCell ref="J2:L2"/>
    <mergeCell ref="A3:A4"/>
    <mergeCell ref="A10:A11"/>
    <mergeCell ref="B3:D3"/>
    <mergeCell ref="B10:D10"/>
    <mergeCell ref="F3:H3"/>
    <mergeCell ref="F10:H10"/>
    <mergeCell ref="A19:A23"/>
    <mergeCell ref="B19:D22"/>
    <mergeCell ref="A30:P35"/>
    <mergeCell ref="A36:P40"/>
    <mergeCell ref="N10:P10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84E8-FB5F-4125-81D8-00B6890CC8FA}">
  <dimension ref="A1:AD67"/>
  <sheetViews>
    <sheetView showGridLines="0" topLeftCell="I1" zoomScale="70" zoomScaleNormal="70" workbookViewId="0">
      <selection activeCell="B5" sqref="B5"/>
    </sheetView>
  </sheetViews>
  <sheetFormatPr defaultRowHeight="14.4"/>
  <cols>
    <col min="1" max="1" width="43" bestFit="1" customWidth="1"/>
    <col min="2" max="2" width="13.88671875" customWidth="1"/>
    <col min="3" max="3" width="10.6640625" bestFit="1" customWidth="1"/>
    <col min="4" max="4" width="10.109375" customWidth="1"/>
    <col min="6" max="8" width="15.44140625" customWidth="1"/>
    <col min="10" max="12" width="17.33203125" customWidth="1"/>
    <col min="14" max="14" width="32.44140625" customWidth="1"/>
    <col min="15" max="15" width="10.6640625" bestFit="1" customWidth="1"/>
    <col min="16" max="16" width="11.6640625" customWidth="1"/>
    <col min="18" max="18" width="10.88671875" bestFit="1" customWidth="1"/>
    <col min="19" max="19" width="12" customWidth="1"/>
    <col min="20" max="20" width="16.44140625" bestFit="1" customWidth="1"/>
    <col min="21" max="21" width="9.88671875" bestFit="1" customWidth="1"/>
    <col min="22" max="22" width="46.109375" bestFit="1" customWidth="1"/>
    <col min="23" max="23" width="23.44140625" bestFit="1" customWidth="1"/>
    <col min="24" max="24" width="14.88671875" bestFit="1" customWidth="1"/>
    <col min="25" max="25" width="12" bestFit="1" customWidth="1"/>
    <col min="26" max="26" width="12.44140625" bestFit="1" customWidth="1"/>
    <col min="27" max="27" width="14.88671875" bestFit="1" customWidth="1"/>
    <col min="28" max="28" width="15.5546875" bestFit="1" customWidth="1"/>
    <col min="29" max="29" width="8" bestFit="1" customWidth="1"/>
    <col min="30" max="30" width="1.88671875" hidden="1" customWidth="1"/>
  </cols>
  <sheetData>
    <row r="1" spans="1:30" ht="17.399999999999999">
      <c r="A1" s="762" t="s">
        <v>631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734"/>
      <c r="O1" s="734"/>
      <c r="P1" s="734"/>
      <c r="R1" s="44"/>
      <c r="S1" s="44"/>
      <c r="T1" s="44"/>
      <c r="U1" s="44"/>
      <c r="V1" s="358"/>
      <c r="W1" s="44"/>
      <c r="X1" s="44"/>
      <c r="Y1" s="44"/>
      <c r="Z1" s="44"/>
      <c r="AA1" s="44"/>
      <c r="AB1" s="44"/>
      <c r="AC1" s="44"/>
    </row>
    <row r="2" spans="1:30" ht="17.399999999999999">
      <c r="A2" s="762" t="s">
        <v>632</v>
      </c>
      <c r="B2" s="733"/>
      <c r="C2" s="733"/>
      <c r="D2" s="733"/>
      <c r="E2" s="734"/>
      <c r="F2" s="1536" t="s">
        <v>633</v>
      </c>
      <c r="G2" s="1536"/>
      <c r="H2" s="1536"/>
      <c r="I2" s="742"/>
      <c r="J2" s="1536" t="s">
        <v>634</v>
      </c>
      <c r="K2" s="1536"/>
      <c r="L2" s="1536"/>
      <c r="M2" s="734"/>
      <c r="N2" s="1535" t="s">
        <v>405</v>
      </c>
      <c r="O2" s="1535"/>
      <c r="P2" s="1535"/>
      <c r="R2" s="957" t="s">
        <v>1</v>
      </c>
      <c r="S2" s="958" t="s">
        <v>2</v>
      </c>
      <c r="T2" s="958" t="s">
        <v>3</v>
      </c>
      <c r="U2" s="958" t="s">
        <v>211</v>
      </c>
      <c r="V2" s="958" t="s">
        <v>5</v>
      </c>
      <c r="W2" s="958" t="s">
        <v>194</v>
      </c>
      <c r="X2" s="958" t="s">
        <v>212</v>
      </c>
      <c r="Y2" s="958" t="s">
        <v>213</v>
      </c>
      <c r="Z2" s="958" t="s">
        <v>406</v>
      </c>
      <c r="AA2" s="958" t="s">
        <v>215</v>
      </c>
      <c r="AB2" s="958" t="s">
        <v>216</v>
      </c>
      <c r="AC2" s="777" t="s">
        <v>407</v>
      </c>
      <c r="AD2" t="s">
        <v>635</v>
      </c>
    </row>
    <row r="3" spans="1:30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449" t="s">
        <v>355</v>
      </c>
      <c r="S3" s="449">
        <v>3331556846</v>
      </c>
      <c r="T3" s="449" t="s">
        <v>206</v>
      </c>
      <c r="U3" s="784">
        <v>24141025</v>
      </c>
      <c r="V3" s="784" t="s">
        <v>224</v>
      </c>
      <c r="W3" s="785" t="s">
        <v>203</v>
      </c>
      <c r="X3" s="786">
        <v>36199.635999999999</v>
      </c>
      <c r="Y3" s="784" t="s">
        <v>128</v>
      </c>
      <c r="Z3" s="449">
        <v>1</v>
      </c>
      <c r="AA3" s="449">
        <v>1</v>
      </c>
      <c r="AB3" s="613" t="s">
        <v>204</v>
      </c>
      <c r="AC3" s="767"/>
      <c r="AD3" t="e">
        <f>VLOOKUP(S3,#REF!,9,FALSE)</f>
        <v>#REF!</v>
      </c>
    </row>
    <row r="4" spans="1:30" ht="28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449" t="s">
        <v>355</v>
      </c>
      <c r="S4" s="449">
        <v>3331556847</v>
      </c>
      <c r="T4" s="449" t="s">
        <v>206</v>
      </c>
      <c r="U4" s="784">
        <v>24141031</v>
      </c>
      <c r="V4" s="784" t="s">
        <v>224</v>
      </c>
      <c r="W4" s="785" t="s">
        <v>203</v>
      </c>
      <c r="X4" s="786">
        <f>11096.18+24768.172</f>
        <v>35864.351999999999</v>
      </c>
      <c r="Y4" s="784" t="s">
        <v>128</v>
      </c>
      <c r="Z4" s="449">
        <v>1</v>
      </c>
      <c r="AA4" s="449">
        <v>1</v>
      </c>
      <c r="AB4" s="731" t="s">
        <v>204</v>
      </c>
      <c r="AC4" s="767"/>
      <c r="AD4" t="e">
        <f>VLOOKUP(S4,#REF!,9,FALSE)</f>
        <v>#REF!</v>
      </c>
    </row>
    <row r="5" spans="1:30" ht="18.75" customHeight="1">
      <c r="A5" s="746" t="s">
        <v>427</v>
      </c>
      <c r="B5" s="747" cm="1">
        <f t="array" ref="B5">SUM(COUNTIF(W1:W176, {"JABODETABEK","JAWA TENGAH","JAWA TIMUR","LUAR PULAU"}))</f>
        <v>36</v>
      </c>
      <c r="C5" s="747" cm="1">
        <f t="array" ref="C5">SUMPRODUCT(--(LOWER(AB1:AB176)="masuk"), --(ISNUMBER(MATCH(W1:W176, {"JABODETABEK","JAWA TENGAH","JAWA TIMUR","LUAR PULAU"}, 0))))</f>
        <v>33</v>
      </c>
      <c r="D5" s="740">
        <f>C5+-B5</f>
        <v>-3</v>
      </c>
      <c r="E5" s="734"/>
      <c r="F5" s="748" cm="1">
        <f t="array" ref="F5">SUMPRODUCT(--(LOWER(AC1:AC176)="add"), --(ISNUMBER(MATCH(W1:W176, {"JABODETABEK","JAWA TENGAH","JAWA TIMUR","LUAR PULAU"}, 0))))</f>
        <v>0</v>
      </c>
      <c r="G5" s="747" cm="1">
        <f t="array" ref="G5">SUMPRODUCT(--(LOWER(AB1:AB176)="masuk"), --(LOWER(AC1:AC176)="add"))</f>
        <v>0</v>
      </c>
      <c r="H5" s="740">
        <f>G5+-F5</f>
        <v>0</v>
      </c>
      <c r="I5" s="734"/>
      <c r="J5" s="748" cm="1">
        <f t="array" ref="J5">SUMPRODUCT(--ISNUMBER(SEARCH("next day", LOWER(W1:W176))))</f>
        <v>6</v>
      </c>
      <c r="K5" s="747" cm="1">
        <f t="array" ref="K5">SUMPRODUCT(--(LOWER(AB1:AB176)="masuk"), --ISNUMBER(SEARCH("next day", LOWER(W1:W176))))</f>
        <v>1</v>
      </c>
      <c r="L5" s="747">
        <f>K5+-J5</f>
        <v>-5</v>
      </c>
      <c r="M5" s="734"/>
      <c r="N5" s="748">
        <f>B5+F5+J5</f>
        <v>42</v>
      </c>
      <c r="O5" s="747">
        <f>C5+G5+K5</f>
        <v>34</v>
      </c>
      <c r="P5" s="740">
        <f>D5+H5+L5</f>
        <v>-8</v>
      </c>
      <c r="R5" s="449" t="s">
        <v>355</v>
      </c>
      <c r="S5" s="449">
        <v>3331556855</v>
      </c>
      <c r="T5" s="449" t="s">
        <v>256</v>
      </c>
      <c r="U5" s="784" t="s">
        <v>256</v>
      </c>
      <c r="V5" s="784" t="s">
        <v>256</v>
      </c>
      <c r="W5" s="785" t="s">
        <v>256</v>
      </c>
      <c r="X5" s="786" t="s">
        <v>256</v>
      </c>
      <c r="Y5" s="784" t="s">
        <v>256</v>
      </c>
      <c r="Z5" s="449" t="s">
        <v>256</v>
      </c>
      <c r="AA5" s="449" t="s">
        <v>256</v>
      </c>
      <c r="AB5" s="731" t="str">
        <f>SUBSTITUTE(Table134657891011141213[[#This Row],[AREA]], "JABODETABE", "BELUM MASU")</f>
        <v>=</v>
      </c>
      <c r="AC5" s="767"/>
      <c r="AD5" t="e">
        <f>VLOOKUP(S5,#REF!,9,FALSE)</f>
        <v>#REF!</v>
      </c>
    </row>
    <row r="6" spans="1:30" ht="17.399999999999999">
      <c r="A6" s="733"/>
      <c r="B6" s="733">
        <f>SUM(B5)</f>
        <v>36</v>
      </c>
      <c r="C6" s="733">
        <f>SUM(C5)</f>
        <v>33</v>
      </c>
      <c r="D6" s="739">
        <f>SUM(D5)</f>
        <v>-3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1</v>
      </c>
      <c r="L6" s="733">
        <f>SUM(L5)</f>
        <v>-5</v>
      </c>
      <c r="M6" s="733"/>
      <c r="N6" s="760">
        <f>SUM(N5:N5)</f>
        <v>42</v>
      </c>
      <c r="O6" s="760">
        <f>SUM(O5:O5)</f>
        <v>34</v>
      </c>
      <c r="P6" s="761">
        <f>SUM(P5:P5)</f>
        <v>-8</v>
      </c>
      <c r="R6" s="449" t="s">
        <v>623</v>
      </c>
      <c r="S6" s="449">
        <v>3331556946</v>
      </c>
      <c r="T6" s="449" t="s">
        <v>206</v>
      </c>
      <c r="U6" s="784">
        <v>24141049</v>
      </c>
      <c r="V6" s="784" t="s">
        <v>446</v>
      </c>
      <c r="W6" s="785" t="s">
        <v>205</v>
      </c>
      <c r="X6" s="786">
        <f>9289.404+28389.32</f>
        <v>37678.724000000002</v>
      </c>
      <c r="Y6" s="784" t="s">
        <v>128</v>
      </c>
      <c r="Z6" s="449">
        <v>1</v>
      </c>
      <c r="AA6" s="449">
        <v>1</v>
      </c>
      <c r="AB6" s="731" t="s">
        <v>204</v>
      </c>
      <c r="AC6" s="767"/>
      <c r="AD6" t="e">
        <f>VLOOKUP(S6,#REF!,9,FALSE)</f>
        <v>#REF!</v>
      </c>
    </row>
    <row r="7" spans="1:30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449" t="s">
        <v>623</v>
      </c>
      <c r="S7" s="449">
        <v>3331556949</v>
      </c>
      <c r="T7" s="449" t="s">
        <v>256</v>
      </c>
      <c r="U7" s="784" t="s">
        <v>256</v>
      </c>
      <c r="V7" s="784" t="s">
        <v>256</v>
      </c>
      <c r="W7" s="785" t="s">
        <v>256</v>
      </c>
      <c r="X7" s="786" t="s">
        <v>256</v>
      </c>
      <c r="Y7" s="784" t="s">
        <v>256</v>
      </c>
      <c r="Z7" s="449" t="s">
        <v>256</v>
      </c>
      <c r="AA7" s="449" t="s">
        <v>256</v>
      </c>
      <c r="AB7" s="731" t="s">
        <v>256</v>
      </c>
      <c r="AC7" s="767"/>
      <c r="AD7" t="e">
        <f>VLOOKUP(S7,#REF!,9,FALSE)</f>
        <v>#REF!</v>
      </c>
    </row>
    <row r="8" spans="1:30" ht="17.399999999999999">
      <c r="A8" s="763" t="str">
        <f>A1</f>
        <v>Plan tgl 01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734"/>
      <c r="O8" s="733"/>
      <c r="P8" s="733"/>
      <c r="R8" s="449" t="s">
        <v>630</v>
      </c>
      <c r="S8" s="782">
        <v>3331557331</v>
      </c>
      <c r="T8" s="783" t="s">
        <v>441</v>
      </c>
      <c r="U8" s="784">
        <v>24141098</v>
      </c>
      <c r="V8" s="784" t="s">
        <v>158</v>
      </c>
      <c r="W8" s="785" t="s">
        <v>199</v>
      </c>
      <c r="X8" s="786">
        <v>24898.075000000001</v>
      </c>
      <c r="Y8" s="784" t="s">
        <v>200</v>
      </c>
      <c r="Z8" s="449">
        <v>1</v>
      </c>
      <c r="AA8" s="449">
        <v>1</v>
      </c>
      <c r="AB8" s="613" t="s">
        <v>204</v>
      </c>
      <c r="AC8" s="767"/>
      <c r="AD8" t="e">
        <f>VLOOKUP(S8,#REF!,9,FALSE)</f>
        <v>#REF!</v>
      </c>
    </row>
    <row r="9" spans="1:30" ht="17.399999999999999">
      <c r="A9" s="763" t="str">
        <f>A2</f>
        <v>Realz update 02 OKT’25 jam 07.00</v>
      </c>
      <c r="B9" s="733"/>
      <c r="C9" s="733"/>
      <c r="D9" s="733"/>
      <c r="E9" s="734"/>
      <c r="F9" s="1536" t="str">
        <f>F2</f>
        <v>Tgl 01 OKT’25 diatas jam 15.00</v>
      </c>
      <c r="G9" s="1536"/>
      <c r="H9" s="1536"/>
      <c r="I9" s="742"/>
      <c r="J9" s="1536" t="str">
        <f>J2</f>
        <v>Tgl 01 OKT’25</v>
      </c>
      <c r="K9" s="1536"/>
      <c r="L9" s="1536"/>
      <c r="M9" s="734"/>
      <c r="N9" s="1535" t="str">
        <f>N2</f>
        <v>Summary (Plan+ Add + Next Day)</v>
      </c>
      <c r="O9" s="1535"/>
      <c r="P9" s="1535"/>
      <c r="R9" s="449" t="s">
        <v>355</v>
      </c>
      <c r="S9" s="784">
        <v>3331557493</v>
      </c>
      <c r="T9" s="784" t="s">
        <v>27</v>
      </c>
      <c r="U9" s="784">
        <v>24141112</v>
      </c>
      <c r="V9" s="784" t="s">
        <v>498</v>
      </c>
      <c r="W9" s="785" t="s">
        <v>199</v>
      </c>
      <c r="X9" s="786">
        <v>25502.855</v>
      </c>
      <c r="Y9" s="784" t="s">
        <v>200</v>
      </c>
      <c r="Z9" s="784">
        <v>1</v>
      </c>
      <c r="AA9" s="784">
        <v>1</v>
      </c>
      <c r="AB9" s="613" t="s">
        <v>204</v>
      </c>
      <c r="AC9" s="767"/>
      <c r="AD9" t="e">
        <f>VLOOKUP(S9,#REF!,9,FALSE)</f>
        <v>#REF!</v>
      </c>
    </row>
    <row r="10" spans="1:30" ht="17.399999999999999">
      <c r="A10" s="1537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449" t="s">
        <v>355</v>
      </c>
      <c r="S10" s="784">
        <v>3331557500</v>
      </c>
      <c r="T10" s="784" t="s">
        <v>27</v>
      </c>
      <c r="U10" s="784">
        <v>24141113</v>
      </c>
      <c r="V10" s="784" t="s">
        <v>498</v>
      </c>
      <c r="W10" s="785" t="s">
        <v>199</v>
      </c>
      <c r="X10" s="786">
        <v>25975.925999999999</v>
      </c>
      <c r="Y10" s="784" t="s">
        <v>200</v>
      </c>
      <c r="Z10" s="784">
        <v>1</v>
      </c>
      <c r="AA10" s="784">
        <v>1</v>
      </c>
      <c r="AB10" s="613" t="s">
        <v>204</v>
      </c>
      <c r="AC10" s="767"/>
      <c r="AD10" t="e">
        <f>VLOOKUP(S10,#REF!,9,FALSE)</f>
        <v>#REF!</v>
      </c>
    </row>
    <row r="11" spans="1:30" ht="17.399999999999999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449" t="s">
        <v>452</v>
      </c>
      <c r="S11" s="784">
        <v>3331557484</v>
      </c>
      <c r="T11" s="784" t="s">
        <v>27</v>
      </c>
      <c r="U11" s="784">
        <v>24141114</v>
      </c>
      <c r="V11" s="784" t="s">
        <v>498</v>
      </c>
      <c r="W11" s="785" t="s">
        <v>199</v>
      </c>
      <c r="X11" s="786">
        <v>25610.244999999999</v>
      </c>
      <c r="Y11" s="784" t="s">
        <v>200</v>
      </c>
      <c r="Z11" s="784">
        <v>1</v>
      </c>
      <c r="AA11" s="784">
        <v>1</v>
      </c>
      <c r="AB11" s="613" t="s">
        <v>204</v>
      </c>
      <c r="AC11" s="767"/>
      <c r="AD11" t="e">
        <f>VLOOKUP(S11,#REF!,9,FALSE)</f>
        <v>#REF!</v>
      </c>
    </row>
    <row r="12" spans="1:30" ht="18">
      <c r="A12" s="746" t="s">
        <v>199</v>
      </c>
      <c r="B12" s="749" cm="1">
        <f t="array" ref="B12">SUMPRODUCT(--(TRIM(LOWER(W1:W176))="jabodetabek"))</f>
        <v>15</v>
      </c>
      <c r="C12" s="749" cm="1">
        <f t="array" ref="C12">SUMPRODUCT(--(LOWER(AB1:AB176)="masuk"), --(TRIM(LOWER(W1:W176))="jabodetabek"))</f>
        <v>15</v>
      </c>
      <c r="D12" s="741">
        <f>C12+-B12</f>
        <v>0</v>
      </c>
      <c r="E12" s="734"/>
      <c r="F12" s="748" cm="1">
        <f t="array" ref="F12">SUMPRODUCT(--(LOWER(AC1:AC176)="add"), --(TRIM(LOWER(W1:W176))="jabodetabek"))</f>
        <v>0</v>
      </c>
      <c r="G12" s="749" cm="1">
        <f t="array" ref="G12">SUMPRODUCT(--(LOWER(AB1:AB176)="masuk"), --(LOWER(AC1:AC176)="add"), --(TRIM(LOWER(W1:W176))="jabodetabek"))</f>
        <v>0</v>
      </c>
      <c r="H12" s="741">
        <f>G12+-F12</f>
        <v>0</v>
      </c>
      <c r="I12" s="734"/>
      <c r="J12" s="748" cm="1">
        <f t="array" ref="J12">SUMPRODUCT(--(LOWER(TRIM(W1:W176))="jabodetabek next day"))</f>
        <v>6</v>
      </c>
      <c r="K12" s="749" cm="1">
        <f t="array" ref="K12">SUMPRODUCT(--(LOWER(AB1:AB176)="masuk"), --(LOWER(TRIM(W1:W176))="jabodetabek next day"))</f>
        <v>1</v>
      </c>
      <c r="L12" s="749">
        <f>K12+-J12</f>
        <v>-5</v>
      </c>
      <c r="M12" s="734"/>
      <c r="N12" s="750">
        <f t="shared" ref="N12:P16" si="0">B12+F12+J12</f>
        <v>21</v>
      </c>
      <c r="O12" s="749">
        <f t="shared" si="0"/>
        <v>16</v>
      </c>
      <c r="P12" s="741">
        <f t="shared" si="0"/>
        <v>-5</v>
      </c>
      <c r="R12" s="449" t="s">
        <v>630</v>
      </c>
      <c r="S12" s="784">
        <v>3331557652</v>
      </c>
      <c r="T12" s="784" t="s">
        <v>11</v>
      </c>
      <c r="U12" s="784">
        <v>24141119</v>
      </c>
      <c r="V12" s="784" t="s">
        <v>243</v>
      </c>
      <c r="W12" s="785" t="s">
        <v>199</v>
      </c>
      <c r="X12" s="786">
        <v>26004.375</v>
      </c>
      <c r="Y12" s="784" t="s">
        <v>200</v>
      </c>
      <c r="Z12" s="784">
        <v>1</v>
      </c>
      <c r="AA12" s="784">
        <v>1</v>
      </c>
      <c r="AB12" s="613" t="s">
        <v>204</v>
      </c>
      <c r="AC12" s="773"/>
      <c r="AD12" t="e">
        <f>VLOOKUP(S12,#REF!,9,FALSE)</f>
        <v>#REF!</v>
      </c>
    </row>
    <row r="13" spans="1:30" ht="18">
      <c r="A13" s="746" t="s">
        <v>203</v>
      </c>
      <c r="B13" s="747" cm="1">
        <f t="array" ref="B13">SUMPRODUCT(--(TRIM(LOWER(W1:W176))="jawa tengah"))</f>
        <v>3</v>
      </c>
      <c r="C13" s="747" cm="1">
        <f t="array" ref="C13">SUMPRODUCT(--(LOWER(AB1:AB176)="masuk"), --(TRIM(LOWER(W1:W176))="jawa tengah"))</f>
        <v>3</v>
      </c>
      <c r="D13" s="740">
        <f>C13+-B13</f>
        <v>0</v>
      </c>
      <c r="E13" s="734"/>
      <c r="F13" s="751" cm="1">
        <f t="array" ref="F13">SUMPRODUCT(--(LOWER(AC1:AC176)="add"), --(TRIM(LOWER(W1:W176))="jawa tengah"))</f>
        <v>0</v>
      </c>
      <c r="G13" s="747" cm="1">
        <f t="array" ref="G13">SUMPRODUCT(--(LOWER(AB1:AB176)="masuk"), --(LOWER(AC1:AC176)="add"), --(TRIM(LOWER(W1:W176))="jawa tengah"))</f>
        <v>0</v>
      </c>
      <c r="H13" s="740">
        <f>G13+-F13</f>
        <v>0</v>
      </c>
      <c r="I13" s="734"/>
      <c r="J13" s="748" cm="1">
        <f t="array" ref="J13">SUMPRODUCT(--(LOWER(TRIM(W1:W176))="jawa tengah next day"))</f>
        <v>0</v>
      </c>
      <c r="K13" s="747" cm="1">
        <f t="array" ref="K13">SUMPRODUCT(--(LOWER(AB1:AB176)="masuk"), --(LOWER(TRIM(W1:W176))="jawa tengah next day"))</f>
        <v>0</v>
      </c>
      <c r="L13" s="747">
        <f>K13+-J13</f>
        <v>0</v>
      </c>
      <c r="M13" s="734"/>
      <c r="N13" s="748">
        <f t="shared" si="0"/>
        <v>3</v>
      </c>
      <c r="O13" s="747">
        <f t="shared" si="0"/>
        <v>3</v>
      </c>
      <c r="P13" s="740">
        <f t="shared" si="0"/>
        <v>0</v>
      </c>
      <c r="R13" s="449" t="s">
        <v>630</v>
      </c>
      <c r="S13" s="784">
        <v>3331557657</v>
      </c>
      <c r="T13" s="784" t="s">
        <v>27</v>
      </c>
      <c r="U13" s="784">
        <v>24141120</v>
      </c>
      <c r="V13" s="784" t="s">
        <v>219</v>
      </c>
      <c r="W13" s="785" t="s">
        <v>199</v>
      </c>
      <c r="X13" s="786">
        <v>26110.503000000001</v>
      </c>
      <c r="Y13" s="784" t="s">
        <v>200</v>
      </c>
      <c r="Z13" s="784">
        <v>1</v>
      </c>
      <c r="AA13" s="784">
        <v>1</v>
      </c>
      <c r="AB13" s="731" t="s">
        <v>204</v>
      </c>
      <c r="AC13" s="773"/>
      <c r="AD13" t="e">
        <f>VLOOKUP(S13,#REF!,9,FALSE)</f>
        <v>#REF!</v>
      </c>
    </row>
    <row r="14" spans="1:30" ht="18">
      <c r="A14" s="746" t="s">
        <v>205</v>
      </c>
      <c r="B14" s="747" cm="1">
        <f t="array" ref="B14">SUMPRODUCT(--(TRIM(LOWER(W1:W176))="jawa timur"))</f>
        <v>12</v>
      </c>
      <c r="C14" s="747" cm="1">
        <f t="array" ref="C14">SUMPRODUCT(--(LOWER(AB1:AB176)="masuk"), --(TRIM(LOWER(W1:W176))="jawa timur"))</f>
        <v>12</v>
      </c>
      <c r="D14" s="740">
        <f>C14+-B14</f>
        <v>0</v>
      </c>
      <c r="E14" s="734"/>
      <c r="F14" s="750" cm="1">
        <f t="array" ref="F14">SUMPRODUCT(--(LOWER(AC1:AC176)="add"), --(TRIM(LOWER(W1:W176))="jawa timur"))</f>
        <v>0</v>
      </c>
      <c r="G14" s="747" cm="1">
        <f t="array" ref="G14">SUMPRODUCT(--(LOWER(AB1:AB176)="masuk"), --(LOWER(AC1:AC176)="add"), --(TRIM(LOWER(W1:W176))="jawa timur"))</f>
        <v>0</v>
      </c>
      <c r="H14" s="740">
        <f>G14+-F14</f>
        <v>0</v>
      </c>
      <c r="I14" s="734"/>
      <c r="J14" s="748" cm="1">
        <f t="array" ref="J14">SUMPRODUCT(--(LOWER(TRIM(W1:W176))="jawa timur next day"))</f>
        <v>0</v>
      </c>
      <c r="K14" s="747" cm="1">
        <f t="array" ref="K14">SUMPRODUCT(--(LOWER(AB1:AB176)="masuk"), --(LOWER(TRIM(W1:W176))="jawa timur next day"))</f>
        <v>0</v>
      </c>
      <c r="L14" s="747">
        <f>K14+-J14</f>
        <v>0</v>
      </c>
      <c r="M14" s="734"/>
      <c r="N14" s="748">
        <f t="shared" si="0"/>
        <v>12</v>
      </c>
      <c r="O14" s="747">
        <f t="shared" si="0"/>
        <v>12</v>
      </c>
      <c r="P14" s="740">
        <f t="shared" si="0"/>
        <v>0</v>
      </c>
      <c r="R14" s="449" t="s">
        <v>630</v>
      </c>
      <c r="S14" s="784">
        <v>3331557653</v>
      </c>
      <c r="T14" s="787" t="s">
        <v>563</v>
      </c>
      <c r="U14" s="784">
        <v>24141124</v>
      </c>
      <c r="V14" s="784" t="s">
        <v>561</v>
      </c>
      <c r="W14" s="785" t="s">
        <v>362</v>
      </c>
      <c r="X14" s="786">
        <v>24161.957999999999</v>
      </c>
      <c r="Y14" s="784" t="s">
        <v>467</v>
      </c>
      <c r="Z14" s="784">
        <v>1</v>
      </c>
      <c r="AA14" s="784">
        <v>1</v>
      </c>
      <c r="AB14" s="731" t="s">
        <v>204</v>
      </c>
      <c r="AC14" s="773"/>
      <c r="AD14" t="e">
        <f>VLOOKUP(S14,#REF!,9,FALSE)</f>
        <v>#REF!</v>
      </c>
    </row>
    <row r="15" spans="1:30" ht="18">
      <c r="A15" s="746" t="s">
        <v>362</v>
      </c>
      <c r="B15" s="747" cm="1">
        <f t="array" ref="B15">SUMPRODUCT(--(TRIM(LOWER(W1:W176))="luar pulau"))</f>
        <v>6</v>
      </c>
      <c r="C15" s="747" cm="1">
        <f t="array" ref="C15">SUMPRODUCT(--(LOWER(AB1:AB176)="masuk"), --(TRIM(LOWER(W1:W176))="luar pulau"))</f>
        <v>3</v>
      </c>
      <c r="D15" s="740">
        <f>C15+-B15</f>
        <v>-3</v>
      </c>
      <c r="E15" s="734"/>
      <c r="F15" s="748" cm="1">
        <f t="array" ref="F15">SUMPRODUCT(--(LOWER(AC1:AC176)="add"), --(TRIM(LOWER(W1:W176))="luar pulau"))</f>
        <v>0</v>
      </c>
      <c r="G15" s="747" cm="1">
        <f t="array" ref="G15">SUMPRODUCT(--(LOWER(AB1:AB176)="masuk"), --(LOWER(AC1:AC176)="add"), --(TRIM(LOWER(W1:W176))="luar pulau"))</f>
        <v>0</v>
      </c>
      <c r="H15" s="740">
        <f>G15+-F15</f>
        <v>0</v>
      </c>
      <c r="I15" s="734"/>
      <c r="J15" s="748" cm="1">
        <f t="array" ref="J15">SUMPRODUCT(--(LOWER(TRIM(W1:W176))="luar pulau next day"))</f>
        <v>0</v>
      </c>
      <c r="K15" s="747" cm="1">
        <f t="array" ref="K15">SUMPRODUCT(--(LOWER(AB1:AB176)="masuk"), --(LOWER(TRIM(W1:W176))="luar pulau next day"))</f>
        <v>0</v>
      </c>
      <c r="L15" s="747">
        <f>K15+-J15</f>
        <v>0</v>
      </c>
      <c r="M15" s="734"/>
      <c r="N15" s="748">
        <f t="shared" si="0"/>
        <v>6</v>
      </c>
      <c r="O15" s="747">
        <f t="shared" si="0"/>
        <v>3</v>
      </c>
      <c r="P15" s="740">
        <f t="shared" si="0"/>
        <v>-3</v>
      </c>
      <c r="R15" s="449" t="s">
        <v>630</v>
      </c>
      <c r="S15" s="784">
        <v>3331557654</v>
      </c>
      <c r="T15" s="787" t="s">
        <v>441</v>
      </c>
      <c r="U15" s="784">
        <v>24141135</v>
      </c>
      <c r="V15" s="784" t="s">
        <v>561</v>
      </c>
      <c r="W15" s="785" t="s">
        <v>362</v>
      </c>
      <c r="X15" s="786">
        <v>23728.948</v>
      </c>
      <c r="Y15" s="784" t="s">
        <v>467</v>
      </c>
      <c r="Z15" s="784">
        <v>1</v>
      </c>
      <c r="AA15" s="784">
        <v>0</v>
      </c>
      <c r="AB15" s="731" t="s">
        <v>204</v>
      </c>
      <c r="AC15" s="773"/>
      <c r="AD15" t="e">
        <f>VLOOKUP(S15,#REF!,9,FALSE)</f>
        <v>#REF!</v>
      </c>
    </row>
    <row r="16" spans="1:30" ht="17.399999999999999">
      <c r="A16" s="752"/>
      <c r="B16" s="733">
        <f>SUM(B12:B15)</f>
        <v>36</v>
      </c>
      <c r="C16" s="733">
        <f>SUM(C12:C15)</f>
        <v>33</v>
      </c>
      <c r="D16" s="739">
        <f>SUM(D12:D15)</f>
        <v>-3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1</v>
      </c>
      <c r="L16" s="733">
        <f>SUM(L12:L15)</f>
        <v>-5</v>
      </c>
      <c r="M16" s="734"/>
      <c r="N16" s="760">
        <f t="shared" si="0"/>
        <v>42</v>
      </c>
      <c r="O16" s="760">
        <f t="shared" si="0"/>
        <v>34</v>
      </c>
      <c r="P16" s="761">
        <f t="shared" si="0"/>
        <v>-8</v>
      </c>
      <c r="R16" s="449" t="s">
        <v>630</v>
      </c>
      <c r="S16" s="784">
        <v>3331557655</v>
      </c>
      <c r="T16" s="787" t="s">
        <v>441</v>
      </c>
      <c r="U16" s="784">
        <v>24141136</v>
      </c>
      <c r="V16" s="784" t="s">
        <v>561</v>
      </c>
      <c r="W16" s="785" t="s">
        <v>362</v>
      </c>
      <c r="X16" s="786">
        <v>23728.948</v>
      </c>
      <c r="Y16" s="784" t="s">
        <v>467</v>
      </c>
      <c r="Z16" s="784">
        <v>1</v>
      </c>
      <c r="AA16" s="784">
        <v>0</v>
      </c>
      <c r="AB16" s="731" t="s">
        <v>204</v>
      </c>
      <c r="AC16" s="773"/>
      <c r="AD16" t="e">
        <f>VLOOKUP(S16,#REF!,9,FALSE)</f>
        <v>#REF!</v>
      </c>
    </row>
    <row r="17" spans="1:30" ht="15.6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732" t="s">
        <v>630</v>
      </c>
      <c r="S17" s="772">
        <v>3331557656</v>
      </c>
      <c r="T17" s="781" t="s">
        <v>441</v>
      </c>
      <c r="U17" s="772">
        <v>24141147</v>
      </c>
      <c r="V17" s="772" t="s">
        <v>561</v>
      </c>
      <c r="W17" s="774" t="s">
        <v>362</v>
      </c>
      <c r="X17" s="775">
        <v>23642.346000000001</v>
      </c>
      <c r="Y17" s="772" t="s">
        <v>467</v>
      </c>
      <c r="Z17" s="772">
        <v>1</v>
      </c>
      <c r="AA17" s="772">
        <v>0</v>
      </c>
      <c r="AB17" s="722" t="s">
        <v>207</v>
      </c>
      <c r="AC17" s="773"/>
      <c r="AD17" t="e">
        <f>VLOOKUP(S17,#REF!,9,FALSE)</f>
        <v>#REF!</v>
      </c>
    </row>
    <row r="18" spans="1:30" ht="15.6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732" t="s">
        <v>452</v>
      </c>
      <c r="S18" s="772">
        <v>3331557685</v>
      </c>
      <c r="T18" s="781" t="s">
        <v>441</v>
      </c>
      <c r="U18" s="772">
        <v>24141148</v>
      </c>
      <c r="V18" s="772" t="s">
        <v>561</v>
      </c>
      <c r="W18" s="774" t="s">
        <v>362</v>
      </c>
      <c r="X18" s="775">
        <v>25760.893</v>
      </c>
      <c r="Y18" s="772" t="s">
        <v>200</v>
      </c>
      <c r="Z18" s="772">
        <v>1</v>
      </c>
      <c r="AA18" s="772">
        <v>0</v>
      </c>
      <c r="AB18" s="722" t="s">
        <v>207</v>
      </c>
      <c r="AC18" s="773"/>
      <c r="AD18" t="e">
        <f>VLOOKUP(S18,#REF!,9,FALSE)</f>
        <v>#REF!</v>
      </c>
    </row>
    <row r="19" spans="1:30" ht="15.75" customHeight="1">
      <c r="A19" s="1575" t="s">
        <v>434</v>
      </c>
      <c r="B19" s="1576" t="s">
        <v>415</v>
      </c>
      <c r="C19" s="1576"/>
      <c r="D19" s="1576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732" t="s">
        <v>630</v>
      </c>
      <c r="S19" s="772">
        <v>3331557688</v>
      </c>
      <c r="T19" s="781" t="s">
        <v>441</v>
      </c>
      <c r="U19" s="772">
        <v>24141149</v>
      </c>
      <c r="V19" s="772" t="s">
        <v>561</v>
      </c>
      <c r="W19" s="774" t="s">
        <v>362</v>
      </c>
      <c r="X19" s="775">
        <v>25889.912</v>
      </c>
      <c r="Y19" s="772" t="s">
        <v>200</v>
      </c>
      <c r="Z19" s="772">
        <v>1</v>
      </c>
      <c r="AA19" s="772">
        <v>0</v>
      </c>
      <c r="AB19" s="722" t="s">
        <v>207</v>
      </c>
      <c r="AC19" s="773"/>
      <c r="AD19" t="e">
        <f>VLOOKUP(S19,#REF!,9,FALSE)</f>
        <v>#REF!</v>
      </c>
    </row>
    <row r="20" spans="1:30" ht="15.75" customHeight="1">
      <c r="A20" s="1575"/>
      <c r="B20" s="788" t="s">
        <v>419</v>
      </c>
      <c r="C20" s="788" t="s">
        <v>420</v>
      </c>
      <c r="D20" s="78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449" t="s">
        <v>630</v>
      </c>
      <c r="S20" s="784">
        <v>3331557696</v>
      </c>
      <c r="T20" s="347" t="s">
        <v>27</v>
      </c>
      <c r="U20" s="784">
        <v>24141151</v>
      </c>
      <c r="V20" s="784" t="s">
        <v>629</v>
      </c>
      <c r="W20" s="785" t="s">
        <v>205</v>
      </c>
      <c r="X20" s="786">
        <v>25396.47</v>
      </c>
      <c r="Y20" s="784" t="s">
        <v>200</v>
      </c>
      <c r="Z20" s="784">
        <v>1</v>
      </c>
      <c r="AA20" s="784">
        <v>0</v>
      </c>
      <c r="AB20" s="731" t="s">
        <v>204</v>
      </c>
      <c r="AC20" s="773"/>
      <c r="AD20" t="e">
        <f>VLOOKUP(S20,#REF!,9,FALSE)</f>
        <v>#REF!</v>
      </c>
    </row>
    <row r="21" spans="1:30" ht="15.75" customHeight="1">
      <c r="A21" s="789" t="s">
        <v>427</v>
      </c>
      <c r="B21" s="790" cm="1">
        <f t="array" ref="B21">SUMPRODUCT(--(LOWER(TRIM(W1:W150))="ambil sendiri"))</f>
        <v>3</v>
      </c>
      <c r="C21" s="790" cm="1">
        <f t="array" ref="C21">SUMPRODUCT(--(LOWER(AB1:AB176)="masuk"), --(LOWER(TRIM(W1:W176))="ambil sendiri"))</f>
        <v>2</v>
      </c>
      <c r="D21" s="791">
        <f>C21+-B21</f>
        <v>-1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449" t="s">
        <v>630</v>
      </c>
      <c r="S21" s="784">
        <v>3331557697</v>
      </c>
      <c r="T21" s="347" t="s">
        <v>27</v>
      </c>
      <c r="U21" s="784">
        <v>24141152</v>
      </c>
      <c r="V21" s="784" t="s">
        <v>629</v>
      </c>
      <c r="W21" s="785" t="s">
        <v>205</v>
      </c>
      <c r="X21" s="786">
        <v>25396.47</v>
      </c>
      <c r="Y21" s="784" t="s">
        <v>200</v>
      </c>
      <c r="Z21" s="784">
        <v>1</v>
      </c>
      <c r="AA21" s="784">
        <v>0</v>
      </c>
      <c r="AB21" s="731" t="s">
        <v>204</v>
      </c>
      <c r="AC21" s="773"/>
      <c r="AD21" t="e">
        <f>VLOOKUP(S21,#REF!,9,FALSE)</f>
        <v>#REF!</v>
      </c>
    </row>
    <row r="22" spans="1:30" ht="15.75" customHeight="1">
      <c r="A22" s="734"/>
      <c r="B22" s="760">
        <f>SUM(B18:B21)</f>
        <v>3</v>
      </c>
      <c r="C22" s="760">
        <f>SUM(C18:C21)</f>
        <v>2</v>
      </c>
      <c r="D22" s="761">
        <f>SUM(D18:D21)</f>
        <v>-1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449" t="s">
        <v>630</v>
      </c>
      <c r="S22" s="784">
        <v>3331557327</v>
      </c>
      <c r="T22" s="787" t="s">
        <v>27</v>
      </c>
      <c r="U22" s="784">
        <v>24141150</v>
      </c>
      <c r="V22" s="784" t="s">
        <v>226</v>
      </c>
      <c r="W22" s="785" t="s">
        <v>203</v>
      </c>
      <c r="X22" s="786">
        <f>15912.405+11041.755</f>
        <v>26954.16</v>
      </c>
      <c r="Y22" s="784" t="s">
        <v>200</v>
      </c>
      <c r="Z22" s="784">
        <v>1</v>
      </c>
      <c r="AA22" s="784">
        <v>0</v>
      </c>
      <c r="AB22" s="731" t="s">
        <v>204</v>
      </c>
      <c r="AC22" s="773"/>
      <c r="AD22" t="e">
        <f>VLOOKUP(S22,#REF!,9,FALSE)</f>
        <v>#REF!</v>
      </c>
    </row>
    <row r="23" spans="1:30" ht="15.75" customHeight="1">
      <c r="A23" s="734"/>
      <c r="B23" s="734"/>
      <c r="C23" s="734"/>
      <c r="D23" s="734"/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449" t="s">
        <v>630</v>
      </c>
      <c r="S23" s="784">
        <v>3331557328</v>
      </c>
      <c r="T23" s="793" t="s">
        <v>256</v>
      </c>
      <c r="U23" s="784" t="s">
        <v>256</v>
      </c>
      <c r="V23" s="784" t="s">
        <v>256</v>
      </c>
      <c r="W23" s="785" t="s">
        <v>256</v>
      </c>
      <c r="X23" s="786" t="s">
        <v>256</v>
      </c>
      <c r="Y23" s="784" t="s">
        <v>256</v>
      </c>
      <c r="Z23" s="784" t="s">
        <v>256</v>
      </c>
      <c r="AA23" s="784" t="s">
        <v>256</v>
      </c>
      <c r="AB23" s="731" t="s">
        <v>256</v>
      </c>
      <c r="AC23" s="773"/>
      <c r="AD23" t="e">
        <f>VLOOKUP(S23,#REF!,9,FALSE)</f>
        <v>#REF!</v>
      </c>
    </row>
    <row r="24" spans="1:30" ht="15.75" customHeight="1">
      <c r="A24" s="734"/>
      <c r="B24" s="734"/>
      <c r="C24" s="734"/>
      <c r="D24" s="734"/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449" t="s">
        <v>630</v>
      </c>
      <c r="S24" s="784">
        <v>3331557719</v>
      </c>
      <c r="T24" s="787" t="s">
        <v>206</v>
      </c>
      <c r="U24" s="784">
        <v>24141140</v>
      </c>
      <c r="V24" s="784" t="s">
        <v>435</v>
      </c>
      <c r="W24" s="785" t="s">
        <v>205</v>
      </c>
      <c r="X24" s="786">
        <v>42241.94</v>
      </c>
      <c r="Y24" s="784" t="s">
        <v>128</v>
      </c>
      <c r="Z24" s="784">
        <v>1</v>
      </c>
      <c r="AA24" s="784">
        <v>1</v>
      </c>
      <c r="AB24" s="731" t="s">
        <v>204</v>
      </c>
      <c r="AC24" s="773"/>
      <c r="AD24" t="e">
        <f>VLOOKUP(S24,#REF!,9,FALSE)</f>
        <v>#REF!</v>
      </c>
    </row>
    <row r="25" spans="1:30" ht="15.75" customHeight="1">
      <c r="A25" s="734"/>
      <c r="B25" s="734"/>
      <c r="C25" s="734"/>
      <c r="D25" s="734"/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449" t="s">
        <v>630</v>
      </c>
      <c r="S25" s="784">
        <v>3331557720</v>
      </c>
      <c r="T25" s="787" t="s">
        <v>206</v>
      </c>
      <c r="U25" s="784">
        <v>24141141</v>
      </c>
      <c r="V25" s="784" t="s">
        <v>435</v>
      </c>
      <c r="W25" s="785" t="s">
        <v>205</v>
      </c>
      <c r="X25" s="786">
        <v>37111.339999999997</v>
      </c>
      <c r="Y25" s="784" t="s">
        <v>128</v>
      </c>
      <c r="Z25" s="784">
        <v>1</v>
      </c>
      <c r="AA25" s="784">
        <v>1</v>
      </c>
      <c r="AB25" s="731" t="s">
        <v>204</v>
      </c>
      <c r="AC25" s="773"/>
      <c r="AD25" t="e">
        <f>VLOOKUP(S25,#REF!,9,FALSE)</f>
        <v>#REF!</v>
      </c>
    </row>
    <row r="26" spans="1:30" ht="15.75" customHeight="1">
      <c r="A26" s="734"/>
      <c r="B26" s="734"/>
      <c r="C26" s="734"/>
      <c r="D26" s="734"/>
      <c r="E26" s="734"/>
      <c r="F26" s="734"/>
      <c r="G26" s="734"/>
      <c r="H26" s="734"/>
      <c r="I26" s="734"/>
      <c r="J26" s="734"/>
      <c r="K26" s="734"/>
      <c r="L26" s="734"/>
      <c r="M26" s="734"/>
      <c r="N26" s="734"/>
      <c r="O26" s="734"/>
      <c r="P26" s="734"/>
      <c r="R26" s="449" t="s">
        <v>630</v>
      </c>
      <c r="S26" s="784">
        <v>3331557721</v>
      </c>
      <c r="T26" s="787" t="s">
        <v>206</v>
      </c>
      <c r="U26" s="784">
        <v>24141142</v>
      </c>
      <c r="V26" s="784" t="s">
        <v>435</v>
      </c>
      <c r="W26" s="785" t="s">
        <v>205</v>
      </c>
      <c r="X26" s="786">
        <v>35824.415000000001</v>
      </c>
      <c r="Y26" s="784" t="s">
        <v>128</v>
      </c>
      <c r="Z26" s="784">
        <v>1</v>
      </c>
      <c r="AA26" s="784">
        <v>1</v>
      </c>
      <c r="AB26" s="731" t="s">
        <v>204</v>
      </c>
      <c r="AC26" s="773"/>
      <c r="AD26" t="e">
        <f>VLOOKUP(S26,#REF!,9,FALSE)</f>
        <v>#REF!</v>
      </c>
    </row>
    <row r="27" spans="1:30" ht="15.75" customHeight="1">
      <c r="A27" s="734"/>
      <c r="B27" s="734"/>
      <c r="C27" s="734"/>
      <c r="D27" s="734"/>
      <c r="E27" s="734"/>
      <c r="F27" s="734"/>
      <c r="G27" s="734"/>
      <c r="H27" s="734"/>
      <c r="I27" s="734"/>
      <c r="J27" s="734"/>
      <c r="K27" s="734"/>
      <c r="L27" s="734"/>
      <c r="M27" s="734"/>
      <c r="N27" s="734"/>
      <c r="O27" s="734"/>
      <c r="P27" s="734"/>
      <c r="R27" s="449" t="s">
        <v>630</v>
      </c>
      <c r="S27" s="784">
        <v>3331557725</v>
      </c>
      <c r="T27" s="787" t="s">
        <v>636</v>
      </c>
      <c r="U27" s="784">
        <v>24141139</v>
      </c>
      <c r="V27" s="784" t="s">
        <v>435</v>
      </c>
      <c r="W27" s="785" t="s">
        <v>205</v>
      </c>
      <c r="X27" s="786">
        <v>36297.485999999997</v>
      </c>
      <c r="Y27" s="784" t="s">
        <v>128</v>
      </c>
      <c r="Z27" s="784">
        <v>1</v>
      </c>
      <c r="AA27" s="784">
        <v>1</v>
      </c>
      <c r="AB27" s="613" t="s">
        <v>204</v>
      </c>
      <c r="AC27" s="773"/>
      <c r="AD27" t="e">
        <f>VLOOKUP(S27,#REF!,9,FALSE)</f>
        <v>#REF!</v>
      </c>
    </row>
    <row r="28" spans="1:30" ht="15.75" customHeight="1">
      <c r="A28" s="734"/>
      <c r="B28" s="734"/>
      <c r="C28" s="734"/>
      <c r="D28" s="734"/>
      <c r="E28" s="734"/>
      <c r="F28" s="734"/>
      <c r="G28" s="734"/>
      <c r="H28" s="734"/>
      <c r="I28" s="734"/>
      <c r="J28" s="734"/>
      <c r="K28" s="734"/>
      <c r="L28" s="734"/>
      <c r="M28" s="734"/>
      <c r="N28" s="734"/>
      <c r="O28" s="734"/>
      <c r="P28" s="734"/>
      <c r="R28" s="449" t="s">
        <v>630</v>
      </c>
      <c r="S28" s="784">
        <v>3331557728</v>
      </c>
      <c r="T28" s="787" t="s">
        <v>206</v>
      </c>
      <c r="U28" s="784">
        <v>24141144</v>
      </c>
      <c r="V28" s="784" t="s">
        <v>435</v>
      </c>
      <c r="W28" s="785" t="s">
        <v>205</v>
      </c>
      <c r="X28" s="786">
        <v>34546.04</v>
      </c>
      <c r="Y28" s="784" t="s">
        <v>128</v>
      </c>
      <c r="Z28" s="784">
        <v>1</v>
      </c>
      <c r="AA28" s="784">
        <v>1</v>
      </c>
      <c r="AB28" s="731" t="s">
        <v>204</v>
      </c>
      <c r="AC28" s="773"/>
      <c r="AD28" t="e">
        <f>VLOOKUP(S28,#REF!,9,FALSE)</f>
        <v>#REF!</v>
      </c>
    </row>
    <row r="29" spans="1:30" ht="15.75" customHeight="1">
      <c r="A29" s="734"/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449" t="s">
        <v>355</v>
      </c>
      <c r="S29" s="449">
        <v>3331557291</v>
      </c>
      <c r="T29" s="347" t="s">
        <v>27</v>
      </c>
      <c r="U29" s="784">
        <v>24141087</v>
      </c>
      <c r="V29" s="784" t="s">
        <v>629</v>
      </c>
      <c r="W29" s="785" t="s">
        <v>205</v>
      </c>
      <c r="X29" s="786">
        <v>25653</v>
      </c>
      <c r="Y29" s="784" t="s">
        <v>200</v>
      </c>
      <c r="Z29" s="449">
        <v>1</v>
      </c>
      <c r="AA29" s="449">
        <v>1</v>
      </c>
      <c r="AB29" s="731" t="s">
        <v>204</v>
      </c>
      <c r="AC29" s="773"/>
      <c r="AD29" t="e">
        <f>VLOOKUP(S29,#REF!,9,FALSE)</f>
        <v>#REF!</v>
      </c>
    </row>
    <row r="30" spans="1:30" ht="15.75" customHeight="1">
      <c r="A30" s="734"/>
      <c r="B30" s="734"/>
      <c r="C30" s="734"/>
      <c r="D30" s="734"/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449" t="s">
        <v>355</v>
      </c>
      <c r="S30" s="449">
        <v>3331557301</v>
      </c>
      <c r="T30" s="347" t="s">
        <v>27</v>
      </c>
      <c r="U30" s="784">
        <v>24141090</v>
      </c>
      <c r="V30" s="784" t="s">
        <v>629</v>
      </c>
      <c r="W30" s="785" t="s">
        <v>205</v>
      </c>
      <c r="X30" s="786">
        <v>24413.105</v>
      </c>
      <c r="Y30" s="784" t="s">
        <v>200</v>
      </c>
      <c r="Z30" s="449">
        <v>1</v>
      </c>
      <c r="AA30" s="449">
        <v>1</v>
      </c>
      <c r="AB30" s="731" t="s">
        <v>204</v>
      </c>
      <c r="AC30" s="773"/>
      <c r="AD30" t="e">
        <f>VLOOKUP(S30,#REF!,9,FALSE)</f>
        <v>#REF!</v>
      </c>
    </row>
    <row r="31" spans="1:30" ht="15.75" customHeight="1">
      <c r="A31" s="734"/>
      <c r="B31" s="734"/>
      <c r="C31" s="734"/>
      <c r="D31" s="734"/>
      <c r="E31" s="734"/>
      <c r="F31" s="734"/>
      <c r="G31" s="734"/>
      <c r="H31" s="734"/>
      <c r="I31" s="734"/>
      <c r="J31" s="734"/>
      <c r="K31" s="734"/>
      <c r="L31" s="734"/>
      <c r="M31" s="734"/>
      <c r="N31" s="734"/>
      <c r="O31" s="734"/>
      <c r="P31" s="734"/>
      <c r="R31" s="449" t="s">
        <v>355</v>
      </c>
      <c r="S31" s="449">
        <v>3331557360</v>
      </c>
      <c r="T31" s="347" t="s">
        <v>27</v>
      </c>
      <c r="U31" s="784">
        <v>24141102</v>
      </c>
      <c r="V31" s="784" t="s">
        <v>629</v>
      </c>
      <c r="W31" s="785" t="s">
        <v>205</v>
      </c>
      <c r="X31" s="786">
        <v>25353.715</v>
      </c>
      <c r="Y31" s="784" t="s">
        <v>200</v>
      </c>
      <c r="Z31" s="449">
        <v>1</v>
      </c>
      <c r="AA31" s="449">
        <v>1</v>
      </c>
      <c r="AB31" s="731" t="s">
        <v>204</v>
      </c>
      <c r="AC31" s="773"/>
      <c r="AD31" t="e">
        <f>VLOOKUP(S31,#REF!,9,FALSE)</f>
        <v>#REF!</v>
      </c>
    </row>
    <row r="32" spans="1:30" ht="15.75" customHeight="1">
      <c r="A32" s="734"/>
      <c r="B32" s="734"/>
      <c r="C32" s="734"/>
      <c r="D32" s="734"/>
      <c r="E32" s="734"/>
      <c r="F32" s="734"/>
      <c r="G32" s="734"/>
      <c r="H32" s="734"/>
      <c r="I32" s="734"/>
      <c r="J32" s="734"/>
      <c r="K32" s="734"/>
      <c r="L32" s="734"/>
      <c r="M32" s="734"/>
      <c r="N32" s="734"/>
      <c r="O32" s="734"/>
      <c r="P32" s="734"/>
      <c r="R32" s="449" t="s">
        <v>630</v>
      </c>
      <c r="S32" s="792">
        <v>3331557661</v>
      </c>
      <c r="T32" s="612" t="s">
        <v>27</v>
      </c>
      <c r="U32" s="784">
        <v>24141125</v>
      </c>
      <c r="V32" s="784" t="s">
        <v>150</v>
      </c>
      <c r="W32" s="785" t="s">
        <v>199</v>
      </c>
      <c r="X32" s="786">
        <f>9805.482+16600.51</f>
        <v>26405.991999999998</v>
      </c>
      <c r="Y32" s="784" t="s">
        <v>200</v>
      </c>
      <c r="Z32" s="784">
        <v>1</v>
      </c>
      <c r="AA32" s="784">
        <v>1</v>
      </c>
      <c r="AB32" s="731" t="s">
        <v>204</v>
      </c>
      <c r="AC32" s="773"/>
      <c r="AD32" t="e">
        <f>VLOOKUP(S32,#REF!,9,FALSE)</f>
        <v>#REF!</v>
      </c>
    </row>
    <row r="33" spans="1:30" ht="15.75" customHeight="1">
      <c r="A33" s="734"/>
      <c r="B33" s="734"/>
      <c r="C33" s="734"/>
      <c r="D33" s="734"/>
      <c r="E33" s="734"/>
      <c r="F33" s="734"/>
      <c r="G33" s="734"/>
      <c r="H33" s="734"/>
      <c r="I33" s="734"/>
      <c r="J33" s="734"/>
      <c r="K33" s="734"/>
      <c r="L33" s="734"/>
      <c r="M33" s="734"/>
      <c r="N33" s="734"/>
      <c r="O33" s="734"/>
      <c r="P33" s="734"/>
      <c r="R33" s="449" t="s">
        <v>630</v>
      </c>
      <c r="S33" s="792">
        <v>3331557664</v>
      </c>
      <c r="T33" s="784" t="s">
        <v>256</v>
      </c>
      <c r="U33" s="784" t="s">
        <v>256</v>
      </c>
      <c r="V33" s="784" t="s">
        <v>256</v>
      </c>
      <c r="W33" s="785" t="s">
        <v>256</v>
      </c>
      <c r="X33" s="786" t="s">
        <v>256</v>
      </c>
      <c r="Y33" s="784" t="s">
        <v>256</v>
      </c>
      <c r="Z33" s="784" t="s">
        <v>256</v>
      </c>
      <c r="AA33" s="784" t="s">
        <v>256</v>
      </c>
      <c r="AB33" s="731" t="s">
        <v>256</v>
      </c>
      <c r="AC33" s="773"/>
      <c r="AD33" t="e">
        <f>VLOOKUP(S33,#REF!,9,FALSE)</f>
        <v>#REF!</v>
      </c>
    </row>
    <row r="34" spans="1:30" ht="15.75" customHeight="1">
      <c r="A34" s="734"/>
      <c r="B34" s="734"/>
      <c r="C34" s="734"/>
      <c r="D34" s="734"/>
      <c r="E34" s="734"/>
      <c r="F34" s="734"/>
      <c r="G34" s="734"/>
      <c r="H34" s="734"/>
      <c r="I34" s="734"/>
      <c r="J34" s="734"/>
      <c r="K34" s="734"/>
      <c r="L34" s="734"/>
      <c r="M34" s="734"/>
      <c r="N34" s="734"/>
      <c r="O34" s="734"/>
      <c r="P34" s="734"/>
      <c r="R34" s="449" t="s">
        <v>630</v>
      </c>
      <c r="S34" s="784">
        <v>3331557668</v>
      </c>
      <c r="T34" s="787" t="s">
        <v>336</v>
      </c>
      <c r="U34" s="784">
        <v>24141126</v>
      </c>
      <c r="V34" s="784" t="s">
        <v>529</v>
      </c>
      <c r="W34" s="785" t="s">
        <v>434</v>
      </c>
      <c r="X34" s="786">
        <v>41974.343000000001</v>
      </c>
      <c r="Y34" s="784" t="s">
        <v>128</v>
      </c>
      <c r="Z34" s="784">
        <v>1</v>
      </c>
      <c r="AA34" s="784">
        <v>1</v>
      </c>
      <c r="AB34" s="731" t="s">
        <v>204</v>
      </c>
      <c r="AC34" s="773"/>
      <c r="AD34" t="e">
        <f>VLOOKUP(S34,#REF!,9,FALSE)</f>
        <v>#REF!</v>
      </c>
    </row>
    <row r="35" spans="1:30" ht="15.75" customHeight="1">
      <c r="A35" s="734"/>
      <c r="B35" s="734"/>
      <c r="C35" s="734"/>
      <c r="D35" s="734"/>
      <c r="E35" s="734"/>
      <c r="F35" s="734"/>
      <c r="G35" s="734"/>
      <c r="H35" s="734"/>
      <c r="I35" s="734"/>
      <c r="J35" s="734"/>
      <c r="K35" s="734"/>
      <c r="L35" s="734"/>
      <c r="M35" s="734"/>
      <c r="N35" s="734"/>
      <c r="O35" s="734"/>
      <c r="P35" s="734"/>
      <c r="R35" s="449" t="s">
        <v>630</v>
      </c>
      <c r="S35" s="784">
        <v>3331557670</v>
      </c>
      <c r="T35" s="787" t="s">
        <v>336</v>
      </c>
      <c r="U35" s="784">
        <v>24141127</v>
      </c>
      <c r="V35" s="784" t="s">
        <v>529</v>
      </c>
      <c r="W35" s="785" t="s">
        <v>434</v>
      </c>
      <c r="X35" s="786">
        <v>41974.345999999998</v>
      </c>
      <c r="Y35" s="784" t="s">
        <v>128</v>
      </c>
      <c r="Z35" s="784">
        <v>1</v>
      </c>
      <c r="AA35" s="784">
        <v>1</v>
      </c>
      <c r="AB35" s="731" t="s">
        <v>204</v>
      </c>
      <c r="AC35" s="773"/>
      <c r="AD35" t="e">
        <f>VLOOKUP(S35,#REF!,9,FALSE)</f>
        <v>#REF!</v>
      </c>
    </row>
    <row r="36" spans="1:30" ht="15.75" customHeight="1">
      <c r="E36" s="734"/>
      <c r="F36" s="734"/>
      <c r="G36" s="734"/>
      <c r="H36" s="734"/>
      <c r="I36" s="734"/>
      <c r="J36" s="734"/>
      <c r="K36" s="734"/>
      <c r="L36" s="734"/>
      <c r="M36" s="734"/>
      <c r="N36" s="734"/>
      <c r="O36" s="734"/>
      <c r="P36" s="734"/>
      <c r="R36" s="732" t="s">
        <v>630</v>
      </c>
      <c r="S36" s="772">
        <v>3331557672</v>
      </c>
      <c r="T36" s="781" t="s">
        <v>336</v>
      </c>
      <c r="U36" s="772">
        <v>24141128</v>
      </c>
      <c r="V36" s="772" t="s">
        <v>529</v>
      </c>
      <c r="W36" s="774" t="s">
        <v>434</v>
      </c>
      <c r="X36" s="775">
        <v>42060.357000000004</v>
      </c>
      <c r="Y36" s="772" t="s">
        <v>128</v>
      </c>
      <c r="Z36" s="772">
        <v>1</v>
      </c>
      <c r="AA36" s="772">
        <v>1</v>
      </c>
      <c r="AB36" s="722" t="s">
        <v>207</v>
      </c>
      <c r="AC36" s="773"/>
      <c r="AD36" t="e">
        <f>VLOOKUP(S36,#REF!,9,FALSE)</f>
        <v>#REF!</v>
      </c>
    </row>
    <row r="37" spans="1:30" ht="15.6">
      <c r="E37" s="734"/>
      <c r="F37" s="734"/>
      <c r="G37" s="734"/>
      <c r="H37" s="734"/>
      <c r="I37" s="734"/>
      <c r="J37" s="734"/>
      <c r="K37" s="734"/>
      <c r="L37" s="734"/>
      <c r="M37" s="734"/>
      <c r="N37" s="734"/>
      <c r="O37" s="734"/>
      <c r="P37" s="734"/>
      <c r="R37" s="449" t="s">
        <v>630</v>
      </c>
      <c r="S37" s="784">
        <v>3331557679</v>
      </c>
      <c r="T37" s="784" t="s">
        <v>34</v>
      </c>
      <c r="U37" s="784">
        <v>24141129</v>
      </c>
      <c r="V37" s="784" t="s">
        <v>158</v>
      </c>
      <c r="W37" s="785" t="s">
        <v>199</v>
      </c>
      <c r="X37" s="786">
        <v>24926.668000000001</v>
      </c>
      <c r="Y37" s="784" t="s">
        <v>200</v>
      </c>
      <c r="Z37" s="784">
        <v>1</v>
      </c>
      <c r="AA37" s="784">
        <v>1</v>
      </c>
      <c r="AB37" s="613" t="s">
        <v>204</v>
      </c>
      <c r="AC37" s="773"/>
      <c r="AD37" t="e">
        <f>VLOOKUP(S37,#REF!,9,FALSE)</f>
        <v>#REF!</v>
      </c>
    </row>
    <row r="38" spans="1:30" ht="15.6">
      <c r="E38" s="734"/>
      <c r="F38" s="734"/>
      <c r="G38" s="734"/>
      <c r="H38" s="734"/>
      <c r="I38" s="734"/>
      <c r="J38" s="734"/>
      <c r="K38" s="734"/>
      <c r="L38" s="734"/>
      <c r="M38" s="734"/>
      <c r="N38" s="734"/>
      <c r="O38" s="734"/>
      <c r="P38" s="734"/>
      <c r="R38" s="449" t="s">
        <v>630</v>
      </c>
      <c r="S38" s="784">
        <v>3331557689</v>
      </c>
      <c r="T38" s="784" t="s">
        <v>34</v>
      </c>
      <c r="U38" s="784">
        <v>24141130</v>
      </c>
      <c r="V38" s="784" t="s">
        <v>158</v>
      </c>
      <c r="W38" s="785" t="s">
        <v>199</v>
      </c>
      <c r="X38" s="786">
        <v>24157.078000000001</v>
      </c>
      <c r="Y38" s="784" t="s">
        <v>200</v>
      </c>
      <c r="Z38" s="784">
        <v>1</v>
      </c>
      <c r="AA38" s="784">
        <v>1</v>
      </c>
      <c r="AB38" s="613" t="s">
        <v>204</v>
      </c>
      <c r="AC38" s="773"/>
      <c r="AD38" t="e">
        <f>VLOOKUP(S38,#REF!,9,FALSE)</f>
        <v>#REF!</v>
      </c>
    </row>
    <row r="39" spans="1:30" ht="15.6">
      <c r="E39" s="734"/>
      <c r="F39" s="734"/>
      <c r="G39" s="734"/>
      <c r="H39" s="734"/>
      <c r="I39" s="734"/>
      <c r="J39" s="734"/>
      <c r="K39" s="734"/>
      <c r="L39" s="734"/>
      <c r="M39" s="734"/>
      <c r="N39" s="734"/>
      <c r="O39" s="734"/>
      <c r="P39" s="734"/>
      <c r="R39" s="449" t="s">
        <v>630</v>
      </c>
      <c r="S39" s="784">
        <v>3331557658</v>
      </c>
      <c r="T39" s="784" t="s">
        <v>11</v>
      </c>
      <c r="U39" s="784">
        <v>24141131</v>
      </c>
      <c r="V39" s="784" t="s">
        <v>219</v>
      </c>
      <c r="W39" s="785" t="s">
        <v>199</v>
      </c>
      <c r="X39" s="786">
        <v>26110.503000000001</v>
      </c>
      <c r="Y39" s="784" t="s">
        <v>200</v>
      </c>
      <c r="Z39" s="784">
        <v>1</v>
      </c>
      <c r="AA39" s="784">
        <v>1</v>
      </c>
      <c r="AB39" s="731" t="s">
        <v>204</v>
      </c>
      <c r="AC39" s="773"/>
      <c r="AD39" t="e">
        <f>VLOOKUP(S39,#REF!,9,FALSE)</f>
        <v>#REF!</v>
      </c>
    </row>
    <row r="40" spans="1:30" ht="15.6">
      <c r="R40" s="449" t="s">
        <v>630</v>
      </c>
      <c r="S40" s="792">
        <v>3331557690</v>
      </c>
      <c r="T40" s="784" t="s">
        <v>27</v>
      </c>
      <c r="U40" s="784">
        <v>24141132</v>
      </c>
      <c r="V40" s="784" t="s">
        <v>158</v>
      </c>
      <c r="W40" s="785" t="s">
        <v>199</v>
      </c>
      <c r="X40" s="786">
        <v>24755.648000000001</v>
      </c>
      <c r="Y40" s="784" t="s">
        <v>200</v>
      </c>
      <c r="Z40" s="784">
        <v>1</v>
      </c>
      <c r="AA40" s="784">
        <v>1</v>
      </c>
      <c r="AB40" s="731" t="s">
        <v>204</v>
      </c>
      <c r="AC40" s="773"/>
      <c r="AD40" t="e">
        <f>VLOOKUP(S40,#REF!,9,FALSE)</f>
        <v>#REF!</v>
      </c>
    </row>
    <row r="41" spans="1:30" ht="15.6">
      <c r="R41" s="449" t="s">
        <v>630</v>
      </c>
      <c r="S41" s="784">
        <v>3331557695</v>
      </c>
      <c r="T41" s="784" t="s">
        <v>34</v>
      </c>
      <c r="U41" s="784">
        <v>24141133</v>
      </c>
      <c r="V41" s="784" t="s">
        <v>491</v>
      </c>
      <c r="W41" s="785" t="s">
        <v>199</v>
      </c>
      <c r="X41" s="786">
        <v>24755.648000000001</v>
      </c>
      <c r="Y41" s="784" t="s">
        <v>200</v>
      </c>
      <c r="Z41" s="784">
        <v>1</v>
      </c>
      <c r="AA41" s="784">
        <v>1</v>
      </c>
      <c r="AB41" s="731" t="s">
        <v>204</v>
      </c>
      <c r="AC41" s="773"/>
      <c r="AD41" t="e">
        <f>VLOOKUP(S41,#REF!,9,FALSE)</f>
        <v>#REF!</v>
      </c>
    </row>
    <row r="42" spans="1:30" ht="15.6">
      <c r="R42" s="449" t="s">
        <v>630</v>
      </c>
      <c r="S42" s="784">
        <v>3331557706</v>
      </c>
      <c r="T42" s="784" t="s">
        <v>287</v>
      </c>
      <c r="U42" s="784">
        <v>24141134</v>
      </c>
      <c r="V42" s="784" t="s">
        <v>491</v>
      </c>
      <c r="W42" s="785" t="s">
        <v>199</v>
      </c>
      <c r="X42" s="786">
        <v>25876.330999999998</v>
      </c>
      <c r="Y42" s="784" t="s">
        <v>200</v>
      </c>
      <c r="Z42" s="784">
        <v>1</v>
      </c>
      <c r="AA42" s="784">
        <v>1</v>
      </c>
      <c r="AB42" s="731" t="s">
        <v>204</v>
      </c>
      <c r="AC42" s="773"/>
      <c r="AD42" t="e">
        <f>VLOOKUP(S42,#REF!,9,FALSE)</f>
        <v>#REF!</v>
      </c>
    </row>
    <row r="43" spans="1:30" ht="15.6">
      <c r="R43" s="449" t="s">
        <v>623</v>
      </c>
      <c r="S43" s="784">
        <v>3331557018</v>
      </c>
      <c r="T43" s="795" t="s">
        <v>206</v>
      </c>
      <c r="U43" s="784">
        <v>24141067</v>
      </c>
      <c r="V43" s="784" t="s">
        <v>173</v>
      </c>
      <c r="W43" s="785" t="s">
        <v>205</v>
      </c>
      <c r="X43" s="786">
        <v>41045.557000000001</v>
      </c>
      <c r="Y43" s="784" t="s">
        <v>128</v>
      </c>
      <c r="Z43" s="784">
        <v>1</v>
      </c>
      <c r="AA43" s="784">
        <v>1</v>
      </c>
      <c r="AB43" s="731" t="s">
        <v>204</v>
      </c>
      <c r="AC43" s="773"/>
      <c r="AD43" t="e">
        <f>VLOOKUP(S43,#REF!,9,FALSE)</f>
        <v>#REF!</v>
      </c>
    </row>
    <row r="44" spans="1:30" ht="15.6">
      <c r="R44" s="449" t="s">
        <v>630</v>
      </c>
      <c r="S44" s="784">
        <v>3331557717</v>
      </c>
      <c r="T44" s="784" t="s">
        <v>27</v>
      </c>
      <c r="U44" s="784">
        <v>24141137</v>
      </c>
      <c r="V44" s="784" t="s">
        <v>491</v>
      </c>
      <c r="W44" s="785" t="s">
        <v>199</v>
      </c>
      <c r="X44" s="786">
        <v>23268.780999999999</v>
      </c>
      <c r="Y44" s="784" t="s">
        <v>200</v>
      </c>
      <c r="Z44" s="784">
        <v>1</v>
      </c>
      <c r="AA44" s="784">
        <v>1</v>
      </c>
      <c r="AB44" s="731" t="s">
        <v>204</v>
      </c>
      <c r="AC44" s="773"/>
      <c r="AD44" t="e">
        <f>VLOOKUP(S44,#REF!,9,FALSE)</f>
        <v>#REF!</v>
      </c>
    </row>
    <row r="45" spans="1:30" ht="15.6">
      <c r="R45" s="449" t="s">
        <v>630</v>
      </c>
      <c r="S45" s="784">
        <v>3331557727</v>
      </c>
      <c r="T45" s="784" t="s">
        <v>27</v>
      </c>
      <c r="U45" s="784">
        <v>24141146</v>
      </c>
      <c r="V45" s="784" t="s">
        <v>491</v>
      </c>
      <c r="W45" s="785" t="s">
        <v>199</v>
      </c>
      <c r="X45" s="786">
        <f>4036.071+16925.951+3699.062</f>
        <v>24661.084000000003</v>
      </c>
      <c r="Y45" s="784" t="s">
        <v>200</v>
      </c>
      <c r="Z45" s="784">
        <v>1</v>
      </c>
      <c r="AA45" s="784">
        <v>1</v>
      </c>
      <c r="AB45" s="731" t="s">
        <v>204</v>
      </c>
      <c r="AC45" s="773"/>
      <c r="AD45" t="e">
        <f>VLOOKUP(S45,#REF!,9,FALSE)</f>
        <v>#REF!</v>
      </c>
    </row>
    <row r="46" spans="1:30" ht="15.6">
      <c r="R46" s="449" t="s">
        <v>630</v>
      </c>
      <c r="S46" s="784">
        <v>3331557741</v>
      </c>
      <c r="T46" s="784" t="s">
        <v>256</v>
      </c>
      <c r="U46" s="784" t="s">
        <v>256</v>
      </c>
      <c r="V46" s="784" t="s">
        <v>256</v>
      </c>
      <c r="W46" s="785" t="s">
        <v>256</v>
      </c>
      <c r="X46" s="786" t="s">
        <v>256</v>
      </c>
      <c r="Y46" s="784" t="s">
        <v>256</v>
      </c>
      <c r="Z46" s="784" t="s">
        <v>256</v>
      </c>
      <c r="AA46" s="784" t="s">
        <v>256</v>
      </c>
      <c r="AB46" s="731" t="s">
        <v>256</v>
      </c>
      <c r="AC46" s="773"/>
      <c r="AD46" t="e">
        <f>VLOOKUP(S46,#REF!,9,FALSE)</f>
        <v>#REF!</v>
      </c>
    </row>
    <row r="47" spans="1:30" ht="15.6">
      <c r="R47" s="449" t="s">
        <v>630</v>
      </c>
      <c r="S47" s="784">
        <v>3331557759</v>
      </c>
      <c r="T47" s="784" t="s">
        <v>256</v>
      </c>
      <c r="U47" s="784" t="s">
        <v>256</v>
      </c>
      <c r="V47" s="784" t="s">
        <v>256</v>
      </c>
      <c r="W47" s="785" t="s">
        <v>256</v>
      </c>
      <c r="X47" s="786" t="s">
        <v>256</v>
      </c>
      <c r="Y47" s="784" t="s">
        <v>256</v>
      </c>
      <c r="Z47" s="784" t="s">
        <v>256</v>
      </c>
      <c r="AA47" s="784" t="s">
        <v>256</v>
      </c>
      <c r="AB47" s="731" t="s">
        <v>256</v>
      </c>
      <c r="AC47" s="773"/>
      <c r="AD47" t="e">
        <f>VLOOKUP(S47,#REF!,9,FALSE)</f>
        <v>#REF!</v>
      </c>
    </row>
    <row r="48" spans="1:30" ht="15.6">
      <c r="R48" s="449" t="s">
        <v>630</v>
      </c>
      <c r="S48" s="784">
        <v>3331557811</v>
      </c>
      <c r="T48" s="794" t="s">
        <v>27</v>
      </c>
      <c r="U48" s="784">
        <v>24141153</v>
      </c>
      <c r="V48" s="784" t="s">
        <v>368</v>
      </c>
      <c r="W48" s="785" t="s">
        <v>340</v>
      </c>
      <c r="X48" s="786">
        <v>24854.774000000001</v>
      </c>
      <c r="Y48" s="784" t="s">
        <v>200</v>
      </c>
      <c r="Z48" s="784">
        <v>1</v>
      </c>
      <c r="AA48" s="784">
        <v>1</v>
      </c>
      <c r="AB48" s="731" t="s">
        <v>204</v>
      </c>
      <c r="AC48" s="773"/>
      <c r="AD48" t="e">
        <f>VLOOKUP(S48,#REF!,9,FALSE)</f>
        <v>#REF!</v>
      </c>
    </row>
    <row r="49" spans="18:30" ht="15.6">
      <c r="R49" s="732" t="s">
        <v>630</v>
      </c>
      <c r="S49" s="772">
        <v>3331557814</v>
      </c>
      <c r="T49" s="772" t="s">
        <v>34</v>
      </c>
      <c r="U49" s="772">
        <v>24141154</v>
      </c>
      <c r="V49" s="772" t="s">
        <v>368</v>
      </c>
      <c r="W49" s="774" t="s">
        <v>340</v>
      </c>
      <c r="X49" s="775">
        <v>24854.774000000001</v>
      </c>
      <c r="Y49" s="772" t="s">
        <v>200</v>
      </c>
      <c r="Z49" s="772">
        <v>1</v>
      </c>
      <c r="AA49" s="772">
        <v>1</v>
      </c>
      <c r="AB49" s="722" t="s">
        <v>207</v>
      </c>
      <c r="AC49" s="773"/>
      <c r="AD49" t="e">
        <f>VLOOKUP(S49,#REF!,9,FALSE)</f>
        <v>#REF!</v>
      </c>
    </row>
    <row r="50" spans="18:30" ht="15.6">
      <c r="R50" s="732" t="s">
        <v>630</v>
      </c>
      <c r="S50" s="772">
        <v>3331557821</v>
      </c>
      <c r="T50" s="776" t="s">
        <v>189</v>
      </c>
      <c r="U50" s="772">
        <v>24141155</v>
      </c>
      <c r="V50" s="772" t="s">
        <v>368</v>
      </c>
      <c r="W50" s="774" t="s">
        <v>340</v>
      </c>
      <c r="X50" s="775">
        <v>24854.774000000001</v>
      </c>
      <c r="Y50" s="772" t="s">
        <v>200</v>
      </c>
      <c r="Z50" s="772">
        <v>1</v>
      </c>
      <c r="AA50" s="772">
        <v>1</v>
      </c>
      <c r="AB50" s="722" t="s">
        <v>207</v>
      </c>
      <c r="AC50" s="773"/>
    </row>
    <row r="51" spans="18:30" ht="15.6">
      <c r="R51" s="732" t="s">
        <v>630</v>
      </c>
      <c r="S51" s="772">
        <v>3331557822</v>
      </c>
      <c r="T51" s="776" t="s">
        <v>189</v>
      </c>
      <c r="U51" s="772">
        <v>24141156</v>
      </c>
      <c r="V51" s="772" t="s">
        <v>368</v>
      </c>
      <c r="W51" s="774" t="s">
        <v>340</v>
      </c>
      <c r="X51" s="775">
        <v>26807.887999999999</v>
      </c>
      <c r="Y51" s="772" t="s">
        <v>200</v>
      </c>
      <c r="Z51" s="772">
        <v>1</v>
      </c>
      <c r="AA51" s="772">
        <v>1</v>
      </c>
      <c r="AB51" s="722" t="s">
        <v>207</v>
      </c>
      <c r="AC51" s="773"/>
    </row>
    <row r="52" spans="18:30" ht="15.6">
      <c r="R52" s="732" t="s">
        <v>637</v>
      </c>
      <c r="S52" s="772">
        <v>3331557824</v>
      </c>
      <c r="T52" s="776" t="s">
        <v>189</v>
      </c>
      <c r="U52" s="772">
        <v>24141157</v>
      </c>
      <c r="V52" s="772" t="s">
        <v>368</v>
      </c>
      <c r="W52" s="774" t="s">
        <v>340</v>
      </c>
      <c r="X52" s="775">
        <v>26722.378000000001</v>
      </c>
      <c r="Y52" s="772" t="s">
        <v>200</v>
      </c>
      <c r="Z52" s="772">
        <v>1</v>
      </c>
      <c r="AA52" s="772">
        <v>1</v>
      </c>
      <c r="AB52" s="722" t="s">
        <v>207</v>
      </c>
      <c r="AC52" s="773"/>
    </row>
    <row r="53" spans="18:30" ht="15.6">
      <c r="R53" s="732" t="s">
        <v>637</v>
      </c>
      <c r="S53" s="772">
        <v>3331557825</v>
      </c>
      <c r="T53" s="776" t="s">
        <v>189</v>
      </c>
      <c r="U53" s="772">
        <v>24141158</v>
      </c>
      <c r="V53" s="772" t="s">
        <v>368</v>
      </c>
      <c r="W53" s="774" t="s">
        <v>340</v>
      </c>
      <c r="X53" s="775">
        <v>24948.799999999999</v>
      </c>
      <c r="Y53" s="772" t="s">
        <v>200</v>
      </c>
      <c r="Z53" s="772">
        <v>1</v>
      </c>
      <c r="AA53" s="772">
        <v>1</v>
      </c>
      <c r="AB53" s="722" t="s">
        <v>207</v>
      </c>
      <c r="AC53" s="773"/>
    </row>
    <row r="54" spans="18:30" ht="15.6">
      <c r="R54" s="732"/>
      <c r="S54" s="772"/>
      <c r="T54" s="776"/>
      <c r="U54" s="772"/>
      <c r="V54" s="772"/>
      <c r="W54" s="774"/>
      <c r="X54" s="775"/>
      <c r="Y54" s="772"/>
      <c r="Z54" s="772"/>
      <c r="AA54" s="772"/>
      <c r="AB54" s="722"/>
      <c r="AC54" s="773"/>
      <c r="AD54" t="e">
        <f>VLOOKUP(S54,#REF!,9,FALSE)</f>
        <v>#REF!</v>
      </c>
    </row>
    <row r="55" spans="18:30" ht="15.6">
      <c r="R55" s="732"/>
      <c r="S55" s="772"/>
      <c r="T55" s="776"/>
      <c r="U55" s="772"/>
      <c r="V55" s="772"/>
      <c r="W55" s="774"/>
      <c r="X55" s="775"/>
      <c r="Y55" s="772"/>
      <c r="Z55" s="772"/>
      <c r="AA55" s="772"/>
      <c r="AB55" s="722"/>
      <c r="AC55" s="773"/>
      <c r="AD55" t="e">
        <f>VLOOKUP(S55,#REF!,9,FALSE)</f>
        <v>#REF!</v>
      </c>
    </row>
    <row r="58" spans="18:30">
      <c r="V58" s="1548">
        <f ca="1">TODAY()</f>
        <v>45977</v>
      </c>
      <c r="W58" s="1554"/>
    </row>
    <row r="59" spans="18:30">
      <c r="V59" s="1555"/>
      <c r="W59" s="1556"/>
    </row>
    <row r="60" spans="18:30" ht="33.6">
      <c r="V60" s="512" t="s">
        <v>307</v>
      </c>
      <c r="W60" s="513">
        <f>SUM(Z3:Z55)</f>
        <v>45</v>
      </c>
    </row>
    <row r="61" spans="18:30" ht="33.6">
      <c r="V61" s="432" t="s">
        <v>201</v>
      </c>
      <c r="W61" s="434">
        <f>SUM(AA3:AA55)</f>
        <v>37</v>
      </c>
    </row>
    <row r="62" spans="18:30" ht="33.6">
      <c r="V62" s="545" t="s">
        <v>249</v>
      </c>
      <c r="W62" s="546">
        <f>W60-W61</f>
        <v>8</v>
      </c>
      <c r="X62" t="s">
        <v>638</v>
      </c>
    </row>
    <row r="63" spans="18:30" ht="33.6">
      <c r="V63" s="351" t="s">
        <v>265</v>
      </c>
      <c r="W63" s="315">
        <f>COUNTIF($AB$3:$AB$1066,"MASUK")</f>
        <v>36</v>
      </c>
    </row>
    <row r="64" spans="18:30" ht="33.6">
      <c r="V64" s="766" t="s">
        <v>207</v>
      </c>
      <c r="W64" s="765">
        <f>COUNTIF($AB$3:$AB$1066,"BELUM MASUK")</f>
        <v>9</v>
      </c>
    </row>
    <row r="65" spans="18:29" ht="33.6">
      <c r="R65" s="44"/>
      <c r="S65" s="44"/>
      <c r="T65" s="44"/>
      <c r="U65" s="44"/>
      <c r="V65" s="766" t="s">
        <v>220</v>
      </c>
      <c r="W65" s="765">
        <f>COUNTIF($Y$3:$Y$1066,"TRONTON")</f>
        <v>29</v>
      </c>
      <c r="X65" s="44"/>
      <c r="Y65" s="44"/>
      <c r="Z65" s="44"/>
      <c r="AA65" s="44"/>
      <c r="AB65" s="44"/>
      <c r="AC65" s="44"/>
    </row>
    <row r="66" spans="18:29" ht="33.6">
      <c r="R66" s="44"/>
      <c r="S66" s="44"/>
      <c r="T66" s="44"/>
      <c r="U66" s="44"/>
      <c r="V66" s="766" t="s">
        <v>128</v>
      </c>
      <c r="W66" s="765">
        <f>COUNTIF($Y$3:$Y$1066,"TRAILER")</f>
        <v>12</v>
      </c>
      <c r="X66" s="44"/>
      <c r="Y66" s="44"/>
      <c r="Z66" s="44"/>
      <c r="AA66" s="44"/>
      <c r="AB66" s="44"/>
      <c r="AC66" s="44"/>
    </row>
    <row r="67" spans="18:29" ht="33.6">
      <c r="R67" s="44"/>
      <c r="S67" s="44"/>
      <c r="T67" s="44"/>
      <c r="U67" s="44"/>
      <c r="V67" s="766" t="s">
        <v>639</v>
      </c>
      <c r="W67" s="765">
        <f>COUNTIF($Y$3:$Y$1066,"WING BOX")</f>
        <v>4</v>
      </c>
      <c r="X67" s="44"/>
      <c r="Y67" s="44"/>
      <c r="Z67" s="44"/>
      <c r="AA67" s="44"/>
      <c r="AB67" s="44"/>
      <c r="AC67" s="44"/>
    </row>
  </sheetData>
  <protectedRanges>
    <protectedRange algorithmName="SHA-512" hashValue="XYWjC+iAz2ErgjMh7TSLHlxfTfK0uVcITDFdCCZFdnsWWbUNnsQqu9AM+0WFXQpYcy9ZvQx2KUXfpLhpOROHkg==" saltValue="47TiGLG0rJVTo3iAJH8T4w==" spinCount="100000" sqref="B21:D22" name="Range2_5"/>
    <protectedRange algorithmName="SHA-512" hashValue="24Yg3M703G5L8OyJWxlkx8c1Gwfrkael5W/l3TUk/Rcz5tR8QOgCx5v0Ebb/UGz+9BDKPJ5wV4hH8uuxvmtGIw==" saltValue="ZSJQ8EEnwGxsiYzxIw6K0Q==" spinCount="100000" sqref="E4:P39 B4:D38" name="Range1_65"/>
  </protectedRanges>
  <mergeCells count="23">
    <mergeCell ref="J10:L10"/>
    <mergeCell ref="N10:P10"/>
    <mergeCell ref="A3:A4"/>
    <mergeCell ref="B3:D3"/>
    <mergeCell ref="F3:H3"/>
    <mergeCell ref="J3:L3"/>
    <mergeCell ref="N3:P3"/>
    <mergeCell ref="A19:A20"/>
    <mergeCell ref="B19:D19"/>
    <mergeCell ref="V58:W59"/>
    <mergeCell ref="F1:H1"/>
    <mergeCell ref="J1:L1"/>
    <mergeCell ref="F2:H2"/>
    <mergeCell ref="J2:L2"/>
    <mergeCell ref="N2:P2"/>
    <mergeCell ref="F9:H9"/>
    <mergeCell ref="J9:L9"/>
    <mergeCell ref="N9:P9"/>
    <mergeCell ref="F8:H8"/>
    <mergeCell ref="J8:L8"/>
    <mergeCell ref="A10:A11"/>
    <mergeCell ref="B10:D10"/>
    <mergeCell ref="F10:H10"/>
  </mergeCells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7933-44D2-41AB-9EB9-216E9A5CF335}">
  <dimension ref="A1:AC82"/>
  <sheetViews>
    <sheetView zoomScale="55" zoomScaleNormal="55" workbookViewId="0">
      <selection activeCell="C21" sqref="C21"/>
    </sheetView>
  </sheetViews>
  <sheetFormatPr defaultRowHeight="14.4"/>
  <cols>
    <col min="1" max="1" width="43" bestFit="1" customWidth="1"/>
    <col min="2" max="4" width="12.88671875" customWidth="1"/>
    <col min="5" max="5" width="3.5546875" customWidth="1"/>
    <col min="6" max="8" width="16.44140625" customWidth="1"/>
    <col min="9" max="9" width="3" customWidth="1"/>
    <col min="10" max="12" width="16.33203125" customWidth="1"/>
    <col min="13" max="13" width="3" customWidth="1"/>
    <col min="14" max="16" width="34.6640625" customWidth="1"/>
    <col min="18" max="18" width="11" bestFit="1" customWidth="1"/>
    <col min="19" max="19" width="12" bestFit="1" customWidth="1"/>
    <col min="20" max="20" width="16.44140625" bestFit="1" customWidth="1"/>
    <col min="21" max="21" width="9.88671875" bestFit="1" customWidth="1"/>
    <col min="22" max="22" width="46.44140625" bestFit="1" customWidth="1"/>
    <col min="23" max="23" width="23.6640625" bestFit="1" customWidth="1"/>
    <col min="24" max="24" width="17.109375" bestFit="1" customWidth="1"/>
    <col min="25" max="25" width="14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bestFit="1" customWidth="1"/>
  </cols>
  <sheetData>
    <row r="1" spans="1:29" ht="17.399999999999999">
      <c r="A1" s="762" t="s">
        <v>640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734"/>
      <c r="O1" s="734"/>
      <c r="P1" s="734"/>
      <c r="R1" s="44"/>
      <c r="S1" s="44"/>
      <c r="T1" s="44"/>
      <c r="U1" s="44"/>
      <c r="V1" s="358"/>
      <c r="W1" s="44"/>
      <c r="X1" s="44"/>
      <c r="Y1" s="44"/>
      <c r="Z1" s="44"/>
      <c r="AA1" s="44"/>
      <c r="AB1" s="44"/>
      <c r="AC1" s="44"/>
    </row>
    <row r="2" spans="1:29" ht="18" thickBot="1">
      <c r="A2" s="762" t="s">
        <v>641</v>
      </c>
      <c r="B2" s="733"/>
      <c r="C2" s="733"/>
      <c r="D2" s="733"/>
      <c r="E2" s="734"/>
      <c r="F2" s="1536" t="s">
        <v>642</v>
      </c>
      <c r="G2" s="1536"/>
      <c r="H2" s="1536"/>
      <c r="I2" s="742"/>
      <c r="J2" s="1536" t="s">
        <v>643</v>
      </c>
      <c r="K2" s="1536"/>
      <c r="L2" s="1536"/>
      <c r="M2" s="734"/>
      <c r="N2" s="1535" t="s">
        <v>405</v>
      </c>
      <c r="O2" s="1535"/>
      <c r="P2" s="1535"/>
      <c r="R2" s="959" t="s">
        <v>1</v>
      </c>
      <c r="S2" s="960" t="s">
        <v>2</v>
      </c>
      <c r="T2" s="960" t="s">
        <v>3</v>
      </c>
      <c r="U2" s="960" t="s">
        <v>211</v>
      </c>
      <c r="V2" s="960" t="s">
        <v>5</v>
      </c>
      <c r="W2" s="960" t="s">
        <v>194</v>
      </c>
      <c r="X2" s="960" t="s">
        <v>212</v>
      </c>
      <c r="Y2" s="960" t="s">
        <v>213</v>
      </c>
      <c r="Z2" s="960" t="s">
        <v>406</v>
      </c>
      <c r="AA2" s="960" t="s">
        <v>215</v>
      </c>
      <c r="AB2" s="960" t="s">
        <v>216</v>
      </c>
      <c r="AC2" s="807" t="s">
        <v>407</v>
      </c>
    </row>
    <row r="3" spans="1:29" ht="18" thickBot="1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6" t="s">
        <v>416</v>
      </c>
      <c r="K3" s="1544"/>
      <c r="L3" s="1545"/>
      <c r="M3" s="734"/>
      <c r="N3" s="1546" t="s">
        <v>417</v>
      </c>
      <c r="O3" s="1544"/>
      <c r="P3" s="1545"/>
      <c r="R3" s="961" t="s">
        <v>630</v>
      </c>
      <c r="S3" s="784">
        <v>3331557656</v>
      </c>
      <c r="T3" s="787" t="s">
        <v>441</v>
      </c>
      <c r="U3" s="784">
        <v>24141147</v>
      </c>
      <c r="V3" s="784" t="s">
        <v>561</v>
      </c>
      <c r="W3" s="785" t="s">
        <v>362</v>
      </c>
      <c r="X3" s="786">
        <v>23642.346000000001</v>
      </c>
      <c r="Y3" s="784" t="s">
        <v>467</v>
      </c>
      <c r="Z3" s="784">
        <v>1</v>
      </c>
      <c r="AA3" s="784">
        <v>0</v>
      </c>
      <c r="AB3" s="731" t="s">
        <v>204</v>
      </c>
      <c r="AC3" s="962"/>
    </row>
    <row r="4" spans="1:29" ht="36" customHeight="1" thickBo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745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961" t="s">
        <v>452</v>
      </c>
      <c r="S4" s="784">
        <v>3331557685</v>
      </c>
      <c r="T4" s="787" t="s">
        <v>599</v>
      </c>
      <c r="U4" s="784">
        <v>24141148</v>
      </c>
      <c r="V4" s="784" t="s">
        <v>561</v>
      </c>
      <c r="W4" s="785" t="s">
        <v>362</v>
      </c>
      <c r="X4" s="786">
        <v>25760.893</v>
      </c>
      <c r="Y4" s="784" t="s">
        <v>200</v>
      </c>
      <c r="Z4" s="784">
        <v>1</v>
      </c>
      <c r="AA4" s="784">
        <v>0</v>
      </c>
      <c r="AB4" s="731" t="s">
        <v>204</v>
      </c>
      <c r="AC4" s="962"/>
    </row>
    <row r="5" spans="1:29" ht="18.600000000000001" thickBot="1">
      <c r="A5" s="746" t="s">
        <v>427</v>
      </c>
      <c r="B5" s="747" cm="1">
        <f t="array" ref="B5">SUMPRODUCT(--ISNUMBER(MATCH(TRIM(W1:W164), {"JABODETABEK","JAWA TENGAH","JAWA TIMUR","LUAR PULAU"}, 0)))</f>
        <v>33</v>
      </c>
      <c r="C5" s="747" cm="1">
        <f t="array" ref="C5">SUMPRODUCT(--(LOWER(TRIM(AB1:AB190))="masuk"), --(ISNUMBER(MATCH(TRIM(W1:W190), {"JABODETABEK","JAWA TENGAH","JAWA TIMUR","LUAR PULAU"}, 0))))</f>
        <v>28</v>
      </c>
      <c r="D5" s="740">
        <f>C5+-B5</f>
        <v>-5</v>
      </c>
      <c r="E5" s="734"/>
      <c r="F5" s="748" cm="1">
        <f t="array" ref="F5">SUMPRODUCT(--(LOWER(AC1:AC190)="add"), --(ISNUMBER(MATCH(W1:W190, {"JABODETABEK","JAWA TENGAH","JAWA TIMUR","LUAR PULAU"}, 0))))</f>
        <v>0</v>
      </c>
      <c r="G5" s="747" cm="1">
        <f t="array" ref="G5">SUMPRODUCT(--(LOWER(AB1:AB190)="masuk"), --(LOWER(AC1:AC190)="add"))</f>
        <v>0</v>
      </c>
      <c r="H5" s="740">
        <f>G5+-F5</f>
        <v>0</v>
      </c>
      <c r="I5" s="734"/>
      <c r="J5" s="748" cm="1">
        <f t="array" ref="J5">SUMPRODUCT(--ISNUMBER(SEARCH("next day", LOWER(W1:W190))))</f>
        <v>14</v>
      </c>
      <c r="K5" s="747" cm="1">
        <f t="array" ref="K5">SUMPRODUCT(--(LOWER(AB1:AB190)="masuk"), --ISNUMBER(SEARCH("next day", LOWER(W1:W190))))</f>
        <v>6</v>
      </c>
      <c r="L5" s="747">
        <f>K5+-J5</f>
        <v>-8</v>
      </c>
      <c r="M5" s="734"/>
      <c r="N5" s="748">
        <f>B5+F5+J5</f>
        <v>47</v>
      </c>
      <c r="O5" s="747">
        <f>C5+G5+K5</f>
        <v>34</v>
      </c>
      <c r="P5" s="740">
        <f>D5+H5+L5</f>
        <v>-13</v>
      </c>
      <c r="R5" s="961" t="s">
        <v>630</v>
      </c>
      <c r="S5" s="784">
        <v>3331557688</v>
      </c>
      <c r="T5" s="787" t="s">
        <v>599</v>
      </c>
      <c r="U5" s="784">
        <v>24141149</v>
      </c>
      <c r="V5" s="784" t="s">
        <v>561</v>
      </c>
      <c r="W5" s="785" t="s">
        <v>362</v>
      </c>
      <c r="X5" s="786">
        <v>25889.912</v>
      </c>
      <c r="Y5" s="784" t="s">
        <v>200</v>
      </c>
      <c r="Z5" s="784">
        <v>1</v>
      </c>
      <c r="AA5" s="784">
        <v>0</v>
      </c>
      <c r="AB5" s="731" t="s">
        <v>204</v>
      </c>
      <c r="AC5" s="962"/>
    </row>
    <row r="6" spans="1:29" ht="17.399999999999999">
      <c r="A6" s="733"/>
      <c r="B6" s="733">
        <f>SUM(B5)</f>
        <v>33</v>
      </c>
      <c r="C6" s="733">
        <f>SUM(C5)</f>
        <v>28</v>
      </c>
      <c r="D6" s="739">
        <f>SUM(D5)</f>
        <v>-5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14</v>
      </c>
      <c r="K6" s="733">
        <f>SUM(K5)</f>
        <v>6</v>
      </c>
      <c r="L6" s="733">
        <f>SUM(L5)</f>
        <v>-8</v>
      </c>
      <c r="M6" s="733"/>
      <c r="N6" s="760">
        <f>SUM(N5:N5)</f>
        <v>47</v>
      </c>
      <c r="O6" s="760">
        <f>SUM(O5:O5)</f>
        <v>34</v>
      </c>
      <c r="P6" s="761">
        <f>SUM(P5:P5)</f>
        <v>-13</v>
      </c>
      <c r="R6" s="961" t="s">
        <v>630</v>
      </c>
      <c r="S6" s="784">
        <v>3331557672</v>
      </c>
      <c r="T6" s="787" t="s">
        <v>336</v>
      </c>
      <c r="U6" s="784">
        <v>24141128</v>
      </c>
      <c r="V6" s="784" t="s">
        <v>529</v>
      </c>
      <c r="W6" s="785" t="s">
        <v>434</v>
      </c>
      <c r="X6" s="786">
        <v>42060.357000000004</v>
      </c>
      <c r="Y6" s="784" t="s">
        <v>128</v>
      </c>
      <c r="Z6" s="784">
        <v>1</v>
      </c>
      <c r="AA6" s="784">
        <v>1</v>
      </c>
      <c r="AB6" s="731" t="s">
        <v>204</v>
      </c>
      <c r="AC6" s="962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961" t="s">
        <v>630</v>
      </c>
      <c r="S7" s="784">
        <v>3331557814</v>
      </c>
      <c r="T7" s="795" t="s">
        <v>34</v>
      </c>
      <c r="U7" s="784">
        <v>24141154</v>
      </c>
      <c r="V7" s="784" t="s">
        <v>368</v>
      </c>
      <c r="W7" s="785" t="s">
        <v>644</v>
      </c>
      <c r="X7" s="786">
        <v>24854.774000000001</v>
      </c>
      <c r="Y7" s="784" t="s">
        <v>200</v>
      </c>
      <c r="Z7" s="784">
        <v>1</v>
      </c>
      <c r="AA7" s="784">
        <v>1</v>
      </c>
      <c r="AB7" s="731" t="s">
        <v>204</v>
      </c>
      <c r="AC7" s="962"/>
    </row>
    <row r="8" spans="1:29" ht="17.399999999999999">
      <c r="A8" s="763" t="str">
        <f>A1</f>
        <v>Plan tgl 02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734"/>
      <c r="O8" s="733"/>
      <c r="P8" s="733"/>
      <c r="R8" s="961" t="s">
        <v>630</v>
      </c>
      <c r="S8" s="784">
        <v>3331557821</v>
      </c>
      <c r="T8" s="784" t="s">
        <v>34</v>
      </c>
      <c r="U8" s="784">
        <v>24141155</v>
      </c>
      <c r="V8" s="784" t="s">
        <v>368</v>
      </c>
      <c r="W8" s="785" t="s">
        <v>644</v>
      </c>
      <c r="X8" s="786">
        <v>24854.774000000001</v>
      </c>
      <c r="Y8" s="784" t="s">
        <v>200</v>
      </c>
      <c r="Z8" s="784">
        <v>1</v>
      </c>
      <c r="AA8" s="784">
        <v>1</v>
      </c>
      <c r="AB8" s="731" t="s">
        <v>204</v>
      </c>
      <c r="AC8" s="962"/>
    </row>
    <row r="9" spans="1:29" ht="18" thickBot="1">
      <c r="A9" s="763" t="str">
        <f>A2</f>
        <v>Realz update 03 OKT’25 jam 07.00</v>
      </c>
      <c r="B9" s="733"/>
      <c r="C9" s="733"/>
      <c r="D9" s="733"/>
      <c r="E9" s="734"/>
      <c r="F9" s="1536" t="str">
        <f>F2</f>
        <v>Tgl 02 OKT’25 diatas jam 15.00</v>
      </c>
      <c r="G9" s="1536"/>
      <c r="H9" s="1536"/>
      <c r="I9" s="742"/>
      <c r="J9" s="1536" t="str">
        <f>J2</f>
        <v>Tgl 02 OKT’25</v>
      </c>
      <c r="K9" s="1536"/>
      <c r="L9" s="1536"/>
      <c r="M9" s="734"/>
      <c r="N9" s="1535" t="str">
        <f>N2</f>
        <v>Summary (Plan+ Add + Next Day)</v>
      </c>
      <c r="O9" s="1535"/>
      <c r="P9" s="1535"/>
      <c r="R9" s="961" t="s">
        <v>630</v>
      </c>
      <c r="S9" s="784">
        <v>3331557822</v>
      </c>
      <c r="T9" s="612" t="s">
        <v>27</v>
      </c>
      <c r="U9" s="784">
        <v>24141156</v>
      </c>
      <c r="V9" s="784" t="s">
        <v>368</v>
      </c>
      <c r="W9" s="785" t="s">
        <v>644</v>
      </c>
      <c r="X9" s="786">
        <v>26807.887999999999</v>
      </c>
      <c r="Y9" s="784" t="s">
        <v>200</v>
      </c>
      <c r="Z9" s="784">
        <v>1</v>
      </c>
      <c r="AA9" s="784">
        <v>1</v>
      </c>
      <c r="AB9" s="731" t="s">
        <v>204</v>
      </c>
      <c r="AC9" s="962"/>
    </row>
    <row r="10" spans="1:29" ht="18" thickBot="1">
      <c r="A10" s="1537" t="s">
        <v>194</v>
      </c>
      <c r="B10" s="1544" t="s">
        <v>415</v>
      </c>
      <c r="C10" s="1544"/>
      <c r="D10" s="1545"/>
      <c r="E10" s="734"/>
      <c r="F10" s="1546" t="s">
        <v>416</v>
      </c>
      <c r="G10" s="1544"/>
      <c r="H10" s="1545"/>
      <c r="I10" s="734"/>
      <c r="J10" s="1546" t="s">
        <v>416</v>
      </c>
      <c r="K10" s="1544"/>
      <c r="L10" s="1545"/>
      <c r="M10" s="734"/>
      <c r="N10" s="1546" t="s">
        <v>417</v>
      </c>
      <c r="O10" s="1544"/>
      <c r="P10" s="1545"/>
      <c r="R10" s="961" t="s">
        <v>637</v>
      </c>
      <c r="S10" s="784">
        <v>3331557824</v>
      </c>
      <c r="T10" s="612" t="s">
        <v>27</v>
      </c>
      <c r="U10" s="784">
        <v>24141157</v>
      </c>
      <c r="V10" s="784" t="s">
        <v>368</v>
      </c>
      <c r="W10" s="785" t="s">
        <v>644</v>
      </c>
      <c r="X10" s="786">
        <v>26722.378000000001</v>
      </c>
      <c r="Y10" s="784" t="s">
        <v>200</v>
      </c>
      <c r="Z10" s="784">
        <v>1</v>
      </c>
      <c r="AA10" s="784">
        <v>1</v>
      </c>
      <c r="AB10" s="731" t="s">
        <v>204</v>
      </c>
      <c r="AC10" s="962"/>
    </row>
    <row r="11" spans="1:29" ht="36" customHeight="1" thickBot="1">
      <c r="A11" s="1543"/>
      <c r="B11" s="754" t="s">
        <v>419</v>
      </c>
      <c r="C11" s="754" t="s">
        <v>420</v>
      </c>
      <c r="D11" s="754" t="s">
        <v>421</v>
      </c>
      <c r="E11" s="734"/>
      <c r="F11" s="744" t="s">
        <v>422</v>
      </c>
      <c r="G11" s="754" t="s">
        <v>420</v>
      </c>
      <c r="H11" s="754" t="s">
        <v>421</v>
      </c>
      <c r="I11" s="734"/>
      <c r="J11" s="745" t="s">
        <v>310</v>
      </c>
      <c r="K11" s="754" t="s">
        <v>420</v>
      </c>
      <c r="L11" s="754" t="s">
        <v>421</v>
      </c>
      <c r="M11" s="734"/>
      <c r="N11" s="755" t="s">
        <v>423</v>
      </c>
      <c r="O11" s="754" t="s">
        <v>420</v>
      </c>
      <c r="P11" s="756" t="s">
        <v>421</v>
      </c>
      <c r="R11" s="961" t="s">
        <v>637</v>
      </c>
      <c r="S11" s="784">
        <v>3331557825</v>
      </c>
      <c r="T11" s="612" t="s">
        <v>287</v>
      </c>
      <c r="U11" s="784">
        <v>24141158</v>
      </c>
      <c r="V11" s="784" t="s">
        <v>368</v>
      </c>
      <c r="W11" s="785" t="s">
        <v>644</v>
      </c>
      <c r="X11" s="786">
        <v>24948.799999999999</v>
      </c>
      <c r="Y11" s="784" t="s">
        <v>200</v>
      </c>
      <c r="Z11" s="784">
        <v>1</v>
      </c>
      <c r="AA11" s="784">
        <v>1</v>
      </c>
      <c r="AB11" s="731" t="s">
        <v>204</v>
      </c>
      <c r="AC11" s="962"/>
    </row>
    <row r="12" spans="1:29" ht="18.600000000000001" thickBot="1">
      <c r="A12" s="746" t="s">
        <v>199</v>
      </c>
      <c r="B12" s="749" cm="1">
        <f t="array" ref="B12">SUMPRODUCT(--(TRIM(LOWER(W1:W190))="jabodetabek"))</f>
        <v>22</v>
      </c>
      <c r="C12" s="749" cm="1">
        <f t="array" ref="C12">SUMPRODUCT(--(LOWER(AB1:AB190)="masuk"), --(TRIM(LOWER(W1:W190))="jabodetabek"))</f>
        <v>22</v>
      </c>
      <c r="D12" s="741">
        <f>C12+-B12</f>
        <v>0</v>
      </c>
      <c r="E12" s="734"/>
      <c r="F12" s="748" cm="1">
        <f t="array" ref="F12">SUMPRODUCT(--(LOWER(AC1:AC190)="add"), --(TRIM(LOWER(W1:W190))="jabodetabek"))</f>
        <v>0</v>
      </c>
      <c r="G12" s="749" cm="1">
        <f t="array" ref="G12">SUMPRODUCT(--(LOWER(AB1:AB190)="masuk"), --(LOWER(AC1:AC190)="add"), --(TRIM(LOWER(W1:W190))="jabodetabek"))</f>
        <v>0</v>
      </c>
      <c r="H12" s="741">
        <f>G12+-F12</f>
        <v>0</v>
      </c>
      <c r="I12" s="734"/>
      <c r="J12" s="748" cm="1">
        <f t="array" ref="J12">SUMPRODUCT(--(LOWER(TRIM(W1:W190))="jabodetabek next day"))</f>
        <v>6</v>
      </c>
      <c r="K12" s="749" cm="1">
        <f t="array" ref="K12">SUMPRODUCT(--(LOWER(AB1:AB190)="masuk"), --(LOWER(TRIM(W1:W190))="jabodetabek next day"))</f>
        <v>3</v>
      </c>
      <c r="L12" s="749">
        <f>K12+-J12</f>
        <v>-3</v>
      </c>
      <c r="M12" s="734"/>
      <c r="N12" s="750">
        <f t="shared" ref="N12:P16" si="0">B12+F12+J12</f>
        <v>28</v>
      </c>
      <c r="O12" s="749">
        <f t="shared" si="0"/>
        <v>25</v>
      </c>
      <c r="P12" s="741">
        <f t="shared" si="0"/>
        <v>-3</v>
      </c>
      <c r="R12" s="961" t="s">
        <v>528</v>
      </c>
      <c r="S12" s="784">
        <v>3331557657</v>
      </c>
      <c r="T12" s="784" t="s">
        <v>27</v>
      </c>
      <c r="U12" s="784">
        <v>24141120</v>
      </c>
      <c r="V12" s="784" t="s">
        <v>219</v>
      </c>
      <c r="W12" s="785" t="s">
        <v>644</v>
      </c>
      <c r="X12" s="786">
        <v>26110.503000000001</v>
      </c>
      <c r="Y12" s="784" t="s">
        <v>200</v>
      </c>
      <c r="Z12" s="784">
        <v>1</v>
      </c>
      <c r="AA12" s="784">
        <v>1</v>
      </c>
      <c r="AB12" s="613" t="s">
        <v>204</v>
      </c>
      <c r="AC12" s="806"/>
    </row>
    <row r="13" spans="1:29" ht="18.600000000000001" thickBot="1">
      <c r="A13" s="746" t="s">
        <v>203</v>
      </c>
      <c r="B13" s="747" cm="1">
        <f t="array" ref="B13">SUMPRODUCT(--(TRIM(LOWER(W1:W190))="jawa tengah"))</f>
        <v>0</v>
      </c>
      <c r="C13" s="747" cm="1">
        <f t="array" ref="C13">SUMPRODUCT(--(LOWER(AB1:AB190)="masuk"), --(TRIM(LOWER(W1:W190))="jawa tengah"))</f>
        <v>0</v>
      </c>
      <c r="D13" s="740">
        <f>C13+-B13</f>
        <v>0</v>
      </c>
      <c r="E13" s="734"/>
      <c r="F13" s="751" cm="1">
        <f t="array" ref="F13">SUMPRODUCT(--(LOWER(AC1:AC190)="add"), --(TRIM(LOWER(W1:W190))="jawa tengah"))</f>
        <v>0</v>
      </c>
      <c r="G13" s="747" cm="1">
        <f t="array" ref="G13">SUMPRODUCT(--(LOWER(AB1:AB190)="masuk"), --(LOWER(AC1:AC190)="add"), --(TRIM(LOWER(W1:W190))="jawa tengah"))</f>
        <v>0</v>
      </c>
      <c r="H13" s="740">
        <f>G13+-F13</f>
        <v>0</v>
      </c>
      <c r="I13" s="734"/>
      <c r="J13" s="748" cm="1">
        <f t="array" ref="J13">SUMPRODUCT(--(LOWER(TRIM(W1:W190))="jawa tengah next day"))</f>
        <v>6</v>
      </c>
      <c r="K13" s="747" cm="1">
        <f t="array" ref="K13">SUMPRODUCT(--(LOWER(AB1:AB190)="masuk"), --(LOWER(TRIM(W1:W190))="jawa tengah next day"))</f>
        <v>1</v>
      </c>
      <c r="L13" s="747">
        <f>K13+-J13</f>
        <v>-5</v>
      </c>
      <c r="M13" s="734"/>
      <c r="N13" s="748">
        <f t="shared" si="0"/>
        <v>6</v>
      </c>
      <c r="O13" s="747">
        <f t="shared" si="0"/>
        <v>1</v>
      </c>
      <c r="P13" s="740">
        <f t="shared" si="0"/>
        <v>-5</v>
      </c>
      <c r="R13" s="961" t="s">
        <v>528</v>
      </c>
      <c r="S13" s="784">
        <v>3331557811</v>
      </c>
      <c r="T13" s="784" t="s">
        <v>27</v>
      </c>
      <c r="U13" s="784">
        <v>24141153</v>
      </c>
      <c r="V13" s="784" t="s">
        <v>645</v>
      </c>
      <c r="W13" s="785" t="s">
        <v>644</v>
      </c>
      <c r="X13" s="786">
        <v>24854.774000000001</v>
      </c>
      <c r="Y13" s="784" t="s">
        <v>200</v>
      </c>
      <c r="Z13" s="784">
        <v>1</v>
      </c>
      <c r="AA13" s="784">
        <v>1</v>
      </c>
      <c r="AB13" s="613" t="s">
        <v>204</v>
      </c>
      <c r="AC13" s="806"/>
    </row>
    <row r="14" spans="1:29" ht="18.600000000000001" thickBot="1">
      <c r="A14" s="746" t="s">
        <v>205</v>
      </c>
      <c r="B14" s="747" cm="1">
        <f t="array" ref="B14">SUMPRODUCT(--(TRIM(LOWER(W1:W190))="jawa timur"))</f>
        <v>3</v>
      </c>
      <c r="C14" s="747" cm="1">
        <f t="array" ref="C14">SUMPRODUCT(--(LOWER(AB1:AB190)="masuk"), --(TRIM(LOWER(W1:W190))="jawa timur"))</f>
        <v>2</v>
      </c>
      <c r="D14" s="740">
        <f>C14+-B14</f>
        <v>-1</v>
      </c>
      <c r="E14" s="734"/>
      <c r="F14" s="750" cm="1">
        <f t="array" ref="F14">SUMPRODUCT(--(LOWER(AC1:AC190)="add"), --(TRIM(LOWER(W1:W190))="jawa timur"))</f>
        <v>0</v>
      </c>
      <c r="G14" s="747" cm="1">
        <f t="array" ref="G14">SUMPRODUCT(--(LOWER(AB1:AB190)="masuk"), --(LOWER(AC1:AC190)="add"), --(TRIM(LOWER(W1:W190))="jawa timur"))</f>
        <v>0</v>
      </c>
      <c r="H14" s="740">
        <f>G14+-F14</f>
        <v>0</v>
      </c>
      <c r="I14" s="734"/>
      <c r="J14" s="748" cm="1">
        <f t="array" ref="J14">SUMPRODUCT(--(LOWER(TRIM(W1:W190))="jawa timur next day"))</f>
        <v>2</v>
      </c>
      <c r="K14" s="747" cm="1">
        <f t="array" ref="K14">SUMPRODUCT(--(LOWER(AB1:AB190)="masuk"), --(LOWER(TRIM(W1:W190))="jawa timur next day"))</f>
        <v>2</v>
      </c>
      <c r="L14" s="747">
        <f>K14+-J14</f>
        <v>0</v>
      </c>
      <c r="M14" s="734"/>
      <c r="N14" s="748">
        <f t="shared" si="0"/>
        <v>5</v>
      </c>
      <c r="O14" s="747">
        <f t="shared" si="0"/>
        <v>4</v>
      </c>
      <c r="P14" s="740">
        <f t="shared" si="0"/>
        <v>-1</v>
      </c>
      <c r="R14" s="961" t="s">
        <v>528</v>
      </c>
      <c r="S14" s="784">
        <v>3331557668</v>
      </c>
      <c r="T14" s="787" t="s">
        <v>336</v>
      </c>
      <c r="U14" s="784">
        <v>24141126</v>
      </c>
      <c r="V14" s="784" t="s">
        <v>185</v>
      </c>
      <c r="W14" s="785" t="s">
        <v>434</v>
      </c>
      <c r="X14" s="786">
        <v>41974.343000000001</v>
      </c>
      <c r="Y14" s="784" t="s">
        <v>128</v>
      </c>
      <c r="Z14" s="784">
        <v>1</v>
      </c>
      <c r="AA14" s="784">
        <v>1</v>
      </c>
      <c r="AB14" s="613" t="s">
        <v>204</v>
      </c>
      <c r="AC14" s="806"/>
    </row>
    <row r="15" spans="1:29" ht="18.600000000000001" thickBot="1">
      <c r="A15" s="746" t="s">
        <v>362</v>
      </c>
      <c r="B15" s="747" cm="1">
        <f t="array" ref="B15">SUMPRODUCT(--(TRIM(LOWER(W1:W190))="luar pulau"))</f>
        <v>8</v>
      </c>
      <c r="C15" s="747" cm="1">
        <f t="array" ref="C15">SUMPRODUCT(--(LOWER(AB1:AB190)="masuk"), --(TRIM(LOWER(W1:W190))="luar pulau"))</f>
        <v>4</v>
      </c>
      <c r="D15" s="740">
        <f>C15+-B15</f>
        <v>-4</v>
      </c>
      <c r="E15" s="734"/>
      <c r="F15" s="748" cm="1">
        <f t="array" ref="F15">SUMPRODUCT(--(LOWER(AC1:AC190)="add"), --(TRIM(LOWER(W1:W190))="luar pulau"))</f>
        <v>0</v>
      </c>
      <c r="G15" s="747" cm="1">
        <f t="array" ref="G15">SUMPRODUCT(--(LOWER(AB1:AB190)="masuk"), --(LOWER(AC1:AC190)="add"), --(TRIM(LOWER(W1:W190))="luar pulau"))</f>
        <v>0</v>
      </c>
      <c r="H15" s="740">
        <f>G15+-F15</f>
        <v>0</v>
      </c>
      <c r="I15" s="734"/>
      <c r="J15" s="748" cm="1">
        <f t="array" ref="J15">SUMPRODUCT(--(LOWER(TRIM(W1:W190))="luar pulau next day"))</f>
        <v>0</v>
      </c>
      <c r="K15" s="747" cm="1">
        <f t="array" ref="K15">SUMPRODUCT(--(LOWER(AB1:AB190)="masuk"), --(LOWER(TRIM(W1:W190))="luar pulau next day"))</f>
        <v>0</v>
      </c>
      <c r="L15" s="747">
        <f>K15+-J15</f>
        <v>0</v>
      </c>
      <c r="M15" s="734"/>
      <c r="N15" s="748">
        <f t="shared" si="0"/>
        <v>8</v>
      </c>
      <c r="O15" s="747">
        <f t="shared" si="0"/>
        <v>4</v>
      </c>
      <c r="P15" s="740">
        <f t="shared" si="0"/>
        <v>-4</v>
      </c>
      <c r="R15" s="961" t="s">
        <v>528</v>
      </c>
      <c r="S15" s="784">
        <v>3331557670</v>
      </c>
      <c r="T15" s="787" t="s">
        <v>336</v>
      </c>
      <c r="U15" s="784">
        <v>24141127</v>
      </c>
      <c r="V15" s="784" t="s">
        <v>185</v>
      </c>
      <c r="W15" s="785" t="s">
        <v>434</v>
      </c>
      <c r="X15" s="786">
        <v>41974.345999999998</v>
      </c>
      <c r="Y15" s="784" t="s">
        <v>128</v>
      </c>
      <c r="Z15" s="784">
        <v>1</v>
      </c>
      <c r="AA15" s="784">
        <v>1</v>
      </c>
      <c r="AB15" s="613" t="s">
        <v>204</v>
      </c>
      <c r="AC15" s="806"/>
    </row>
    <row r="16" spans="1:29" ht="17.399999999999999">
      <c r="A16" s="752"/>
      <c r="B16" s="733">
        <f>SUM(B12:B15)</f>
        <v>33</v>
      </c>
      <c r="C16" s="733">
        <f>SUM(C12:C15)</f>
        <v>28</v>
      </c>
      <c r="D16" s="739">
        <f>SUM(D12:D15)</f>
        <v>-5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14</v>
      </c>
      <c r="K16" s="733">
        <f>SUM(K12:K15)</f>
        <v>6</v>
      </c>
      <c r="L16" s="733">
        <f>SUM(L12:L15)</f>
        <v>-8</v>
      </c>
      <c r="M16" s="734"/>
      <c r="N16" s="760">
        <f t="shared" si="0"/>
        <v>47</v>
      </c>
      <c r="O16" s="760">
        <f t="shared" si="0"/>
        <v>34</v>
      </c>
      <c r="P16" s="761">
        <f t="shared" si="0"/>
        <v>-13</v>
      </c>
      <c r="R16" s="961" t="s">
        <v>528</v>
      </c>
      <c r="S16" s="784">
        <v>3331557695</v>
      </c>
      <c r="T16" s="787" t="s">
        <v>34</v>
      </c>
      <c r="U16" s="784">
        <v>24141133</v>
      </c>
      <c r="V16" s="784" t="s">
        <v>491</v>
      </c>
      <c r="W16" s="785" t="s">
        <v>644</v>
      </c>
      <c r="X16" s="786">
        <v>24755.648000000001</v>
      </c>
      <c r="Y16" s="784" t="s">
        <v>200</v>
      </c>
      <c r="Z16" s="784">
        <v>1</v>
      </c>
      <c r="AA16" s="784">
        <v>1</v>
      </c>
      <c r="AB16" s="613" t="s">
        <v>204</v>
      </c>
      <c r="AC16" s="806"/>
    </row>
    <row r="17" spans="1:29" ht="15.6">
      <c r="A17" s="734"/>
      <c r="B17" s="734"/>
      <c r="C17" s="734"/>
      <c r="D17" s="734"/>
      <c r="E17" s="734"/>
      <c r="F17" s="734"/>
      <c r="G17" s="734"/>
      <c r="H17" s="734"/>
      <c r="I17" s="735"/>
      <c r="J17" s="734"/>
      <c r="K17" s="734"/>
      <c r="L17" s="734"/>
      <c r="M17" s="735"/>
      <c r="N17" s="735"/>
      <c r="O17" s="734"/>
      <c r="P17" s="734"/>
      <c r="R17" s="961" t="s">
        <v>637</v>
      </c>
      <c r="S17" s="784">
        <v>3331557889</v>
      </c>
      <c r="T17" s="612" t="s">
        <v>27</v>
      </c>
      <c r="U17" s="784">
        <v>24141160</v>
      </c>
      <c r="V17" s="784" t="s">
        <v>219</v>
      </c>
      <c r="W17" s="785" t="s">
        <v>644</v>
      </c>
      <c r="X17" s="786">
        <v>25980.6</v>
      </c>
      <c r="Y17" s="784" t="s">
        <v>200</v>
      </c>
      <c r="Z17" s="784">
        <v>1</v>
      </c>
      <c r="AA17" s="784">
        <v>1</v>
      </c>
      <c r="AB17" s="731" t="s">
        <v>204</v>
      </c>
      <c r="AC17" s="806"/>
    </row>
    <row r="18" spans="1:29" ht="15.6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961" t="s">
        <v>637</v>
      </c>
      <c r="S18" s="784">
        <v>3331557890</v>
      </c>
      <c r="T18" s="612" t="s">
        <v>287</v>
      </c>
      <c r="U18" s="784">
        <v>24141161</v>
      </c>
      <c r="V18" s="784" t="s">
        <v>219</v>
      </c>
      <c r="W18" s="785" t="s">
        <v>644</v>
      </c>
      <c r="X18" s="786">
        <v>25114.58</v>
      </c>
      <c r="Y18" s="784" t="s">
        <v>200</v>
      </c>
      <c r="Z18" s="784">
        <v>1</v>
      </c>
      <c r="AA18" s="784">
        <v>1</v>
      </c>
      <c r="AB18" s="731" t="s">
        <v>204</v>
      </c>
      <c r="AC18" s="806"/>
    </row>
    <row r="19" spans="1:29" ht="18.75" customHeight="1">
      <c r="A19" s="1575" t="s">
        <v>434</v>
      </c>
      <c r="B19" s="1576" t="s">
        <v>415</v>
      </c>
      <c r="C19" s="1576"/>
      <c r="D19" s="1576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961" t="s">
        <v>637</v>
      </c>
      <c r="S19" s="784">
        <v>3331557885</v>
      </c>
      <c r="T19" s="612" t="s">
        <v>34</v>
      </c>
      <c r="U19" s="784">
        <v>24141162</v>
      </c>
      <c r="V19" s="784" t="s">
        <v>498</v>
      </c>
      <c r="W19" s="785" t="s">
        <v>644</v>
      </c>
      <c r="X19" s="786">
        <v>25803.9</v>
      </c>
      <c r="Y19" s="784" t="s">
        <v>200</v>
      </c>
      <c r="Z19" s="784">
        <v>1</v>
      </c>
      <c r="AA19" s="784">
        <v>1</v>
      </c>
      <c r="AB19" s="731" t="s">
        <v>204</v>
      </c>
      <c r="AC19" s="806"/>
    </row>
    <row r="20" spans="1:29" ht="15.75" customHeight="1">
      <c r="A20" s="1575"/>
      <c r="B20" s="788" t="s">
        <v>419</v>
      </c>
      <c r="C20" s="788" t="s">
        <v>420</v>
      </c>
      <c r="D20" s="78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961" t="s">
        <v>637</v>
      </c>
      <c r="S20" s="784">
        <v>3331557887</v>
      </c>
      <c r="T20" s="612" t="s">
        <v>27</v>
      </c>
      <c r="U20" s="784">
        <v>24141163</v>
      </c>
      <c r="V20" s="784" t="s">
        <v>498</v>
      </c>
      <c r="W20" s="785" t="s">
        <v>644</v>
      </c>
      <c r="X20" s="786">
        <v>25330.829000000002</v>
      </c>
      <c r="Y20" s="784" t="s">
        <v>200</v>
      </c>
      <c r="Z20" s="784">
        <v>1</v>
      </c>
      <c r="AA20" s="784">
        <v>1</v>
      </c>
      <c r="AB20" s="731" t="s">
        <v>204</v>
      </c>
      <c r="AC20" s="806"/>
    </row>
    <row r="21" spans="1:29" ht="18">
      <c r="A21" s="789" t="s">
        <v>427</v>
      </c>
      <c r="B21" s="790" cm="1">
        <f t="array" ref="B21">SUMPRODUCT(--(LOWER(TRIM(W1:W164))="ambil sendiri"))</f>
        <v>3</v>
      </c>
      <c r="C21" s="790" cm="1">
        <f t="array" ref="C21">SUMPRODUCT(--(LOWER(AB1:AB190)="masuk"), --(LOWER(TRIM(W1:W190))="ambil sendiri"))</f>
        <v>3</v>
      </c>
      <c r="D21" s="791">
        <f>C21+-B21</f>
        <v>0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961" t="s">
        <v>637</v>
      </c>
      <c r="S21" s="612">
        <v>3331557886</v>
      </c>
      <c r="T21" s="862" t="s">
        <v>27</v>
      </c>
      <c r="U21" s="784">
        <v>24141164</v>
      </c>
      <c r="V21" s="784" t="s">
        <v>158</v>
      </c>
      <c r="W21" s="785" t="s">
        <v>644</v>
      </c>
      <c r="X21" s="786">
        <v>25225.45</v>
      </c>
      <c r="Y21" s="784" t="s">
        <v>200</v>
      </c>
      <c r="Z21" s="784">
        <v>1</v>
      </c>
      <c r="AA21" s="784">
        <v>1</v>
      </c>
      <c r="AB21" s="731" t="s">
        <v>204</v>
      </c>
      <c r="AC21" s="806"/>
    </row>
    <row r="22" spans="1:29" ht="17.399999999999999">
      <c r="A22" s="734"/>
      <c r="B22" s="760">
        <f>SUM(B18:B21)</f>
        <v>3</v>
      </c>
      <c r="C22" s="760">
        <f>SUM(C18:C21)</f>
        <v>3</v>
      </c>
      <c r="D22" s="761">
        <f>SUM(D18:D21)</f>
        <v>0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961" t="s">
        <v>637</v>
      </c>
      <c r="S22" s="792">
        <v>3331557888</v>
      </c>
      <c r="T22" s="612" t="s">
        <v>27</v>
      </c>
      <c r="U22" s="784">
        <v>24141165</v>
      </c>
      <c r="V22" s="784" t="s">
        <v>158</v>
      </c>
      <c r="W22" s="785" t="s">
        <v>644</v>
      </c>
      <c r="X22" s="786">
        <v>24926.668000000001</v>
      </c>
      <c r="Y22" s="784" t="s">
        <v>200</v>
      </c>
      <c r="Z22" s="784">
        <v>1</v>
      </c>
      <c r="AA22" s="784">
        <v>1</v>
      </c>
      <c r="AB22" s="731" t="s">
        <v>204</v>
      </c>
      <c r="AC22" s="806"/>
    </row>
    <row r="23" spans="1:29" ht="15.6">
      <c r="R23" s="961" t="s">
        <v>646</v>
      </c>
      <c r="S23" s="784">
        <v>3331557891</v>
      </c>
      <c r="T23" s="818" t="s">
        <v>27</v>
      </c>
      <c r="U23" s="784">
        <v>24141166</v>
      </c>
      <c r="V23" s="784" t="s">
        <v>368</v>
      </c>
      <c r="W23" s="785" t="s">
        <v>647</v>
      </c>
      <c r="X23" s="786">
        <v>24712.39</v>
      </c>
      <c r="Y23" s="784" t="s">
        <v>200</v>
      </c>
      <c r="Z23" s="784">
        <v>1</v>
      </c>
      <c r="AA23" s="784">
        <v>1</v>
      </c>
      <c r="AB23" s="731" t="s">
        <v>204</v>
      </c>
      <c r="AC23" s="806"/>
    </row>
    <row r="24" spans="1:29" ht="15.6">
      <c r="R24" s="961" t="s">
        <v>637</v>
      </c>
      <c r="S24" s="784">
        <v>3331557892</v>
      </c>
      <c r="T24" s="612" t="s">
        <v>27</v>
      </c>
      <c r="U24" s="784">
        <v>24141175</v>
      </c>
      <c r="V24" s="784" t="s">
        <v>158</v>
      </c>
      <c r="W24" s="785" t="s">
        <v>644</v>
      </c>
      <c r="X24" s="786">
        <f>1924.478+19241.762+4215.14</f>
        <v>25381.379999999997</v>
      </c>
      <c r="Y24" s="784" t="s">
        <v>200</v>
      </c>
      <c r="Z24" s="784">
        <v>1</v>
      </c>
      <c r="AA24" s="784">
        <v>1</v>
      </c>
      <c r="AB24" s="731" t="s">
        <v>204</v>
      </c>
      <c r="AC24" s="806"/>
    </row>
    <row r="25" spans="1:29" ht="15.6">
      <c r="R25" s="961" t="s">
        <v>637</v>
      </c>
      <c r="S25" s="784">
        <v>3331557895</v>
      </c>
      <c r="T25" s="787" t="s">
        <v>256</v>
      </c>
      <c r="U25" s="784" t="s">
        <v>256</v>
      </c>
      <c r="V25" s="784" t="s">
        <v>256</v>
      </c>
      <c r="W25" s="785" t="s">
        <v>256</v>
      </c>
      <c r="X25" s="786" t="s">
        <v>256</v>
      </c>
      <c r="Y25" s="784" t="s">
        <v>256</v>
      </c>
      <c r="Z25" s="784" t="s">
        <v>256</v>
      </c>
      <c r="AA25" s="784" t="s">
        <v>256</v>
      </c>
      <c r="AB25" s="731" t="s">
        <v>256</v>
      </c>
      <c r="AC25" s="806"/>
    </row>
    <row r="26" spans="1:29" ht="15.6">
      <c r="R26" s="961" t="s">
        <v>637</v>
      </c>
      <c r="S26" s="784">
        <v>3331557903</v>
      </c>
      <c r="T26" s="787" t="s">
        <v>256</v>
      </c>
      <c r="U26" s="784" t="s">
        <v>256</v>
      </c>
      <c r="V26" s="784" t="s">
        <v>256</v>
      </c>
      <c r="W26" s="785" t="s">
        <v>256</v>
      </c>
      <c r="X26" s="786" t="s">
        <v>256</v>
      </c>
      <c r="Y26" s="784" t="s">
        <v>256</v>
      </c>
      <c r="Z26" s="784" t="s">
        <v>256</v>
      </c>
      <c r="AA26" s="784" t="s">
        <v>256</v>
      </c>
      <c r="AB26" s="731" t="s">
        <v>256</v>
      </c>
      <c r="AC26" s="806"/>
    </row>
    <row r="27" spans="1:29" ht="15.6">
      <c r="R27" s="804" t="s">
        <v>637</v>
      </c>
      <c r="S27" s="798">
        <v>3331557893</v>
      </c>
      <c r="T27" s="798" t="s">
        <v>648</v>
      </c>
      <c r="U27" s="798">
        <v>24141168</v>
      </c>
      <c r="V27" s="798" t="s">
        <v>561</v>
      </c>
      <c r="W27" s="801" t="s">
        <v>362</v>
      </c>
      <c r="X27" s="802">
        <v>25054.43</v>
      </c>
      <c r="Y27" s="798" t="s">
        <v>200</v>
      </c>
      <c r="Z27" s="798">
        <v>1</v>
      </c>
      <c r="AA27" s="798">
        <v>1</v>
      </c>
      <c r="AB27" s="803" t="s">
        <v>207</v>
      </c>
      <c r="AC27" s="806"/>
    </row>
    <row r="28" spans="1:29" ht="15.6">
      <c r="R28" s="804" t="s">
        <v>637</v>
      </c>
      <c r="S28" s="798">
        <v>3331557894</v>
      </c>
      <c r="T28" s="798" t="s">
        <v>648</v>
      </c>
      <c r="U28" s="798">
        <v>24141169</v>
      </c>
      <c r="V28" s="798" t="s">
        <v>561</v>
      </c>
      <c r="W28" s="801" t="s">
        <v>362</v>
      </c>
      <c r="X28" s="802">
        <v>24840.654999999999</v>
      </c>
      <c r="Y28" s="798" t="s">
        <v>200</v>
      </c>
      <c r="Z28" s="798">
        <v>1</v>
      </c>
      <c r="AA28" s="798">
        <v>1</v>
      </c>
      <c r="AB28" s="803" t="s">
        <v>207</v>
      </c>
      <c r="AC28" s="806"/>
    </row>
    <row r="29" spans="1:29" ht="15.6">
      <c r="R29" s="804" t="s">
        <v>637</v>
      </c>
      <c r="S29" s="798">
        <v>3331557896</v>
      </c>
      <c r="T29" s="798" t="s">
        <v>189</v>
      </c>
      <c r="U29" s="798">
        <v>24141171</v>
      </c>
      <c r="V29" s="798" t="s">
        <v>561</v>
      </c>
      <c r="W29" s="801" t="s">
        <v>362</v>
      </c>
      <c r="X29" s="802">
        <f>7014.762+16674.45</f>
        <v>23689.212</v>
      </c>
      <c r="Y29" s="798" t="s">
        <v>200</v>
      </c>
      <c r="Z29" s="798">
        <v>1</v>
      </c>
      <c r="AA29" s="798">
        <v>1</v>
      </c>
      <c r="AB29" s="803" t="s">
        <v>207</v>
      </c>
      <c r="AC29" s="806"/>
    </row>
    <row r="30" spans="1:29" ht="15.6">
      <c r="R30" s="804" t="s">
        <v>637</v>
      </c>
      <c r="S30" s="800">
        <v>3331557897</v>
      </c>
      <c r="T30" s="798" t="s">
        <v>256</v>
      </c>
      <c r="U30" s="798" t="s">
        <v>256</v>
      </c>
      <c r="V30" s="798" t="s">
        <v>256</v>
      </c>
      <c r="W30" s="801" t="s">
        <v>256</v>
      </c>
      <c r="X30" s="802" t="s">
        <v>256</v>
      </c>
      <c r="Y30" s="798" t="s">
        <v>256</v>
      </c>
      <c r="Z30" s="800" t="s">
        <v>256</v>
      </c>
      <c r="AA30" s="800" t="s">
        <v>256</v>
      </c>
      <c r="AB30" s="803" t="s">
        <v>207</v>
      </c>
      <c r="AC30" s="806"/>
    </row>
    <row r="31" spans="1:29" ht="15.6">
      <c r="R31" s="814" t="s">
        <v>637</v>
      </c>
      <c r="S31" s="793">
        <v>3331557898</v>
      </c>
      <c r="T31" s="793" t="s">
        <v>441</v>
      </c>
      <c r="U31" s="793">
        <v>24141174</v>
      </c>
      <c r="V31" s="793" t="s">
        <v>561</v>
      </c>
      <c r="W31" s="815" t="s">
        <v>362</v>
      </c>
      <c r="X31" s="816">
        <f>18363.776+7101.364</f>
        <v>25465.14</v>
      </c>
      <c r="Y31" s="793" t="s">
        <v>200</v>
      </c>
      <c r="Z31" s="793">
        <v>1</v>
      </c>
      <c r="AA31" s="793">
        <v>1</v>
      </c>
      <c r="AB31" s="812" t="s">
        <v>204</v>
      </c>
      <c r="AC31" s="806"/>
    </row>
    <row r="32" spans="1:29" ht="15.6">
      <c r="R32" s="814" t="s">
        <v>637</v>
      </c>
      <c r="S32" s="793">
        <v>3331557904</v>
      </c>
      <c r="T32" s="793" t="s">
        <v>256</v>
      </c>
      <c r="U32" s="793" t="s">
        <v>256</v>
      </c>
      <c r="V32" s="793" t="s">
        <v>256</v>
      </c>
      <c r="W32" s="815" t="s">
        <v>256</v>
      </c>
      <c r="X32" s="816" t="s">
        <v>256</v>
      </c>
      <c r="Y32" s="793" t="s">
        <v>256</v>
      </c>
      <c r="Z32" s="793" t="s">
        <v>256</v>
      </c>
      <c r="AA32" s="793" t="s">
        <v>256</v>
      </c>
      <c r="AB32" s="812" t="s">
        <v>256</v>
      </c>
      <c r="AC32" s="806"/>
    </row>
    <row r="33" spans="18:29" ht="15.6">
      <c r="R33" s="805" t="s">
        <v>637</v>
      </c>
      <c r="S33" s="797">
        <v>3331557905</v>
      </c>
      <c r="T33" s="798" t="s">
        <v>189</v>
      </c>
      <c r="U33" s="798">
        <v>24141176</v>
      </c>
      <c r="V33" s="798" t="s">
        <v>561</v>
      </c>
      <c r="W33" s="801" t="s">
        <v>362</v>
      </c>
      <c r="X33" s="799">
        <v>26104.946</v>
      </c>
      <c r="Y33" s="798" t="s">
        <v>200</v>
      </c>
      <c r="Z33" s="798">
        <v>1</v>
      </c>
      <c r="AA33" s="798">
        <v>1</v>
      </c>
      <c r="AB33" s="803" t="s">
        <v>207</v>
      </c>
      <c r="AC33" s="806"/>
    </row>
    <row r="34" spans="18:29" ht="15.6">
      <c r="R34" s="961" t="s">
        <v>630</v>
      </c>
      <c r="S34" s="784">
        <v>3331557757</v>
      </c>
      <c r="T34" s="793" t="s">
        <v>27</v>
      </c>
      <c r="U34" s="784"/>
      <c r="V34" s="784" t="s">
        <v>173</v>
      </c>
      <c r="W34" s="785" t="s">
        <v>205</v>
      </c>
      <c r="X34" s="786">
        <f>37274.191+8334.063</f>
        <v>45608.254000000001</v>
      </c>
      <c r="Y34" s="784" t="s">
        <v>128</v>
      </c>
      <c r="Z34" s="784">
        <v>1</v>
      </c>
      <c r="AA34" s="784">
        <v>1</v>
      </c>
      <c r="AB34" s="812" t="s">
        <v>204</v>
      </c>
      <c r="AC34" s="806"/>
    </row>
    <row r="35" spans="18:29" ht="15.6">
      <c r="R35" s="961" t="s">
        <v>637</v>
      </c>
      <c r="S35" s="784">
        <v>3331557940</v>
      </c>
      <c r="T35" s="793" t="s">
        <v>256</v>
      </c>
      <c r="U35" s="784" t="s">
        <v>256</v>
      </c>
      <c r="V35" s="784" t="s">
        <v>256</v>
      </c>
      <c r="W35" s="785" t="s">
        <v>256</v>
      </c>
      <c r="X35" s="786" t="s">
        <v>256</v>
      </c>
      <c r="Y35" s="784" t="s">
        <v>256</v>
      </c>
      <c r="Z35" s="784" t="s">
        <v>256</v>
      </c>
      <c r="AA35" s="784" t="s">
        <v>256</v>
      </c>
      <c r="AB35" s="812" t="s">
        <v>256</v>
      </c>
      <c r="AC35" s="806"/>
    </row>
    <row r="36" spans="18:29" ht="15.6">
      <c r="R36" s="804" t="s">
        <v>637</v>
      </c>
      <c r="S36" s="798">
        <v>3331558015</v>
      </c>
      <c r="T36" s="798" t="s">
        <v>336</v>
      </c>
      <c r="U36" s="798">
        <v>24141189</v>
      </c>
      <c r="V36" s="798" t="s">
        <v>413</v>
      </c>
      <c r="W36" s="801" t="s">
        <v>205</v>
      </c>
      <c r="X36" s="802">
        <f>24199.33+21044.286</f>
        <v>45243.616000000002</v>
      </c>
      <c r="Y36" s="798" t="s">
        <v>128</v>
      </c>
      <c r="Z36" s="772">
        <v>1</v>
      </c>
      <c r="AA36" s="772">
        <v>1</v>
      </c>
      <c r="AB36" s="803" t="s">
        <v>207</v>
      </c>
      <c r="AC36" s="806"/>
    </row>
    <row r="37" spans="18:29" ht="15.6">
      <c r="R37" s="804" t="s">
        <v>637</v>
      </c>
      <c r="S37" s="798">
        <v>3331558017</v>
      </c>
      <c r="T37" s="798" t="s">
        <v>256</v>
      </c>
      <c r="U37" s="798" t="s">
        <v>256</v>
      </c>
      <c r="V37" s="798" t="s">
        <v>256</v>
      </c>
      <c r="W37" s="801" t="s">
        <v>256</v>
      </c>
      <c r="X37" s="802" t="s">
        <v>256</v>
      </c>
      <c r="Y37" s="798" t="s">
        <v>256</v>
      </c>
      <c r="Z37" s="772" t="s">
        <v>256</v>
      </c>
      <c r="AA37" s="772" t="s">
        <v>256</v>
      </c>
      <c r="AB37" s="803" t="s">
        <v>256</v>
      </c>
      <c r="AC37" s="806"/>
    </row>
    <row r="38" spans="18:29" ht="15.6">
      <c r="R38" s="814" t="s">
        <v>637</v>
      </c>
      <c r="S38" s="793">
        <v>3331557917</v>
      </c>
      <c r="T38" s="793" t="s">
        <v>287</v>
      </c>
      <c r="U38" s="793">
        <v>24141191</v>
      </c>
      <c r="V38" s="793" t="s">
        <v>625</v>
      </c>
      <c r="W38" s="815" t="s">
        <v>205</v>
      </c>
      <c r="X38" s="816">
        <f>7526.137+13382.315+1763.266</f>
        <v>22671.718000000001</v>
      </c>
      <c r="Y38" s="793" t="s">
        <v>200</v>
      </c>
      <c r="Z38" s="793">
        <v>1</v>
      </c>
      <c r="AA38" s="793">
        <v>1</v>
      </c>
      <c r="AB38" s="812" t="s">
        <v>204</v>
      </c>
      <c r="AC38" s="806"/>
    </row>
    <row r="39" spans="18:29" ht="15.6">
      <c r="R39" s="814" t="s">
        <v>637</v>
      </c>
      <c r="S39" s="793">
        <v>3331557918</v>
      </c>
      <c r="T39" s="793" t="s">
        <v>256</v>
      </c>
      <c r="U39" s="793" t="s">
        <v>256</v>
      </c>
      <c r="V39" s="793" t="s">
        <v>256</v>
      </c>
      <c r="W39" s="815" t="s">
        <v>256</v>
      </c>
      <c r="X39" s="816" t="s">
        <v>256</v>
      </c>
      <c r="Y39" s="793" t="s">
        <v>256</v>
      </c>
      <c r="Z39" s="793" t="s">
        <v>256</v>
      </c>
      <c r="AA39" s="793" t="s">
        <v>256</v>
      </c>
      <c r="AB39" s="812" t="s">
        <v>256</v>
      </c>
      <c r="AC39" s="806"/>
    </row>
    <row r="40" spans="18:29" ht="15.6">
      <c r="R40" s="814" t="s">
        <v>637</v>
      </c>
      <c r="S40" s="793">
        <v>3331557919</v>
      </c>
      <c r="T40" s="793" t="s">
        <v>256</v>
      </c>
      <c r="U40" s="793" t="s">
        <v>256</v>
      </c>
      <c r="V40" s="793" t="s">
        <v>256</v>
      </c>
      <c r="W40" s="815" t="s">
        <v>256</v>
      </c>
      <c r="X40" s="816" t="s">
        <v>256</v>
      </c>
      <c r="Y40" s="793" t="s">
        <v>256</v>
      </c>
      <c r="Z40" s="793" t="s">
        <v>256</v>
      </c>
      <c r="AA40" s="793" t="s">
        <v>256</v>
      </c>
      <c r="AB40" s="812" t="s">
        <v>256</v>
      </c>
      <c r="AC40" s="806"/>
    </row>
    <row r="41" spans="18:29" ht="15.6">
      <c r="R41" s="814" t="s">
        <v>637</v>
      </c>
      <c r="S41" s="793">
        <v>3331558043</v>
      </c>
      <c r="T41" s="793" t="s">
        <v>206</v>
      </c>
      <c r="U41" s="793">
        <v>24141197</v>
      </c>
      <c r="V41" s="793" t="s">
        <v>226</v>
      </c>
      <c r="W41" s="815" t="s">
        <v>344</v>
      </c>
      <c r="X41" s="816">
        <v>40383.103999999999</v>
      </c>
      <c r="Y41" s="793" t="s">
        <v>128</v>
      </c>
      <c r="Z41" s="793">
        <v>1</v>
      </c>
      <c r="AA41" s="793">
        <v>1</v>
      </c>
      <c r="AB41" s="812" t="s">
        <v>204</v>
      </c>
      <c r="AC41" s="810"/>
    </row>
    <row r="42" spans="18:29" ht="15.6">
      <c r="R42" s="804" t="s">
        <v>637</v>
      </c>
      <c r="S42" s="798">
        <v>3331558044</v>
      </c>
      <c r="T42" s="798" t="s">
        <v>206</v>
      </c>
      <c r="U42" s="798">
        <v>24141198</v>
      </c>
      <c r="V42" s="798" t="s">
        <v>226</v>
      </c>
      <c r="W42" s="801" t="s">
        <v>344</v>
      </c>
      <c r="X42" s="802">
        <v>41415.260999999999</v>
      </c>
      <c r="Y42" s="798" t="s">
        <v>128</v>
      </c>
      <c r="Z42" s="798">
        <v>1</v>
      </c>
      <c r="AA42" s="798">
        <v>1</v>
      </c>
      <c r="AB42" s="803" t="s">
        <v>207</v>
      </c>
      <c r="AC42" s="810"/>
    </row>
    <row r="43" spans="18:29" ht="15.6">
      <c r="R43" s="804" t="s">
        <v>637</v>
      </c>
      <c r="S43" s="798">
        <v>3331558046</v>
      </c>
      <c r="T43" s="798" t="s">
        <v>206</v>
      </c>
      <c r="U43" s="798">
        <v>24141199</v>
      </c>
      <c r="V43" s="798" t="s">
        <v>226</v>
      </c>
      <c r="W43" s="801" t="s">
        <v>344</v>
      </c>
      <c r="X43" s="802">
        <v>35308.336000000003</v>
      </c>
      <c r="Y43" s="798" t="s">
        <v>128</v>
      </c>
      <c r="Z43" s="798">
        <v>1</v>
      </c>
      <c r="AA43" s="798">
        <v>1</v>
      </c>
      <c r="AB43" s="803" t="s">
        <v>207</v>
      </c>
      <c r="AC43" s="810"/>
    </row>
    <row r="44" spans="18:29" ht="15.6">
      <c r="R44" s="804" t="s">
        <v>637</v>
      </c>
      <c r="S44" s="798">
        <v>3331558051</v>
      </c>
      <c r="T44" s="798" t="s">
        <v>206</v>
      </c>
      <c r="U44" s="798">
        <v>24141200</v>
      </c>
      <c r="V44" s="798" t="s">
        <v>226</v>
      </c>
      <c r="W44" s="801" t="s">
        <v>344</v>
      </c>
      <c r="X44" s="802">
        <v>41286.239999999998</v>
      </c>
      <c r="Y44" s="798" t="s">
        <v>128</v>
      </c>
      <c r="Z44" s="798">
        <v>1</v>
      </c>
      <c r="AA44" s="798">
        <v>1</v>
      </c>
      <c r="AB44" s="803" t="s">
        <v>207</v>
      </c>
      <c r="AC44" s="810"/>
    </row>
    <row r="45" spans="18:29" ht="15.6">
      <c r="R45" s="804" t="s">
        <v>637</v>
      </c>
      <c r="S45" s="798">
        <v>3331558058</v>
      </c>
      <c r="T45" s="798" t="s">
        <v>206</v>
      </c>
      <c r="U45" s="798">
        <v>24141201</v>
      </c>
      <c r="V45" s="798" t="s">
        <v>226</v>
      </c>
      <c r="W45" s="801" t="s">
        <v>344</v>
      </c>
      <c r="X45" s="802">
        <v>34276.180999999997</v>
      </c>
      <c r="Y45" s="798" t="s">
        <v>128</v>
      </c>
      <c r="Z45" s="798">
        <v>1</v>
      </c>
      <c r="AA45" s="798">
        <v>1</v>
      </c>
      <c r="AB45" s="803" t="s">
        <v>207</v>
      </c>
      <c r="AC45" s="810"/>
    </row>
    <row r="46" spans="18:29" ht="15.6">
      <c r="R46" s="804" t="s">
        <v>637</v>
      </c>
      <c r="S46" s="798">
        <v>3331558064</v>
      </c>
      <c r="T46" s="798" t="s">
        <v>206</v>
      </c>
      <c r="U46" s="798">
        <v>24141203</v>
      </c>
      <c r="V46" s="798" t="s">
        <v>226</v>
      </c>
      <c r="W46" s="801" t="s">
        <v>344</v>
      </c>
      <c r="X46" s="802">
        <v>33373.044000000002</v>
      </c>
      <c r="Y46" s="798" t="s">
        <v>128</v>
      </c>
      <c r="Z46" s="798">
        <v>1</v>
      </c>
      <c r="AA46" s="798">
        <v>1</v>
      </c>
      <c r="AB46" s="803" t="s">
        <v>207</v>
      </c>
      <c r="AC46" s="806"/>
    </row>
    <row r="47" spans="18:29" ht="15.6">
      <c r="R47" s="814" t="s">
        <v>646</v>
      </c>
      <c r="S47" s="793">
        <v>3331558050</v>
      </c>
      <c r="T47" s="793" t="s">
        <v>336</v>
      </c>
      <c r="U47" s="793">
        <v>24141204</v>
      </c>
      <c r="V47" s="793" t="s">
        <v>430</v>
      </c>
      <c r="W47" s="815" t="s">
        <v>338</v>
      </c>
      <c r="X47" s="816">
        <v>34477.631999999998</v>
      </c>
      <c r="Y47" s="793" t="s">
        <v>128</v>
      </c>
      <c r="Z47" s="793">
        <v>1</v>
      </c>
      <c r="AA47" s="793">
        <v>1</v>
      </c>
      <c r="AB47" s="812" t="s">
        <v>204</v>
      </c>
      <c r="AC47" s="810"/>
    </row>
    <row r="48" spans="18:29" ht="15.6">
      <c r="R48" s="814" t="s">
        <v>646</v>
      </c>
      <c r="S48" s="793">
        <v>3331558052</v>
      </c>
      <c r="T48" s="793" t="s">
        <v>336</v>
      </c>
      <c r="U48" s="793">
        <v>24141205</v>
      </c>
      <c r="V48" s="793" t="s">
        <v>430</v>
      </c>
      <c r="W48" s="815" t="s">
        <v>338</v>
      </c>
      <c r="X48" s="816">
        <v>34477.631999999998</v>
      </c>
      <c r="Y48" s="793" t="s">
        <v>128</v>
      </c>
      <c r="Z48" s="793">
        <v>1</v>
      </c>
      <c r="AA48" s="793">
        <v>1</v>
      </c>
      <c r="AB48" s="812" t="s">
        <v>204</v>
      </c>
      <c r="AC48" s="810"/>
    </row>
    <row r="49" spans="18:29" ht="15.6">
      <c r="R49" s="961" t="s">
        <v>646</v>
      </c>
      <c r="S49" s="784">
        <v>3331557906</v>
      </c>
      <c r="T49" s="818" t="s">
        <v>27</v>
      </c>
      <c r="U49" s="784">
        <v>24141177</v>
      </c>
      <c r="V49" s="784" t="s">
        <v>368</v>
      </c>
      <c r="W49" s="785" t="s">
        <v>647</v>
      </c>
      <c r="X49" s="786">
        <f>5455.926+20223.618</f>
        <v>25679.543999999998</v>
      </c>
      <c r="Y49" s="784" t="s">
        <v>200</v>
      </c>
      <c r="Z49" s="784">
        <v>1</v>
      </c>
      <c r="AA49" s="784">
        <v>1</v>
      </c>
      <c r="AB49" s="731" t="s">
        <v>204</v>
      </c>
      <c r="AC49" s="806"/>
    </row>
    <row r="50" spans="18:29" ht="15.6">
      <c r="R50" s="961" t="s">
        <v>646</v>
      </c>
      <c r="S50" s="784">
        <v>3331557907</v>
      </c>
      <c r="T50" s="787" t="s">
        <v>256</v>
      </c>
      <c r="U50" s="784" t="s">
        <v>256</v>
      </c>
      <c r="V50" s="784" t="s">
        <v>256</v>
      </c>
      <c r="W50" s="785" t="s">
        <v>256</v>
      </c>
      <c r="X50" s="786" t="s">
        <v>256</v>
      </c>
      <c r="Y50" s="784" t="s">
        <v>256</v>
      </c>
      <c r="Z50" s="784" t="s">
        <v>256</v>
      </c>
      <c r="AA50" s="784" t="s">
        <v>256</v>
      </c>
      <c r="AB50" s="731" t="s">
        <v>256</v>
      </c>
      <c r="AC50" s="806"/>
    </row>
    <row r="51" spans="18:29" ht="15.6">
      <c r="R51" s="769" t="s">
        <v>637</v>
      </c>
      <c r="S51" s="490">
        <v>3331557908</v>
      </c>
      <c r="T51" s="518" t="s">
        <v>34</v>
      </c>
      <c r="U51" s="490">
        <v>24141178</v>
      </c>
      <c r="V51" s="490" t="s">
        <v>158</v>
      </c>
      <c r="W51" s="730" t="s">
        <v>644</v>
      </c>
      <c r="X51" s="491">
        <v>25717.383999999998</v>
      </c>
      <c r="Y51" s="490" t="s">
        <v>200</v>
      </c>
      <c r="Z51" s="490">
        <v>1</v>
      </c>
      <c r="AA51" s="490">
        <v>1</v>
      </c>
      <c r="AB51" s="819" t="s">
        <v>204</v>
      </c>
      <c r="AC51" s="808"/>
    </row>
    <row r="52" spans="18:29" ht="15.6">
      <c r="R52" s="769" t="s">
        <v>646</v>
      </c>
      <c r="S52" s="490">
        <v>3331557985</v>
      </c>
      <c r="T52" s="593" t="s">
        <v>27</v>
      </c>
      <c r="U52" s="490">
        <v>24141180</v>
      </c>
      <c r="V52" s="490" t="s">
        <v>368</v>
      </c>
      <c r="W52" s="785" t="s">
        <v>647</v>
      </c>
      <c r="X52" s="491">
        <v>25720.794000000002</v>
      </c>
      <c r="Y52" s="490" t="s">
        <v>200</v>
      </c>
      <c r="Z52" s="490">
        <v>1</v>
      </c>
      <c r="AA52" s="490">
        <v>1</v>
      </c>
      <c r="AB52" s="819" t="s">
        <v>204</v>
      </c>
      <c r="AC52" s="808"/>
    </row>
    <row r="53" spans="18:29" ht="15.6">
      <c r="R53" s="817" t="s">
        <v>637</v>
      </c>
      <c r="S53" s="490">
        <v>3331557986</v>
      </c>
      <c r="T53" s="490" t="s">
        <v>287</v>
      </c>
      <c r="U53" s="490">
        <v>24141181</v>
      </c>
      <c r="V53" s="490" t="s">
        <v>243</v>
      </c>
      <c r="W53" s="730" t="s">
        <v>644</v>
      </c>
      <c r="X53" s="491">
        <v>19964.07</v>
      </c>
      <c r="Y53" s="490" t="s">
        <v>200</v>
      </c>
      <c r="Z53" s="490">
        <v>1</v>
      </c>
      <c r="AA53" s="490">
        <v>1</v>
      </c>
      <c r="AB53" s="811" t="s">
        <v>204</v>
      </c>
      <c r="AC53" s="808"/>
    </row>
    <row r="54" spans="18:29" ht="15.6">
      <c r="R54" s="961" t="s">
        <v>637</v>
      </c>
      <c r="S54" s="784">
        <v>3331557980</v>
      </c>
      <c r="T54" s="784" t="s">
        <v>27</v>
      </c>
      <c r="U54" s="784">
        <v>24141182</v>
      </c>
      <c r="V54" s="784" t="s">
        <v>601</v>
      </c>
      <c r="W54" s="730" t="s">
        <v>644</v>
      </c>
      <c r="X54" s="786">
        <f>14933.446+9625.539</f>
        <v>24558.985000000001</v>
      </c>
      <c r="Y54" s="490" t="s">
        <v>200</v>
      </c>
      <c r="Z54" s="784">
        <v>1</v>
      </c>
      <c r="AA54" s="784">
        <v>1</v>
      </c>
      <c r="AB54" s="731" t="s">
        <v>204</v>
      </c>
      <c r="AC54" s="806"/>
    </row>
    <row r="55" spans="18:29" ht="15.6">
      <c r="R55" s="769" t="s">
        <v>637</v>
      </c>
      <c r="S55" s="490">
        <v>3331557977</v>
      </c>
      <c r="T55" s="490" t="s">
        <v>256</v>
      </c>
      <c r="U55" s="490" t="s">
        <v>256</v>
      </c>
      <c r="V55" s="490" t="s">
        <v>256</v>
      </c>
      <c r="W55" s="730" t="s">
        <v>256</v>
      </c>
      <c r="X55" s="491" t="s">
        <v>256</v>
      </c>
      <c r="Y55" s="490" t="s">
        <v>256</v>
      </c>
      <c r="Z55" s="490" t="s">
        <v>256</v>
      </c>
      <c r="AA55" s="490" t="s">
        <v>256</v>
      </c>
      <c r="AB55" s="811" t="s">
        <v>256</v>
      </c>
      <c r="AC55" s="808"/>
    </row>
    <row r="56" spans="18:29" ht="15.6">
      <c r="R56" s="908" t="s">
        <v>646</v>
      </c>
      <c r="S56" s="502">
        <v>3331557995</v>
      </c>
      <c r="T56" s="575" t="s">
        <v>34</v>
      </c>
      <c r="U56" s="502">
        <v>24141183</v>
      </c>
      <c r="V56" s="502" t="s">
        <v>368</v>
      </c>
      <c r="W56" s="774" t="s">
        <v>647</v>
      </c>
      <c r="X56" s="506">
        <v>24984.677</v>
      </c>
      <c r="Y56" s="502" t="s">
        <v>200</v>
      </c>
      <c r="Z56" s="502">
        <v>1</v>
      </c>
      <c r="AA56" s="502">
        <v>1</v>
      </c>
      <c r="AB56" s="809" t="s">
        <v>207</v>
      </c>
      <c r="AC56" s="808"/>
    </row>
    <row r="57" spans="18:29" ht="15.6">
      <c r="R57" s="813" t="s">
        <v>637</v>
      </c>
      <c r="S57" s="784">
        <v>3331557988</v>
      </c>
      <c r="T57" s="795" t="s">
        <v>34</v>
      </c>
      <c r="U57" s="784">
        <v>24141184</v>
      </c>
      <c r="V57" s="784" t="s">
        <v>243</v>
      </c>
      <c r="W57" s="730" t="s">
        <v>644</v>
      </c>
      <c r="X57" s="786">
        <f>11106.24+6535.862+5132.749+2638.125</f>
        <v>25412.975999999999</v>
      </c>
      <c r="Y57" s="490" t="s">
        <v>200</v>
      </c>
      <c r="Z57" s="784">
        <v>1</v>
      </c>
      <c r="AA57" s="784">
        <v>1</v>
      </c>
      <c r="AB57" s="731" t="s">
        <v>204</v>
      </c>
      <c r="AC57" s="806"/>
    </row>
    <row r="58" spans="18:29" ht="15.6">
      <c r="R58" s="813" t="s">
        <v>637</v>
      </c>
      <c r="S58" s="784">
        <v>3331557991</v>
      </c>
      <c r="T58" s="784" t="s">
        <v>256</v>
      </c>
      <c r="U58" s="784" t="s">
        <v>256</v>
      </c>
      <c r="V58" s="784" t="s">
        <v>256</v>
      </c>
      <c r="W58" s="730" t="s">
        <v>256</v>
      </c>
      <c r="X58" s="786" t="s">
        <v>256</v>
      </c>
      <c r="Y58" s="784" t="s">
        <v>256</v>
      </c>
      <c r="Z58" s="784" t="s">
        <v>256</v>
      </c>
      <c r="AA58" s="784" t="s">
        <v>256</v>
      </c>
      <c r="AB58" s="731" t="s">
        <v>256</v>
      </c>
      <c r="AC58" s="806"/>
    </row>
    <row r="59" spans="18:29" ht="15.6">
      <c r="R59" s="817" t="s">
        <v>637</v>
      </c>
      <c r="S59" s="490">
        <v>3331557994</v>
      </c>
      <c r="T59" s="490" t="s">
        <v>256</v>
      </c>
      <c r="U59" s="490" t="s">
        <v>256</v>
      </c>
      <c r="V59" s="490" t="s">
        <v>256</v>
      </c>
      <c r="W59" s="730" t="s">
        <v>256</v>
      </c>
      <c r="X59" s="491" t="s">
        <v>256</v>
      </c>
      <c r="Y59" s="490" t="s">
        <v>256</v>
      </c>
      <c r="Z59" s="490" t="s">
        <v>256</v>
      </c>
      <c r="AA59" s="490" t="s">
        <v>256</v>
      </c>
      <c r="AB59" s="811" t="s">
        <v>256</v>
      </c>
      <c r="AC59" s="808"/>
    </row>
    <row r="60" spans="18:29" ht="15.6">
      <c r="R60" s="817" t="s">
        <v>637</v>
      </c>
      <c r="S60" s="490">
        <v>3331557998</v>
      </c>
      <c r="T60" s="490" t="s">
        <v>256</v>
      </c>
      <c r="U60" s="490" t="s">
        <v>256</v>
      </c>
      <c r="V60" s="490" t="s">
        <v>256</v>
      </c>
      <c r="W60" s="730" t="s">
        <v>256</v>
      </c>
      <c r="X60" s="491" t="s">
        <v>256</v>
      </c>
      <c r="Y60" s="490" t="s">
        <v>256</v>
      </c>
      <c r="Z60" s="490" t="s">
        <v>256</v>
      </c>
      <c r="AA60" s="490" t="s">
        <v>256</v>
      </c>
      <c r="AB60" s="811" t="s">
        <v>256</v>
      </c>
      <c r="AC60" s="808"/>
    </row>
    <row r="61" spans="18:29" ht="15.6">
      <c r="R61" s="908" t="s">
        <v>646</v>
      </c>
      <c r="S61" s="502">
        <v>3331558003</v>
      </c>
      <c r="T61" s="575" t="s">
        <v>11</v>
      </c>
      <c r="U61" s="502">
        <v>24141185</v>
      </c>
      <c r="V61" s="502" t="s">
        <v>368</v>
      </c>
      <c r="W61" s="774" t="s">
        <v>647</v>
      </c>
      <c r="X61" s="506">
        <v>24075.356</v>
      </c>
      <c r="Y61" s="502" t="s">
        <v>200</v>
      </c>
      <c r="Z61" s="502">
        <v>1</v>
      </c>
      <c r="AA61" s="502">
        <v>1</v>
      </c>
      <c r="AB61" s="809" t="s">
        <v>207</v>
      </c>
      <c r="AC61" s="808"/>
    </row>
    <row r="62" spans="18:29" ht="15.6">
      <c r="R62" s="908" t="s">
        <v>646</v>
      </c>
      <c r="S62" s="502">
        <v>3331558010</v>
      </c>
      <c r="T62" s="575" t="s">
        <v>11</v>
      </c>
      <c r="U62" s="502">
        <v>24141186</v>
      </c>
      <c r="V62" s="502" t="s">
        <v>368</v>
      </c>
      <c r="W62" s="774" t="s">
        <v>647</v>
      </c>
      <c r="X62" s="506">
        <v>25764.095000000001</v>
      </c>
      <c r="Y62" s="502" t="s">
        <v>200</v>
      </c>
      <c r="Z62" s="502">
        <v>1</v>
      </c>
      <c r="AA62" s="502">
        <v>1</v>
      </c>
      <c r="AB62" s="809" t="s">
        <v>207</v>
      </c>
      <c r="AC62" s="808"/>
    </row>
    <row r="63" spans="18:29" ht="15.6">
      <c r="R63" s="813" t="s">
        <v>637</v>
      </c>
      <c r="S63" s="784">
        <v>3331558012</v>
      </c>
      <c r="T63" s="518" t="s">
        <v>287</v>
      </c>
      <c r="U63" s="784">
        <v>24141187</v>
      </c>
      <c r="V63" s="784" t="s">
        <v>535</v>
      </c>
      <c r="W63" s="730" t="s">
        <v>644</v>
      </c>
      <c r="X63" s="786">
        <v>19607.574000000001</v>
      </c>
      <c r="Y63" s="490" t="s">
        <v>200</v>
      </c>
      <c r="Z63" s="784">
        <v>1</v>
      </c>
      <c r="AA63" s="784">
        <v>1</v>
      </c>
      <c r="AB63" s="731" t="s">
        <v>204</v>
      </c>
      <c r="AC63" s="806"/>
    </row>
    <row r="64" spans="18:29" ht="15.6">
      <c r="R64" s="817" t="s">
        <v>637</v>
      </c>
      <c r="S64" s="490">
        <v>3331558014</v>
      </c>
      <c r="T64" s="518" t="s">
        <v>34</v>
      </c>
      <c r="U64" s="490">
        <v>24141188</v>
      </c>
      <c r="V64" s="490" t="s">
        <v>535</v>
      </c>
      <c r="W64" s="730" t="s">
        <v>644</v>
      </c>
      <c r="X64" s="491">
        <v>19369.905999999999</v>
      </c>
      <c r="Y64" s="490" t="s">
        <v>200</v>
      </c>
      <c r="Z64" s="490">
        <v>1</v>
      </c>
      <c r="AA64" s="490">
        <v>1</v>
      </c>
      <c r="AB64" s="811" t="s">
        <v>204</v>
      </c>
      <c r="AC64" s="808"/>
    </row>
    <row r="65" spans="18:29" ht="15.6">
      <c r="R65" s="769" t="s">
        <v>637</v>
      </c>
      <c r="S65" s="490">
        <v>3331558020</v>
      </c>
      <c r="T65" s="518" t="s">
        <v>27</v>
      </c>
      <c r="U65" s="490">
        <v>24141190</v>
      </c>
      <c r="V65" s="490" t="s">
        <v>132</v>
      </c>
      <c r="W65" s="730" t="s">
        <v>644</v>
      </c>
      <c r="X65" s="491">
        <v>26381.092000000001</v>
      </c>
      <c r="Y65" s="490" t="s">
        <v>200</v>
      </c>
      <c r="Z65" s="490">
        <v>1</v>
      </c>
      <c r="AA65" s="490">
        <v>1</v>
      </c>
      <c r="AB65" s="811" t="s">
        <v>204</v>
      </c>
      <c r="AC65" s="808"/>
    </row>
    <row r="66" spans="18:29" ht="15.6">
      <c r="R66" s="732"/>
      <c r="S66" s="772"/>
      <c r="T66" s="776"/>
      <c r="U66" s="772"/>
      <c r="V66" s="772"/>
      <c r="W66" s="774"/>
      <c r="X66" s="775"/>
      <c r="Y66" s="772"/>
      <c r="Z66" s="772"/>
      <c r="AA66" s="772"/>
      <c r="AB66" s="722"/>
      <c r="AC66" s="773"/>
    </row>
    <row r="67" spans="18:29" ht="15.6">
      <c r="R67" s="732"/>
      <c r="S67" s="772"/>
      <c r="T67" s="776"/>
      <c r="U67" s="772"/>
      <c r="V67" s="772"/>
      <c r="W67" s="774"/>
      <c r="X67" s="775"/>
      <c r="Y67" s="772"/>
      <c r="Z67" s="772"/>
      <c r="AA67" s="772"/>
      <c r="AB67" s="722"/>
      <c r="AC67" s="773"/>
    </row>
    <row r="68" spans="18:29" ht="15.6">
      <c r="R68" s="732"/>
      <c r="S68" s="772"/>
      <c r="T68" s="776"/>
      <c r="U68" s="772"/>
      <c r="V68" s="772"/>
      <c r="W68" s="774"/>
      <c r="X68" s="775"/>
      <c r="Y68" s="772"/>
      <c r="Z68" s="772"/>
      <c r="AA68" s="772"/>
      <c r="AB68" s="722"/>
      <c r="AC68" s="773"/>
    </row>
    <row r="69" spans="18:29" ht="15.6">
      <c r="R69" s="732"/>
      <c r="S69" s="772"/>
      <c r="T69" s="776"/>
      <c r="U69" s="772"/>
      <c r="V69" s="772"/>
      <c r="W69" s="774"/>
      <c r="X69" s="775"/>
      <c r="Y69" s="772"/>
      <c r="Z69" s="772"/>
      <c r="AA69" s="772"/>
      <c r="AB69" s="722"/>
      <c r="AC69" s="773"/>
    </row>
    <row r="72" spans="18:29" ht="15" customHeight="1">
      <c r="V72" s="1548">
        <f ca="1">TODAY()</f>
        <v>45977</v>
      </c>
      <c r="W72" s="1554"/>
    </row>
    <row r="73" spans="18:29" ht="15" customHeight="1">
      <c r="V73" s="1555"/>
      <c r="W73" s="1556"/>
    </row>
    <row r="74" spans="18:29" ht="33.6">
      <c r="V74" s="512" t="s">
        <v>307</v>
      </c>
      <c r="W74" s="513">
        <f>SUM(Z3:Z69)</f>
        <v>50</v>
      </c>
    </row>
    <row r="75" spans="18:29" ht="33.6">
      <c r="V75" s="432" t="s">
        <v>201</v>
      </c>
      <c r="W75" s="434">
        <f>SUM(AA3:AA69)</f>
        <v>47</v>
      </c>
    </row>
    <row r="76" spans="18:29" ht="33.6">
      <c r="V76" s="545" t="s">
        <v>249</v>
      </c>
      <c r="W76" s="546">
        <f>W74-W75</f>
        <v>3</v>
      </c>
      <c r="X76" t="s">
        <v>638</v>
      </c>
    </row>
    <row r="77" spans="18:29" ht="33.6">
      <c r="V77" s="351" t="s">
        <v>265</v>
      </c>
      <c r="W77" s="315">
        <f>COUNTIF($AB$3:$AB$1080,"MASUK")</f>
        <v>37</v>
      </c>
    </row>
    <row r="78" spans="18:29" ht="33.6">
      <c r="V78" s="766" t="s">
        <v>207</v>
      </c>
      <c r="W78" s="765">
        <f>COUNTIF($AB$3:$AB$1080,"BELUM MASUK")</f>
        <v>14</v>
      </c>
    </row>
    <row r="79" spans="18:29" ht="33.6">
      <c r="R79" s="44"/>
      <c r="S79" s="44"/>
      <c r="T79" s="44"/>
      <c r="U79" s="44"/>
      <c r="V79" s="766" t="s">
        <v>220</v>
      </c>
      <c r="W79" s="765">
        <f>COUNTIF($Y$3:$Y$1080,"TRONTON")</f>
        <v>36</v>
      </c>
    </row>
    <row r="80" spans="18:29" ht="33.6">
      <c r="R80" s="44"/>
      <c r="S80" s="44"/>
      <c r="T80" s="44"/>
      <c r="U80" s="44"/>
      <c r="V80" s="766" t="s">
        <v>128</v>
      </c>
      <c r="W80" s="765">
        <f>COUNTIF($Y$3:$Y$1080,"TRAILER")</f>
        <v>13</v>
      </c>
    </row>
    <row r="81" spans="18:23" ht="34.200000000000003" thickBot="1">
      <c r="R81" s="44"/>
      <c r="S81" s="44"/>
      <c r="T81" s="44"/>
      <c r="U81" s="44"/>
      <c r="V81" s="766" t="s">
        <v>639</v>
      </c>
      <c r="W81" s="765">
        <f>COUNTIF($Y$3:$Y$1080,"WING BOX")</f>
        <v>1</v>
      </c>
    </row>
    <row r="82" spans="18:23" ht="34.200000000000003" thickBot="1">
      <c r="V82" s="766" t="s">
        <v>426</v>
      </c>
      <c r="W82" s="765">
        <f>COUNTIF($Y$3:$Y$1080,"40 HC")</f>
        <v>0</v>
      </c>
    </row>
  </sheetData>
  <protectedRanges>
    <protectedRange algorithmName="SHA-512" hashValue="XYWjC+iAz2ErgjMh7TSLHlxfTfK0uVcITDFdCCZFdnsWWbUNnsQqu9AM+0WFXQpYcy9ZvQx2KUXfpLhpOROHkg==" saltValue="47TiGLG0rJVTo3iAJH8T4w==" spinCount="100000" sqref="B21:D22" name="Range2_5_2"/>
    <protectedRange algorithmName="SHA-512" hashValue="24Yg3M703G5L8OyJWxlkx8c1Gwfrkael5W/l3TUk/Rcz5tR8QOgCx5v0Ebb/UGz+9BDKPJ5wV4hH8uuxvmtGIw==" saltValue="ZSJQ8EEnwGxsiYzxIw6K0Q==" spinCount="100000" sqref="B4:P22" name="Range1_65_32"/>
  </protectedRanges>
  <mergeCells count="23">
    <mergeCell ref="A3:A4"/>
    <mergeCell ref="B3:D3"/>
    <mergeCell ref="F3:H3"/>
    <mergeCell ref="J3:L3"/>
    <mergeCell ref="N3:P3"/>
    <mergeCell ref="F1:H1"/>
    <mergeCell ref="J1:L1"/>
    <mergeCell ref="F2:H2"/>
    <mergeCell ref="J2:L2"/>
    <mergeCell ref="N2:P2"/>
    <mergeCell ref="A19:A20"/>
    <mergeCell ref="B19:D19"/>
    <mergeCell ref="V72:W73"/>
    <mergeCell ref="F8:H8"/>
    <mergeCell ref="J8:L8"/>
    <mergeCell ref="F9:H9"/>
    <mergeCell ref="J9:L9"/>
    <mergeCell ref="N9:P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7E55-D975-41D4-AD73-197644585B1C}">
  <dimension ref="A1:AE51"/>
  <sheetViews>
    <sheetView showGridLines="0" topLeftCell="Q30" zoomScale="55" zoomScaleNormal="55" workbookViewId="0">
      <selection activeCell="S36" sqref="S36"/>
    </sheetView>
  </sheetViews>
  <sheetFormatPr defaultRowHeight="14.4"/>
  <cols>
    <col min="1" max="1" width="43.88671875" bestFit="1" customWidth="1"/>
    <col min="2" max="2" width="8.5546875" bestFit="1" customWidth="1"/>
    <col min="3" max="3" width="10.44140625" bestFit="1" customWidth="1"/>
    <col min="4" max="4" width="7" bestFit="1" customWidth="1"/>
    <col min="6" max="7" width="14" customWidth="1"/>
    <col min="8" max="8" width="15.6640625" customWidth="1"/>
    <col min="10" max="10" width="15.44140625" bestFit="1" customWidth="1"/>
    <col min="11" max="11" width="10.44140625" bestFit="1" customWidth="1"/>
    <col min="12" max="12" width="7" bestFit="1" customWidth="1"/>
    <col min="14" max="14" width="28" bestFit="1" customWidth="1"/>
    <col min="15" max="15" width="11.44140625" customWidth="1"/>
    <col min="16" max="16" width="6.88671875" bestFit="1" customWidth="1"/>
    <col min="18" max="18" width="11" bestFit="1" customWidth="1"/>
    <col min="19" max="19" width="12" bestFit="1" customWidth="1"/>
    <col min="20" max="20" width="16.88671875" bestFit="1" customWidth="1"/>
    <col min="21" max="21" width="9.88671875" bestFit="1" customWidth="1"/>
    <col min="22" max="22" width="46.44140625" bestFit="1" customWidth="1"/>
    <col min="23" max="23" width="24.33203125" bestFit="1" customWidth="1"/>
    <col min="24" max="24" width="17.109375" bestFit="1" customWidth="1"/>
    <col min="25" max="25" width="14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bestFit="1" customWidth="1"/>
  </cols>
  <sheetData>
    <row r="1" spans="1:31" ht="17.399999999999999">
      <c r="A1" s="762" t="s">
        <v>649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959" t="s">
        <v>1</v>
      </c>
      <c r="S1" s="960" t="s">
        <v>2</v>
      </c>
      <c r="T1" s="960" t="s">
        <v>3</v>
      </c>
      <c r="U1" s="960" t="s">
        <v>211</v>
      </c>
      <c r="V1" s="960" t="s">
        <v>5</v>
      </c>
      <c r="W1" s="960" t="s">
        <v>194</v>
      </c>
      <c r="X1" s="960" t="s">
        <v>212</v>
      </c>
      <c r="Y1" s="960" t="s">
        <v>213</v>
      </c>
      <c r="Z1" s="960" t="s">
        <v>406</v>
      </c>
      <c r="AA1" s="960" t="s">
        <v>215</v>
      </c>
      <c r="AB1" s="960" t="s">
        <v>216</v>
      </c>
      <c r="AC1" s="807" t="s">
        <v>407</v>
      </c>
    </row>
    <row r="2" spans="1:31" ht="17.399999999999999">
      <c r="A2" s="762" t="s">
        <v>650</v>
      </c>
      <c r="B2" s="733"/>
      <c r="C2" s="733"/>
      <c r="D2" s="733"/>
      <c r="E2" s="734"/>
      <c r="F2" s="1536" t="s">
        <v>651</v>
      </c>
      <c r="G2" s="1536"/>
      <c r="H2" s="1536"/>
      <c r="I2" s="742"/>
      <c r="J2" s="1525" t="s">
        <v>652</v>
      </c>
      <c r="K2" s="1525"/>
      <c r="L2" s="1525"/>
      <c r="M2" s="734"/>
      <c r="N2" s="1535"/>
      <c r="O2" s="1535"/>
      <c r="P2" s="1535"/>
      <c r="R2" s="879" t="s">
        <v>637</v>
      </c>
      <c r="S2" s="612">
        <v>3331557893</v>
      </c>
      <c r="T2" s="612" t="s">
        <v>648</v>
      </c>
      <c r="U2" s="612">
        <v>24141168</v>
      </c>
      <c r="V2" s="612" t="s">
        <v>561</v>
      </c>
      <c r="W2" s="832" t="s">
        <v>362</v>
      </c>
      <c r="X2" s="833">
        <v>25054.43</v>
      </c>
      <c r="Y2" s="612" t="s">
        <v>200</v>
      </c>
      <c r="Z2" s="612"/>
      <c r="AA2" s="612">
        <v>1</v>
      </c>
      <c r="AB2" s="613" t="s">
        <v>204</v>
      </c>
      <c r="AC2" s="962"/>
    </row>
    <row r="3" spans="1:31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879" t="s">
        <v>637</v>
      </c>
      <c r="S3" s="612">
        <v>3331557894</v>
      </c>
      <c r="T3" s="612" t="s">
        <v>648</v>
      </c>
      <c r="U3" s="612">
        <v>24141169</v>
      </c>
      <c r="V3" s="612" t="s">
        <v>561</v>
      </c>
      <c r="W3" s="832" t="s">
        <v>362</v>
      </c>
      <c r="X3" s="833">
        <v>24840.654999999999</v>
      </c>
      <c r="Y3" s="612" t="s">
        <v>200</v>
      </c>
      <c r="Z3" s="612">
        <v>1</v>
      </c>
      <c r="AA3" s="612">
        <v>1</v>
      </c>
      <c r="AB3" s="613" t="s">
        <v>204</v>
      </c>
      <c r="AC3" s="962"/>
    </row>
    <row r="4" spans="1:31" ht="17.399999999999999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879" t="s">
        <v>637</v>
      </c>
      <c r="S4" s="612">
        <v>3331557896</v>
      </c>
      <c r="T4" s="612" t="s">
        <v>441</v>
      </c>
      <c r="U4" s="612">
        <v>24141171</v>
      </c>
      <c r="V4" s="612" t="s">
        <v>561</v>
      </c>
      <c r="W4" s="832" t="s">
        <v>362</v>
      </c>
      <c r="X4" s="833">
        <f>7014.762+16674.45</f>
        <v>23689.212</v>
      </c>
      <c r="Y4" s="612" t="s">
        <v>200</v>
      </c>
      <c r="Z4" s="612">
        <v>1</v>
      </c>
      <c r="AA4" s="612">
        <v>1</v>
      </c>
      <c r="AB4" s="613" t="s">
        <v>204</v>
      </c>
      <c r="AC4" s="955"/>
    </row>
    <row r="5" spans="1:31" ht="18">
      <c r="A5" s="746" t="s">
        <v>427</v>
      </c>
      <c r="B5" s="747" cm="1">
        <f t="array" ref="B5">SUMPRODUCT(--ISNUMBER(MATCH(TRIM(W1:W147), {"JABODETABEK","JAWA TENGAH","JAWA TIMUR","LUAR PULAU"}, 0)))</f>
        <v>32</v>
      </c>
      <c r="C5" s="747" cm="1">
        <f t="array" ref="C5">SUMPRODUCT(--(LOWER(TRIM(AB1:AB173))="masuk"), --(ISNUMBER(MATCH(TRIM(W1:W173), {"JABODETABEK","JAWA TENGAH","JAWA TIMUR","LUAR PULAU"}, 0))))</f>
        <v>32</v>
      </c>
      <c r="D5" s="740">
        <f>C5+-B5</f>
        <v>0</v>
      </c>
      <c r="E5" s="734"/>
      <c r="F5" s="748" cm="1">
        <f t="array" ref="F5">SUMPRODUCT(--(LOWER(AC1:AC173)="add"), --(ISNUMBER(MATCH(W1:W173, {"JABODETABEK","JAWA TENGAH","JAWA TIMUR","LUAR PULAU"}, 0))))</f>
        <v>0</v>
      </c>
      <c r="G5" s="747" cm="1">
        <f t="array" ref="G5">SUMPRODUCT(--(LOWER(AB1:AB173)="masuk"), --(LOWER(AC1:AC173)="add"))</f>
        <v>0</v>
      </c>
      <c r="H5" s="740">
        <f>G5+-F5</f>
        <v>0</v>
      </c>
      <c r="I5" s="734"/>
      <c r="J5" s="748" cm="1">
        <f t="array" ref="J5">SUMPRODUCT(--ISNUMBER(SEARCH("next day", LOWER(W1:W173))))</f>
        <v>6</v>
      </c>
      <c r="K5" s="747" cm="1">
        <f t="array" ref="K5">SUMPRODUCT(--(LOWER(AB1:AB173)="masuk"), --ISNUMBER(SEARCH("next day", LOWER(W1:W173))))</f>
        <v>6</v>
      </c>
      <c r="L5" s="747">
        <f>K5+-J5</f>
        <v>0</v>
      </c>
      <c r="M5" s="734"/>
      <c r="N5" s="748">
        <f>B5+F5+J5</f>
        <v>38</v>
      </c>
      <c r="O5" s="747">
        <f>C5+G5+K5</f>
        <v>38</v>
      </c>
      <c r="P5" s="740">
        <f>D5+H5+L5</f>
        <v>0</v>
      </c>
      <c r="R5" s="879" t="s">
        <v>637</v>
      </c>
      <c r="S5" s="862">
        <v>3331557897</v>
      </c>
      <c r="T5" s="612" t="s">
        <v>256</v>
      </c>
      <c r="U5" s="612" t="s">
        <v>256</v>
      </c>
      <c r="V5" s="612" t="s">
        <v>256</v>
      </c>
      <c r="W5" s="832" t="s">
        <v>256</v>
      </c>
      <c r="X5" s="833" t="s">
        <v>256</v>
      </c>
      <c r="Y5" s="612" t="s">
        <v>256</v>
      </c>
      <c r="Z5" s="862" t="s">
        <v>256</v>
      </c>
      <c r="AA5" s="862" t="s">
        <v>256</v>
      </c>
      <c r="AB5" s="613" t="s">
        <v>204</v>
      </c>
      <c r="AC5" s="955"/>
    </row>
    <row r="6" spans="1:31" ht="17.399999999999999">
      <c r="A6" s="733"/>
      <c r="B6" s="733">
        <f>SUM(B5)</f>
        <v>32</v>
      </c>
      <c r="C6" s="733">
        <f>SUM(C5)</f>
        <v>32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6</v>
      </c>
      <c r="K6" s="733">
        <f>SUM(K5)</f>
        <v>6</v>
      </c>
      <c r="L6" s="733">
        <f>SUM(L5)</f>
        <v>0</v>
      </c>
      <c r="M6" s="733"/>
      <c r="N6" s="760">
        <f>SUM(N5:N5)</f>
        <v>38</v>
      </c>
      <c r="O6" s="760">
        <f>SUM(O5:O5)</f>
        <v>38</v>
      </c>
      <c r="P6" s="761">
        <f>SUM(P5:P5)</f>
        <v>0</v>
      </c>
      <c r="R6" s="961" t="s">
        <v>637</v>
      </c>
      <c r="S6" s="784">
        <v>3331557905</v>
      </c>
      <c r="T6" s="612" t="s">
        <v>441</v>
      </c>
      <c r="U6" s="612">
        <v>24141176</v>
      </c>
      <c r="V6" s="612" t="s">
        <v>561</v>
      </c>
      <c r="W6" s="832" t="s">
        <v>362</v>
      </c>
      <c r="X6" s="786">
        <v>26104.946</v>
      </c>
      <c r="Y6" s="612" t="s">
        <v>200</v>
      </c>
      <c r="Z6" s="612">
        <v>1</v>
      </c>
      <c r="AA6" s="612">
        <v>1</v>
      </c>
      <c r="AB6" s="613" t="s">
        <v>204</v>
      </c>
      <c r="AC6" s="955"/>
    </row>
    <row r="7" spans="1:31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879" t="s">
        <v>637</v>
      </c>
      <c r="S7" s="612">
        <v>3331558015</v>
      </c>
      <c r="T7" s="612" t="s">
        <v>336</v>
      </c>
      <c r="U7" s="612">
        <v>24141189</v>
      </c>
      <c r="V7" s="612" t="s">
        <v>413</v>
      </c>
      <c r="W7" s="832" t="s">
        <v>205</v>
      </c>
      <c r="X7" s="833">
        <f>24199.33+21044.286</f>
        <v>45243.616000000002</v>
      </c>
      <c r="Y7" s="612" t="s">
        <v>128</v>
      </c>
      <c r="Z7" s="784">
        <v>1</v>
      </c>
      <c r="AA7" s="784">
        <v>1</v>
      </c>
      <c r="AB7" s="613" t="s">
        <v>204</v>
      </c>
      <c r="AC7" s="962"/>
    </row>
    <row r="8" spans="1:31" ht="17.399999999999999">
      <c r="A8" s="763" t="str">
        <f>A1</f>
        <v>Plan tgl 03-05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879" t="s">
        <v>637</v>
      </c>
      <c r="S8" s="612">
        <v>3331558017</v>
      </c>
      <c r="T8" s="612" t="s">
        <v>256</v>
      </c>
      <c r="U8" s="612" t="s">
        <v>256</v>
      </c>
      <c r="V8" s="612" t="s">
        <v>256</v>
      </c>
      <c r="W8" s="832" t="s">
        <v>256</v>
      </c>
      <c r="X8" s="833" t="s">
        <v>256</v>
      </c>
      <c r="Y8" s="612" t="s">
        <v>256</v>
      </c>
      <c r="Z8" s="784" t="s">
        <v>256</v>
      </c>
      <c r="AA8" s="784" t="s">
        <v>256</v>
      </c>
      <c r="AB8" s="613" t="s">
        <v>256</v>
      </c>
      <c r="AC8" s="962"/>
    </row>
    <row r="9" spans="1:31" ht="18">
      <c r="A9" s="763" t="str">
        <f>A2</f>
        <v>Realz update 06 OKT’25 jam 07.00</v>
      </c>
      <c r="B9" s="825"/>
      <c r="C9" s="825"/>
      <c r="D9" s="825"/>
      <c r="E9" s="734"/>
      <c r="F9" s="1525" t="str">
        <f>F2</f>
        <v>Tgl 03 OKT’25 diatas jam 15.00</v>
      </c>
      <c r="G9" s="1525"/>
      <c r="H9" s="1525"/>
      <c r="I9" s="826"/>
      <c r="J9" s="1525" t="str">
        <f>J2</f>
        <v>Tgl 03 OKT’25</v>
      </c>
      <c r="K9" s="1525"/>
      <c r="L9" s="1525"/>
      <c r="M9" s="734"/>
      <c r="N9" s="1526"/>
      <c r="O9" s="1526"/>
      <c r="P9" s="1526"/>
      <c r="R9" s="879" t="s">
        <v>637</v>
      </c>
      <c r="S9" s="612">
        <v>3331558044</v>
      </c>
      <c r="T9" s="612" t="s">
        <v>437</v>
      </c>
      <c r="U9" s="612">
        <v>24141198</v>
      </c>
      <c r="V9" s="612" t="s">
        <v>226</v>
      </c>
      <c r="W9" s="832" t="s">
        <v>203</v>
      </c>
      <c r="X9" s="833">
        <v>41415.260999999999</v>
      </c>
      <c r="Y9" s="612" t="s">
        <v>128</v>
      </c>
      <c r="Z9" s="612">
        <v>1</v>
      </c>
      <c r="AA9" s="612">
        <v>1</v>
      </c>
      <c r="AB9" s="613" t="s">
        <v>204</v>
      </c>
      <c r="AC9" s="963"/>
    </row>
    <row r="10" spans="1:31" ht="17.399999999999999">
      <c r="A10" s="1541" t="s">
        <v>194</v>
      </c>
      <c r="B10" s="1539" t="s">
        <v>415</v>
      </c>
      <c r="C10" s="1539"/>
      <c r="D10" s="1542"/>
      <c r="E10" s="734"/>
      <c r="F10" s="1541" t="s">
        <v>416</v>
      </c>
      <c r="G10" s="1539"/>
      <c r="H10" s="1542"/>
      <c r="I10" s="734"/>
      <c r="J10" s="1541" t="s">
        <v>416</v>
      </c>
      <c r="K10" s="1539"/>
      <c r="L10" s="1542"/>
      <c r="M10" s="734"/>
      <c r="N10" s="1541" t="s">
        <v>417</v>
      </c>
      <c r="O10" s="1539"/>
      <c r="P10" s="1542"/>
      <c r="R10" s="879" t="s">
        <v>637</v>
      </c>
      <c r="S10" s="612">
        <v>3331558046</v>
      </c>
      <c r="T10" s="612" t="s">
        <v>342</v>
      </c>
      <c r="U10" s="612">
        <v>24141199</v>
      </c>
      <c r="V10" s="612" t="s">
        <v>226</v>
      </c>
      <c r="W10" s="832" t="s">
        <v>203</v>
      </c>
      <c r="X10" s="833">
        <v>35308.336000000003</v>
      </c>
      <c r="Y10" s="612" t="s">
        <v>128</v>
      </c>
      <c r="Z10" s="612">
        <v>1</v>
      </c>
      <c r="AA10" s="612">
        <v>1</v>
      </c>
      <c r="AB10" s="613" t="s">
        <v>204</v>
      </c>
      <c r="AC10" s="963"/>
    </row>
    <row r="11" spans="1:31" ht="18" thickBot="1">
      <c r="A11" s="1558"/>
      <c r="B11" s="843" t="s">
        <v>419</v>
      </c>
      <c r="C11" s="843" t="s">
        <v>420</v>
      </c>
      <c r="D11" s="754" t="s">
        <v>421</v>
      </c>
      <c r="E11" s="734"/>
      <c r="F11" s="841" t="s">
        <v>422</v>
      </c>
      <c r="G11" s="842" t="s">
        <v>420</v>
      </c>
      <c r="H11" s="743" t="s">
        <v>421</v>
      </c>
      <c r="I11" s="734"/>
      <c r="J11" s="841" t="s">
        <v>310</v>
      </c>
      <c r="K11" s="842" t="s">
        <v>420</v>
      </c>
      <c r="L11" s="743" t="s">
        <v>421</v>
      </c>
      <c r="M11" s="734"/>
      <c r="N11" s="844" t="s">
        <v>423</v>
      </c>
      <c r="O11" s="843" t="s">
        <v>420</v>
      </c>
      <c r="P11" s="754" t="s">
        <v>421</v>
      </c>
      <c r="R11" s="879" t="s">
        <v>637</v>
      </c>
      <c r="S11" s="612">
        <v>3331558051</v>
      </c>
      <c r="T11" s="612" t="s">
        <v>206</v>
      </c>
      <c r="U11" s="612">
        <v>24141200</v>
      </c>
      <c r="V11" s="612" t="s">
        <v>226</v>
      </c>
      <c r="W11" s="832" t="s">
        <v>203</v>
      </c>
      <c r="X11" s="833">
        <v>41286.239999999998</v>
      </c>
      <c r="Y11" s="612" t="s">
        <v>128</v>
      </c>
      <c r="Z11" s="612">
        <v>1</v>
      </c>
      <c r="AA11" s="612">
        <v>1</v>
      </c>
      <c r="AB11" s="613" t="s">
        <v>204</v>
      </c>
      <c r="AC11" s="828"/>
    </row>
    <row r="12" spans="1:31" ht="18.600000000000001" thickBot="1">
      <c r="A12" s="845" t="s">
        <v>199</v>
      </c>
      <c r="B12" s="750" cm="1">
        <f t="array" ref="B12">SUMPRODUCT(--(TRIM(LOWER(W1:W173))="jabodetabek"))</f>
        <v>8</v>
      </c>
      <c r="C12" s="750" cm="1">
        <f t="array" ref="C12">SUMPRODUCT(--(LOWER(AB1:AB173)="masuk"), --(TRIM(LOWER(W1:W173))="jabodetabek"))</f>
        <v>8</v>
      </c>
      <c r="D12" s="846">
        <f>C12+-B12</f>
        <v>0</v>
      </c>
      <c r="E12" s="734"/>
      <c r="F12" s="748" cm="1">
        <f t="array" ref="F12">SUMPRODUCT(--(LOWER(AC1:AC173)="add"), --(TRIM(LOWER(W1:W173))="jabodetabek"))</f>
        <v>0</v>
      </c>
      <c r="G12" s="747" cm="1">
        <f t="array" ref="G12">SUMPRODUCT(--(LOWER(AB1:AB173)="masuk"), --(LOWER(AC1:AC173)="add"), --(TRIM(LOWER(W1:W173))="jabodetabek"))</f>
        <v>0</v>
      </c>
      <c r="H12" s="740">
        <f>G12+-F12</f>
        <v>0</v>
      </c>
      <c r="I12" s="734"/>
      <c r="J12" s="748" cm="1">
        <f t="array" ref="J12">SUMPRODUCT(--(LOWER(TRIM(W1:W173))="jabodetabek next day"))</f>
        <v>6</v>
      </c>
      <c r="K12" s="747" cm="1">
        <f t="array" ref="K12">SUMPRODUCT(--(LOWER(AB1:AB173)="masuk"), --(LOWER(TRIM(W1:W173))="jabodetabek next day"))</f>
        <v>6</v>
      </c>
      <c r="L12" s="747">
        <f>K12+-J12</f>
        <v>0</v>
      </c>
      <c r="M12" s="734"/>
      <c r="N12" s="750">
        <f t="shared" ref="N12:P16" si="0">B12+F12+J12</f>
        <v>14</v>
      </c>
      <c r="O12" s="749">
        <f t="shared" si="0"/>
        <v>14</v>
      </c>
      <c r="P12" s="741">
        <f t="shared" si="0"/>
        <v>0</v>
      </c>
      <c r="R12" s="961" t="s">
        <v>637</v>
      </c>
      <c r="S12" s="784">
        <v>3331558058</v>
      </c>
      <c r="T12" s="784" t="s">
        <v>206</v>
      </c>
      <c r="U12" s="784">
        <v>24141201</v>
      </c>
      <c r="V12" s="784" t="s">
        <v>226</v>
      </c>
      <c r="W12" s="785" t="s">
        <v>203</v>
      </c>
      <c r="X12" s="786">
        <v>34276.180999999997</v>
      </c>
      <c r="Y12" s="784" t="s">
        <v>128</v>
      </c>
      <c r="Z12" s="784">
        <v>1</v>
      </c>
      <c r="AA12" s="784">
        <v>1</v>
      </c>
      <c r="AB12" s="731" t="s">
        <v>204</v>
      </c>
      <c r="AC12" s="806"/>
    </row>
    <row r="13" spans="1:31" ht="18.600000000000001" thickBot="1">
      <c r="A13" s="845" t="s">
        <v>203</v>
      </c>
      <c r="B13" s="750" cm="1">
        <f t="array" ref="B13">SUMPRODUCT(--(TRIM(LOWER(W1:W173))="jawa tengah"))</f>
        <v>14</v>
      </c>
      <c r="C13" s="750" cm="1">
        <f t="array" ref="C13">SUMPRODUCT(--(LOWER(AB1:AB173)="masuk"), --(TRIM(LOWER(W1:W173))="jawa tengah"))</f>
        <v>14</v>
      </c>
      <c r="D13" s="846">
        <f>C13+-B13</f>
        <v>0</v>
      </c>
      <c r="E13" s="734"/>
      <c r="F13" s="751" cm="1">
        <f t="array" ref="F13">SUMPRODUCT(--(LOWER(AC1:AC173)="add"), --(TRIM(LOWER(W1:W173))="jawa tengah"))</f>
        <v>0</v>
      </c>
      <c r="G13" s="747" cm="1">
        <f t="array" ref="G13">SUMPRODUCT(--(LOWER(AB1:AB173)="masuk"), --(LOWER(AC1:AC173)="add"), --(TRIM(LOWER(W1:W173))="jawa tengah"))</f>
        <v>0</v>
      </c>
      <c r="H13" s="740">
        <f>G13+-F13</f>
        <v>0</v>
      </c>
      <c r="I13" s="734"/>
      <c r="J13" s="748" cm="1">
        <f t="array" ref="J13">SUMPRODUCT(--(LOWER(TRIM(W1:W173))="jawa tengah next day"))</f>
        <v>0</v>
      </c>
      <c r="K13" s="747" cm="1">
        <f t="array" ref="K13">SUMPRODUCT(--(LOWER(AB1:AB173)="masuk"), --(LOWER(TRIM(W1:W173))="jawa tengah next day"))</f>
        <v>0</v>
      </c>
      <c r="L13" s="747">
        <f>K13+-J13</f>
        <v>0</v>
      </c>
      <c r="M13" s="734"/>
      <c r="N13" s="748">
        <f t="shared" si="0"/>
        <v>14</v>
      </c>
      <c r="O13" s="747">
        <f t="shared" si="0"/>
        <v>14</v>
      </c>
      <c r="P13" s="740">
        <f t="shared" si="0"/>
        <v>0</v>
      </c>
      <c r="R13" s="961" t="s">
        <v>637</v>
      </c>
      <c r="S13" s="784">
        <v>3331558064</v>
      </c>
      <c r="T13" s="784" t="s">
        <v>206</v>
      </c>
      <c r="U13" s="784">
        <v>24141203</v>
      </c>
      <c r="V13" s="784" t="s">
        <v>226</v>
      </c>
      <c r="W13" s="785" t="s">
        <v>203</v>
      </c>
      <c r="X13" s="786">
        <v>33373.044000000002</v>
      </c>
      <c r="Y13" s="784" t="s">
        <v>128</v>
      </c>
      <c r="Z13" s="784">
        <v>1</v>
      </c>
      <c r="AA13" s="784">
        <v>1</v>
      </c>
      <c r="AB13" s="731" t="s">
        <v>204</v>
      </c>
      <c r="AC13" s="806"/>
    </row>
    <row r="14" spans="1:31" ht="18.600000000000001" thickBot="1">
      <c r="A14" s="845" t="s">
        <v>205</v>
      </c>
      <c r="B14" s="750" cm="1">
        <f t="array" ref="B14">SUMPRODUCT(--(TRIM(LOWER(W1:W173))="jawa timur"))</f>
        <v>6</v>
      </c>
      <c r="C14" s="750" cm="1">
        <f t="array" ref="C14">SUMPRODUCT(--(LOWER(AB1:AB173)="masuk"), --(TRIM(LOWER(W1:W173))="jawa timur"))</f>
        <v>6</v>
      </c>
      <c r="D14" s="846">
        <f>C14+-B14</f>
        <v>0</v>
      </c>
      <c r="E14" s="734"/>
      <c r="F14" s="750" cm="1">
        <f t="array" ref="F14">SUMPRODUCT(--(LOWER(AC1:AC173)="add"), --(TRIM(LOWER(W1:W173))="jawa timur"))</f>
        <v>0</v>
      </c>
      <c r="G14" s="747" cm="1">
        <f t="array" ref="G14">SUMPRODUCT(--(LOWER(AB1:AB173)="masuk"), --(LOWER(AC1:AC173)="add"), --(TRIM(LOWER(W1:W173))="jawa timur"))</f>
        <v>0</v>
      </c>
      <c r="H14" s="740">
        <f>G14+-F14</f>
        <v>0</v>
      </c>
      <c r="I14" s="734"/>
      <c r="J14" s="748" cm="1">
        <f t="array" ref="J14">SUMPRODUCT(--(LOWER(TRIM(W1:W173))="jawa timur next day"))</f>
        <v>0</v>
      </c>
      <c r="K14" s="747" cm="1">
        <f t="array" ref="K14">SUMPRODUCT(--(LOWER(AB1:AB173)="masuk"), --(LOWER(TRIM(W1:W173))="jawa timur next day"))</f>
        <v>0</v>
      </c>
      <c r="L14" s="747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961" t="s">
        <v>646</v>
      </c>
      <c r="S14" s="784">
        <v>3331558168</v>
      </c>
      <c r="T14" s="818" t="s">
        <v>206</v>
      </c>
      <c r="U14" s="784">
        <v>24141229</v>
      </c>
      <c r="V14" s="784" t="s">
        <v>226</v>
      </c>
      <c r="W14" s="785" t="s">
        <v>203</v>
      </c>
      <c r="X14" s="786">
        <v>36769.300000000003</v>
      </c>
      <c r="Y14" s="784" t="s">
        <v>128</v>
      </c>
      <c r="Z14" s="784">
        <v>1</v>
      </c>
      <c r="AA14" s="784">
        <v>1</v>
      </c>
      <c r="AB14" s="731" t="s">
        <v>204</v>
      </c>
      <c r="AC14" s="824"/>
    </row>
    <row r="15" spans="1:31" ht="18.600000000000001" thickBot="1">
      <c r="A15" s="845" t="s">
        <v>362</v>
      </c>
      <c r="B15" s="750" cm="1">
        <f t="array" ref="B15">SUMPRODUCT(--(TRIM(LOWER(W1:W173))="luar pulau"))</f>
        <v>4</v>
      </c>
      <c r="C15" s="750" cm="1">
        <f t="array" ref="C15">SUMPRODUCT(--(LOWER(AB1:AB173)="masuk"), --(TRIM(LOWER(W1:W173))="luar pulau"))</f>
        <v>4</v>
      </c>
      <c r="D15" s="846">
        <f>C15+-B15</f>
        <v>0</v>
      </c>
      <c r="E15" s="734"/>
      <c r="F15" s="748" cm="1">
        <f t="array" ref="F15">SUMPRODUCT(--(LOWER(AC1:AC173)="add"), --(TRIM(LOWER(W1:W173))="luar pulau"))</f>
        <v>0</v>
      </c>
      <c r="G15" s="747" cm="1">
        <f t="array" ref="G15">SUMPRODUCT(--(LOWER(AB1:AB173)="masuk"), --(LOWER(AC1:AC173)="add"), --(TRIM(LOWER(W1:W173))="luar pulau"))</f>
        <v>0</v>
      </c>
      <c r="H15" s="740">
        <f>G15+-F15</f>
        <v>0</v>
      </c>
      <c r="I15" s="734"/>
      <c r="J15" s="748" cm="1">
        <f t="array" ref="J15">SUMPRODUCT(--(LOWER(TRIM(W1:W173))="luar pulau next day"))</f>
        <v>0</v>
      </c>
      <c r="K15" s="747" cm="1">
        <f t="array" ref="K15">SUMPRODUCT(--(LOWER(AB1:AB173)="masuk"), --(LOWER(TRIM(W1:W173))="luar pulau next day"))</f>
        <v>0</v>
      </c>
      <c r="L15" s="747">
        <f>K15+-J15</f>
        <v>0</v>
      </c>
      <c r="M15" s="734"/>
      <c r="N15" s="748">
        <f t="shared" si="0"/>
        <v>4</v>
      </c>
      <c r="O15" s="747">
        <f t="shared" si="0"/>
        <v>4</v>
      </c>
      <c r="P15" s="740">
        <f t="shared" si="0"/>
        <v>0</v>
      </c>
      <c r="R15" s="961" t="s">
        <v>646</v>
      </c>
      <c r="S15" s="784">
        <v>3331558171</v>
      </c>
      <c r="T15" s="818" t="s">
        <v>273</v>
      </c>
      <c r="U15" s="784">
        <v>24141233</v>
      </c>
      <c r="V15" s="784" t="s">
        <v>226</v>
      </c>
      <c r="W15" s="785" t="s">
        <v>203</v>
      </c>
      <c r="X15" s="786">
        <v>37325.114999999998</v>
      </c>
      <c r="Y15" s="784" t="s">
        <v>128</v>
      </c>
      <c r="Z15" s="784">
        <v>1</v>
      </c>
      <c r="AA15" s="784">
        <v>1</v>
      </c>
      <c r="AB15" s="731" t="s">
        <v>204</v>
      </c>
      <c r="AC15" s="824"/>
      <c r="AD15" s="44"/>
      <c r="AE15" s="44"/>
    </row>
    <row r="16" spans="1:31" ht="17.399999999999999">
      <c r="A16" s="827"/>
      <c r="B16" s="733">
        <f>SUM(B12:B15)</f>
        <v>32</v>
      </c>
      <c r="C16" s="733">
        <f>SUM(C12:C15)</f>
        <v>32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6</v>
      </c>
      <c r="K16" s="733">
        <f>SUM(K12:K15)</f>
        <v>6</v>
      </c>
      <c r="L16" s="733">
        <f>SUM(L12:L15)</f>
        <v>0</v>
      </c>
      <c r="M16" s="734"/>
      <c r="N16" s="760">
        <f t="shared" si="0"/>
        <v>38</v>
      </c>
      <c r="O16" s="760">
        <f t="shared" si="0"/>
        <v>38</v>
      </c>
      <c r="P16" s="761">
        <f t="shared" si="0"/>
        <v>0</v>
      </c>
      <c r="R16" s="961" t="s">
        <v>646</v>
      </c>
      <c r="S16" s="784">
        <v>3331558176</v>
      </c>
      <c r="T16" s="490" t="s">
        <v>27</v>
      </c>
      <c r="U16" s="784">
        <v>24141228</v>
      </c>
      <c r="V16" s="784" t="s">
        <v>226</v>
      </c>
      <c r="W16" s="785" t="s">
        <v>203</v>
      </c>
      <c r="X16" s="786">
        <v>25139.94</v>
      </c>
      <c r="Y16" s="784" t="s">
        <v>200</v>
      </c>
      <c r="Z16" s="784">
        <v>1</v>
      </c>
      <c r="AA16" s="784">
        <v>1</v>
      </c>
      <c r="AB16" s="731" t="s">
        <v>204</v>
      </c>
      <c r="AC16" s="829"/>
    </row>
    <row r="17" spans="1:29" ht="15.6">
      <c r="A17" s="734"/>
      <c r="B17" s="734"/>
      <c r="C17" s="734"/>
      <c r="D17" s="734"/>
      <c r="E17" s="734"/>
      <c r="F17" s="734"/>
      <c r="G17" s="734"/>
      <c r="H17" s="734"/>
      <c r="I17" s="734"/>
      <c r="J17" s="734"/>
      <c r="K17" s="734"/>
      <c r="L17" s="734"/>
      <c r="M17" s="734"/>
      <c r="N17" s="734"/>
      <c r="O17" s="734"/>
      <c r="P17" s="734"/>
      <c r="R17" s="961" t="s">
        <v>646</v>
      </c>
      <c r="S17" s="784">
        <v>3331558177</v>
      </c>
      <c r="T17" s="490" t="s">
        <v>27</v>
      </c>
      <c r="U17" s="784">
        <v>24141230</v>
      </c>
      <c r="V17" s="784" t="s">
        <v>226</v>
      </c>
      <c r="W17" s="785" t="s">
        <v>203</v>
      </c>
      <c r="X17" s="786">
        <v>24840.654999999999</v>
      </c>
      <c r="Y17" s="784" t="s">
        <v>200</v>
      </c>
      <c r="Z17" s="784">
        <v>1</v>
      </c>
      <c r="AA17" s="784">
        <v>1</v>
      </c>
      <c r="AB17" s="731" t="s">
        <v>204</v>
      </c>
      <c r="AC17" s="829"/>
    </row>
    <row r="18" spans="1:29" ht="15.6">
      <c r="A18" s="734"/>
      <c r="B18" s="734"/>
      <c r="C18" s="734"/>
      <c r="D18" s="734"/>
      <c r="E18" s="734"/>
      <c r="F18" s="734"/>
      <c r="G18" s="734"/>
      <c r="H18" s="734"/>
      <c r="I18" s="734"/>
      <c r="J18" s="734"/>
      <c r="K18" s="734"/>
      <c r="L18" s="734"/>
      <c r="M18" s="734"/>
      <c r="N18" s="734"/>
      <c r="O18" s="734"/>
      <c r="P18" s="734"/>
      <c r="R18" s="961" t="s">
        <v>646</v>
      </c>
      <c r="S18" s="784">
        <v>3331558181</v>
      </c>
      <c r="T18" s="490" t="s">
        <v>342</v>
      </c>
      <c r="U18" s="784">
        <v>24141231</v>
      </c>
      <c r="V18" s="784" t="s">
        <v>226</v>
      </c>
      <c r="W18" s="785" t="s">
        <v>203</v>
      </c>
      <c r="X18" s="786">
        <v>24455.86</v>
      </c>
      <c r="Y18" s="784" t="s">
        <v>200</v>
      </c>
      <c r="Z18" s="784">
        <v>1</v>
      </c>
      <c r="AA18" s="784">
        <v>1</v>
      </c>
      <c r="AB18" s="731" t="s">
        <v>204</v>
      </c>
      <c r="AC18" s="806"/>
    </row>
    <row r="19" spans="1:29" ht="17.399999999999999">
      <c r="A19" s="1577" t="s">
        <v>434</v>
      </c>
      <c r="B19" s="1579" t="s">
        <v>653</v>
      </c>
      <c r="C19" s="1580"/>
      <c r="D19" s="1581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  <c r="R19" s="961" t="s">
        <v>646</v>
      </c>
      <c r="S19" s="784">
        <v>3331558182</v>
      </c>
      <c r="T19" s="490" t="s">
        <v>342</v>
      </c>
      <c r="U19" s="784">
        <v>24141232</v>
      </c>
      <c r="V19" s="784" t="s">
        <v>226</v>
      </c>
      <c r="W19" s="785" t="s">
        <v>203</v>
      </c>
      <c r="X19" s="786">
        <v>24455.86</v>
      </c>
      <c r="Y19" s="784" t="s">
        <v>200</v>
      </c>
      <c r="Z19" s="784">
        <v>1</v>
      </c>
      <c r="AA19" s="784">
        <v>1</v>
      </c>
      <c r="AB19" s="731" t="s">
        <v>204</v>
      </c>
      <c r="AC19" s="831"/>
    </row>
    <row r="20" spans="1:29" ht="15.6">
      <c r="A20" s="1578"/>
      <c r="B20" s="837" t="s">
        <v>419</v>
      </c>
      <c r="C20" s="837" t="s">
        <v>420</v>
      </c>
      <c r="D20" s="838" t="s">
        <v>421</v>
      </c>
      <c r="E20" s="734"/>
      <c r="F20" s="734"/>
      <c r="G20" s="734"/>
      <c r="H20" s="734"/>
      <c r="I20" s="734"/>
      <c r="J20" s="734"/>
      <c r="K20" s="734"/>
      <c r="L20" s="734"/>
      <c r="M20" s="734"/>
      <c r="N20" s="734"/>
      <c r="O20" s="734"/>
      <c r="P20" s="734"/>
      <c r="R20" s="961" t="s">
        <v>646</v>
      </c>
      <c r="S20" s="784">
        <v>3331558178</v>
      </c>
      <c r="T20" s="818" t="s">
        <v>273</v>
      </c>
      <c r="U20" s="784">
        <v>24141234</v>
      </c>
      <c r="V20" s="784" t="s">
        <v>226</v>
      </c>
      <c r="W20" s="785" t="s">
        <v>203</v>
      </c>
      <c r="X20" s="786">
        <v>36598.28</v>
      </c>
      <c r="Y20" s="784" t="s">
        <v>128</v>
      </c>
      <c r="Z20" s="784">
        <v>1</v>
      </c>
      <c r="AA20" s="784">
        <v>1</v>
      </c>
      <c r="AB20" s="731" t="s">
        <v>204</v>
      </c>
      <c r="AC20" s="806"/>
    </row>
    <row r="21" spans="1:29" ht="18">
      <c r="A21" s="839" t="s">
        <v>427</v>
      </c>
      <c r="B21" s="840" cm="1">
        <f t="array" ref="B21">SUMPRODUCT(--(LOWER(TRIM(W6:W180))="ambil sendiri"))</f>
        <v>0</v>
      </c>
      <c r="C21" s="749" cm="1">
        <f t="array" ref="C21">SUMPRODUCT(--(LOWER(AB6:AB206)="masuk"), --(LOWER(TRIM(W6:W206))="ambil sendiri"))</f>
        <v>0</v>
      </c>
      <c r="D21" s="741">
        <f>C21+-B21</f>
        <v>0</v>
      </c>
      <c r="E21" s="734"/>
      <c r="F21" s="734"/>
      <c r="G21" s="734"/>
      <c r="H21" s="734"/>
      <c r="I21" s="734"/>
      <c r="J21" s="734"/>
      <c r="K21" s="734"/>
      <c r="L21" s="734"/>
      <c r="M21" s="734"/>
      <c r="N21" s="734"/>
      <c r="O21" s="734"/>
      <c r="P21" s="734"/>
      <c r="R21" s="961" t="s">
        <v>646</v>
      </c>
      <c r="S21" s="784">
        <v>3331558186</v>
      </c>
      <c r="T21" s="818" t="s">
        <v>27</v>
      </c>
      <c r="U21" s="784">
        <v>24141235</v>
      </c>
      <c r="V21" s="784" t="s">
        <v>226</v>
      </c>
      <c r="W21" s="785" t="s">
        <v>203</v>
      </c>
      <c r="X21" s="786">
        <v>37795.42</v>
      </c>
      <c r="Y21" s="784" t="s">
        <v>128</v>
      </c>
      <c r="Z21" s="784">
        <v>1</v>
      </c>
      <c r="AA21" s="784">
        <v>1</v>
      </c>
      <c r="AB21" s="731" t="s">
        <v>204</v>
      </c>
      <c r="AC21" s="806"/>
    </row>
    <row r="22" spans="1:29" ht="17.399999999999999">
      <c r="A22" s="752"/>
      <c r="B22" s="760">
        <f>SUM(B28:B31)</f>
        <v>0</v>
      </c>
      <c r="C22" s="760">
        <f>SUM(C28:C31)</f>
        <v>0</v>
      </c>
      <c r="D22" s="761">
        <f>SUM(D28:D31)</f>
        <v>0</v>
      </c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  <c r="R22" s="961" t="s">
        <v>646</v>
      </c>
      <c r="S22" s="784">
        <v>3331558297</v>
      </c>
      <c r="T22" s="787" t="s">
        <v>27</v>
      </c>
      <c r="U22" s="784">
        <v>24141241</v>
      </c>
      <c r="V22" s="784" t="s">
        <v>654</v>
      </c>
      <c r="W22" s="785" t="s">
        <v>205</v>
      </c>
      <c r="X22" s="786">
        <v>36387.019999999997</v>
      </c>
      <c r="Y22" s="784" t="s">
        <v>128</v>
      </c>
      <c r="Z22" s="784">
        <v>1</v>
      </c>
      <c r="AA22" s="784">
        <v>1</v>
      </c>
      <c r="AB22" s="731" t="s">
        <v>204</v>
      </c>
      <c r="AC22" s="806"/>
    </row>
    <row r="23" spans="1:29" ht="18">
      <c r="A23" s="752"/>
      <c r="B23" s="825"/>
      <c r="C23" s="825"/>
      <c r="D23" s="836"/>
      <c r="E23" s="734"/>
      <c r="F23" s="734"/>
      <c r="G23" s="734"/>
      <c r="H23" s="734"/>
      <c r="I23" s="734"/>
      <c r="J23" s="734"/>
      <c r="K23" s="734"/>
      <c r="L23" s="734"/>
      <c r="M23" s="734"/>
      <c r="N23" s="734"/>
      <c r="O23" s="734"/>
      <c r="P23" s="734"/>
      <c r="R23" s="961" t="s">
        <v>452</v>
      </c>
      <c r="S23" s="784">
        <v>3331558294</v>
      </c>
      <c r="T23" s="787" t="s">
        <v>336</v>
      </c>
      <c r="U23" s="784">
        <v>24141242</v>
      </c>
      <c r="V23" s="784" t="s">
        <v>655</v>
      </c>
      <c r="W23" s="785" t="s">
        <v>205</v>
      </c>
      <c r="X23" s="786">
        <v>35914.199999999997</v>
      </c>
      <c r="Y23" s="784" t="s">
        <v>128</v>
      </c>
      <c r="Z23" s="784">
        <v>1</v>
      </c>
      <c r="AA23" s="784">
        <v>1</v>
      </c>
      <c r="AB23" s="731" t="s">
        <v>204</v>
      </c>
      <c r="AC23" s="806"/>
    </row>
    <row r="24" spans="1:29" ht="18">
      <c r="A24" s="752"/>
      <c r="B24" s="825"/>
      <c r="C24" s="825"/>
      <c r="D24" s="836"/>
      <c r="E24" s="734"/>
      <c r="F24" s="734"/>
      <c r="G24" s="734"/>
      <c r="H24" s="734"/>
      <c r="I24" s="734"/>
      <c r="J24" s="734"/>
      <c r="K24" s="734"/>
      <c r="L24" s="734"/>
      <c r="M24" s="734"/>
      <c r="N24" s="734"/>
      <c r="O24" s="734"/>
      <c r="P24" s="734"/>
      <c r="R24" s="961" t="s">
        <v>646</v>
      </c>
      <c r="S24" s="784">
        <v>3331558317</v>
      </c>
      <c r="T24" s="818" t="s">
        <v>175</v>
      </c>
      <c r="U24" s="784">
        <v>24141243</v>
      </c>
      <c r="V24" s="784" t="s">
        <v>655</v>
      </c>
      <c r="W24" s="785" t="s">
        <v>205</v>
      </c>
      <c r="X24" s="786">
        <v>35914.199999999997</v>
      </c>
      <c r="Y24" s="784" t="s">
        <v>128</v>
      </c>
      <c r="Z24" s="784">
        <v>1</v>
      </c>
      <c r="AA24" s="784">
        <v>1</v>
      </c>
      <c r="AB24" s="731" t="s">
        <v>204</v>
      </c>
      <c r="AC24" s="806"/>
    </row>
    <row r="25" spans="1:29" ht="18">
      <c r="A25" s="752"/>
      <c r="B25" s="825"/>
      <c r="C25" s="825"/>
      <c r="D25" s="836"/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  <c r="R25" s="961" t="s">
        <v>646</v>
      </c>
      <c r="S25" s="784">
        <v>3331558328</v>
      </c>
      <c r="T25" s="818" t="s">
        <v>336</v>
      </c>
      <c r="U25" s="784">
        <v>24141244</v>
      </c>
      <c r="V25" s="784" t="s">
        <v>654</v>
      </c>
      <c r="W25" s="785" t="s">
        <v>205</v>
      </c>
      <c r="X25" s="786">
        <f>12296.175+26397.44</f>
        <v>38693.614999999998</v>
      </c>
      <c r="Y25" s="784" t="s">
        <v>128</v>
      </c>
      <c r="Z25" s="784">
        <v>1</v>
      </c>
      <c r="AA25" s="784">
        <v>1</v>
      </c>
      <c r="AB25" s="731" t="s">
        <v>204</v>
      </c>
      <c r="AC25" s="806"/>
    </row>
    <row r="26" spans="1:29" ht="18">
      <c r="A26" s="752"/>
      <c r="B26" s="825"/>
      <c r="C26" s="825"/>
      <c r="D26" s="836"/>
      <c r="E26" s="734"/>
      <c r="F26" s="734"/>
      <c r="G26" s="734"/>
      <c r="H26" s="734"/>
      <c r="I26" s="734"/>
      <c r="J26" s="734"/>
      <c r="K26" s="734"/>
      <c r="L26" s="734"/>
      <c r="M26" s="734"/>
      <c r="N26" s="734"/>
      <c r="O26" s="734"/>
      <c r="P26" s="734"/>
      <c r="R26" s="961" t="s">
        <v>646</v>
      </c>
      <c r="S26" s="784">
        <v>3331558330</v>
      </c>
      <c r="T26" s="593" t="s">
        <v>256</v>
      </c>
      <c r="U26" s="784" t="s">
        <v>256</v>
      </c>
      <c r="V26" s="784" t="s">
        <v>256</v>
      </c>
      <c r="W26" s="785" t="s">
        <v>256</v>
      </c>
      <c r="X26" s="786" t="s">
        <v>256</v>
      </c>
      <c r="Y26" s="784" t="s">
        <v>256</v>
      </c>
      <c r="Z26" s="784" t="s">
        <v>256</v>
      </c>
      <c r="AA26" s="784" t="s">
        <v>256</v>
      </c>
      <c r="AB26" s="731" t="s">
        <v>256</v>
      </c>
      <c r="AC26" s="806"/>
    </row>
    <row r="27" spans="1:29" ht="15.6">
      <c r="A27" s="734"/>
      <c r="E27" s="734"/>
      <c r="F27" s="734"/>
      <c r="G27" s="734"/>
      <c r="H27" s="734"/>
      <c r="I27" s="734"/>
      <c r="J27" s="734"/>
      <c r="K27" s="734"/>
      <c r="L27" s="734"/>
      <c r="M27" s="734"/>
      <c r="N27" s="734"/>
      <c r="O27" s="734"/>
      <c r="P27" s="734"/>
      <c r="R27" s="961" t="s">
        <v>646</v>
      </c>
      <c r="S27" s="784">
        <v>3331558043</v>
      </c>
      <c r="T27" s="490" t="s">
        <v>206</v>
      </c>
      <c r="U27" s="784">
        <v>24141197</v>
      </c>
      <c r="V27" s="784" t="s">
        <v>226</v>
      </c>
      <c r="W27" s="785" t="s">
        <v>203</v>
      </c>
      <c r="X27" s="786">
        <v>40383.103999999999</v>
      </c>
      <c r="Y27" s="784" t="s">
        <v>128</v>
      </c>
      <c r="Z27" s="784">
        <v>1</v>
      </c>
      <c r="AA27" s="784">
        <v>1</v>
      </c>
      <c r="AB27" s="731" t="s">
        <v>204</v>
      </c>
      <c r="AC27" s="806"/>
    </row>
    <row r="28" spans="1:29" ht="15.6">
      <c r="A28" s="734"/>
      <c r="B28" s="734"/>
      <c r="C28" s="734"/>
      <c r="D28" s="734"/>
      <c r="E28" s="734"/>
      <c r="F28" s="734"/>
      <c r="G28" s="734"/>
      <c r="H28" s="734"/>
      <c r="I28" s="734"/>
      <c r="J28" s="734"/>
      <c r="K28" s="734"/>
      <c r="L28" s="734"/>
      <c r="M28" s="734"/>
      <c r="N28" s="734"/>
      <c r="O28" s="734"/>
      <c r="P28" s="734"/>
      <c r="R28" s="820" t="s">
        <v>646</v>
      </c>
      <c r="S28" s="795">
        <v>3331557995</v>
      </c>
      <c r="T28" s="571" t="s">
        <v>34</v>
      </c>
      <c r="U28" s="795">
        <v>24141183</v>
      </c>
      <c r="V28" s="795" t="s">
        <v>368</v>
      </c>
      <c r="W28" s="821" t="s">
        <v>199</v>
      </c>
      <c r="X28" s="822">
        <v>24984.677</v>
      </c>
      <c r="Y28" s="795" t="s">
        <v>200</v>
      </c>
      <c r="Z28" s="795">
        <v>1</v>
      </c>
      <c r="AA28" s="795">
        <v>1</v>
      </c>
      <c r="AB28" s="823" t="s">
        <v>204</v>
      </c>
      <c r="AC28" s="831"/>
    </row>
    <row r="29" spans="1:29" ht="15.6"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820" t="s">
        <v>646</v>
      </c>
      <c r="S29" s="795">
        <v>3331558003</v>
      </c>
      <c r="T29" s="571" t="s">
        <v>11</v>
      </c>
      <c r="U29" s="795">
        <v>24141185</v>
      </c>
      <c r="V29" s="795" t="s">
        <v>368</v>
      </c>
      <c r="W29" s="821" t="s">
        <v>199</v>
      </c>
      <c r="X29" s="822">
        <v>24075.356</v>
      </c>
      <c r="Y29" s="795" t="s">
        <v>200</v>
      </c>
      <c r="Z29" s="795">
        <v>1</v>
      </c>
      <c r="AA29" s="795">
        <v>1</v>
      </c>
      <c r="AB29" s="823" t="s">
        <v>204</v>
      </c>
      <c r="AC29" s="806"/>
    </row>
    <row r="30" spans="1:29" ht="15.6"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820" t="s">
        <v>646</v>
      </c>
      <c r="S30" s="795">
        <v>3331558010</v>
      </c>
      <c r="T30" s="571" t="s">
        <v>11</v>
      </c>
      <c r="U30" s="795">
        <v>24141186</v>
      </c>
      <c r="V30" s="795" t="s">
        <v>368</v>
      </c>
      <c r="W30" s="821" t="s">
        <v>199</v>
      </c>
      <c r="X30" s="822">
        <v>25764.095000000001</v>
      </c>
      <c r="Y30" s="795" t="s">
        <v>200</v>
      </c>
      <c r="Z30" s="795">
        <v>1</v>
      </c>
      <c r="AA30" s="795">
        <v>1</v>
      </c>
      <c r="AB30" s="823" t="s">
        <v>204</v>
      </c>
      <c r="AC30" s="806"/>
    </row>
    <row r="31" spans="1:29" ht="15.6">
      <c r="Q31" s="132"/>
      <c r="R31" s="961" t="s">
        <v>646</v>
      </c>
      <c r="S31" s="784">
        <v>3331558149</v>
      </c>
      <c r="T31" s="612" t="s">
        <v>287</v>
      </c>
      <c r="U31" s="784">
        <v>24141224</v>
      </c>
      <c r="V31" s="784" t="s">
        <v>368</v>
      </c>
      <c r="W31" s="785" t="s">
        <v>340</v>
      </c>
      <c r="X31" s="786">
        <v>25588.866999999998</v>
      </c>
      <c r="Y31" s="784" t="s">
        <v>200</v>
      </c>
      <c r="Z31" s="784">
        <v>1</v>
      </c>
      <c r="AA31" s="784">
        <v>1</v>
      </c>
      <c r="AB31" s="731" t="s">
        <v>204</v>
      </c>
      <c r="AC31" s="806"/>
    </row>
    <row r="32" spans="1:29" ht="15.6">
      <c r="Q32" s="132"/>
      <c r="R32" s="961" t="s">
        <v>646</v>
      </c>
      <c r="S32" s="784">
        <v>3331558152</v>
      </c>
      <c r="T32" s="612" t="s">
        <v>34</v>
      </c>
      <c r="U32" s="784">
        <v>24141225</v>
      </c>
      <c r="V32" s="784" t="s">
        <v>368</v>
      </c>
      <c r="W32" s="785" t="s">
        <v>340</v>
      </c>
      <c r="X32" s="786">
        <v>26147.952000000001</v>
      </c>
      <c r="Y32" s="784" t="s">
        <v>200</v>
      </c>
      <c r="Z32" s="784">
        <v>1</v>
      </c>
      <c r="AA32" s="784">
        <v>1</v>
      </c>
      <c r="AB32" s="731" t="s">
        <v>204</v>
      </c>
      <c r="AC32" s="806"/>
    </row>
    <row r="33" spans="18:29" ht="15.6">
      <c r="R33" s="961" t="s">
        <v>452</v>
      </c>
      <c r="S33" s="784">
        <v>3331558141</v>
      </c>
      <c r="T33" s="612" t="s">
        <v>34</v>
      </c>
      <c r="U33" s="784">
        <v>24141217</v>
      </c>
      <c r="V33" s="784" t="s">
        <v>656</v>
      </c>
      <c r="W33" s="785" t="s">
        <v>199</v>
      </c>
      <c r="X33" s="786">
        <v>25504.289000000001</v>
      </c>
      <c r="Y33" s="784" t="s">
        <v>200</v>
      </c>
      <c r="Z33" s="784">
        <v>1</v>
      </c>
      <c r="AA33" s="784">
        <v>1</v>
      </c>
      <c r="AB33" s="731" t="s">
        <v>204</v>
      </c>
      <c r="AC33" s="806"/>
    </row>
    <row r="34" spans="18:29" ht="15.6">
      <c r="R34" s="961" t="s">
        <v>646</v>
      </c>
      <c r="S34" s="784">
        <v>3331558143</v>
      </c>
      <c r="T34" s="612" t="s">
        <v>11</v>
      </c>
      <c r="U34" s="784">
        <v>24141218</v>
      </c>
      <c r="V34" s="784" t="s">
        <v>656</v>
      </c>
      <c r="W34" s="785" t="s">
        <v>199</v>
      </c>
      <c r="X34" s="786">
        <v>25677.492999999999</v>
      </c>
      <c r="Y34" s="784" t="s">
        <v>200</v>
      </c>
      <c r="Z34" s="784">
        <v>1</v>
      </c>
      <c r="AA34" s="784">
        <v>1</v>
      </c>
      <c r="AB34" s="731" t="s">
        <v>204</v>
      </c>
      <c r="AC34" s="806"/>
    </row>
    <row r="35" spans="18:29" ht="15.6">
      <c r="R35" s="961" t="s">
        <v>646</v>
      </c>
      <c r="S35" s="784">
        <v>3331558144</v>
      </c>
      <c r="T35" s="612" t="s">
        <v>462</v>
      </c>
      <c r="U35" s="784">
        <v>24141219</v>
      </c>
      <c r="V35" s="784" t="s">
        <v>656</v>
      </c>
      <c r="W35" s="785" t="s">
        <v>340</v>
      </c>
      <c r="X35" s="786">
        <v>25850.697</v>
      </c>
      <c r="Y35" s="784" t="s">
        <v>200</v>
      </c>
      <c r="Z35" s="784">
        <v>1</v>
      </c>
      <c r="AA35" s="784">
        <v>1</v>
      </c>
      <c r="AB35" s="731" t="s">
        <v>204</v>
      </c>
      <c r="AC35" s="806"/>
    </row>
    <row r="36" spans="18:29" ht="15.6">
      <c r="R36" s="961" t="s">
        <v>646</v>
      </c>
      <c r="S36" s="784">
        <v>3331558148</v>
      </c>
      <c r="T36" s="612" t="s">
        <v>27</v>
      </c>
      <c r="U36" s="784">
        <v>24141220</v>
      </c>
      <c r="V36" s="784" t="s">
        <v>656</v>
      </c>
      <c r="W36" s="785" t="s">
        <v>340</v>
      </c>
      <c r="X36" s="786">
        <v>25980.6</v>
      </c>
      <c r="Y36" s="784" t="s">
        <v>200</v>
      </c>
      <c r="Z36" s="784">
        <v>1</v>
      </c>
      <c r="AA36" s="784">
        <v>1</v>
      </c>
      <c r="AB36" s="731" t="s">
        <v>204</v>
      </c>
      <c r="AC36" s="806"/>
    </row>
    <row r="37" spans="18:29" ht="15.6">
      <c r="R37" s="961" t="s">
        <v>646</v>
      </c>
      <c r="S37" s="784">
        <v>3331558156</v>
      </c>
      <c r="T37" s="612" t="s">
        <v>11</v>
      </c>
      <c r="U37" s="784">
        <v>24141226</v>
      </c>
      <c r="V37" s="784" t="s">
        <v>368</v>
      </c>
      <c r="W37" s="785" t="s">
        <v>340</v>
      </c>
      <c r="X37" s="786">
        <v>24771.743999999999</v>
      </c>
      <c r="Y37" s="784" t="s">
        <v>200</v>
      </c>
      <c r="Z37" s="784">
        <v>1</v>
      </c>
      <c r="AA37" s="784">
        <v>1</v>
      </c>
      <c r="AB37" s="731" t="s">
        <v>204</v>
      </c>
      <c r="AC37" s="806"/>
    </row>
    <row r="38" spans="18:29" ht="15.6">
      <c r="R38" s="961" t="s">
        <v>646</v>
      </c>
      <c r="S38" s="784">
        <v>3331558161</v>
      </c>
      <c r="T38" s="612" t="s">
        <v>27</v>
      </c>
      <c r="U38" s="784">
        <v>24141227</v>
      </c>
      <c r="V38" s="784" t="s">
        <v>368</v>
      </c>
      <c r="W38" s="785" t="s">
        <v>340</v>
      </c>
      <c r="X38" s="786">
        <f>7695.9+16686.522</f>
        <v>24382.421999999999</v>
      </c>
      <c r="Y38" s="784" t="s">
        <v>200</v>
      </c>
      <c r="Z38" s="784">
        <v>1</v>
      </c>
      <c r="AA38" s="784">
        <v>1</v>
      </c>
      <c r="AB38" s="731" t="s">
        <v>204</v>
      </c>
      <c r="AC38" s="806"/>
    </row>
    <row r="39" spans="18:29" ht="15.6">
      <c r="R39" s="961" t="s">
        <v>646</v>
      </c>
      <c r="S39" s="784">
        <v>3331558162</v>
      </c>
      <c r="T39" s="612" t="s">
        <v>256</v>
      </c>
      <c r="U39" s="784" t="s">
        <v>256</v>
      </c>
      <c r="V39" s="784" t="s">
        <v>256</v>
      </c>
      <c r="W39" s="785" t="s">
        <v>256</v>
      </c>
      <c r="X39" s="786" t="s">
        <v>256</v>
      </c>
      <c r="Y39" s="784" t="s">
        <v>256</v>
      </c>
      <c r="Z39" s="784" t="s">
        <v>256</v>
      </c>
      <c r="AA39" s="784" t="s">
        <v>256</v>
      </c>
      <c r="AB39" s="731" t="s">
        <v>256</v>
      </c>
      <c r="AC39" s="810"/>
    </row>
    <row r="40" spans="18:29" ht="15.6">
      <c r="R40" s="769" t="s">
        <v>646</v>
      </c>
      <c r="S40" s="490">
        <v>3331558188</v>
      </c>
      <c r="T40" s="612" t="s">
        <v>34</v>
      </c>
      <c r="U40" s="490">
        <v>24141236</v>
      </c>
      <c r="V40" s="490" t="s">
        <v>488</v>
      </c>
      <c r="W40" s="785" t="s">
        <v>199</v>
      </c>
      <c r="X40" s="491">
        <v>25071.278999999999</v>
      </c>
      <c r="Y40" s="490" t="s">
        <v>200</v>
      </c>
      <c r="Z40" s="490">
        <v>1</v>
      </c>
      <c r="AA40" s="490">
        <v>1</v>
      </c>
      <c r="AB40" s="811" t="s">
        <v>204</v>
      </c>
      <c r="AC40" s="808"/>
    </row>
    <row r="41" spans="18:29" ht="15.6">
      <c r="R41" s="834" t="s">
        <v>657</v>
      </c>
      <c r="S41" s="490">
        <v>3331558019</v>
      </c>
      <c r="T41" s="490" t="s">
        <v>11</v>
      </c>
      <c r="U41" s="490">
        <v>24141238</v>
      </c>
      <c r="V41" s="490" t="s">
        <v>257</v>
      </c>
      <c r="W41" s="785" t="s">
        <v>199</v>
      </c>
      <c r="X41" s="491">
        <f>4583.849+16082.168</f>
        <v>20666.017</v>
      </c>
      <c r="Y41" s="490" t="s">
        <v>200</v>
      </c>
      <c r="Z41" s="490">
        <v>1</v>
      </c>
      <c r="AA41" s="490">
        <v>1</v>
      </c>
      <c r="AB41" s="811" t="s">
        <v>204</v>
      </c>
      <c r="AC41" s="808"/>
    </row>
    <row r="42" spans="18:29" ht="15.6">
      <c r="R42" s="835" t="s">
        <v>646</v>
      </c>
      <c r="S42" s="784">
        <v>3331558206</v>
      </c>
      <c r="T42" s="490" t="s">
        <v>256</v>
      </c>
      <c r="U42" s="784" t="s">
        <v>256</v>
      </c>
      <c r="V42" s="784" t="s">
        <v>256</v>
      </c>
      <c r="W42" s="785" t="s">
        <v>256</v>
      </c>
      <c r="X42" s="786" t="s">
        <v>256</v>
      </c>
      <c r="Y42" s="784" t="s">
        <v>256</v>
      </c>
      <c r="Z42" s="784" t="s">
        <v>256</v>
      </c>
      <c r="AA42" s="784" t="s">
        <v>256</v>
      </c>
      <c r="AB42" s="811" t="s">
        <v>256</v>
      </c>
      <c r="AC42" s="806"/>
    </row>
    <row r="43" spans="18:29" ht="15.6">
      <c r="R43" s="835" t="s">
        <v>646</v>
      </c>
      <c r="S43" s="784">
        <v>3331558163</v>
      </c>
      <c r="T43" s="612" t="s">
        <v>11</v>
      </c>
      <c r="U43" s="784">
        <v>24141239</v>
      </c>
      <c r="V43" s="784" t="s">
        <v>219</v>
      </c>
      <c r="W43" s="785" t="s">
        <v>199</v>
      </c>
      <c r="X43" s="786">
        <f>2666.403+18922.537</f>
        <v>21588.94</v>
      </c>
      <c r="Y43" s="784" t="s">
        <v>200</v>
      </c>
      <c r="Z43" s="784">
        <v>1</v>
      </c>
      <c r="AA43" s="784">
        <v>1</v>
      </c>
      <c r="AB43" s="731" t="s">
        <v>204</v>
      </c>
      <c r="AC43" s="806"/>
    </row>
    <row r="44" spans="18:29" ht="15.6">
      <c r="R44" s="834" t="s">
        <v>646</v>
      </c>
      <c r="S44" s="490">
        <v>3331558211</v>
      </c>
      <c r="T44" s="490" t="s">
        <v>256</v>
      </c>
      <c r="U44" s="490" t="s">
        <v>256</v>
      </c>
      <c r="V44" s="490" t="s">
        <v>256</v>
      </c>
      <c r="W44" s="730" t="s">
        <v>256</v>
      </c>
      <c r="X44" s="491" t="s">
        <v>256</v>
      </c>
      <c r="Y44" s="490" t="s">
        <v>256</v>
      </c>
      <c r="Z44" s="490" t="s">
        <v>256</v>
      </c>
      <c r="AA44" s="490" t="s">
        <v>256</v>
      </c>
      <c r="AB44" s="811" t="s">
        <v>256</v>
      </c>
      <c r="AC44" s="808"/>
    </row>
    <row r="45" spans="18:29" ht="15.6">
      <c r="R45" s="769" t="s">
        <v>646</v>
      </c>
      <c r="S45" s="490">
        <v>3331558256</v>
      </c>
      <c r="T45" s="490" t="s">
        <v>336</v>
      </c>
      <c r="U45" s="490">
        <v>24141240</v>
      </c>
      <c r="V45" s="490" t="s">
        <v>593</v>
      </c>
      <c r="W45" s="815" t="s">
        <v>205</v>
      </c>
      <c r="X45" s="491">
        <v>41004.559999999998</v>
      </c>
      <c r="Y45" s="847" t="s">
        <v>128</v>
      </c>
      <c r="Z45" s="490">
        <v>1</v>
      </c>
      <c r="AA45" s="490">
        <v>1</v>
      </c>
      <c r="AB45" s="731" t="s">
        <v>204</v>
      </c>
      <c r="AC45" s="808"/>
    </row>
    <row r="46" spans="18:29" ht="15.6">
      <c r="R46" s="732"/>
      <c r="S46" s="772"/>
      <c r="T46" s="772"/>
      <c r="U46" s="772"/>
      <c r="V46" s="772"/>
      <c r="W46" s="774"/>
      <c r="X46" s="775"/>
      <c r="Y46" s="772"/>
      <c r="Z46" s="772"/>
      <c r="AA46" s="772"/>
      <c r="AB46" s="722"/>
      <c r="AC46" s="773"/>
    </row>
    <row r="47" spans="18:29" ht="15.6">
      <c r="R47" s="732"/>
      <c r="S47" s="772"/>
      <c r="T47" s="772"/>
      <c r="U47" s="772"/>
      <c r="V47" s="772"/>
      <c r="W47" s="774"/>
      <c r="X47" s="775"/>
      <c r="Y47" s="772"/>
      <c r="Z47" s="772"/>
      <c r="AA47" s="772"/>
      <c r="AB47" s="722"/>
      <c r="AC47" s="773"/>
    </row>
    <row r="48" spans="18:29" ht="15.6">
      <c r="R48" s="732"/>
      <c r="S48" s="772"/>
      <c r="T48" s="772"/>
      <c r="U48" s="772"/>
      <c r="V48" s="772"/>
      <c r="W48" s="774"/>
      <c r="X48" s="775"/>
      <c r="Y48" s="772"/>
      <c r="Z48" s="772"/>
      <c r="AA48" s="772"/>
      <c r="AB48" s="722"/>
      <c r="AC48" s="773"/>
    </row>
    <row r="49" spans="18:29" ht="15.6">
      <c r="R49" s="732"/>
      <c r="S49" s="772"/>
      <c r="T49" s="772"/>
      <c r="U49" s="772"/>
      <c r="V49" s="772"/>
      <c r="W49" s="774"/>
      <c r="X49" s="775"/>
      <c r="Y49" s="772"/>
      <c r="Z49" s="772"/>
      <c r="AA49" s="772"/>
      <c r="AB49" s="722"/>
      <c r="AC49" s="773"/>
    </row>
    <row r="50" spans="18:29" ht="15.6">
      <c r="R50" s="732"/>
      <c r="S50" s="772"/>
      <c r="T50" s="772"/>
      <c r="U50" s="772"/>
      <c r="V50" s="772"/>
      <c r="W50" s="774"/>
      <c r="X50" s="775"/>
      <c r="Y50" s="772"/>
      <c r="Z50" s="772"/>
      <c r="AA50" s="772"/>
      <c r="AB50" s="722"/>
      <c r="AC50" s="773"/>
    </row>
    <row r="51" spans="18:29" ht="15.6">
      <c r="R51" s="732"/>
      <c r="S51" s="772"/>
      <c r="T51" s="772"/>
      <c r="U51" s="772"/>
      <c r="V51" s="772"/>
      <c r="W51" s="774"/>
      <c r="X51" s="775"/>
      <c r="Y51" s="772"/>
      <c r="Z51" s="772"/>
      <c r="AA51" s="772"/>
      <c r="AB51" s="722"/>
      <c r="AC51" s="773"/>
    </row>
  </sheetData>
  <protectedRanges>
    <protectedRange algorithmName="SHA-512" hashValue="24Yg3M703G5L8OyJWxlkx8c1Gwfrkael5W/l3TUk/Rcz5tR8QOgCx5v0Ebb/UGz+9BDKPJ5wV4hH8uuxvmtGIw==" saltValue="ZSJQ8EEnwGxsiYzxIw6K0Q==" spinCount="100000" sqref="E29:P30 B28:P28 B4:D18 E4:M27 O4:P27 N4:N8 N10:N27" name="Range1_65_32_32"/>
    <protectedRange algorithmName="SHA-512" hashValue="XYWjC+iAz2ErgjMh7TSLHlxfTfK0uVcITDFdCCZFdnsWWbUNnsQqu9AM+0WFXQpYcy9ZvQx2KUXfpLhpOROHkg==" saltValue="47TiGLG0rJVTo3iAJH8T4w==" spinCount="100000" sqref="B21:D26" name="Range2_5_2_2"/>
    <protectedRange algorithmName="SHA-512" hashValue="24Yg3M703G5L8OyJWxlkx8c1Gwfrkael5W/l3TUk/Rcz5tR8QOgCx5v0Ebb/UGz+9BDKPJ5wV4hH8uuxvmtGIw==" saltValue="ZSJQ8EEnwGxsiYzxIw6K0Q==" spinCount="100000" sqref="B19:D26" name="Range1_65_32_2"/>
  </protectedRanges>
  <mergeCells count="22">
    <mergeCell ref="A3:A4"/>
    <mergeCell ref="B3:D3"/>
    <mergeCell ref="F3:H3"/>
    <mergeCell ref="J3:L3"/>
    <mergeCell ref="N1:P2"/>
    <mergeCell ref="A19:A20"/>
    <mergeCell ref="B19:D19"/>
    <mergeCell ref="F8:H8"/>
    <mergeCell ref="J8:L8"/>
    <mergeCell ref="F9:H9"/>
    <mergeCell ref="J9:L9"/>
    <mergeCell ref="A10:A11"/>
    <mergeCell ref="B10:D10"/>
    <mergeCell ref="F10:H10"/>
    <mergeCell ref="J10:L10"/>
    <mergeCell ref="N10:P10"/>
    <mergeCell ref="N8:P9"/>
    <mergeCell ref="F1:H1"/>
    <mergeCell ref="J1:L1"/>
    <mergeCell ref="F2:H2"/>
    <mergeCell ref="N3:P3"/>
    <mergeCell ref="J2:L2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AAF6-AB3E-403E-AE43-784D3C693E4B}">
  <dimension ref="A1:AE77"/>
  <sheetViews>
    <sheetView showGridLines="0" topLeftCell="H11" workbookViewId="0">
      <selection activeCell="T19" sqref="T19"/>
    </sheetView>
  </sheetViews>
  <sheetFormatPr defaultRowHeight="14.4"/>
  <cols>
    <col min="1" max="1" width="22" customWidth="1"/>
    <col min="2" max="4" width="18.5546875" customWidth="1"/>
    <col min="6" max="8" width="12.6640625" customWidth="1"/>
    <col min="10" max="12" width="15" customWidth="1"/>
    <col min="14" max="16" width="26.6640625" customWidth="1"/>
    <col min="18" max="18" width="12" style="989" bestFit="1" customWidth="1"/>
    <col min="19" max="19" width="13.44140625" style="989" bestFit="1" customWidth="1"/>
    <col min="20" max="20" width="20.88671875" style="989" customWidth="1"/>
    <col min="21" max="21" width="11" style="989" bestFit="1" customWidth="1"/>
    <col min="22" max="22" width="55.5546875" style="989" bestFit="1" customWidth="1"/>
    <col min="23" max="23" width="30.88671875" style="989" bestFit="1" customWidth="1"/>
    <col min="24" max="24" width="17.109375" style="989" bestFit="1" customWidth="1"/>
    <col min="25" max="25" width="22" style="989" bestFit="1" customWidth="1"/>
    <col min="26" max="26" width="14.6640625" style="989" bestFit="1" customWidth="1"/>
    <col min="27" max="27" width="17.109375" style="989" bestFit="1" customWidth="1"/>
    <col min="28" max="28" width="21.33203125" style="989" customWidth="1"/>
    <col min="29" max="29" width="7" style="989" bestFit="1" customWidth="1"/>
  </cols>
  <sheetData>
    <row r="1" spans="1:29" ht="17.399999999999999">
      <c r="A1" s="762" t="s">
        <v>658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990" t="s">
        <v>1</v>
      </c>
      <c r="S1" s="991" t="s">
        <v>2</v>
      </c>
      <c r="T1" s="991" t="s">
        <v>3</v>
      </c>
      <c r="U1" s="991" t="s">
        <v>211</v>
      </c>
      <c r="V1" s="991" t="s">
        <v>5</v>
      </c>
      <c r="W1" s="991" t="s">
        <v>194</v>
      </c>
      <c r="X1" s="991" t="s">
        <v>212</v>
      </c>
      <c r="Y1" s="991" t="s">
        <v>213</v>
      </c>
      <c r="Z1" s="991" t="s">
        <v>406</v>
      </c>
      <c r="AA1" s="991" t="s">
        <v>215</v>
      </c>
      <c r="AB1" s="991" t="s">
        <v>216</v>
      </c>
      <c r="AC1" s="992" t="s">
        <v>407</v>
      </c>
    </row>
    <row r="2" spans="1:29" ht="17.399999999999999">
      <c r="A2" s="762" t="s">
        <v>659</v>
      </c>
      <c r="B2" s="733"/>
      <c r="C2" s="733"/>
      <c r="D2" s="733"/>
      <c r="E2" s="734"/>
      <c r="F2" s="1536" t="s">
        <v>660</v>
      </c>
      <c r="G2" s="1536"/>
      <c r="H2" s="1536"/>
      <c r="I2" s="742"/>
      <c r="J2" s="1525" t="s">
        <v>661</v>
      </c>
      <c r="K2" s="1525"/>
      <c r="L2" s="1525"/>
      <c r="M2" s="734"/>
      <c r="N2" s="1535"/>
      <c r="O2" s="1535"/>
      <c r="P2" s="1535"/>
      <c r="R2" s="1014" t="s">
        <v>662</v>
      </c>
      <c r="S2" s="1000">
        <v>3331558718</v>
      </c>
      <c r="T2" s="1015" t="s">
        <v>462</v>
      </c>
      <c r="U2" s="1000">
        <v>24141248</v>
      </c>
      <c r="V2" s="1000" t="s">
        <v>368</v>
      </c>
      <c r="W2" s="1002" t="s">
        <v>199</v>
      </c>
      <c r="X2" s="1001">
        <v>23472.998</v>
      </c>
      <c r="Y2" s="1000" t="s">
        <v>200</v>
      </c>
      <c r="Z2" s="1000">
        <v>1</v>
      </c>
      <c r="AA2" s="1000">
        <v>1</v>
      </c>
      <c r="AB2" s="1003" t="s">
        <v>204</v>
      </c>
      <c r="AC2" s="982"/>
    </row>
    <row r="3" spans="1:29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014" t="s">
        <v>662</v>
      </c>
      <c r="S3" s="1000">
        <v>3331558721</v>
      </c>
      <c r="T3" s="1015" t="s">
        <v>11</v>
      </c>
      <c r="U3" s="1000">
        <v>24141249</v>
      </c>
      <c r="V3" s="1000" t="s">
        <v>368</v>
      </c>
      <c r="W3" s="1002" t="s">
        <v>199</v>
      </c>
      <c r="X3" s="1001">
        <v>22874.428</v>
      </c>
      <c r="Y3" s="1000" t="s">
        <v>200</v>
      </c>
      <c r="Z3" s="1000">
        <v>1</v>
      </c>
      <c r="AA3" s="1000">
        <v>1</v>
      </c>
      <c r="AB3" s="1003" t="s">
        <v>204</v>
      </c>
      <c r="AC3" s="982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14" t="s">
        <v>662</v>
      </c>
      <c r="S4" s="1000">
        <v>3331558724</v>
      </c>
      <c r="T4" s="1015" t="s">
        <v>34</v>
      </c>
      <c r="U4" s="1000">
        <v>24141250</v>
      </c>
      <c r="V4" s="1000" t="s">
        <v>368</v>
      </c>
      <c r="W4" s="1002" t="s">
        <v>199</v>
      </c>
      <c r="X4" s="1001">
        <v>21936.835999999999</v>
      </c>
      <c r="Y4" s="1000" t="s">
        <v>200</v>
      </c>
      <c r="Z4" s="1000">
        <v>1</v>
      </c>
      <c r="AA4" s="1000">
        <v>1</v>
      </c>
      <c r="AB4" s="1003" t="s">
        <v>204</v>
      </c>
      <c r="AC4" s="982"/>
    </row>
    <row r="5" spans="1:29" ht="18">
      <c r="A5" s="746" t="s">
        <v>427</v>
      </c>
      <c r="B5" s="747" cm="1">
        <f t="array" ref="B5">SUMPRODUCT(--ISNUMBER(MATCH(TRIM(W1:W173), {"JABODETABEK","JAWA TENGAH","JAWA TIMUR","LUAR PULAU"}, 0)))</f>
        <v>26</v>
      </c>
      <c r="C5" s="747" cm="1">
        <f t="array" ref="C5">SUMPRODUCT(--(LOWER(TRIM(AB1:AB199))="masuk"), --(ISNUMBER(MATCH(TRIM(W1:W199), {"JABODETABEK","JAWA TENGAH","JAWA TIMUR","LUAR PULAU"}, 0))))</f>
        <v>26</v>
      </c>
      <c r="D5" s="740">
        <f>C5+-B5</f>
        <v>0</v>
      </c>
      <c r="E5" s="734"/>
      <c r="F5" s="748" cm="1">
        <f t="array" ref="F5">SUMPRODUCT(--(LOWER(AC1:AC199)="add"), --(ISNUMBER(MATCH(W1:W199, {"JABODETABEK","JAWA TENGAH","JAWA TIMUR","LUAR PULAU"}, 0))))</f>
        <v>0</v>
      </c>
      <c r="G5" s="747" cm="1">
        <f t="array" ref="G5">SUMPRODUCT(--(LOWER(AB1:AB199)="masuk"), --(LOWER(AC1:AC199)="add"))</f>
        <v>0</v>
      </c>
      <c r="H5" s="740">
        <f>G5+-F5</f>
        <v>0</v>
      </c>
      <c r="I5" s="734"/>
      <c r="J5" s="748" cm="1">
        <f t="array" ref="J5">SUMPRODUCT(--ISNUMBER(SEARCH("next day", LOWER(W1:W199))))</f>
        <v>15</v>
      </c>
      <c r="K5" s="747" cm="1">
        <f t="array" ref="K5">SUMPRODUCT(--(LOWER(AB1:AB199)="masuk"), --ISNUMBER(SEARCH("next day", LOWER(W1:W199))))</f>
        <v>15</v>
      </c>
      <c r="L5" s="747">
        <f>K5+-J5</f>
        <v>0</v>
      </c>
      <c r="M5" s="734"/>
      <c r="N5" s="748">
        <f>B5+F5+J5</f>
        <v>41</v>
      </c>
      <c r="O5" s="747">
        <f>C5+G5+K5</f>
        <v>41</v>
      </c>
      <c r="P5" s="740">
        <f>D5+H5+L5</f>
        <v>0</v>
      </c>
      <c r="R5" s="1010" t="s">
        <v>452</v>
      </c>
      <c r="S5" s="1009">
        <v>3331558719</v>
      </c>
      <c r="T5" s="1016" t="s">
        <v>206</v>
      </c>
      <c r="U5" s="1009">
        <v>24141251</v>
      </c>
      <c r="V5" s="1009" t="s">
        <v>226</v>
      </c>
      <c r="W5" s="1012" t="s">
        <v>480</v>
      </c>
      <c r="X5" s="1011">
        <v>38927.599000000002</v>
      </c>
      <c r="Y5" s="1009" t="s">
        <v>128</v>
      </c>
      <c r="Z5" s="1009">
        <v>1</v>
      </c>
      <c r="AA5" s="1009">
        <v>1</v>
      </c>
      <c r="AB5" s="1013" t="s">
        <v>204</v>
      </c>
      <c r="AC5" s="982"/>
    </row>
    <row r="6" spans="1:29" ht="17.399999999999999">
      <c r="A6" s="733"/>
      <c r="B6" s="733">
        <f>SUM(B5)</f>
        <v>26</v>
      </c>
      <c r="C6" s="733">
        <f>SUM(C5)</f>
        <v>26</v>
      </c>
      <c r="D6" s="739">
        <f>SUM(D5)</f>
        <v>0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15</v>
      </c>
      <c r="K6" s="733">
        <f>SUM(K5)</f>
        <v>15</v>
      </c>
      <c r="L6" s="733">
        <f>SUM(L5)</f>
        <v>0</v>
      </c>
      <c r="M6" s="733"/>
      <c r="N6" s="760">
        <f>SUM(N5:N5)</f>
        <v>41</v>
      </c>
      <c r="O6" s="760">
        <f>SUM(O5:O5)</f>
        <v>41</v>
      </c>
      <c r="P6" s="761">
        <f>SUM(P5:P5)</f>
        <v>0</v>
      </c>
      <c r="R6" s="1010" t="s">
        <v>662</v>
      </c>
      <c r="S6" s="1009">
        <v>3331558720</v>
      </c>
      <c r="T6" s="1016" t="s">
        <v>206</v>
      </c>
      <c r="U6" s="1009">
        <v>24141253</v>
      </c>
      <c r="V6" s="1009" t="s">
        <v>226</v>
      </c>
      <c r="W6" s="1012" t="s">
        <v>480</v>
      </c>
      <c r="X6" s="1011">
        <v>39577.114000000001</v>
      </c>
      <c r="Y6" s="1009" t="s">
        <v>128</v>
      </c>
      <c r="Z6" s="1009">
        <v>1</v>
      </c>
      <c r="AA6" s="1009">
        <v>1</v>
      </c>
      <c r="AB6" s="1013" t="s">
        <v>204</v>
      </c>
      <c r="AC6" s="982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10" t="s">
        <v>452</v>
      </c>
      <c r="S7" s="1009">
        <v>3331558722</v>
      </c>
      <c r="T7" s="1011" t="s">
        <v>437</v>
      </c>
      <c r="U7" s="1009">
        <v>24141254</v>
      </c>
      <c r="V7" s="1009" t="s">
        <v>226</v>
      </c>
      <c r="W7" s="1012" t="s">
        <v>480</v>
      </c>
      <c r="X7" s="1011">
        <v>43734.01</v>
      </c>
      <c r="Y7" s="1009" t="s">
        <v>128</v>
      </c>
      <c r="Z7" s="1009">
        <v>1</v>
      </c>
      <c r="AA7" s="1009">
        <v>1</v>
      </c>
      <c r="AB7" s="1013" t="s">
        <v>204</v>
      </c>
      <c r="AC7" s="982"/>
    </row>
    <row r="8" spans="1:29" ht="18.75" customHeight="1">
      <c r="A8" s="763" t="str">
        <f>A1</f>
        <v>Plan tgl 06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010" t="s">
        <v>662</v>
      </c>
      <c r="S8" s="1009">
        <v>3331558723</v>
      </c>
      <c r="T8" s="1011" t="s">
        <v>441</v>
      </c>
      <c r="U8" s="1009">
        <v>24141257</v>
      </c>
      <c r="V8" s="1009" t="s">
        <v>226</v>
      </c>
      <c r="W8" s="1012" t="s">
        <v>480</v>
      </c>
      <c r="X8" s="1011">
        <v>36286.237999999998</v>
      </c>
      <c r="Y8" s="1009" t="s">
        <v>128</v>
      </c>
      <c r="Z8" s="1009">
        <v>1</v>
      </c>
      <c r="AA8" s="1009">
        <v>1</v>
      </c>
      <c r="AB8" s="1013" t="s">
        <v>204</v>
      </c>
      <c r="AC8" s="982"/>
    </row>
    <row r="9" spans="1:29" ht="18">
      <c r="A9" s="763" t="str">
        <f>A2</f>
        <v>Realz update 07 OKT’25 jam 07.00</v>
      </c>
      <c r="B9" s="825"/>
      <c r="C9" s="825"/>
      <c r="D9" s="825"/>
      <c r="E9" s="734"/>
      <c r="F9" s="1525" t="str">
        <f>F2</f>
        <v>Tgl 06 OKT’25 diatas jam 15.00</v>
      </c>
      <c r="G9" s="1525"/>
      <c r="H9" s="1525"/>
      <c r="I9" s="826"/>
      <c r="J9" s="1525" t="str">
        <f>J2</f>
        <v>Tgl 06 OKT’25</v>
      </c>
      <c r="K9" s="1525"/>
      <c r="L9" s="1525"/>
      <c r="M9" s="734"/>
      <c r="N9" s="1526"/>
      <c r="O9" s="1526"/>
      <c r="P9" s="1526"/>
      <c r="R9" s="1010" t="s">
        <v>662</v>
      </c>
      <c r="S9" s="1009">
        <v>3331558725</v>
      </c>
      <c r="T9" s="1011" t="s">
        <v>27</v>
      </c>
      <c r="U9" s="1009">
        <v>24141258</v>
      </c>
      <c r="V9" s="1009" t="s">
        <v>226</v>
      </c>
      <c r="W9" s="1012" t="s">
        <v>480</v>
      </c>
      <c r="X9" s="1011">
        <v>26933.222000000002</v>
      </c>
      <c r="Y9" s="1009" t="s">
        <v>200</v>
      </c>
      <c r="Z9" s="1009">
        <v>1</v>
      </c>
      <c r="AA9" s="1009">
        <v>1</v>
      </c>
      <c r="AB9" s="1013" t="s">
        <v>204</v>
      </c>
      <c r="AC9" s="982"/>
    </row>
    <row r="10" spans="1:29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010" t="s">
        <v>662</v>
      </c>
      <c r="S10" s="1009">
        <v>3331558726</v>
      </c>
      <c r="T10" s="1011" t="s">
        <v>27</v>
      </c>
      <c r="U10" s="1009">
        <v>24141259</v>
      </c>
      <c r="V10" s="1009" t="s">
        <v>226</v>
      </c>
      <c r="W10" s="1012" t="s">
        <v>480</v>
      </c>
      <c r="X10" s="1011">
        <v>26846.62</v>
      </c>
      <c r="Y10" s="1009" t="s">
        <v>200</v>
      </c>
      <c r="Z10" s="1009">
        <v>1</v>
      </c>
      <c r="AA10" s="1009">
        <v>1</v>
      </c>
      <c r="AB10" s="1013" t="s">
        <v>204</v>
      </c>
      <c r="AC10" s="982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10" t="s">
        <v>662</v>
      </c>
      <c r="S11" s="1009">
        <v>3331558727</v>
      </c>
      <c r="T11" s="1011" t="s">
        <v>27</v>
      </c>
      <c r="U11" s="1009">
        <v>24141260</v>
      </c>
      <c r="V11" s="1009" t="s">
        <v>226</v>
      </c>
      <c r="W11" s="1012" t="s">
        <v>663</v>
      </c>
      <c r="X11" s="1011">
        <v>26240.405999999999</v>
      </c>
      <c r="Y11" s="1009" t="s">
        <v>200</v>
      </c>
      <c r="Z11" s="1009">
        <v>1</v>
      </c>
      <c r="AA11" s="1009">
        <v>1</v>
      </c>
      <c r="AB11" s="1013" t="s">
        <v>204</v>
      </c>
      <c r="AC11" s="982"/>
    </row>
    <row r="12" spans="1:29" ht="18">
      <c r="A12" s="845" t="s">
        <v>199</v>
      </c>
      <c r="B12" s="748" cm="1">
        <f t="array" ref="B12">SUMPRODUCT(--(TRIM(LOWER(W1:W199))="jabodetabek"))</f>
        <v>14</v>
      </c>
      <c r="C12" s="748" cm="1">
        <f t="array" ref="C12">SUMPRODUCT(--(LOWER(AB1:AB199)="masuk"), --(TRIM(LOWER(W1:W199))="jabodetabek"))</f>
        <v>14</v>
      </c>
      <c r="D12" s="973">
        <f>C12+-B12</f>
        <v>0</v>
      </c>
      <c r="E12" s="734"/>
      <c r="F12" s="748" cm="1">
        <f t="array" ref="F12">SUMPRODUCT(--(LOWER(AC1:AC199)="add"), --(TRIM(LOWER(W1:W199))="jabodetabek"))</f>
        <v>0</v>
      </c>
      <c r="G12" s="747" cm="1">
        <f t="array" ref="G12">SUMPRODUCT(--(LOWER(AB1:AB199)="masuk"), --(LOWER(AC1:AC199)="add"), --(TRIM(LOWER(W1:W199))="jabodetabek"))</f>
        <v>0</v>
      </c>
      <c r="H12" s="740">
        <f>G12+-F12</f>
        <v>0</v>
      </c>
      <c r="I12" s="734"/>
      <c r="J12" s="748" cm="1">
        <f t="array" ref="J12">SUMPRODUCT(--(LOWER(TRIM(W1:W199))="jabodetabek next day"))</f>
        <v>5</v>
      </c>
      <c r="K12" s="747" cm="1">
        <f t="array" ref="K12">SUMPRODUCT(--(LOWER(AB1:AB199)="masuk"), --(LOWER(TRIM(W1:W199))="jabodetabek next day"))</f>
        <v>5</v>
      </c>
      <c r="L12" s="747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010" t="s">
        <v>662</v>
      </c>
      <c r="S12" s="1009">
        <v>3331558731</v>
      </c>
      <c r="T12" s="1011" t="s">
        <v>27</v>
      </c>
      <c r="U12" s="1009">
        <v>24141261</v>
      </c>
      <c r="V12" s="1009" t="s">
        <v>226</v>
      </c>
      <c r="W12" s="1012" t="s">
        <v>663</v>
      </c>
      <c r="X12" s="1011">
        <v>25567.49</v>
      </c>
      <c r="Y12" s="1009" t="s">
        <v>200</v>
      </c>
      <c r="Z12" s="1009">
        <v>1</v>
      </c>
      <c r="AA12" s="1009">
        <v>1</v>
      </c>
      <c r="AB12" s="1013" t="s">
        <v>204</v>
      </c>
      <c r="AC12" s="982"/>
    </row>
    <row r="13" spans="1:29" ht="18">
      <c r="A13" s="845" t="s">
        <v>203</v>
      </c>
      <c r="B13" s="750" cm="1">
        <f t="array" ref="B13">SUMPRODUCT(--(TRIM(LOWER(W1:W199))="jawa tengah"))</f>
        <v>6</v>
      </c>
      <c r="C13" s="750" cm="1">
        <f t="array" ref="C13">SUMPRODUCT(--(LOWER(AB1:AB199)="masuk"), --(TRIM(LOWER(W1:W199))="jawa tengah"))</f>
        <v>6</v>
      </c>
      <c r="D13" s="846">
        <f>C13+-B13</f>
        <v>0</v>
      </c>
      <c r="E13" s="734"/>
      <c r="F13" s="751" cm="1">
        <f t="array" ref="F13">SUMPRODUCT(--(LOWER(AC1:AC199)="add"), --(TRIM(LOWER(W1:W199))="jawa tengah"))</f>
        <v>0</v>
      </c>
      <c r="G13" s="747" cm="1">
        <f t="array" ref="G13">SUMPRODUCT(--(LOWER(AB1:AB199)="masuk"), --(LOWER(AC1:AC199)="add"), --(TRIM(LOWER(W1:W199))="jawa tengah"))</f>
        <v>0</v>
      </c>
      <c r="H13" s="740">
        <f>G13+-F13</f>
        <v>0</v>
      </c>
      <c r="I13" s="734"/>
      <c r="J13" s="748" cm="1">
        <f t="array" ref="J13">SUMPRODUCT(--(LOWER(TRIM(W1:W199))="jawa tengah next day"))</f>
        <v>10</v>
      </c>
      <c r="K13" s="747" cm="1">
        <f t="array" ref="K13">SUMPRODUCT(--(LOWER(AB1:AB199)="masuk"), --(LOWER(TRIM(W1:W199))="jawa tengah next day"))</f>
        <v>10</v>
      </c>
      <c r="L13" s="747">
        <f>K13+-J13</f>
        <v>0</v>
      </c>
      <c r="M13" s="734"/>
      <c r="N13" s="748">
        <f t="shared" si="0"/>
        <v>16</v>
      </c>
      <c r="O13" s="747">
        <f t="shared" si="0"/>
        <v>16</v>
      </c>
      <c r="P13" s="740">
        <f t="shared" si="0"/>
        <v>0</v>
      </c>
      <c r="R13" s="1010" t="s">
        <v>662</v>
      </c>
      <c r="S13" s="1009">
        <v>3331558736</v>
      </c>
      <c r="T13" s="1011" t="s">
        <v>27</v>
      </c>
      <c r="U13" s="1009">
        <v>24141263</v>
      </c>
      <c r="V13" s="1009" t="s">
        <v>226</v>
      </c>
      <c r="W13" s="1012" t="s">
        <v>663</v>
      </c>
      <c r="X13" s="1011">
        <v>26190.958999999999</v>
      </c>
      <c r="Y13" s="1009" t="s">
        <v>200</v>
      </c>
      <c r="Z13" s="1009">
        <v>1</v>
      </c>
      <c r="AA13" s="1009">
        <v>1</v>
      </c>
      <c r="AB13" s="1013" t="s">
        <v>204</v>
      </c>
      <c r="AC13" s="982"/>
    </row>
    <row r="14" spans="1:29" ht="18">
      <c r="A14" s="845" t="s">
        <v>205</v>
      </c>
      <c r="B14" s="750" cm="1">
        <f t="array" ref="B14">SUMPRODUCT(--(TRIM(LOWER(W1:W199))="jawa timur"))</f>
        <v>6</v>
      </c>
      <c r="C14" s="750" cm="1">
        <f t="array" ref="C14">SUMPRODUCT(--(LOWER(AB1:AB199)="masuk"), --(TRIM(LOWER(W1:W199))="jawa timur"))</f>
        <v>6</v>
      </c>
      <c r="D14" s="846">
        <f>C14+-B14</f>
        <v>0</v>
      </c>
      <c r="E14" s="734"/>
      <c r="F14" s="750" cm="1">
        <f t="array" ref="F14">SUMPRODUCT(--(LOWER(AC1:AC199)="add"), --(TRIM(LOWER(W1:W199))="jawa timur"))</f>
        <v>0</v>
      </c>
      <c r="G14" s="747" cm="1">
        <f t="array" ref="G14">SUMPRODUCT(--(LOWER(AB1:AB199)="masuk"), --(LOWER(AC1:AC199)="add"), --(TRIM(LOWER(W1:W199))="jawa timur"))</f>
        <v>0</v>
      </c>
      <c r="H14" s="740">
        <f>G14+-F14</f>
        <v>0</v>
      </c>
      <c r="I14" s="734"/>
      <c r="J14" s="748" cm="1">
        <f t="array" ref="J14">SUMPRODUCT(--(LOWER(TRIM(W1:W199))="jawa timur next day"))</f>
        <v>0</v>
      </c>
      <c r="K14" s="747" cm="1">
        <f t="array" ref="K14">SUMPRODUCT(--(LOWER(AB1:AB199)="masuk"), --(LOWER(TRIM(W1:W199))="jawa timur next day"))</f>
        <v>0</v>
      </c>
      <c r="L14" s="747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1010" t="s">
        <v>662</v>
      </c>
      <c r="S14" s="1009">
        <v>3331558751</v>
      </c>
      <c r="T14" s="1011" t="s">
        <v>27</v>
      </c>
      <c r="U14" s="1009">
        <v>24141268</v>
      </c>
      <c r="V14" s="1009" t="s">
        <v>226</v>
      </c>
      <c r="W14" s="1012" t="s">
        <v>663</v>
      </c>
      <c r="X14" s="1011">
        <v>25201.808000000001</v>
      </c>
      <c r="Y14" s="1009" t="s">
        <v>200</v>
      </c>
      <c r="Z14" s="1009">
        <v>1</v>
      </c>
      <c r="AA14" s="1009">
        <v>1</v>
      </c>
      <c r="AB14" s="1013" t="s">
        <v>204</v>
      </c>
      <c r="AC14" s="982"/>
    </row>
    <row r="15" spans="1:29" ht="18">
      <c r="A15" s="845" t="s">
        <v>362</v>
      </c>
      <c r="B15" s="750" cm="1">
        <f t="array" ref="B15">SUMPRODUCT(--(TRIM(LOWER(W1:W199))="luar pulau"))</f>
        <v>0</v>
      </c>
      <c r="C15" s="750" cm="1">
        <f t="array" ref="C15">SUMPRODUCT(--(LOWER(AB1:AB199)="masuk"), --(TRIM(LOWER(W1:W199))="luar pulau"))</f>
        <v>0</v>
      </c>
      <c r="D15" s="846">
        <f>C15+-B15</f>
        <v>0</v>
      </c>
      <c r="E15" s="734"/>
      <c r="F15" s="748" cm="1">
        <f t="array" ref="F15">SUMPRODUCT(--(LOWER(AC1:AC199)="add"), --(TRIM(LOWER(W1:W199))="luar pulau"))</f>
        <v>0</v>
      </c>
      <c r="G15" s="747" cm="1">
        <f t="array" ref="G15">SUMPRODUCT(--(LOWER(AB1:AB199)="masuk"), --(LOWER(AC1:AC199)="add"), --(TRIM(LOWER(W1:W199))="luar pulau"))</f>
        <v>0</v>
      </c>
      <c r="H15" s="740">
        <f>G15+-F15</f>
        <v>0</v>
      </c>
      <c r="I15" s="734"/>
      <c r="J15" s="748" cm="1">
        <f t="array" ref="J15">SUMPRODUCT(--(LOWER(TRIM(W1:W199))="luar pulau next day"))</f>
        <v>0</v>
      </c>
      <c r="K15" s="747" cm="1">
        <f t="array" ref="K15">SUMPRODUCT(--(LOWER(AB1:AB199)="masuk"), --(LOWER(TRIM(W1:W199))="luar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10" t="s">
        <v>662</v>
      </c>
      <c r="S15" s="1009">
        <v>3331558754</v>
      </c>
      <c r="T15" s="1011" t="s">
        <v>27</v>
      </c>
      <c r="U15" s="1009">
        <v>24141269</v>
      </c>
      <c r="V15" s="1009" t="s">
        <v>226</v>
      </c>
      <c r="W15" s="1012" t="s">
        <v>663</v>
      </c>
      <c r="X15" s="1011">
        <v>24169.651999999998</v>
      </c>
      <c r="Y15" s="1009" t="s">
        <v>200</v>
      </c>
      <c r="Z15" s="1009">
        <v>1</v>
      </c>
      <c r="AA15" s="1009">
        <v>1</v>
      </c>
      <c r="AB15" s="1013" t="s">
        <v>204</v>
      </c>
      <c r="AC15" s="982"/>
    </row>
    <row r="16" spans="1:29" ht="17.399999999999999">
      <c r="A16" s="827"/>
      <c r="B16" s="733">
        <f>SUM(B12:B15)</f>
        <v>26</v>
      </c>
      <c r="C16" s="733">
        <f>SUM(C12:C15)</f>
        <v>26</v>
      </c>
      <c r="D16" s="739">
        <f>SUM(D12:D15)</f>
        <v>0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15</v>
      </c>
      <c r="K16" s="733">
        <f>SUM(K12:K15)</f>
        <v>15</v>
      </c>
      <c r="L16" s="733">
        <f>SUM(L12:L15)</f>
        <v>0</v>
      </c>
      <c r="M16" s="734"/>
      <c r="N16" s="760">
        <f t="shared" si="0"/>
        <v>41</v>
      </c>
      <c r="O16" s="760">
        <f t="shared" si="0"/>
        <v>41</v>
      </c>
      <c r="P16" s="761">
        <f t="shared" si="0"/>
        <v>0</v>
      </c>
      <c r="R16" s="1018" t="s">
        <v>452</v>
      </c>
      <c r="S16" s="1017">
        <v>3331558761</v>
      </c>
      <c r="T16" s="1011" t="s">
        <v>27</v>
      </c>
      <c r="U16" s="1009">
        <v>24141272</v>
      </c>
      <c r="V16" s="1009" t="s">
        <v>226</v>
      </c>
      <c r="W16" s="1012" t="s">
        <v>663</v>
      </c>
      <c r="X16" s="1019">
        <v>26240.405999999999</v>
      </c>
      <c r="Y16" s="1009" t="s">
        <v>200</v>
      </c>
      <c r="Z16" s="1009">
        <v>1</v>
      </c>
      <c r="AA16" s="1009">
        <v>1</v>
      </c>
      <c r="AB16" s="1013" t="s">
        <v>204</v>
      </c>
      <c r="AC16" s="982"/>
    </row>
    <row r="17" spans="1:29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1"/>
      <c r="R17" s="1018" t="s">
        <v>662</v>
      </c>
      <c r="S17" s="1017">
        <v>3331558796</v>
      </c>
      <c r="T17" s="1011" t="s">
        <v>27</v>
      </c>
      <c r="U17" s="1009">
        <v>24141285</v>
      </c>
      <c r="V17" s="1009" t="s">
        <v>226</v>
      </c>
      <c r="W17" s="1012" t="s">
        <v>663</v>
      </c>
      <c r="X17" s="1019">
        <v>24508.366000000002</v>
      </c>
      <c r="Y17" s="1009" t="s">
        <v>200</v>
      </c>
      <c r="Z17" s="1009">
        <v>1</v>
      </c>
      <c r="AA17" s="1009">
        <v>1</v>
      </c>
      <c r="AB17" s="1013" t="s">
        <v>204</v>
      </c>
      <c r="AC17" s="982"/>
    </row>
    <row r="18" spans="1:29" ht="17.399999999999999">
      <c r="A18" s="1007" t="s">
        <v>434</v>
      </c>
      <c r="B18" s="1522" t="s">
        <v>415</v>
      </c>
      <c r="C18" s="1523"/>
      <c r="D18" s="1524"/>
      <c r="E18" s="1023"/>
      <c r="F18" s="1021"/>
      <c r="G18" s="1021"/>
      <c r="H18" s="1022"/>
      <c r="I18" s="1023"/>
      <c r="J18" s="1021"/>
      <c r="K18" s="1021"/>
      <c r="L18" s="1021"/>
      <c r="M18" s="1023"/>
      <c r="N18" s="1021"/>
      <c r="O18" s="1021"/>
      <c r="P18" s="1022"/>
      <c r="R18" s="1014" t="s">
        <v>662</v>
      </c>
      <c r="S18" s="1024">
        <v>3331558798</v>
      </c>
      <c r="T18" s="1033" t="s">
        <v>441</v>
      </c>
      <c r="U18" s="1024">
        <v>24141286</v>
      </c>
      <c r="V18" s="1009" t="s">
        <v>226</v>
      </c>
      <c r="W18" s="1012" t="s">
        <v>663</v>
      </c>
      <c r="X18" s="1001">
        <v>36372.839999999997</v>
      </c>
      <c r="Y18" s="1009" t="s">
        <v>128</v>
      </c>
      <c r="Z18" s="1009">
        <v>1</v>
      </c>
      <c r="AA18" s="1009">
        <v>1</v>
      </c>
      <c r="AB18" s="1013" t="s">
        <v>204</v>
      </c>
      <c r="AC18" s="1032"/>
    </row>
    <row r="19" spans="1:29" ht="17.399999999999999">
      <c r="A19" s="1008"/>
      <c r="B19" s="966" t="s">
        <v>419</v>
      </c>
      <c r="C19" s="966" t="s">
        <v>420</v>
      </c>
      <c r="D19" s="967" t="s">
        <v>421</v>
      </c>
      <c r="E19" s="1023"/>
      <c r="F19" s="1021"/>
      <c r="G19" s="1021"/>
      <c r="H19" s="1022"/>
      <c r="I19" s="1023"/>
      <c r="J19" s="1021"/>
      <c r="K19" s="1021"/>
      <c r="L19" s="1021"/>
      <c r="M19" s="1023"/>
      <c r="N19" s="1021"/>
      <c r="O19" s="1021"/>
      <c r="P19" s="1022"/>
      <c r="R19" s="1014" t="s">
        <v>662</v>
      </c>
      <c r="S19" s="1024">
        <v>3331558817</v>
      </c>
      <c r="T19" s="1033" t="s">
        <v>189</v>
      </c>
      <c r="U19" s="1024">
        <v>24141287</v>
      </c>
      <c r="V19" s="1009" t="s">
        <v>226</v>
      </c>
      <c r="W19" s="1012" t="s">
        <v>663</v>
      </c>
      <c r="X19" s="1001">
        <v>36156.334999999999</v>
      </c>
      <c r="Y19" s="1009" t="s">
        <v>128</v>
      </c>
      <c r="Z19" s="1009">
        <v>1</v>
      </c>
      <c r="AA19" s="1009">
        <v>1</v>
      </c>
      <c r="AB19" s="1013" t="s">
        <v>204</v>
      </c>
      <c r="AC19" s="1032"/>
    </row>
    <row r="20" spans="1:29" ht="18">
      <c r="A20" s="968" t="s">
        <v>427</v>
      </c>
      <c r="B20" s="970" cm="1">
        <f t="array" ref="B20">SUMPRODUCT(--((LOWER(TRIM(W6:W206))="ambil sendiri")+(LOWER(TRIM(W6:W206))="cokot sorangan")))</f>
        <v>5</v>
      </c>
      <c r="C20" s="969" cm="1">
        <f t="array" ref="C20">SUMPRODUCT(--(LOWER(AB6:AB232)="masuk"), --(LOWER(TRIM(W6:W232))="ambil sendiri"))</f>
        <v>0</v>
      </c>
      <c r="D20" s="741">
        <f>C20+-B20</f>
        <v>-5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014" t="s">
        <v>452</v>
      </c>
      <c r="S20" s="1024">
        <v>3331558818</v>
      </c>
      <c r="T20" s="1025" t="s">
        <v>437</v>
      </c>
      <c r="U20" s="1024">
        <v>24141288</v>
      </c>
      <c r="V20" s="1009" t="s">
        <v>226</v>
      </c>
      <c r="W20" s="1012" t="s">
        <v>663</v>
      </c>
      <c r="X20" s="1025">
        <v>36199.635999999999</v>
      </c>
      <c r="Y20" s="1009" t="s">
        <v>128</v>
      </c>
      <c r="Z20" s="1009">
        <v>1</v>
      </c>
      <c r="AA20" s="1009">
        <v>1</v>
      </c>
      <c r="AB20" s="1013" t="s">
        <v>204</v>
      </c>
      <c r="AC20" s="982"/>
    </row>
    <row r="21" spans="1:29" ht="17.399999999999999">
      <c r="A21" s="993"/>
      <c r="B21" s="760">
        <f>SUM(B54:B57)</f>
        <v>0</v>
      </c>
      <c r="C21" s="760">
        <f>SUM(C54:C57)</f>
        <v>0</v>
      </c>
      <c r="D21" s="761">
        <f>SUM(D54:D57)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014" t="s">
        <v>662</v>
      </c>
      <c r="S21" s="1024">
        <v>3331558827</v>
      </c>
      <c r="T21" s="1025" t="s">
        <v>27</v>
      </c>
      <c r="U21" s="1024">
        <v>24141292</v>
      </c>
      <c r="V21" s="1024" t="s">
        <v>438</v>
      </c>
      <c r="W21" s="1026" t="s">
        <v>205</v>
      </c>
      <c r="X21" s="1025">
        <v>25909.53</v>
      </c>
      <c r="Y21" s="1024" t="s">
        <v>200</v>
      </c>
      <c r="Z21" s="1024">
        <v>1</v>
      </c>
      <c r="AA21" s="1024">
        <v>1</v>
      </c>
      <c r="AB21" s="1013" t="s">
        <v>204</v>
      </c>
      <c r="AC21" s="982"/>
    </row>
    <row r="22" spans="1:29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014" t="s">
        <v>662</v>
      </c>
      <c r="S22" s="1024">
        <v>3331558830</v>
      </c>
      <c r="T22" s="1025" t="s">
        <v>27</v>
      </c>
      <c r="U22" s="1024">
        <v>24141293</v>
      </c>
      <c r="V22" s="1024" t="s">
        <v>438</v>
      </c>
      <c r="W22" s="1026" t="s">
        <v>205</v>
      </c>
      <c r="X22" s="1025">
        <v>23686.27</v>
      </c>
      <c r="Y22" s="1024" t="s">
        <v>200</v>
      </c>
      <c r="Z22" s="1024">
        <v>1</v>
      </c>
      <c r="AA22" s="1024">
        <v>1</v>
      </c>
      <c r="AB22" s="1013" t="s">
        <v>204</v>
      </c>
      <c r="AC22" s="982"/>
    </row>
    <row r="23" spans="1:29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014" t="s">
        <v>662</v>
      </c>
      <c r="S23" s="1024">
        <v>3331558856</v>
      </c>
      <c r="T23" s="1025" t="s">
        <v>437</v>
      </c>
      <c r="U23" s="1024">
        <v>24141298</v>
      </c>
      <c r="V23" s="1024" t="s">
        <v>435</v>
      </c>
      <c r="W23" s="1026" t="s">
        <v>205</v>
      </c>
      <c r="X23" s="1025">
        <v>38393.99</v>
      </c>
      <c r="Y23" s="1024" t="s">
        <v>128</v>
      </c>
      <c r="Z23" s="1024">
        <v>1</v>
      </c>
      <c r="AA23" s="1024">
        <v>1</v>
      </c>
      <c r="AB23" s="1013" t="s">
        <v>204</v>
      </c>
      <c r="AC23" s="982"/>
    </row>
    <row r="24" spans="1:29" ht="17.399999999999999">
      <c r="A24" s="1020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014" t="s">
        <v>662</v>
      </c>
      <c r="S24" s="1024">
        <v>3331558863</v>
      </c>
      <c r="T24" s="1025" t="s">
        <v>27</v>
      </c>
      <c r="U24" s="1024">
        <v>24141299</v>
      </c>
      <c r="V24" s="1024" t="s">
        <v>435</v>
      </c>
      <c r="W24" s="1026" t="s">
        <v>205</v>
      </c>
      <c r="X24" s="1025">
        <f>15562.82+19137.893</f>
        <v>34700.713000000003</v>
      </c>
      <c r="Y24" s="1024" t="s">
        <v>128</v>
      </c>
      <c r="Z24" s="1024">
        <v>1</v>
      </c>
      <c r="AA24" s="1024">
        <v>1</v>
      </c>
      <c r="AB24" s="1013" t="s">
        <v>204</v>
      </c>
      <c r="AC24" s="982"/>
    </row>
    <row r="25" spans="1:29" ht="17.399999999999999">
      <c r="A25" s="1020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014" t="s">
        <v>662</v>
      </c>
      <c r="S25" s="1024">
        <v>3331558866</v>
      </c>
      <c r="T25" s="1025" t="s">
        <v>256</v>
      </c>
      <c r="U25" s="1024" t="s">
        <v>256</v>
      </c>
      <c r="V25" s="1024" t="s">
        <v>256</v>
      </c>
      <c r="W25" s="1026" t="s">
        <v>256</v>
      </c>
      <c r="X25" s="1025" t="s">
        <v>256</v>
      </c>
      <c r="Y25" s="1024" t="s">
        <v>256</v>
      </c>
      <c r="Z25" s="1024" t="s">
        <v>256</v>
      </c>
      <c r="AA25" s="1024" t="s">
        <v>256</v>
      </c>
      <c r="AB25" s="1027" t="s">
        <v>256</v>
      </c>
      <c r="AC25" s="982"/>
    </row>
    <row r="26" spans="1:29" ht="17.399999999999999">
      <c r="A26" s="1020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014" t="s">
        <v>662</v>
      </c>
      <c r="S26" s="1024">
        <v>3331558913</v>
      </c>
      <c r="T26" s="1025" t="s">
        <v>664</v>
      </c>
      <c r="U26" s="1024">
        <v>24141302</v>
      </c>
      <c r="V26" s="1024" t="s">
        <v>430</v>
      </c>
      <c r="W26" s="1026" t="s">
        <v>205</v>
      </c>
      <c r="X26" s="1025">
        <f>15007.005+13085.1+12436.874</f>
        <v>40528.978999999999</v>
      </c>
      <c r="Y26" s="1024" t="s">
        <v>128</v>
      </c>
      <c r="Z26" s="1024">
        <v>1</v>
      </c>
      <c r="AA26" s="1024">
        <v>1</v>
      </c>
      <c r="AB26" s="1027" t="s">
        <v>204</v>
      </c>
      <c r="AC26" s="1032"/>
    </row>
    <row r="27" spans="1:29" ht="17.399999999999999">
      <c r="A27" s="1020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014" t="s">
        <v>662</v>
      </c>
      <c r="S27" s="1024">
        <v>3331558933</v>
      </c>
      <c r="T27" s="1025" t="s">
        <v>256</v>
      </c>
      <c r="U27" s="1024" t="s">
        <v>256</v>
      </c>
      <c r="V27" s="1024" t="s">
        <v>256</v>
      </c>
      <c r="W27" s="1026" t="s">
        <v>256</v>
      </c>
      <c r="X27" s="1025" t="s">
        <v>256</v>
      </c>
      <c r="Y27" s="1024" t="s">
        <v>256</v>
      </c>
      <c r="Z27" s="1024" t="s">
        <v>256</v>
      </c>
      <c r="AA27" s="1024" t="s">
        <v>256</v>
      </c>
      <c r="AB27" s="1027" t="s">
        <v>256</v>
      </c>
      <c r="AC27" s="1032"/>
    </row>
    <row r="28" spans="1:29" ht="17.399999999999999">
      <c r="A28" s="1020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014" t="s">
        <v>662</v>
      </c>
      <c r="S28" s="1024">
        <v>3331558934</v>
      </c>
      <c r="T28" s="1025" t="s">
        <v>256</v>
      </c>
      <c r="U28" s="1024" t="s">
        <v>256</v>
      </c>
      <c r="V28" s="1024" t="s">
        <v>256</v>
      </c>
      <c r="W28" s="1026" t="s">
        <v>256</v>
      </c>
      <c r="X28" s="1025" t="s">
        <v>256</v>
      </c>
      <c r="Y28" s="1024" t="s">
        <v>256</v>
      </c>
      <c r="Z28" s="1024" t="s">
        <v>256</v>
      </c>
      <c r="AA28" s="1024" t="s">
        <v>256</v>
      </c>
      <c r="AB28" s="1027" t="s">
        <v>256</v>
      </c>
      <c r="AC28" s="1032" t="s">
        <v>256</v>
      </c>
    </row>
    <row r="29" spans="1:29" ht="15">
      <c r="A29" s="734"/>
      <c r="B29" s="734"/>
      <c r="C29" s="734"/>
      <c r="D29" s="734"/>
      <c r="E29" s="734"/>
      <c r="F29" s="734"/>
      <c r="G29" s="734"/>
      <c r="H29" s="734"/>
      <c r="I29" s="734"/>
      <c r="J29" s="734"/>
      <c r="K29" s="734"/>
      <c r="L29" s="734"/>
      <c r="M29" s="734"/>
      <c r="N29" s="734"/>
      <c r="O29" s="734"/>
      <c r="P29" s="734"/>
      <c r="R29" s="1014" t="s">
        <v>662</v>
      </c>
      <c r="S29" s="1000">
        <v>3331558728</v>
      </c>
      <c r="T29" s="1001" t="s">
        <v>441</v>
      </c>
      <c r="U29" s="1000">
        <v>24141255</v>
      </c>
      <c r="V29" s="1000" t="s">
        <v>368</v>
      </c>
      <c r="W29" s="1002" t="s">
        <v>199</v>
      </c>
      <c r="X29" s="1001">
        <f>5455.926+17573.814</f>
        <v>23029.739999999998</v>
      </c>
      <c r="Y29" s="1000" t="s">
        <v>200</v>
      </c>
      <c r="Z29" s="1000">
        <v>1</v>
      </c>
      <c r="AA29" s="1000">
        <v>1</v>
      </c>
      <c r="AB29" s="1003" t="s">
        <v>204</v>
      </c>
      <c r="AC29" s="982"/>
    </row>
    <row r="30" spans="1:29" ht="15">
      <c r="A30" s="734"/>
      <c r="B30" s="734"/>
      <c r="C30" s="734"/>
      <c r="D30" s="734"/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  <c r="R30" s="1014" t="s">
        <v>662</v>
      </c>
      <c r="S30" s="1000">
        <v>3331558729</v>
      </c>
      <c r="T30" s="1000" t="s">
        <v>256</v>
      </c>
      <c r="U30" s="1000" t="s">
        <v>256</v>
      </c>
      <c r="V30" s="1000" t="s">
        <v>256</v>
      </c>
      <c r="W30" s="1002" t="s">
        <v>256</v>
      </c>
      <c r="X30" s="1001" t="s">
        <v>256</v>
      </c>
      <c r="Y30" s="1000" t="s">
        <v>256</v>
      </c>
      <c r="Z30" s="1000" t="s">
        <v>256</v>
      </c>
      <c r="AA30" s="1000" t="s">
        <v>256</v>
      </c>
      <c r="AB30" s="1003" t="s">
        <v>256</v>
      </c>
      <c r="AC30" s="982"/>
    </row>
    <row r="31" spans="1:29" s="965" customFormat="1" ht="15">
      <c r="E31" s="964"/>
      <c r="F31" s="964"/>
      <c r="G31" s="964"/>
      <c r="H31" s="964"/>
      <c r="I31" s="964"/>
      <c r="J31" s="964"/>
      <c r="K31" s="964"/>
      <c r="L31" s="964"/>
      <c r="M31" s="964"/>
      <c r="N31" s="964"/>
      <c r="O31" s="964"/>
      <c r="P31" s="964"/>
      <c r="R31" s="1014" t="s">
        <v>567</v>
      </c>
      <c r="S31" s="1000">
        <v>3331558735</v>
      </c>
      <c r="T31" s="1017" t="s">
        <v>287</v>
      </c>
      <c r="U31" s="1000">
        <v>24141262</v>
      </c>
      <c r="V31" s="1000" t="s">
        <v>368</v>
      </c>
      <c r="W31" s="1002" t="s">
        <v>340</v>
      </c>
      <c r="X31" s="1001">
        <v>25071.278999999999</v>
      </c>
      <c r="Y31" s="1000" t="s">
        <v>200</v>
      </c>
      <c r="Z31" s="1000">
        <v>1</v>
      </c>
      <c r="AA31" s="1000">
        <v>1</v>
      </c>
      <c r="AB31" s="1003" t="s">
        <v>204</v>
      </c>
      <c r="AC31" s="982"/>
    </row>
    <row r="32" spans="1:29" s="965" customFormat="1" ht="15">
      <c r="E32" s="964"/>
      <c r="F32" s="964"/>
      <c r="G32" s="964"/>
      <c r="H32" s="964"/>
      <c r="I32" s="964"/>
      <c r="J32" s="964"/>
      <c r="K32" s="964"/>
      <c r="L32" s="964"/>
      <c r="M32" s="964"/>
      <c r="N32" s="964"/>
      <c r="O32" s="964"/>
      <c r="P32" s="964"/>
      <c r="R32" s="1014" t="s">
        <v>662</v>
      </c>
      <c r="S32" s="1000">
        <v>3331558738</v>
      </c>
      <c r="T32" s="1000" t="s">
        <v>27</v>
      </c>
      <c r="U32" s="1000">
        <v>24141264</v>
      </c>
      <c r="V32" s="1000" t="s">
        <v>498</v>
      </c>
      <c r="W32" s="1002" t="s">
        <v>199</v>
      </c>
      <c r="X32" s="1001">
        <v>26319.977999999999</v>
      </c>
      <c r="Y32" s="1000" t="s">
        <v>200</v>
      </c>
      <c r="Z32" s="1000">
        <v>1</v>
      </c>
      <c r="AA32" s="1000">
        <v>1</v>
      </c>
      <c r="AB32" s="1003" t="s">
        <v>204</v>
      </c>
      <c r="AC32" s="982"/>
    </row>
    <row r="33" spans="1:31" s="965" customFormat="1" ht="15">
      <c r="E33" s="964"/>
      <c r="F33" s="964"/>
      <c r="G33" s="964"/>
      <c r="H33" s="964"/>
      <c r="I33" s="964"/>
      <c r="J33" s="964"/>
      <c r="K33" s="964"/>
      <c r="L33" s="964"/>
      <c r="M33" s="964"/>
      <c r="N33" s="964"/>
      <c r="O33" s="964"/>
      <c r="P33" s="964"/>
      <c r="R33" s="1014" t="s">
        <v>662</v>
      </c>
      <c r="S33" s="1000">
        <v>3331558743</v>
      </c>
      <c r="T33" s="1015" t="s">
        <v>34</v>
      </c>
      <c r="U33" s="1000">
        <v>24141267</v>
      </c>
      <c r="V33" s="1000" t="s">
        <v>498</v>
      </c>
      <c r="W33" s="1002" t="s">
        <v>199</v>
      </c>
      <c r="X33" s="1001">
        <v>25287.822</v>
      </c>
      <c r="Y33" s="1000" t="s">
        <v>200</v>
      </c>
      <c r="Z33" s="1000">
        <v>1</v>
      </c>
      <c r="AA33" s="1000">
        <v>1</v>
      </c>
      <c r="AB33" s="1003" t="s">
        <v>204</v>
      </c>
      <c r="AC33" s="982"/>
    </row>
    <row r="34" spans="1:31" s="965" customFormat="1" ht="15">
      <c r="E34" s="964"/>
      <c r="F34" s="964"/>
      <c r="G34" s="964"/>
      <c r="H34" s="964"/>
      <c r="I34" s="964"/>
      <c r="J34" s="964"/>
      <c r="K34" s="964"/>
      <c r="L34" s="964"/>
      <c r="M34" s="964"/>
      <c r="N34" s="964"/>
      <c r="O34" s="964"/>
      <c r="P34" s="964"/>
      <c r="R34" s="1014" t="s">
        <v>567</v>
      </c>
      <c r="S34" s="1000">
        <v>3331558747</v>
      </c>
      <c r="T34" s="1017" t="s">
        <v>34</v>
      </c>
      <c r="U34" s="1000">
        <v>24141270</v>
      </c>
      <c r="V34" s="1000" t="s">
        <v>368</v>
      </c>
      <c r="W34" s="1002" t="s">
        <v>340</v>
      </c>
      <c r="X34" s="1001">
        <f>1282.65+21304.092</f>
        <v>22586.742000000002</v>
      </c>
      <c r="Y34" s="1000" t="s">
        <v>200</v>
      </c>
      <c r="Z34" s="1000">
        <v>1</v>
      </c>
      <c r="AA34" s="1000">
        <v>1</v>
      </c>
      <c r="AB34" s="1003" t="s">
        <v>204</v>
      </c>
      <c r="AC34" s="982"/>
    </row>
    <row r="35" spans="1:31" s="965" customFormat="1" ht="18">
      <c r="A35" s="993"/>
      <c r="B35" s="994"/>
      <c r="C35" s="994"/>
      <c r="D35" s="836"/>
      <c r="E35" s="964"/>
      <c r="F35" s="964"/>
      <c r="G35" s="964"/>
      <c r="H35" s="964"/>
      <c r="I35" s="964"/>
      <c r="J35" s="964"/>
      <c r="K35" s="964"/>
      <c r="L35" s="964"/>
      <c r="M35" s="964"/>
      <c r="N35" s="964"/>
      <c r="O35" s="964"/>
      <c r="P35" s="964"/>
      <c r="R35" s="1014" t="s">
        <v>567</v>
      </c>
      <c r="S35" s="1000">
        <v>3331558748</v>
      </c>
      <c r="T35" s="1015" t="s">
        <v>256</v>
      </c>
      <c r="U35" s="1000" t="s">
        <v>256</v>
      </c>
      <c r="V35" s="1000" t="s">
        <v>256</v>
      </c>
      <c r="W35" s="1002" t="s">
        <v>256</v>
      </c>
      <c r="X35" s="1001" t="s">
        <v>256</v>
      </c>
      <c r="Y35" s="1000" t="s">
        <v>256</v>
      </c>
      <c r="Z35" s="1000" t="s">
        <v>256</v>
      </c>
      <c r="AA35" s="1000" t="s">
        <v>256</v>
      </c>
      <c r="AB35" s="1003" t="s">
        <v>256</v>
      </c>
      <c r="AC35" s="982"/>
    </row>
    <row r="36" spans="1:31" s="965" customFormat="1" ht="18">
      <c r="A36" s="993"/>
      <c r="B36" s="994"/>
      <c r="C36" s="994"/>
      <c r="D36" s="836"/>
      <c r="E36" s="964"/>
      <c r="F36" s="964"/>
      <c r="G36" s="964"/>
      <c r="H36" s="964"/>
      <c r="I36" s="964"/>
      <c r="J36" s="964"/>
      <c r="K36" s="964"/>
      <c r="L36" s="964"/>
      <c r="M36" s="964"/>
      <c r="N36" s="964"/>
      <c r="O36" s="964"/>
      <c r="P36" s="964"/>
      <c r="R36" s="1014" t="s">
        <v>662</v>
      </c>
      <c r="S36" s="1000">
        <v>3331558914</v>
      </c>
      <c r="T36" s="1031" t="s">
        <v>437</v>
      </c>
      <c r="U36" s="1000">
        <v>24141303</v>
      </c>
      <c r="V36" s="1000" t="s">
        <v>430</v>
      </c>
      <c r="W36" s="1002" t="s">
        <v>205</v>
      </c>
      <c r="X36" s="1001">
        <f>6542.55+9633.456+16930.98+3751.374</f>
        <v>36858.36</v>
      </c>
      <c r="Y36" s="1000" t="s">
        <v>128</v>
      </c>
      <c r="Z36" s="1000">
        <v>1</v>
      </c>
      <c r="AA36" s="1000">
        <v>1</v>
      </c>
      <c r="AB36" s="1003" t="s">
        <v>204</v>
      </c>
      <c r="AC36" s="982"/>
    </row>
    <row r="37" spans="1:31" s="965" customFormat="1" ht="18">
      <c r="A37" s="993"/>
      <c r="B37" s="994"/>
      <c r="C37" s="994"/>
      <c r="D37" s="836"/>
      <c r="E37" s="964"/>
      <c r="F37" s="964"/>
      <c r="G37" s="964"/>
      <c r="H37" s="964"/>
      <c r="I37" s="964"/>
      <c r="J37" s="964"/>
      <c r="K37" s="964"/>
      <c r="L37" s="964"/>
      <c r="M37" s="964"/>
      <c r="N37" s="964"/>
      <c r="O37" s="964"/>
      <c r="P37" s="964"/>
      <c r="R37" s="1014" t="s">
        <v>662</v>
      </c>
      <c r="S37" s="1000">
        <v>3331558936</v>
      </c>
      <c r="T37" s="1015" t="s">
        <v>256</v>
      </c>
      <c r="U37" s="1000" t="s">
        <v>256</v>
      </c>
      <c r="V37" s="1000" t="s">
        <v>256</v>
      </c>
      <c r="W37" s="1002" t="s">
        <v>256</v>
      </c>
      <c r="X37" s="1001" t="s">
        <v>256</v>
      </c>
      <c r="Y37" s="1000" t="s">
        <v>256</v>
      </c>
      <c r="Z37" s="1000" t="s">
        <v>256</v>
      </c>
      <c r="AA37" s="1000" t="s">
        <v>256</v>
      </c>
      <c r="AB37" s="1003" t="s">
        <v>256</v>
      </c>
      <c r="AC37" s="982"/>
    </row>
    <row r="38" spans="1:31" s="965" customFormat="1" ht="18">
      <c r="A38" s="993"/>
      <c r="B38" s="994"/>
      <c r="C38" s="994"/>
      <c r="D38" s="836"/>
      <c r="E38" s="964"/>
      <c r="F38" s="964"/>
      <c r="G38" s="964"/>
      <c r="H38" s="964"/>
      <c r="I38" s="964"/>
      <c r="J38" s="964"/>
      <c r="K38" s="964"/>
      <c r="L38" s="964"/>
      <c r="M38" s="964"/>
      <c r="N38" s="964"/>
      <c r="O38" s="964"/>
      <c r="P38" s="964"/>
      <c r="R38" s="1014" t="s">
        <v>662</v>
      </c>
      <c r="S38" s="1000">
        <v>3331558938</v>
      </c>
      <c r="T38" s="1015" t="s">
        <v>256</v>
      </c>
      <c r="U38" s="1000" t="s">
        <v>256</v>
      </c>
      <c r="V38" s="1000" t="s">
        <v>256</v>
      </c>
      <c r="W38" s="1002" t="s">
        <v>256</v>
      </c>
      <c r="X38" s="1001" t="s">
        <v>256</v>
      </c>
      <c r="Y38" s="1000" t="s">
        <v>256</v>
      </c>
      <c r="Z38" s="1000" t="s">
        <v>256</v>
      </c>
      <c r="AA38" s="1000" t="s">
        <v>256</v>
      </c>
      <c r="AB38" s="1003" t="s">
        <v>256</v>
      </c>
      <c r="AC38" s="982"/>
    </row>
    <row r="39" spans="1:31" s="965" customFormat="1" ht="18">
      <c r="A39" s="993"/>
      <c r="B39" s="994"/>
      <c r="C39" s="994"/>
      <c r="D39" s="836"/>
      <c r="E39" s="964"/>
      <c r="F39" s="964"/>
      <c r="G39" s="964"/>
      <c r="H39" s="964"/>
      <c r="I39" s="964"/>
      <c r="J39" s="964"/>
      <c r="K39" s="964"/>
      <c r="L39" s="964"/>
      <c r="M39" s="964"/>
      <c r="N39" s="964"/>
      <c r="O39" s="964"/>
      <c r="P39" s="964"/>
      <c r="R39" s="1014" t="s">
        <v>662</v>
      </c>
      <c r="S39" s="1000">
        <v>3331558942</v>
      </c>
      <c r="T39" s="1015" t="s">
        <v>256</v>
      </c>
      <c r="U39" s="1000" t="s">
        <v>256</v>
      </c>
      <c r="V39" s="1000" t="s">
        <v>256</v>
      </c>
      <c r="W39" s="1002" t="s">
        <v>256</v>
      </c>
      <c r="X39" s="1001" t="s">
        <v>256</v>
      </c>
      <c r="Y39" s="1000" t="s">
        <v>256</v>
      </c>
      <c r="Z39" s="1000" t="s">
        <v>256</v>
      </c>
      <c r="AA39" s="1000" t="s">
        <v>256</v>
      </c>
      <c r="AB39" s="1003" t="s">
        <v>256</v>
      </c>
      <c r="AC39" s="982"/>
    </row>
    <row r="40" spans="1:31" s="965" customFormat="1" ht="18">
      <c r="A40" s="993"/>
      <c r="B40" s="994"/>
      <c r="C40" s="994"/>
      <c r="D40" s="836"/>
      <c r="E40" s="964"/>
      <c r="F40" s="964"/>
      <c r="G40" s="964"/>
      <c r="H40" s="964"/>
      <c r="I40" s="964"/>
      <c r="J40" s="964"/>
      <c r="K40" s="964"/>
      <c r="L40" s="964"/>
      <c r="M40" s="964"/>
      <c r="N40" s="964"/>
      <c r="O40" s="964"/>
      <c r="P40" s="964"/>
      <c r="R40" s="1014" t="s">
        <v>662</v>
      </c>
      <c r="S40" s="1000">
        <v>3331558767</v>
      </c>
      <c r="T40" s="1000" t="s">
        <v>34</v>
      </c>
      <c r="U40" s="1000">
        <v>24141284</v>
      </c>
      <c r="V40" s="1000" t="s">
        <v>535</v>
      </c>
      <c r="W40" s="1002" t="s">
        <v>199</v>
      </c>
      <c r="X40" s="1001">
        <f>5228.685+14141.221+2227.08</f>
        <v>21596.985999999997</v>
      </c>
      <c r="Y40" s="1000" t="s">
        <v>200</v>
      </c>
      <c r="Z40" s="1000">
        <v>1</v>
      </c>
      <c r="AA40" s="1000">
        <v>1</v>
      </c>
      <c r="AB40" s="1003" t="s">
        <v>204</v>
      </c>
      <c r="AC40" s="982"/>
    </row>
    <row r="41" spans="1:31" s="965" customFormat="1" ht="18">
      <c r="A41" s="993"/>
      <c r="B41" s="994"/>
      <c r="C41" s="994"/>
      <c r="D41" s="836"/>
      <c r="E41" s="964"/>
      <c r="F41" s="964"/>
      <c r="G41" s="964"/>
      <c r="H41" s="964"/>
      <c r="I41" s="964"/>
      <c r="J41" s="964"/>
      <c r="K41" s="964"/>
      <c r="L41" s="964"/>
      <c r="M41" s="964"/>
      <c r="N41" s="964"/>
      <c r="O41" s="964"/>
      <c r="P41" s="964"/>
      <c r="R41" s="1014" t="s">
        <v>662</v>
      </c>
      <c r="S41" s="1000">
        <v>3331558768</v>
      </c>
      <c r="T41" s="1015" t="s">
        <v>256</v>
      </c>
      <c r="U41" s="1000" t="s">
        <v>256</v>
      </c>
      <c r="V41" s="1000" t="s">
        <v>256</v>
      </c>
      <c r="W41" s="1002" t="s">
        <v>256</v>
      </c>
      <c r="X41" s="1001" t="s">
        <v>256</v>
      </c>
      <c r="Y41" s="1000" t="s">
        <v>256</v>
      </c>
      <c r="Z41" s="1000" t="s">
        <v>256</v>
      </c>
      <c r="AA41" s="1000" t="s">
        <v>256</v>
      </c>
      <c r="AB41" s="1003" t="s">
        <v>256</v>
      </c>
      <c r="AC41" s="982"/>
    </row>
    <row r="42" spans="1:31" s="965" customFormat="1" ht="18">
      <c r="A42" s="993"/>
      <c r="B42" s="994"/>
      <c r="C42" s="994"/>
      <c r="D42" s="836"/>
      <c r="E42" s="964"/>
      <c r="F42" s="964"/>
      <c r="G42" s="964"/>
      <c r="H42" s="964"/>
      <c r="I42" s="964"/>
      <c r="J42" s="964"/>
      <c r="K42" s="964"/>
      <c r="L42" s="964"/>
      <c r="M42" s="964"/>
      <c r="N42" s="964"/>
      <c r="O42" s="964"/>
      <c r="P42" s="964"/>
      <c r="R42" s="1014" t="s">
        <v>662</v>
      </c>
      <c r="S42" s="1000">
        <v>3331558777</v>
      </c>
      <c r="T42" s="1015" t="s">
        <v>256</v>
      </c>
      <c r="U42" s="1000" t="s">
        <v>256</v>
      </c>
      <c r="V42" s="1000" t="s">
        <v>256</v>
      </c>
      <c r="W42" s="1002" t="s">
        <v>256</v>
      </c>
      <c r="X42" s="1001" t="s">
        <v>256</v>
      </c>
      <c r="Y42" s="1000" t="s">
        <v>256</v>
      </c>
      <c r="Z42" s="1000" t="s">
        <v>256</v>
      </c>
      <c r="AA42" s="1000" t="s">
        <v>256</v>
      </c>
      <c r="AB42" s="1003" t="s">
        <v>256</v>
      </c>
      <c r="AC42" s="982"/>
    </row>
    <row r="43" spans="1:31" s="965" customFormat="1" ht="18">
      <c r="A43" s="993"/>
      <c r="B43" s="994"/>
      <c r="C43" s="994"/>
      <c r="D43" s="836"/>
      <c r="E43" s="964"/>
      <c r="F43" s="964"/>
      <c r="G43" s="964"/>
      <c r="H43" s="964"/>
      <c r="I43" s="964"/>
      <c r="J43" s="964"/>
      <c r="K43" s="964"/>
      <c r="L43" s="964"/>
      <c r="M43" s="964"/>
      <c r="N43" s="964"/>
      <c r="O43" s="964"/>
      <c r="P43" s="964"/>
      <c r="R43" s="995" t="s">
        <v>662</v>
      </c>
      <c r="S43" s="996">
        <v>3331558737</v>
      </c>
      <c r="T43" s="999" t="s">
        <v>336</v>
      </c>
      <c r="U43" s="996">
        <v>24141276</v>
      </c>
      <c r="V43" s="996" t="s">
        <v>185</v>
      </c>
      <c r="W43" s="998" t="s">
        <v>474</v>
      </c>
      <c r="X43" s="999">
        <v>33948.476000000002</v>
      </c>
      <c r="Y43" s="996" t="s">
        <v>128</v>
      </c>
      <c r="Z43" s="977">
        <v>1</v>
      </c>
      <c r="AA43" s="977">
        <v>1</v>
      </c>
      <c r="AB43" s="981" t="s">
        <v>207</v>
      </c>
      <c r="AC43" s="982"/>
      <c r="AD43" s="1004"/>
      <c r="AE43" s="1004"/>
    </row>
    <row r="44" spans="1:31" s="965" customFormat="1" ht="18">
      <c r="A44" s="993"/>
      <c r="B44" s="994"/>
      <c r="C44" s="994"/>
      <c r="D44" s="836"/>
      <c r="E44" s="964"/>
      <c r="F44" s="964"/>
      <c r="G44" s="964"/>
      <c r="H44" s="964"/>
      <c r="I44" s="964"/>
      <c r="J44" s="964"/>
      <c r="K44" s="964"/>
      <c r="L44" s="964"/>
      <c r="M44" s="964"/>
      <c r="N44" s="964"/>
      <c r="O44" s="964"/>
      <c r="P44" s="964"/>
      <c r="R44" s="995" t="s">
        <v>662</v>
      </c>
      <c r="S44" s="996">
        <v>3331558749</v>
      </c>
      <c r="T44" s="999" t="s">
        <v>336</v>
      </c>
      <c r="U44" s="996">
        <v>24141277</v>
      </c>
      <c r="V44" s="996" t="s">
        <v>185</v>
      </c>
      <c r="W44" s="998" t="s">
        <v>474</v>
      </c>
      <c r="X44" s="999">
        <f>11287.32+26836.056</f>
        <v>38123.376000000004</v>
      </c>
      <c r="Y44" s="996" t="s">
        <v>128</v>
      </c>
      <c r="Z44" s="977">
        <v>1</v>
      </c>
      <c r="AA44" s="977">
        <v>1</v>
      </c>
      <c r="AB44" s="981" t="s">
        <v>207</v>
      </c>
      <c r="AC44" s="982"/>
      <c r="AD44" s="1004"/>
      <c r="AE44" s="1004"/>
    </row>
    <row r="45" spans="1:31" s="965" customFormat="1" ht="18">
      <c r="A45" s="993"/>
      <c r="B45" s="994"/>
      <c r="C45" s="994"/>
      <c r="D45" s="836"/>
      <c r="E45" s="964"/>
      <c r="F45" s="964"/>
      <c r="G45" s="964"/>
      <c r="H45" s="964"/>
      <c r="I45" s="964"/>
      <c r="J45" s="964"/>
      <c r="K45" s="964"/>
      <c r="L45" s="964"/>
      <c r="M45" s="964"/>
      <c r="N45" s="964"/>
      <c r="O45" s="964"/>
      <c r="P45" s="964"/>
      <c r="R45" s="995" t="s">
        <v>662</v>
      </c>
      <c r="S45" s="996">
        <v>3331558742</v>
      </c>
      <c r="T45" s="999" t="s">
        <v>256</v>
      </c>
      <c r="U45" s="996" t="s">
        <v>256</v>
      </c>
      <c r="V45" s="996" t="s">
        <v>256</v>
      </c>
      <c r="W45" s="998" t="s">
        <v>256</v>
      </c>
      <c r="X45" s="999" t="s">
        <v>256</v>
      </c>
      <c r="Y45" s="997" t="s">
        <v>256</v>
      </c>
      <c r="Z45" s="977" t="s">
        <v>256</v>
      </c>
      <c r="AA45" s="977" t="s">
        <v>256</v>
      </c>
      <c r="AB45" s="981" t="s">
        <v>256</v>
      </c>
      <c r="AC45" s="982"/>
      <c r="AD45" s="1004"/>
      <c r="AE45" s="1004"/>
    </row>
    <row r="46" spans="1:31" s="965" customFormat="1" ht="18">
      <c r="A46" s="993"/>
      <c r="B46" s="994"/>
      <c r="C46" s="994"/>
      <c r="D46" s="836"/>
      <c r="E46" s="964"/>
      <c r="F46" s="964"/>
      <c r="G46" s="964"/>
      <c r="H46" s="964"/>
      <c r="I46" s="964"/>
      <c r="J46" s="964"/>
      <c r="K46" s="964"/>
      <c r="L46" s="964"/>
      <c r="M46" s="964"/>
      <c r="N46" s="964"/>
      <c r="O46" s="964"/>
      <c r="P46" s="964"/>
      <c r="R46" s="995" t="s">
        <v>662</v>
      </c>
      <c r="S46" s="996">
        <v>3331558755</v>
      </c>
      <c r="T46" s="999" t="s">
        <v>336</v>
      </c>
      <c r="U46" s="996">
        <v>24141278</v>
      </c>
      <c r="V46" s="996" t="s">
        <v>185</v>
      </c>
      <c r="W46" s="998" t="s">
        <v>474</v>
      </c>
      <c r="X46" s="1005">
        <v>36558.04</v>
      </c>
      <c r="Y46" s="996" t="s">
        <v>128</v>
      </c>
      <c r="Z46" s="976">
        <v>1</v>
      </c>
      <c r="AA46" s="977">
        <v>1</v>
      </c>
      <c r="AB46" s="981" t="s">
        <v>207</v>
      </c>
      <c r="AC46" s="982"/>
      <c r="AD46" s="1004"/>
      <c r="AE46" s="1004"/>
    </row>
    <row r="47" spans="1:31" s="965" customFormat="1" ht="18">
      <c r="A47" s="993"/>
      <c r="B47" s="994"/>
      <c r="C47" s="994"/>
      <c r="D47" s="836"/>
      <c r="E47" s="964"/>
      <c r="F47" s="964"/>
      <c r="G47" s="964"/>
      <c r="H47" s="964"/>
      <c r="I47" s="964"/>
      <c r="J47" s="964"/>
      <c r="K47" s="964"/>
      <c r="L47" s="964"/>
      <c r="M47" s="964"/>
      <c r="N47" s="964"/>
      <c r="O47" s="964"/>
      <c r="P47" s="964"/>
      <c r="R47" s="976" t="s">
        <v>662</v>
      </c>
      <c r="S47" s="977">
        <v>3331558757</v>
      </c>
      <c r="T47" s="999" t="s">
        <v>336</v>
      </c>
      <c r="U47" s="996">
        <v>24141274</v>
      </c>
      <c r="V47" s="996" t="s">
        <v>185</v>
      </c>
      <c r="W47" s="998" t="s">
        <v>474</v>
      </c>
      <c r="X47" s="980">
        <f>21116.946+13639.815</f>
        <v>34756.760999999999</v>
      </c>
      <c r="Y47" s="1006" t="s">
        <v>128</v>
      </c>
      <c r="Z47" s="977">
        <v>1</v>
      </c>
      <c r="AA47" s="977">
        <v>1</v>
      </c>
      <c r="AB47" s="981" t="s">
        <v>207</v>
      </c>
      <c r="AC47" s="982"/>
      <c r="AD47" s="1004"/>
      <c r="AE47" s="1004"/>
    </row>
    <row r="48" spans="1:31" ht="15.6">
      <c r="A48" s="752"/>
      <c r="E48" s="734"/>
      <c r="F48" s="734"/>
      <c r="G48" s="734"/>
      <c r="H48" s="734"/>
      <c r="I48" s="734"/>
      <c r="J48" s="734"/>
      <c r="K48" s="734"/>
      <c r="L48" s="734"/>
      <c r="M48" s="734"/>
      <c r="N48" s="734"/>
      <c r="O48" s="734"/>
      <c r="P48" s="734"/>
      <c r="R48" s="976" t="s">
        <v>662</v>
      </c>
      <c r="S48" s="977">
        <v>3331558762</v>
      </c>
      <c r="T48" s="980" t="s">
        <v>256</v>
      </c>
      <c r="U48" s="977" t="s">
        <v>256</v>
      </c>
      <c r="V48" s="977" t="s">
        <v>256</v>
      </c>
      <c r="W48" s="979" t="s">
        <v>256</v>
      </c>
      <c r="X48" s="980" t="s">
        <v>256</v>
      </c>
      <c r="Y48" s="996" t="s">
        <v>256</v>
      </c>
      <c r="Z48" s="977" t="s">
        <v>256</v>
      </c>
      <c r="AA48" s="977" t="s">
        <v>256</v>
      </c>
      <c r="AB48" s="981" t="s">
        <v>256</v>
      </c>
      <c r="AC48" s="982"/>
      <c r="AD48" s="44"/>
      <c r="AE48" s="44"/>
    </row>
    <row r="49" spans="18:31" ht="15">
      <c r="R49" s="976" t="s">
        <v>662</v>
      </c>
      <c r="S49" s="977">
        <v>3331558770</v>
      </c>
      <c r="T49" s="999" t="s">
        <v>336</v>
      </c>
      <c r="U49" s="977"/>
      <c r="V49" s="977" t="s">
        <v>185</v>
      </c>
      <c r="W49" s="998" t="s">
        <v>474</v>
      </c>
      <c r="X49" s="980">
        <v>38234.036</v>
      </c>
      <c r="Y49" s="996" t="s">
        <v>128</v>
      </c>
      <c r="Z49" s="977">
        <v>1</v>
      </c>
      <c r="AA49" s="977">
        <v>1</v>
      </c>
      <c r="AB49" s="981" t="s">
        <v>207</v>
      </c>
      <c r="AC49" s="982"/>
      <c r="AD49" s="44"/>
      <c r="AE49" s="44"/>
    </row>
    <row r="50" spans="18:31" ht="15">
      <c r="R50" s="1014" t="s">
        <v>662</v>
      </c>
      <c r="S50" s="1000">
        <v>3331557987</v>
      </c>
      <c r="T50" s="1000" t="s">
        <v>287</v>
      </c>
      <c r="U50" s="1000">
        <v>24141280</v>
      </c>
      <c r="V50" s="1000" t="s">
        <v>665</v>
      </c>
      <c r="W50" s="1002" t="s">
        <v>199</v>
      </c>
      <c r="X50" s="1001">
        <f>3182.984+9848.489+6658.212+1032.156</f>
        <v>20721.841</v>
      </c>
      <c r="Y50" s="1000" t="s">
        <v>200</v>
      </c>
      <c r="Z50" s="1000">
        <v>1</v>
      </c>
      <c r="AA50" s="1000">
        <v>1</v>
      </c>
      <c r="AB50" s="1003" t="s">
        <v>204</v>
      </c>
      <c r="AC50" s="982"/>
      <c r="AD50" s="44"/>
      <c r="AE50" s="44"/>
    </row>
    <row r="51" spans="18:31" ht="15">
      <c r="R51" s="1014" t="s">
        <v>662</v>
      </c>
      <c r="S51" s="1000">
        <v>3331557996</v>
      </c>
      <c r="T51" s="1000" t="s">
        <v>256</v>
      </c>
      <c r="U51" s="1000" t="s">
        <v>256</v>
      </c>
      <c r="V51" s="1000" t="s">
        <v>256</v>
      </c>
      <c r="W51" s="1002" t="s">
        <v>256</v>
      </c>
      <c r="X51" s="1001" t="s">
        <v>256</v>
      </c>
      <c r="Y51" s="1000" t="s">
        <v>256</v>
      </c>
      <c r="Z51" s="1000" t="s">
        <v>256</v>
      </c>
      <c r="AA51" s="1000" t="s">
        <v>256</v>
      </c>
      <c r="AB51" s="1003" t="s">
        <v>256</v>
      </c>
      <c r="AC51" s="982"/>
      <c r="AD51" s="44"/>
      <c r="AE51" s="44"/>
    </row>
    <row r="52" spans="18:31" ht="15">
      <c r="R52" s="1014" t="s">
        <v>662</v>
      </c>
      <c r="S52" s="1000">
        <v>3331558006</v>
      </c>
      <c r="T52" s="1015" t="s">
        <v>256</v>
      </c>
      <c r="U52" s="1000" t="s">
        <v>256</v>
      </c>
      <c r="V52" s="1000" t="s">
        <v>256</v>
      </c>
      <c r="W52" s="1002" t="s">
        <v>256</v>
      </c>
      <c r="X52" s="1001" t="s">
        <v>256</v>
      </c>
      <c r="Y52" s="1000" t="s">
        <v>256</v>
      </c>
      <c r="Z52" s="1000" t="s">
        <v>256</v>
      </c>
      <c r="AA52" s="1000" t="s">
        <v>256</v>
      </c>
      <c r="AB52" s="1003" t="s">
        <v>256</v>
      </c>
      <c r="AC52" s="982"/>
      <c r="AD52" s="44"/>
      <c r="AE52" s="44"/>
    </row>
    <row r="53" spans="18:31" ht="15">
      <c r="R53" s="1014" t="s">
        <v>662</v>
      </c>
      <c r="S53" s="1000">
        <v>3331558773</v>
      </c>
      <c r="T53" s="1017" t="s">
        <v>256</v>
      </c>
      <c r="U53" s="1000" t="s">
        <v>256</v>
      </c>
      <c r="V53" s="1000" t="s">
        <v>256</v>
      </c>
      <c r="W53" s="1002" t="s">
        <v>256</v>
      </c>
      <c r="X53" s="1001" t="s">
        <v>256</v>
      </c>
      <c r="Y53" s="1000" t="s">
        <v>256</v>
      </c>
      <c r="Z53" s="1000" t="s">
        <v>256</v>
      </c>
      <c r="AA53" s="1000" t="s">
        <v>256</v>
      </c>
      <c r="AB53" s="1003" t="s">
        <v>256</v>
      </c>
      <c r="AC53" s="982"/>
      <c r="AD53" s="44"/>
      <c r="AE53" s="44"/>
    </row>
    <row r="54" spans="18:31" ht="15">
      <c r="R54" s="1014" t="s">
        <v>646</v>
      </c>
      <c r="S54" s="1000">
        <v>3331558134</v>
      </c>
      <c r="T54" s="1015" t="s">
        <v>11</v>
      </c>
      <c r="U54" s="1000">
        <v>24141289</v>
      </c>
      <c r="V54" s="1000" t="s">
        <v>158</v>
      </c>
      <c r="W54" s="1002" t="s">
        <v>199</v>
      </c>
      <c r="X54" s="1001">
        <v>24902.523000000001</v>
      </c>
      <c r="Y54" s="1000" t="s">
        <v>200</v>
      </c>
      <c r="Z54" s="1000">
        <v>1</v>
      </c>
      <c r="AA54" s="1000">
        <v>1</v>
      </c>
      <c r="AB54" s="1003" t="s">
        <v>204</v>
      </c>
      <c r="AC54" s="982"/>
      <c r="AD54" s="44"/>
      <c r="AE54" s="44"/>
    </row>
    <row r="55" spans="18:31" ht="15">
      <c r="R55" s="1014" t="s">
        <v>662</v>
      </c>
      <c r="S55" s="1000">
        <v>3331558135</v>
      </c>
      <c r="T55" s="1015" t="s">
        <v>11</v>
      </c>
      <c r="U55" s="1000">
        <v>24141290</v>
      </c>
      <c r="V55" s="1000" t="s">
        <v>158</v>
      </c>
      <c r="W55" s="1002" t="s">
        <v>199</v>
      </c>
      <c r="X55" s="1001">
        <v>24815.003000000001</v>
      </c>
      <c r="Y55" s="1000" t="s">
        <v>200</v>
      </c>
      <c r="Z55" s="1000">
        <v>1</v>
      </c>
      <c r="AA55" s="1000">
        <v>1</v>
      </c>
      <c r="AB55" s="1003" t="s">
        <v>204</v>
      </c>
      <c r="AC55" s="982"/>
      <c r="AD55" s="44"/>
      <c r="AE55" s="44"/>
    </row>
    <row r="56" spans="18:31" ht="15">
      <c r="R56" s="1014" t="s">
        <v>662</v>
      </c>
      <c r="S56" s="1000">
        <v>3331558157</v>
      </c>
      <c r="T56" s="1015" t="s">
        <v>287</v>
      </c>
      <c r="U56" s="1000">
        <v>24141291</v>
      </c>
      <c r="V56" s="1000" t="s">
        <v>158</v>
      </c>
      <c r="W56" s="1002" t="s">
        <v>199</v>
      </c>
      <c r="X56" s="1001">
        <f>22873.925+3680.585</f>
        <v>26554.51</v>
      </c>
      <c r="Y56" s="1000" t="s">
        <v>200</v>
      </c>
      <c r="Z56" s="1000">
        <v>1</v>
      </c>
      <c r="AA56" s="1000">
        <v>1</v>
      </c>
      <c r="AB56" s="1003" t="s">
        <v>204</v>
      </c>
      <c r="AC56" s="982"/>
      <c r="AD56" s="44"/>
      <c r="AE56" s="44"/>
    </row>
    <row r="57" spans="18:31">
      <c r="R57" s="1014" t="s">
        <v>662</v>
      </c>
      <c r="S57" s="1000">
        <v>3331558825</v>
      </c>
      <c r="T57" s="1000" t="s">
        <v>256</v>
      </c>
      <c r="U57" s="1000" t="s">
        <v>256</v>
      </c>
      <c r="V57" s="1000" t="s">
        <v>256</v>
      </c>
      <c r="W57" s="1002" t="s">
        <v>256</v>
      </c>
      <c r="X57" s="1001" t="s">
        <v>256</v>
      </c>
      <c r="Y57" s="1000" t="s">
        <v>256</v>
      </c>
      <c r="Z57" s="1000" t="s">
        <v>256</v>
      </c>
      <c r="AA57" s="1000" t="s">
        <v>256</v>
      </c>
      <c r="AB57" s="1000" t="s">
        <v>256</v>
      </c>
      <c r="AC57" s="982"/>
      <c r="AD57" s="44"/>
      <c r="AE57" s="44"/>
    </row>
    <row r="58" spans="18:31" ht="15">
      <c r="R58" s="1014" t="s">
        <v>662</v>
      </c>
      <c r="S58" s="1000">
        <v>3331558836</v>
      </c>
      <c r="T58" s="1000" t="s">
        <v>27</v>
      </c>
      <c r="U58" s="1000">
        <v>24141294</v>
      </c>
      <c r="V58" s="1000" t="s">
        <v>666</v>
      </c>
      <c r="W58" s="1002" t="s">
        <v>199</v>
      </c>
      <c r="X58" s="1001">
        <v>23789.296999999999</v>
      </c>
      <c r="Y58" s="1000" t="s">
        <v>200</v>
      </c>
      <c r="Z58" s="1000">
        <v>1</v>
      </c>
      <c r="AA58" s="1000">
        <v>1</v>
      </c>
      <c r="AB58" s="1003" t="s">
        <v>204</v>
      </c>
      <c r="AC58" s="982"/>
      <c r="AD58" s="44"/>
      <c r="AE58" s="44"/>
    </row>
    <row r="59" spans="18:31" ht="15">
      <c r="R59" s="1014" t="s">
        <v>662</v>
      </c>
      <c r="S59" s="1000">
        <v>3331558841</v>
      </c>
      <c r="T59" s="1000" t="s">
        <v>34</v>
      </c>
      <c r="U59" s="1000">
        <v>24141295</v>
      </c>
      <c r="V59" s="1000" t="s">
        <v>667</v>
      </c>
      <c r="W59" s="1002" t="s">
        <v>199</v>
      </c>
      <c r="X59" s="1001">
        <v>25647.63</v>
      </c>
      <c r="Y59" s="1000" t="s">
        <v>200</v>
      </c>
      <c r="Z59" s="1000">
        <v>1</v>
      </c>
      <c r="AA59" s="1000">
        <v>1</v>
      </c>
      <c r="AB59" s="1003" t="s">
        <v>204</v>
      </c>
      <c r="AC59" s="982"/>
      <c r="AD59" s="44"/>
      <c r="AE59" s="44"/>
    </row>
    <row r="60" spans="18:31" ht="18" customHeight="1">
      <c r="R60" s="1014" t="s">
        <v>637</v>
      </c>
      <c r="S60" s="1000">
        <v>3331558023</v>
      </c>
      <c r="T60" s="1000" t="s">
        <v>11</v>
      </c>
      <c r="U60" s="1000">
        <v>24141296</v>
      </c>
      <c r="V60" s="1000" t="s">
        <v>464</v>
      </c>
      <c r="W60" s="1002" t="s">
        <v>199</v>
      </c>
      <c r="X60" s="1001">
        <f>11212.041+6571.192+1554.614</f>
        <v>19337.847000000002</v>
      </c>
      <c r="Y60" s="1000" t="s">
        <v>200</v>
      </c>
      <c r="Z60" s="1000">
        <v>1</v>
      </c>
      <c r="AA60" s="1000">
        <v>1</v>
      </c>
      <c r="AB60" s="1003" t="s">
        <v>204</v>
      </c>
      <c r="AC60" s="982"/>
      <c r="AD60" s="44"/>
      <c r="AE60" s="44"/>
    </row>
    <row r="61" spans="18:31" ht="15">
      <c r="R61" s="1014" t="s">
        <v>567</v>
      </c>
      <c r="S61" s="1000">
        <v>3331558778</v>
      </c>
      <c r="T61" s="1000" t="s">
        <v>256</v>
      </c>
      <c r="U61" s="1000" t="s">
        <v>256</v>
      </c>
      <c r="V61" s="1000" t="s">
        <v>256</v>
      </c>
      <c r="W61" s="1002" t="s">
        <v>256</v>
      </c>
      <c r="X61" s="1001" t="s">
        <v>256</v>
      </c>
      <c r="Y61" s="1000" t="s">
        <v>256</v>
      </c>
      <c r="Z61" s="1000" t="s">
        <v>256</v>
      </c>
      <c r="AA61" s="1000" t="s">
        <v>256</v>
      </c>
      <c r="AB61" s="1003" t="s">
        <v>256</v>
      </c>
      <c r="AC61" s="982"/>
    </row>
    <row r="62" spans="18:31" ht="15">
      <c r="R62" s="1014" t="s">
        <v>662</v>
      </c>
      <c r="S62" s="1000">
        <v>3331558779</v>
      </c>
      <c r="T62" s="1000" t="s">
        <v>256</v>
      </c>
      <c r="U62" s="1000" t="s">
        <v>256</v>
      </c>
      <c r="V62" s="1000" t="s">
        <v>256</v>
      </c>
      <c r="W62" s="1002" t="s">
        <v>256</v>
      </c>
      <c r="X62" s="1001" t="s">
        <v>256</v>
      </c>
      <c r="Y62" s="1000" t="s">
        <v>256</v>
      </c>
      <c r="Z62" s="1000" t="s">
        <v>256</v>
      </c>
      <c r="AA62" s="1000" t="s">
        <v>256</v>
      </c>
      <c r="AB62" s="1003" t="s">
        <v>256</v>
      </c>
      <c r="AC62" s="982"/>
    </row>
    <row r="63" spans="18:31" ht="15">
      <c r="R63" s="1014" t="s">
        <v>662</v>
      </c>
      <c r="S63" s="1000">
        <v>3331558882</v>
      </c>
      <c r="T63" s="1000" t="s">
        <v>34</v>
      </c>
      <c r="U63" s="1000">
        <v>24141301</v>
      </c>
      <c r="V63" s="1000" t="s">
        <v>243</v>
      </c>
      <c r="W63" s="1002" t="s">
        <v>340</v>
      </c>
      <c r="X63" s="1001">
        <f>1884.375+11494.688+5189.078</f>
        <v>18568.141</v>
      </c>
      <c r="Y63" s="1000" t="s">
        <v>200</v>
      </c>
      <c r="Z63" s="1000">
        <v>1</v>
      </c>
      <c r="AA63" s="1000">
        <v>1</v>
      </c>
      <c r="AB63" s="1003" t="s">
        <v>204</v>
      </c>
      <c r="AC63" s="982"/>
    </row>
    <row r="64" spans="18:31" ht="15">
      <c r="R64" s="1014" t="s">
        <v>662</v>
      </c>
      <c r="S64" s="1000">
        <v>3331558883</v>
      </c>
      <c r="T64" s="1000" t="s">
        <v>256</v>
      </c>
      <c r="U64" s="1000" t="s">
        <v>256</v>
      </c>
      <c r="V64" s="1000" t="s">
        <v>256</v>
      </c>
      <c r="W64" s="1002" t="s">
        <v>256</v>
      </c>
      <c r="X64" s="1001" t="s">
        <v>256</v>
      </c>
      <c r="Y64" s="1000" t="s">
        <v>256</v>
      </c>
      <c r="Z64" s="1000" t="s">
        <v>256</v>
      </c>
      <c r="AA64" s="1000" t="s">
        <v>256</v>
      </c>
      <c r="AB64" s="1003" t="s">
        <v>256</v>
      </c>
      <c r="AC64" s="982"/>
    </row>
    <row r="65" spans="18:29" ht="15">
      <c r="R65" s="1014" t="s">
        <v>662</v>
      </c>
      <c r="S65" s="1000">
        <v>3331558888</v>
      </c>
      <c r="T65" s="1000" t="s">
        <v>256</v>
      </c>
      <c r="U65" s="1000" t="s">
        <v>256</v>
      </c>
      <c r="V65" s="1000" t="s">
        <v>256</v>
      </c>
      <c r="W65" s="1002" t="s">
        <v>256</v>
      </c>
      <c r="X65" s="1001" t="s">
        <v>256</v>
      </c>
      <c r="Y65" s="1000" t="s">
        <v>256</v>
      </c>
      <c r="Z65" s="1000" t="s">
        <v>256</v>
      </c>
      <c r="AA65" s="1000" t="s">
        <v>256</v>
      </c>
      <c r="AB65" s="1003" t="s">
        <v>256</v>
      </c>
      <c r="AC65" s="982"/>
    </row>
    <row r="66" spans="18:29" ht="15">
      <c r="R66" s="1028" t="s">
        <v>662</v>
      </c>
      <c r="S66" s="1015">
        <v>3331558949</v>
      </c>
      <c r="T66" s="1000" t="s">
        <v>287</v>
      </c>
      <c r="U66" s="1015">
        <v>24141304</v>
      </c>
      <c r="V66" s="1015" t="s">
        <v>668</v>
      </c>
      <c r="W66" s="1002" t="s">
        <v>340</v>
      </c>
      <c r="X66" s="1029">
        <v>26240.405999999999</v>
      </c>
      <c r="Y66" s="1015" t="s">
        <v>200</v>
      </c>
      <c r="Z66" s="1015">
        <v>1</v>
      </c>
      <c r="AA66" s="1015">
        <v>1</v>
      </c>
      <c r="AB66" s="1030" t="s">
        <v>204</v>
      </c>
      <c r="AC66" s="986"/>
    </row>
    <row r="67" spans="18:29" ht="15">
      <c r="R67" s="1028" t="s">
        <v>452</v>
      </c>
      <c r="S67" s="1015">
        <v>3331558954</v>
      </c>
      <c r="T67" s="1015" t="s">
        <v>27</v>
      </c>
      <c r="U67" s="1015">
        <v>24141305</v>
      </c>
      <c r="V67" s="1015" t="s">
        <v>668</v>
      </c>
      <c r="W67" s="1002" t="s">
        <v>340</v>
      </c>
      <c r="X67" s="1029">
        <v>26413.61</v>
      </c>
      <c r="Y67" s="1015" t="s">
        <v>200</v>
      </c>
      <c r="Z67" s="1015">
        <v>1</v>
      </c>
      <c r="AA67" s="1015">
        <v>1</v>
      </c>
      <c r="AB67" s="1030" t="s">
        <v>204</v>
      </c>
      <c r="AC67" s="986"/>
    </row>
    <row r="68" spans="18:29" ht="15">
      <c r="R68" s="976"/>
      <c r="S68" s="977"/>
      <c r="T68" s="978"/>
      <c r="U68" s="977"/>
      <c r="V68" s="977"/>
      <c r="W68" s="979"/>
      <c r="X68" s="980"/>
      <c r="Y68" s="977"/>
      <c r="Z68" s="977"/>
      <c r="AA68" s="977"/>
      <c r="AB68" s="985"/>
      <c r="AC68" s="982"/>
    </row>
    <row r="69" spans="18:29" ht="15">
      <c r="R69" s="976"/>
      <c r="S69" s="977"/>
      <c r="T69" s="977"/>
      <c r="U69" s="977"/>
      <c r="V69" s="977"/>
      <c r="W69" s="979"/>
      <c r="X69" s="980"/>
      <c r="Y69" s="977"/>
      <c r="Z69" s="977"/>
      <c r="AA69" s="977"/>
      <c r="AB69" s="981"/>
      <c r="AC69" s="982"/>
    </row>
    <row r="70" spans="18:29" ht="15">
      <c r="R70" s="983"/>
      <c r="S70" s="978"/>
      <c r="T70" s="978"/>
      <c r="U70" s="978"/>
      <c r="V70" s="978"/>
      <c r="W70" s="987"/>
      <c r="X70" s="984"/>
      <c r="Y70" s="978"/>
      <c r="Z70" s="978"/>
      <c r="AA70" s="978"/>
      <c r="AB70" s="985"/>
      <c r="AC70" s="986"/>
    </row>
    <row r="71" spans="18:29" ht="15">
      <c r="R71" s="983"/>
      <c r="S71" s="978"/>
      <c r="T71" s="978"/>
      <c r="U71" s="978"/>
      <c r="V71" s="978"/>
      <c r="W71" s="979"/>
      <c r="X71" s="984"/>
      <c r="Y71" s="977"/>
      <c r="Z71" s="978"/>
      <c r="AA71" s="978"/>
      <c r="AB71" s="981"/>
      <c r="AC71" s="986"/>
    </row>
    <row r="72" spans="18:29" ht="15">
      <c r="R72" s="977"/>
      <c r="S72" s="977"/>
      <c r="T72" s="977"/>
      <c r="U72" s="977"/>
      <c r="V72" s="977"/>
      <c r="W72" s="979"/>
      <c r="X72" s="980"/>
      <c r="Y72" s="977"/>
      <c r="Z72" s="977"/>
      <c r="AA72" s="977"/>
      <c r="AB72" s="981"/>
      <c r="AC72" s="988"/>
    </row>
    <row r="73" spans="18:29" ht="15">
      <c r="R73" s="977"/>
      <c r="S73" s="977"/>
      <c r="T73" s="977"/>
      <c r="U73" s="977"/>
      <c r="V73" s="977"/>
      <c r="W73" s="979"/>
      <c r="X73" s="980"/>
      <c r="Y73" s="977"/>
      <c r="Z73" s="977"/>
      <c r="AA73" s="977"/>
      <c r="AB73" s="981"/>
      <c r="AC73" s="988"/>
    </row>
    <row r="74" spans="18:29" ht="15">
      <c r="R74" s="977"/>
      <c r="S74" s="977"/>
      <c r="T74" s="977"/>
      <c r="U74" s="977"/>
      <c r="V74" s="977"/>
      <c r="W74" s="979"/>
      <c r="X74" s="980"/>
      <c r="Y74" s="977"/>
      <c r="Z74" s="977"/>
      <c r="AA74" s="977"/>
      <c r="AB74" s="981"/>
      <c r="AC74" s="988"/>
    </row>
    <row r="75" spans="18:29" ht="15">
      <c r="R75" s="977"/>
      <c r="S75" s="977"/>
      <c r="T75" s="977"/>
      <c r="U75" s="977"/>
      <c r="V75" s="977"/>
      <c r="W75" s="979"/>
      <c r="X75" s="980"/>
      <c r="Y75" s="977"/>
      <c r="Z75" s="977"/>
      <c r="AA75" s="977"/>
      <c r="AB75" s="981"/>
      <c r="AC75" s="988"/>
    </row>
    <row r="76" spans="18:29" ht="15">
      <c r="R76" s="977"/>
      <c r="S76" s="977"/>
      <c r="T76" s="977"/>
      <c r="U76" s="977"/>
      <c r="V76" s="977"/>
      <c r="W76" s="979"/>
      <c r="X76" s="980"/>
      <c r="Y76" s="977"/>
      <c r="Z76" s="977"/>
      <c r="AA76" s="977"/>
      <c r="AB76" s="981"/>
      <c r="AC76" s="988"/>
    </row>
    <row r="77" spans="18:29" ht="15">
      <c r="R77" s="977"/>
      <c r="S77" s="977"/>
      <c r="T77" s="977"/>
      <c r="U77" s="977"/>
      <c r="V77" s="977"/>
      <c r="W77" s="979"/>
      <c r="X77" s="980"/>
      <c r="Y77" s="977"/>
      <c r="Z77" s="977"/>
      <c r="AA77" s="977"/>
      <c r="AB77" s="981"/>
      <c r="AC77" s="988"/>
    </row>
  </sheetData>
  <protectedRanges>
    <protectedRange algorithmName="SHA-512" hashValue="24Yg3M703G5L8OyJWxlkx8c1Gwfrkael5W/l3TUk/Rcz5tR8QOgCx5v0Ebb/UGz+9BDKPJ5wV4hH8uuxvmtGIw==" saltValue="ZSJQ8EEnwGxsiYzxIw6K0Q==" spinCount="100000" sqref="E4:M43 N4:N8 O4:P16 N10:N16 E44:P48 N17:P43 B24:D30 B4:D17" name="Range1_65_32_32_30"/>
    <protectedRange algorithmName="SHA-512" hashValue="XYWjC+iAz2ErgjMh7TSLHlxfTfK0uVcITDFdCCZFdnsWWbUNnsQqu9AM+0WFXQpYcy9ZvQx2KUXfpLhpOROHkg==" saltValue="47TiGLG0rJVTo3iAJH8T4w==" spinCount="100000" sqref="B20:D21 B35:D47" name="Range2_5_2_2_2"/>
    <protectedRange algorithmName="SHA-512" hashValue="24Yg3M703G5L8OyJWxlkx8c1Gwfrkael5W/l3TUk/Rcz5tR8QOgCx5v0Ebb/UGz+9BDKPJ5wV4hH8uuxvmtGIw==" saltValue="ZSJQ8EEnwGxsiYzxIw6K0Q==" spinCount="100000" sqref="B18:D21 B35:D47" name="Range1_65_32_2_2"/>
  </protectedRanges>
  <mergeCells count="21">
    <mergeCell ref="A3:A4"/>
    <mergeCell ref="B3:D3"/>
    <mergeCell ref="F3:H3"/>
    <mergeCell ref="J3:L3"/>
    <mergeCell ref="N3:P3"/>
    <mergeCell ref="B18:D18"/>
    <mergeCell ref="F1:H1"/>
    <mergeCell ref="J1:L1"/>
    <mergeCell ref="N1:P2"/>
    <mergeCell ref="F2:H2"/>
    <mergeCell ref="J2:L2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540C-8947-43F2-A0FA-C881705E733D}">
  <dimension ref="A1:AE94"/>
  <sheetViews>
    <sheetView showGridLines="0" topLeftCell="F11" workbookViewId="0">
      <selection activeCell="V49" sqref="V49"/>
    </sheetView>
  </sheetViews>
  <sheetFormatPr defaultRowHeight="14.4"/>
  <cols>
    <col min="1" max="1" width="22" customWidth="1"/>
    <col min="2" max="4" width="18.5546875" customWidth="1"/>
    <col min="6" max="8" width="12.6640625" customWidth="1"/>
    <col min="10" max="12" width="15" customWidth="1"/>
    <col min="14" max="16" width="26.6640625" customWidth="1"/>
    <col min="18" max="18" width="12" style="1054" bestFit="1" customWidth="1"/>
    <col min="19" max="19" width="13.44140625" style="1054" bestFit="1" customWidth="1"/>
    <col min="20" max="20" width="20.88671875" style="1054" customWidth="1"/>
    <col min="21" max="21" width="11" style="1054" bestFit="1" customWidth="1"/>
    <col min="22" max="22" width="55.5546875" style="1054" bestFit="1" customWidth="1"/>
    <col min="23" max="23" width="30.88671875" style="1054" bestFit="1" customWidth="1"/>
    <col min="24" max="24" width="17.109375" style="1054" bestFit="1" customWidth="1"/>
    <col min="25" max="25" width="22" style="1054" bestFit="1" customWidth="1"/>
    <col min="26" max="26" width="14.6640625" style="1054" bestFit="1" customWidth="1"/>
    <col min="27" max="27" width="17.109375" style="1054" bestFit="1" customWidth="1"/>
    <col min="28" max="28" width="21.33203125" style="1054" customWidth="1"/>
    <col min="29" max="29" width="7" style="1054" bestFit="1" customWidth="1"/>
  </cols>
  <sheetData>
    <row r="1" spans="1:29" ht="17.399999999999999">
      <c r="A1" s="762" t="s">
        <v>669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034" t="s">
        <v>1</v>
      </c>
      <c r="S1" s="1035" t="s">
        <v>2</v>
      </c>
      <c r="T1" s="1035" t="s">
        <v>3</v>
      </c>
      <c r="U1" s="1035" t="s">
        <v>211</v>
      </c>
      <c r="V1" s="1035" t="s">
        <v>5</v>
      </c>
      <c r="W1" s="1035" t="s">
        <v>194</v>
      </c>
      <c r="X1" s="1035" t="s">
        <v>212</v>
      </c>
      <c r="Y1" s="1035" t="s">
        <v>213</v>
      </c>
      <c r="Z1" s="1035" t="s">
        <v>406</v>
      </c>
      <c r="AA1" s="1035" t="s">
        <v>215</v>
      </c>
      <c r="AB1" s="1035" t="s">
        <v>216</v>
      </c>
      <c r="AC1" s="1036" t="s">
        <v>407</v>
      </c>
    </row>
    <row r="2" spans="1:29" ht="17.399999999999999">
      <c r="A2" s="762" t="s">
        <v>670</v>
      </c>
      <c r="B2" s="733"/>
      <c r="C2" s="733"/>
      <c r="D2" s="733"/>
      <c r="E2" s="734"/>
      <c r="F2" s="1536" t="s">
        <v>671</v>
      </c>
      <c r="G2" s="1536"/>
      <c r="H2" s="1536"/>
      <c r="I2" s="742"/>
      <c r="J2" s="1525" t="s">
        <v>672</v>
      </c>
      <c r="K2" s="1525"/>
      <c r="L2" s="1525"/>
      <c r="M2" s="734"/>
      <c r="N2" s="1535"/>
      <c r="O2" s="1535"/>
      <c r="P2" s="1535"/>
      <c r="R2" s="1063" t="s">
        <v>662</v>
      </c>
      <c r="S2" s="1064">
        <v>3331558737</v>
      </c>
      <c r="T2" s="1065" t="s">
        <v>336</v>
      </c>
      <c r="U2" s="1064">
        <v>24141276</v>
      </c>
      <c r="V2" s="1064" t="s">
        <v>185</v>
      </c>
      <c r="W2" s="1066" t="s">
        <v>474</v>
      </c>
      <c r="X2" s="1065">
        <v>33948.476000000002</v>
      </c>
      <c r="Y2" s="1064" t="s">
        <v>128</v>
      </c>
      <c r="Z2" s="1064">
        <v>1</v>
      </c>
      <c r="AA2" s="1064">
        <v>1</v>
      </c>
      <c r="AB2" s="1083" t="s">
        <v>204</v>
      </c>
      <c r="AC2" s="1088"/>
    </row>
    <row r="3" spans="1:29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063" t="s">
        <v>662</v>
      </c>
      <c r="S3" s="1064">
        <v>3331558749</v>
      </c>
      <c r="T3" s="1065" t="s">
        <v>336</v>
      </c>
      <c r="U3" s="1064">
        <v>24141277</v>
      </c>
      <c r="V3" s="1064" t="s">
        <v>185</v>
      </c>
      <c r="W3" s="1066" t="s">
        <v>474</v>
      </c>
      <c r="X3" s="1065">
        <f>11287.32+26836.056</f>
        <v>38123.376000000004</v>
      </c>
      <c r="Y3" s="1064" t="s">
        <v>128</v>
      </c>
      <c r="Z3" s="1064">
        <v>1</v>
      </c>
      <c r="AA3" s="1064">
        <v>1</v>
      </c>
      <c r="AB3" s="1083" t="s">
        <v>204</v>
      </c>
      <c r="AC3" s="1088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63" t="s">
        <v>662</v>
      </c>
      <c r="S4" s="1064">
        <v>3331558742</v>
      </c>
      <c r="T4" s="1065" t="s">
        <v>256</v>
      </c>
      <c r="U4" s="1064" t="s">
        <v>256</v>
      </c>
      <c r="V4" s="1064" t="s">
        <v>256</v>
      </c>
      <c r="W4" s="1066" t="s">
        <v>256</v>
      </c>
      <c r="X4" s="1065" t="s">
        <v>256</v>
      </c>
      <c r="Y4" s="1087" t="s">
        <v>256</v>
      </c>
      <c r="Z4" s="1064" t="s">
        <v>256</v>
      </c>
      <c r="AA4" s="1064" t="s">
        <v>256</v>
      </c>
      <c r="AB4" s="1083" t="s">
        <v>256</v>
      </c>
      <c r="AC4" s="1088"/>
    </row>
    <row r="5" spans="1:29" ht="18">
      <c r="A5" s="746" t="s">
        <v>427</v>
      </c>
      <c r="B5" s="747" cm="1">
        <f t="array" ref="B5">SUMPRODUCT(--ISNUMBER(MATCH(TRIM(W1:W190), {"JABODETABEK","JAWA TENGAH","JAWA TIMUR","LUAR PULAU"}, 0)))</f>
        <v>39</v>
      </c>
      <c r="C5" s="747" cm="1">
        <f t="array" ref="C5">SUMPRODUCT(--(LOWER(TRIM(AB1:AB216))="masuk"), --(ISNUMBER(MATCH(TRIM(W1:W216), {"JABODETABEK","JAWA TENGAH","JAWA TIMUR","LUAR PULAU"}, 0))))</f>
        <v>38</v>
      </c>
      <c r="D5" s="740">
        <f>C5+-B5</f>
        <v>-1</v>
      </c>
      <c r="E5" s="734"/>
      <c r="F5" s="748" cm="1">
        <f t="array" ref="F5">SUMPRODUCT(--(LOWER(AC1:AC216)="add"), --(ISNUMBER(MATCH(W1:W216, {"JABODETABEK","JAWA TENGAH","JAWA TIMUR","LUAR PULAU"}, 0))))</f>
        <v>0</v>
      </c>
      <c r="G5" s="747" cm="1">
        <f t="array" ref="G5">SUMPRODUCT(--(LOWER(AB1:AB216)="masuk"), --(LOWER(AC1:AC216)="add"))</f>
        <v>0</v>
      </c>
      <c r="H5" s="740">
        <f>G5+-F5</f>
        <v>0</v>
      </c>
      <c r="I5" s="734"/>
      <c r="J5" s="748" cm="1">
        <f t="array" ref="J5">SUMPRODUCT(--ISNUMBER(SEARCH("next day", LOWER(W1:W216))))</f>
        <v>0</v>
      </c>
      <c r="K5" s="747" cm="1">
        <f t="array" ref="K5">SUMPRODUCT(--(LOWER(AB1:AB216)="masuk"), --ISNUMBER(SEARCH("next day", LOWER(W1:W216))))</f>
        <v>0</v>
      </c>
      <c r="L5" s="747">
        <f>K5+-J5</f>
        <v>0</v>
      </c>
      <c r="M5" s="734"/>
      <c r="N5" s="748">
        <f>B5+F5+J5</f>
        <v>39</v>
      </c>
      <c r="O5" s="747">
        <f>C5+G5+K5</f>
        <v>38</v>
      </c>
      <c r="P5" s="740">
        <f>D5+H5+L5</f>
        <v>-1</v>
      </c>
      <c r="R5" s="1055" t="s">
        <v>662</v>
      </c>
      <c r="S5" s="1056">
        <v>3331558755</v>
      </c>
      <c r="T5" s="1057" t="s">
        <v>336</v>
      </c>
      <c r="U5" s="1056">
        <v>24141278</v>
      </c>
      <c r="V5" s="1056" t="s">
        <v>185</v>
      </c>
      <c r="W5" s="1058" t="s">
        <v>474</v>
      </c>
      <c r="X5" s="1060">
        <v>36558.04</v>
      </c>
      <c r="Y5" s="1056" t="s">
        <v>128</v>
      </c>
      <c r="Z5" s="1055">
        <v>1</v>
      </c>
      <c r="AA5" s="1056">
        <v>1</v>
      </c>
      <c r="AB5" s="1059" t="s">
        <v>207</v>
      </c>
      <c r="AC5" s="1038"/>
    </row>
    <row r="6" spans="1:29" ht="17.399999999999999">
      <c r="A6" s="733"/>
      <c r="B6" s="733">
        <f>SUM(B5)</f>
        <v>39</v>
      </c>
      <c r="C6" s="733">
        <f>SUM(C5)</f>
        <v>38</v>
      </c>
      <c r="D6" s="739">
        <f>SUM(D5)</f>
        <v>-1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0</v>
      </c>
      <c r="K6" s="733">
        <f>SUM(K5)</f>
        <v>0</v>
      </c>
      <c r="L6" s="733">
        <f>SUM(L5)</f>
        <v>0</v>
      </c>
      <c r="M6" s="733"/>
      <c r="N6" s="760">
        <f>SUM(N5:N5)</f>
        <v>39</v>
      </c>
      <c r="O6" s="760">
        <f>SUM(O5:O5)</f>
        <v>38</v>
      </c>
      <c r="P6" s="761">
        <f>SUM(P5:P5)</f>
        <v>-1</v>
      </c>
      <c r="R6" s="1055" t="s">
        <v>662</v>
      </c>
      <c r="S6" s="1056">
        <v>3331558757</v>
      </c>
      <c r="T6" s="1057" t="s">
        <v>336</v>
      </c>
      <c r="U6" s="1056">
        <v>24141274</v>
      </c>
      <c r="V6" s="1056" t="s">
        <v>185</v>
      </c>
      <c r="W6" s="1058" t="s">
        <v>474</v>
      </c>
      <c r="X6" s="1057">
        <f>21116.946+13639.815</f>
        <v>34756.760999999999</v>
      </c>
      <c r="Y6" s="1061" t="s">
        <v>128</v>
      </c>
      <c r="Z6" s="1056">
        <v>1</v>
      </c>
      <c r="AA6" s="1056">
        <v>1</v>
      </c>
      <c r="AB6" s="1059" t="s">
        <v>207</v>
      </c>
      <c r="AC6" s="1038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55" t="s">
        <v>662</v>
      </c>
      <c r="S7" s="1056">
        <v>3331558762</v>
      </c>
      <c r="T7" s="1057" t="s">
        <v>256</v>
      </c>
      <c r="U7" s="1056" t="s">
        <v>256</v>
      </c>
      <c r="V7" s="1056" t="s">
        <v>256</v>
      </c>
      <c r="W7" s="1058" t="s">
        <v>256</v>
      </c>
      <c r="X7" s="1057" t="s">
        <v>256</v>
      </c>
      <c r="Y7" s="1056" t="s">
        <v>256</v>
      </c>
      <c r="Z7" s="1056" t="s">
        <v>256</v>
      </c>
      <c r="AA7" s="1056" t="s">
        <v>256</v>
      </c>
      <c r="AB7" s="1059" t="s">
        <v>256</v>
      </c>
      <c r="AC7" s="1038"/>
    </row>
    <row r="8" spans="1:29" ht="18.75" customHeight="1">
      <c r="A8" s="763" t="str">
        <f>A1</f>
        <v>Plan tgl 07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055" t="s">
        <v>662</v>
      </c>
      <c r="S8" s="1056">
        <v>3331558770</v>
      </c>
      <c r="T8" s="1057" t="s">
        <v>336</v>
      </c>
      <c r="U8" s="1056">
        <v>24141283</v>
      </c>
      <c r="V8" s="1056" t="s">
        <v>185</v>
      </c>
      <c r="W8" s="1058" t="s">
        <v>474</v>
      </c>
      <c r="X8" s="1057">
        <v>38234.036</v>
      </c>
      <c r="Y8" s="1056" t="s">
        <v>128</v>
      </c>
      <c r="Z8" s="1056">
        <v>1</v>
      </c>
      <c r="AA8" s="1056">
        <v>1</v>
      </c>
      <c r="AB8" s="1059" t="s">
        <v>207</v>
      </c>
      <c r="AC8" s="1038"/>
    </row>
    <row r="9" spans="1:29" ht="18">
      <c r="A9" s="763" t="str">
        <f>A2</f>
        <v>Realz update 08 OKT’25 jam 07.00</v>
      </c>
      <c r="B9" s="825"/>
      <c r="C9" s="825"/>
      <c r="D9" s="825"/>
      <c r="E9" s="734"/>
      <c r="F9" s="1525" t="str">
        <f>F2</f>
        <v>Tgl 07 OKT’25 diatas jam 15.00</v>
      </c>
      <c r="G9" s="1525"/>
      <c r="H9" s="1525"/>
      <c r="I9" s="826"/>
      <c r="J9" s="1525" t="str">
        <f>J2</f>
        <v>Tgl 07 OKT’25</v>
      </c>
      <c r="K9" s="1525"/>
      <c r="L9" s="1525"/>
      <c r="M9" s="734"/>
      <c r="N9" s="1526"/>
      <c r="O9" s="1526"/>
      <c r="P9" s="1526"/>
      <c r="R9" s="1069" t="s">
        <v>567</v>
      </c>
      <c r="S9" s="1070">
        <v>3331559146</v>
      </c>
      <c r="T9" s="1070" t="s">
        <v>11</v>
      </c>
      <c r="U9" s="1070">
        <v>24141307</v>
      </c>
      <c r="V9" s="1070" t="s">
        <v>366</v>
      </c>
      <c r="W9" s="1079" t="s">
        <v>199</v>
      </c>
      <c r="X9" s="1074">
        <v>27193.027999999998</v>
      </c>
      <c r="Y9" s="1070" t="s">
        <v>200</v>
      </c>
      <c r="Z9" s="1070">
        <v>1</v>
      </c>
      <c r="AA9" s="1070">
        <v>1</v>
      </c>
      <c r="AB9" s="1080" t="s">
        <v>204</v>
      </c>
      <c r="AC9" s="1038"/>
    </row>
    <row r="10" spans="1:29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069" t="s">
        <v>567</v>
      </c>
      <c r="S10" s="1070">
        <v>3331559147</v>
      </c>
      <c r="T10" s="1074" t="s">
        <v>34</v>
      </c>
      <c r="U10" s="1070">
        <v>24141308</v>
      </c>
      <c r="V10" s="1070" t="s">
        <v>366</v>
      </c>
      <c r="W10" s="1079" t="s">
        <v>199</v>
      </c>
      <c r="X10" s="1074">
        <v>26500.212</v>
      </c>
      <c r="Y10" s="1070" t="s">
        <v>200</v>
      </c>
      <c r="Z10" s="1070">
        <v>1</v>
      </c>
      <c r="AA10" s="1070">
        <v>1</v>
      </c>
      <c r="AB10" s="1080" t="s">
        <v>204</v>
      </c>
      <c r="AC10" s="1038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76" t="s">
        <v>567</v>
      </c>
      <c r="S11" s="1084">
        <v>3331558140</v>
      </c>
      <c r="T11" s="1071" t="s">
        <v>441</v>
      </c>
      <c r="U11" s="1072">
        <v>24141309</v>
      </c>
      <c r="V11" s="1072" t="s">
        <v>158</v>
      </c>
      <c r="W11" s="1073" t="s">
        <v>199</v>
      </c>
      <c r="X11" s="1071">
        <v>24000.14</v>
      </c>
      <c r="Y11" s="1077" t="s">
        <v>200</v>
      </c>
      <c r="Z11" s="1077">
        <v>1</v>
      </c>
      <c r="AA11" s="1077">
        <v>1</v>
      </c>
      <c r="AB11" s="1078" t="s">
        <v>204</v>
      </c>
      <c r="AC11" s="1038"/>
    </row>
    <row r="12" spans="1:29" ht="18">
      <c r="A12" s="845" t="s">
        <v>199</v>
      </c>
      <c r="B12" s="748" cm="1">
        <f t="array" ref="B12">SUMPRODUCT(--(TRIM(LOWER(W1:W216))="jabodetabek"))</f>
        <v>19</v>
      </c>
      <c r="C12" s="748" cm="1">
        <f t="array" ref="C12">SUMPRODUCT(--(LOWER(AB1:AB216)="masuk"), --(TRIM(LOWER(W1:W216))="jabodetabek"))</f>
        <v>19</v>
      </c>
      <c r="D12" s="973">
        <f>C12+-B12</f>
        <v>0</v>
      </c>
      <c r="E12" s="734"/>
      <c r="F12" s="748" cm="1">
        <f t="array" ref="F12">SUMPRODUCT(--(LOWER(AC1:AC216)="add"), --(TRIM(LOWER(W1:W216))="jabodetabek"))</f>
        <v>0</v>
      </c>
      <c r="G12" s="747" cm="1">
        <f t="array" ref="G12">SUMPRODUCT(--(LOWER(AB1:AB216)="masuk"), --(LOWER(AC1:AC216)="add"), --(TRIM(LOWER(W1:W216))="jabodetabek"))</f>
        <v>0</v>
      </c>
      <c r="H12" s="740">
        <f>G12+-F12</f>
        <v>0</v>
      </c>
      <c r="I12" s="734"/>
      <c r="J12" s="748" cm="1">
        <f t="array" ref="J12">SUMPRODUCT(--(LOWER(TRIM(W1:W216))="jabodetabek next day"))</f>
        <v>0</v>
      </c>
      <c r="K12" s="747" cm="1">
        <f t="array" ref="K12">SUMPRODUCT(--(LOWER(AB1:AB216)="masuk"), --(LOWER(TRIM(W1:W216))="jabodetabek next day"))</f>
        <v>0</v>
      </c>
      <c r="L12" s="747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076" t="s">
        <v>567</v>
      </c>
      <c r="S12" s="1072">
        <v>3331558147</v>
      </c>
      <c r="T12" s="1071" t="s">
        <v>34</v>
      </c>
      <c r="U12" s="1072">
        <v>24141310</v>
      </c>
      <c r="V12" s="1072" t="s">
        <v>158</v>
      </c>
      <c r="W12" s="1073" t="s">
        <v>199</v>
      </c>
      <c r="X12" s="1071">
        <v>23425.841</v>
      </c>
      <c r="Y12" s="1077" t="s">
        <v>200</v>
      </c>
      <c r="Z12" s="1077">
        <v>1</v>
      </c>
      <c r="AA12" s="1077">
        <v>1</v>
      </c>
      <c r="AB12" s="1078" t="s">
        <v>204</v>
      </c>
      <c r="AC12" s="1038"/>
    </row>
    <row r="13" spans="1:29" ht="18">
      <c r="A13" s="845" t="s">
        <v>203</v>
      </c>
      <c r="B13" s="750" cm="1">
        <f t="array" ref="B13">SUMPRODUCT(--(TRIM(LOWER(W1:W216))="jawa tengah"))</f>
        <v>7</v>
      </c>
      <c r="C13" s="750" cm="1">
        <f t="array" ref="C13">SUMPRODUCT(--(LOWER(AB1:AB216)="masuk"), --(TRIM(LOWER(W1:W216))="jawa tengah"))</f>
        <v>7</v>
      </c>
      <c r="D13" s="846">
        <f>C13+-B13</f>
        <v>0</v>
      </c>
      <c r="E13" s="734"/>
      <c r="F13" s="751" cm="1">
        <f t="array" ref="F13">SUMPRODUCT(--(LOWER(AC1:AC216)="add"), --(TRIM(LOWER(W1:W216))="jawa tengah"))</f>
        <v>0</v>
      </c>
      <c r="G13" s="747" cm="1">
        <f t="array" ref="G13">SUMPRODUCT(--(LOWER(AB1:AB216)="masuk"), --(LOWER(AC1:AC216)="add"), --(TRIM(LOWER(W1:W216))="jawa tengah"))</f>
        <v>0</v>
      </c>
      <c r="H13" s="740">
        <f>G13+-F13</f>
        <v>0</v>
      </c>
      <c r="I13" s="734"/>
      <c r="J13" s="748" cm="1">
        <f t="array" ref="J13">SUMPRODUCT(--(LOWER(TRIM(W1:W216))="jawa tengah next day"))</f>
        <v>0</v>
      </c>
      <c r="K13" s="747" cm="1">
        <f t="array" ref="K13">SUMPRODUCT(--(LOWER(AB1:AB216)="masuk"), --(LOWER(TRIM(W1:W216))="jawa tengah next day"))</f>
        <v>0</v>
      </c>
      <c r="L13" s="747">
        <f>K13+-J13</f>
        <v>0</v>
      </c>
      <c r="M13" s="734"/>
      <c r="N13" s="748">
        <f t="shared" si="0"/>
        <v>7</v>
      </c>
      <c r="O13" s="747">
        <f t="shared" si="0"/>
        <v>7</v>
      </c>
      <c r="P13" s="740">
        <f t="shared" si="0"/>
        <v>0</v>
      </c>
      <c r="R13" s="1076" t="s">
        <v>567</v>
      </c>
      <c r="S13" s="1084">
        <v>3331558150</v>
      </c>
      <c r="T13" s="1071" t="s">
        <v>441</v>
      </c>
      <c r="U13" s="1072">
        <v>24141311</v>
      </c>
      <c r="V13" s="1072" t="s">
        <v>158</v>
      </c>
      <c r="W13" s="1073" t="s">
        <v>199</v>
      </c>
      <c r="X13" s="1071">
        <v>25287.784</v>
      </c>
      <c r="Y13" s="1077" t="s">
        <v>200</v>
      </c>
      <c r="Z13" s="1077">
        <v>1</v>
      </c>
      <c r="AA13" s="1077">
        <v>1</v>
      </c>
      <c r="AB13" s="1078" t="s">
        <v>204</v>
      </c>
      <c r="AC13" s="1038"/>
    </row>
    <row r="14" spans="1:29" ht="18">
      <c r="A14" s="845" t="s">
        <v>205</v>
      </c>
      <c r="B14" s="750" cm="1">
        <f t="array" ref="B14">SUMPRODUCT(--(TRIM(LOWER(W1:W216))="jawa timur"))</f>
        <v>13</v>
      </c>
      <c r="C14" s="750" cm="1">
        <f t="array" ref="C14">SUMPRODUCT(--(LOWER(AB1:AB216)="masuk"), --(TRIM(LOWER(W1:W216))="jawa timur"))</f>
        <v>12</v>
      </c>
      <c r="D14" s="846">
        <f>C14+-B14</f>
        <v>-1</v>
      </c>
      <c r="E14" s="734"/>
      <c r="F14" s="750" cm="1">
        <f t="array" ref="F14">SUMPRODUCT(--(LOWER(AC1:AC216)="add"), --(TRIM(LOWER(W1:W216))="jawa timur"))</f>
        <v>0</v>
      </c>
      <c r="G14" s="747" cm="1">
        <f t="array" ref="G14">SUMPRODUCT(--(LOWER(AB1:AB216)="masuk"), --(LOWER(AC1:AC216)="add"), --(TRIM(LOWER(W1:W216))="jawa timur"))</f>
        <v>0</v>
      </c>
      <c r="H14" s="740">
        <f>G14+-F14</f>
        <v>0</v>
      </c>
      <c r="I14" s="734"/>
      <c r="J14" s="748" cm="1">
        <f t="array" ref="J14">SUMPRODUCT(--(LOWER(TRIM(W1:W216))="jawa timur next day"))</f>
        <v>0</v>
      </c>
      <c r="K14" s="747" cm="1">
        <f t="array" ref="K14">SUMPRODUCT(--(LOWER(AB1:AB216)="masuk"), --(LOWER(TRIM(W1:W216))="jawa timur next day"))</f>
        <v>0</v>
      </c>
      <c r="L14" s="747">
        <f>K14+-J14</f>
        <v>0</v>
      </c>
      <c r="M14" s="734"/>
      <c r="N14" s="748">
        <f t="shared" si="0"/>
        <v>13</v>
      </c>
      <c r="O14" s="747">
        <f t="shared" si="0"/>
        <v>12</v>
      </c>
      <c r="P14" s="740">
        <f t="shared" si="0"/>
        <v>-1</v>
      </c>
      <c r="R14" s="1063" t="s">
        <v>567</v>
      </c>
      <c r="S14" s="1064">
        <v>3331559175</v>
      </c>
      <c r="T14" s="1065" t="s">
        <v>441</v>
      </c>
      <c r="U14" s="1064">
        <v>24141312</v>
      </c>
      <c r="V14" s="1064" t="s">
        <v>226</v>
      </c>
      <c r="W14" s="1066" t="s">
        <v>203</v>
      </c>
      <c r="X14" s="1065">
        <v>35394.35</v>
      </c>
      <c r="Y14" s="1064" t="s">
        <v>128</v>
      </c>
      <c r="Z14" s="1064">
        <v>1</v>
      </c>
      <c r="AA14" s="1064">
        <v>1</v>
      </c>
      <c r="AB14" s="1067" t="s">
        <v>204</v>
      </c>
      <c r="AC14" s="1038"/>
    </row>
    <row r="15" spans="1:29" ht="18">
      <c r="A15" s="845" t="s">
        <v>362</v>
      </c>
      <c r="B15" s="750" cm="1">
        <f t="array" ref="B15">SUMPRODUCT(--(TRIM(LOWER(W1:W216))="luar pulau"))</f>
        <v>0</v>
      </c>
      <c r="C15" s="750" cm="1">
        <f t="array" ref="C15">SUMPRODUCT(--(LOWER(AB1:AB216)="masuk"), --(TRIM(LOWER(W1:W216))="luar pulau"))</f>
        <v>0</v>
      </c>
      <c r="D15" s="846">
        <f>C15+-B15</f>
        <v>0</v>
      </c>
      <c r="E15" s="734"/>
      <c r="F15" s="748" cm="1">
        <f t="array" ref="F15">SUMPRODUCT(--(LOWER(AC1:AC216)="add"), --(TRIM(LOWER(W1:W216))="luar pulau"))</f>
        <v>0</v>
      </c>
      <c r="G15" s="747" cm="1">
        <f t="array" ref="G15">SUMPRODUCT(--(LOWER(AB1:AB216)="masuk"), --(LOWER(AC1:AC216)="add"), --(TRIM(LOWER(W1:W216))="luar pulau"))</f>
        <v>0</v>
      </c>
      <c r="H15" s="740">
        <f>G15+-F15</f>
        <v>0</v>
      </c>
      <c r="I15" s="734"/>
      <c r="J15" s="748" cm="1">
        <f t="array" ref="J15">SUMPRODUCT(--(LOWER(TRIM(W1:W216))="luar pulau next day"))</f>
        <v>0</v>
      </c>
      <c r="K15" s="747" cm="1">
        <f t="array" ref="K15">SUMPRODUCT(--(LOWER(AB1:AB216)="masuk"), --(LOWER(TRIM(W1:W216))="luar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63" t="s">
        <v>567</v>
      </c>
      <c r="S15" s="1064">
        <v>3331559181</v>
      </c>
      <c r="T15" s="1065" t="s">
        <v>441</v>
      </c>
      <c r="U15" s="1064">
        <v>24141313</v>
      </c>
      <c r="V15" s="1064" t="s">
        <v>226</v>
      </c>
      <c r="W15" s="1066" t="s">
        <v>203</v>
      </c>
      <c r="X15" s="1065">
        <v>38533.824000000001</v>
      </c>
      <c r="Y15" s="1064" t="s">
        <v>128</v>
      </c>
      <c r="Z15" s="1068">
        <v>1</v>
      </c>
      <c r="AA15" s="1068">
        <v>1</v>
      </c>
      <c r="AB15" s="1067" t="s">
        <v>204</v>
      </c>
      <c r="AC15" s="1038"/>
    </row>
    <row r="16" spans="1:29" ht="17.399999999999999">
      <c r="A16" s="827"/>
      <c r="B16" s="733">
        <f>SUM(B12:B15)</f>
        <v>39</v>
      </c>
      <c r="C16" s="733">
        <f>SUM(C12:C15)</f>
        <v>38</v>
      </c>
      <c r="D16" s="739">
        <f>SUM(D12:D15)</f>
        <v>-1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0</v>
      </c>
      <c r="K16" s="733">
        <f>SUM(K12:K15)</f>
        <v>0</v>
      </c>
      <c r="L16" s="733">
        <f>SUM(L12:L15)</f>
        <v>0</v>
      </c>
      <c r="M16" s="734"/>
      <c r="N16" s="760">
        <f t="shared" si="0"/>
        <v>39</v>
      </c>
      <c r="O16" s="760">
        <f t="shared" si="0"/>
        <v>38</v>
      </c>
      <c r="P16" s="761">
        <f t="shared" si="0"/>
        <v>-1</v>
      </c>
      <c r="R16" s="1063" t="s">
        <v>452</v>
      </c>
      <c r="S16" s="1064">
        <v>3331559183</v>
      </c>
      <c r="T16" s="1065" t="s">
        <v>441</v>
      </c>
      <c r="U16" s="1064">
        <v>24141314</v>
      </c>
      <c r="V16" s="1064" t="s">
        <v>226</v>
      </c>
      <c r="W16" s="1066" t="s">
        <v>203</v>
      </c>
      <c r="X16" s="1065">
        <v>34577.226000000002</v>
      </c>
      <c r="Y16" s="1064" t="s">
        <v>128</v>
      </c>
      <c r="Z16" s="1068">
        <v>1</v>
      </c>
      <c r="AA16" s="1068">
        <v>1</v>
      </c>
      <c r="AB16" s="1067" t="s">
        <v>204</v>
      </c>
      <c r="AC16" s="1038"/>
    </row>
    <row r="17" spans="1:29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1"/>
      <c r="R17" s="1063" t="s">
        <v>567</v>
      </c>
      <c r="S17" s="1064">
        <v>3331559191</v>
      </c>
      <c r="T17" s="1065" t="s">
        <v>441</v>
      </c>
      <c r="U17" s="1064">
        <v>24141315</v>
      </c>
      <c r="V17" s="1064" t="s">
        <v>226</v>
      </c>
      <c r="W17" s="1066" t="s">
        <v>203</v>
      </c>
      <c r="X17" s="1065">
        <v>34483.667999999998</v>
      </c>
      <c r="Y17" s="1064" t="s">
        <v>128</v>
      </c>
      <c r="Z17" s="1068">
        <v>1</v>
      </c>
      <c r="AA17" s="1068">
        <v>1</v>
      </c>
      <c r="AB17" s="1067" t="s">
        <v>204</v>
      </c>
      <c r="AC17" s="1062"/>
    </row>
    <row r="18" spans="1:29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1"/>
      <c r="R18" s="1063" t="s">
        <v>567</v>
      </c>
      <c r="S18" s="1064">
        <v>3331559237</v>
      </c>
      <c r="T18" s="1065" t="s">
        <v>441</v>
      </c>
      <c r="U18" s="1064">
        <v>24141319</v>
      </c>
      <c r="V18" s="1064" t="s">
        <v>226</v>
      </c>
      <c r="W18" s="1066" t="s">
        <v>203</v>
      </c>
      <c r="X18" s="1065">
        <v>37108.957000000002</v>
      </c>
      <c r="Y18" s="1064" t="s">
        <v>128</v>
      </c>
      <c r="Z18" s="1068">
        <v>1</v>
      </c>
      <c r="AA18" s="1068">
        <v>1</v>
      </c>
      <c r="AB18" s="1067" t="s">
        <v>204</v>
      </c>
      <c r="AC18" s="1081"/>
    </row>
    <row r="19" spans="1:29" ht="17.399999999999999">
      <c r="A19" s="1007" t="s">
        <v>434</v>
      </c>
      <c r="B19" s="1522" t="s">
        <v>415</v>
      </c>
      <c r="C19" s="1523"/>
      <c r="D19" s="1524"/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1"/>
      <c r="R19" s="1063" t="s">
        <v>452</v>
      </c>
      <c r="S19" s="1064">
        <v>3331559239</v>
      </c>
      <c r="T19" s="1065" t="s">
        <v>27</v>
      </c>
      <c r="U19" s="1064">
        <v>24141320</v>
      </c>
      <c r="V19" s="1064" t="s">
        <v>226</v>
      </c>
      <c r="W19" s="1066" t="s">
        <v>203</v>
      </c>
      <c r="X19" s="1065">
        <v>24638.269</v>
      </c>
      <c r="Y19" s="1064" t="s">
        <v>200</v>
      </c>
      <c r="Z19" s="1068">
        <v>1</v>
      </c>
      <c r="AA19" s="1068">
        <v>1</v>
      </c>
      <c r="AB19" s="1067" t="s">
        <v>204</v>
      </c>
      <c r="AC19" s="1081"/>
    </row>
    <row r="20" spans="1:29" ht="17.399999999999999">
      <c r="A20" s="1008"/>
      <c r="B20" s="966" t="s">
        <v>419</v>
      </c>
      <c r="C20" s="966" t="s">
        <v>420</v>
      </c>
      <c r="D20" s="967" t="s">
        <v>421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1"/>
      <c r="R20" s="1063" t="s">
        <v>567</v>
      </c>
      <c r="S20" s="1064">
        <v>3331559243</v>
      </c>
      <c r="T20" s="1065" t="s">
        <v>27</v>
      </c>
      <c r="U20" s="1064">
        <v>24141321</v>
      </c>
      <c r="V20" s="1064" t="s">
        <v>226</v>
      </c>
      <c r="W20" s="1066" t="s">
        <v>203</v>
      </c>
      <c r="X20" s="1065">
        <v>24941.376</v>
      </c>
      <c r="Y20" s="1064" t="s">
        <v>200</v>
      </c>
      <c r="Z20" s="1068">
        <v>1</v>
      </c>
      <c r="AA20" s="1068">
        <v>1</v>
      </c>
      <c r="AB20" s="1067" t="s">
        <v>204</v>
      </c>
      <c r="AC20" s="1081"/>
    </row>
    <row r="21" spans="1:29" ht="18">
      <c r="A21" s="968" t="s">
        <v>427</v>
      </c>
      <c r="B21" s="970" cm="1">
        <f t="array" ref="B21">SUMPRODUCT(--((LOWER(TRIM(W2:W223))="ambil sendiri")+(LOWER(TRIM(W2:W223))="cokot sorangan")))</f>
        <v>5</v>
      </c>
      <c r="C21" s="969" cm="1">
        <f t="array" ref="C21">SUMPRODUCT(--(LOWER(AB2:AB249)="masuk"), --((LOWER(TRIM(W2:W249))="cokot sorangan") + (LOWER(TRIM(W2:W249))="ambil sendiri")))</f>
        <v>2</v>
      </c>
      <c r="D21" s="741">
        <f>C21+-B21</f>
        <v>-3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1"/>
      <c r="R21" s="1063" t="s">
        <v>567</v>
      </c>
      <c r="S21" s="1064">
        <v>3331559257</v>
      </c>
      <c r="T21" s="1065" t="s">
        <v>27</v>
      </c>
      <c r="U21" s="1064">
        <v>24141328</v>
      </c>
      <c r="V21" s="1064" t="s">
        <v>624</v>
      </c>
      <c r="W21" s="1066" t="s">
        <v>481</v>
      </c>
      <c r="X21" s="1065">
        <f>4617.54+32015.95</f>
        <v>36633.49</v>
      </c>
      <c r="Y21" s="1064" t="s">
        <v>128</v>
      </c>
      <c r="Z21" s="1064">
        <v>1</v>
      </c>
      <c r="AA21" s="1064">
        <v>1</v>
      </c>
      <c r="AB21" s="1067" t="s">
        <v>204</v>
      </c>
      <c r="AC21" s="1081"/>
    </row>
    <row r="22" spans="1:29" ht="17.399999999999999">
      <c r="A22" s="993"/>
      <c r="B22" s="760">
        <f>SUM(B71:B74)</f>
        <v>0</v>
      </c>
      <c r="C22" s="760">
        <f>SUM(C71:C74)</f>
        <v>0</v>
      </c>
      <c r="D22" s="761">
        <f>SUM(D71:D74)</f>
        <v>0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1"/>
      <c r="R22" s="1063" t="s">
        <v>567</v>
      </c>
      <c r="S22" s="1064">
        <v>3331559258</v>
      </c>
      <c r="T22" s="1065" t="s">
        <v>256</v>
      </c>
      <c r="U22" s="1064" t="s">
        <v>256</v>
      </c>
      <c r="V22" s="1064" t="s">
        <v>256</v>
      </c>
      <c r="W22" s="1066" t="s">
        <v>256</v>
      </c>
      <c r="X22" s="1065" t="s">
        <v>256</v>
      </c>
      <c r="Y22" s="1064" t="s">
        <v>256</v>
      </c>
      <c r="Z22" s="1064" t="s">
        <v>256</v>
      </c>
      <c r="AA22" s="1064" t="s">
        <v>256</v>
      </c>
      <c r="AB22" s="1083" t="s">
        <v>256</v>
      </c>
      <c r="AC22" s="1081"/>
    </row>
    <row r="23" spans="1:29" ht="17.399999999999999">
      <c r="A23" s="993"/>
      <c r="B23" s="733"/>
      <c r="C23" s="733"/>
      <c r="D23" s="733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1"/>
      <c r="R23" s="1069" t="s">
        <v>452</v>
      </c>
      <c r="S23" s="1070">
        <v>3331559348</v>
      </c>
      <c r="T23" s="1074" t="s">
        <v>437</v>
      </c>
      <c r="U23" s="1070">
        <v>24141345</v>
      </c>
      <c r="V23" s="1070" t="s">
        <v>486</v>
      </c>
      <c r="W23" s="1086" t="s">
        <v>481</v>
      </c>
      <c r="X23" s="1074">
        <v>46831.06</v>
      </c>
      <c r="Y23" s="1070" t="s">
        <v>128</v>
      </c>
      <c r="Z23" s="1070">
        <v>1</v>
      </c>
      <c r="AA23" s="1070">
        <v>1</v>
      </c>
      <c r="AB23" s="1080" t="s">
        <v>204</v>
      </c>
      <c r="AC23" s="1088"/>
    </row>
    <row r="24" spans="1:29" ht="17.399999999999999">
      <c r="A24" s="993"/>
      <c r="B24" s="733"/>
      <c r="C24" s="733"/>
      <c r="D24" s="733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1"/>
      <c r="R24" s="1069" t="s">
        <v>567</v>
      </c>
      <c r="S24" s="1070">
        <v>3331559353</v>
      </c>
      <c r="T24" s="1074" t="s">
        <v>336</v>
      </c>
      <c r="U24" s="1070">
        <v>24141346</v>
      </c>
      <c r="V24" s="1070" t="s">
        <v>486</v>
      </c>
      <c r="W24" s="1086" t="s">
        <v>481</v>
      </c>
      <c r="X24" s="1074">
        <v>41516.866000000002</v>
      </c>
      <c r="Y24" s="1070" t="s">
        <v>128</v>
      </c>
      <c r="Z24" s="1070">
        <v>1</v>
      </c>
      <c r="AA24" s="1070">
        <v>1</v>
      </c>
      <c r="AB24" s="1080" t="s">
        <v>204</v>
      </c>
      <c r="AC24" s="1038"/>
    </row>
    <row r="25" spans="1:29" ht="17.399999999999999">
      <c r="A25" s="827"/>
      <c r="B25" s="733"/>
      <c r="C25" s="733"/>
      <c r="D25" s="739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1"/>
      <c r="R25" s="1063" t="s">
        <v>567</v>
      </c>
      <c r="S25" s="1064">
        <v>3331559273</v>
      </c>
      <c r="T25" s="1065" t="s">
        <v>27</v>
      </c>
      <c r="U25" s="1064">
        <v>24141331</v>
      </c>
      <c r="V25" s="1064" t="s">
        <v>673</v>
      </c>
      <c r="W25" s="1066" t="s">
        <v>481</v>
      </c>
      <c r="X25" s="1065">
        <v>22733.025000000001</v>
      </c>
      <c r="Y25" s="1064" t="s">
        <v>200</v>
      </c>
      <c r="Z25" s="1064">
        <v>1</v>
      </c>
      <c r="AA25" s="1064">
        <v>1</v>
      </c>
      <c r="AB25" s="1083" t="s">
        <v>204</v>
      </c>
      <c r="AC25" s="1081"/>
    </row>
    <row r="26" spans="1:29" ht="17.399999999999999">
      <c r="A26" s="827"/>
      <c r="B26" s="733"/>
      <c r="C26" s="733"/>
      <c r="D26" s="739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1"/>
      <c r="R26" s="1055" t="s">
        <v>567</v>
      </c>
      <c r="S26" s="1056">
        <v>3331559284</v>
      </c>
      <c r="T26" s="1057" t="s">
        <v>206</v>
      </c>
      <c r="U26" s="1056">
        <v>24141333</v>
      </c>
      <c r="V26" s="1056" t="s">
        <v>430</v>
      </c>
      <c r="W26" s="1058" t="s">
        <v>481</v>
      </c>
      <c r="X26" s="1057">
        <v>35136.059000000001</v>
      </c>
      <c r="Y26" s="1056" t="s">
        <v>128</v>
      </c>
      <c r="Z26" s="1056">
        <v>1</v>
      </c>
      <c r="AA26" s="1056">
        <v>1</v>
      </c>
      <c r="AB26" s="1059" t="s">
        <v>207</v>
      </c>
      <c r="AC26" s="1081"/>
    </row>
    <row r="27" spans="1:29" ht="17.399999999999999">
      <c r="A27" s="827"/>
      <c r="B27" s="733"/>
      <c r="C27" s="733"/>
      <c r="D27" s="739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1"/>
      <c r="R27" s="1063" t="s">
        <v>452</v>
      </c>
      <c r="S27" s="1064">
        <v>3331559282</v>
      </c>
      <c r="T27" s="1065" t="s">
        <v>27</v>
      </c>
      <c r="U27" s="1064">
        <v>24141334</v>
      </c>
      <c r="V27" s="1064" t="s">
        <v>438</v>
      </c>
      <c r="W27" s="1066" t="s">
        <v>481</v>
      </c>
      <c r="X27" s="1065">
        <v>25396.47</v>
      </c>
      <c r="Y27" s="1064" t="s">
        <v>200</v>
      </c>
      <c r="Z27" s="1064">
        <v>1</v>
      </c>
      <c r="AA27" s="1064">
        <v>1</v>
      </c>
      <c r="AB27" s="1083" t="s">
        <v>204</v>
      </c>
      <c r="AC27" s="1081"/>
    </row>
    <row r="28" spans="1:29" ht="17.399999999999999">
      <c r="A28" s="827"/>
      <c r="B28" s="733"/>
      <c r="C28" s="733"/>
      <c r="D28" s="739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1"/>
      <c r="R28" s="1063" t="s">
        <v>567</v>
      </c>
      <c r="S28" s="1064">
        <v>3331559283</v>
      </c>
      <c r="T28" s="1065" t="s">
        <v>27</v>
      </c>
      <c r="U28" s="1064">
        <v>24141335</v>
      </c>
      <c r="V28" s="1064" t="s">
        <v>438</v>
      </c>
      <c r="W28" s="1066" t="s">
        <v>481</v>
      </c>
      <c r="X28" s="1065">
        <v>25396.47</v>
      </c>
      <c r="Y28" s="1064" t="s">
        <v>200</v>
      </c>
      <c r="Z28" s="1064">
        <v>1</v>
      </c>
      <c r="AA28" s="1064">
        <v>1</v>
      </c>
      <c r="AB28" s="1083" t="s">
        <v>204</v>
      </c>
      <c r="AC28" s="1081"/>
    </row>
    <row r="29" spans="1:29" ht="17.399999999999999">
      <c r="A29" s="827"/>
      <c r="B29" s="733"/>
      <c r="C29" s="733"/>
      <c r="D29" s="739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1"/>
      <c r="R29" s="1063" t="s">
        <v>567</v>
      </c>
      <c r="S29" s="1064">
        <v>3331559285</v>
      </c>
      <c r="T29" s="1065" t="s">
        <v>27</v>
      </c>
      <c r="U29" s="1064">
        <v>24141336</v>
      </c>
      <c r="V29" s="1064" t="s">
        <v>438</v>
      </c>
      <c r="W29" s="1066" t="s">
        <v>481</v>
      </c>
      <c r="X29" s="1065">
        <v>25396.47</v>
      </c>
      <c r="Y29" s="1064" t="s">
        <v>200</v>
      </c>
      <c r="Z29" s="1064">
        <v>1</v>
      </c>
      <c r="AA29" s="1064">
        <v>1</v>
      </c>
      <c r="AB29" s="1083" t="s">
        <v>204</v>
      </c>
      <c r="AC29" s="1081"/>
    </row>
    <row r="30" spans="1:29" ht="17.399999999999999">
      <c r="A30" s="827"/>
      <c r="B30" s="733"/>
      <c r="C30" s="733"/>
      <c r="D30" s="739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1"/>
      <c r="R30" s="1063" t="s">
        <v>567</v>
      </c>
      <c r="S30" s="1064">
        <v>3331559286</v>
      </c>
      <c r="T30" s="1065" t="s">
        <v>27</v>
      </c>
      <c r="U30" s="1064">
        <v>24141337</v>
      </c>
      <c r="V30" s="1064" t="s">
        <v>438</v>
      </c>
      <c r="W30" s="1066" t="s">
        <v>481</v>
      </c>
      <c r="X30" s="1065">
        <v>24242.084999999999</v>
      </c>
      <c r="Y30" s="1064" t="s">
        <v>200</v>
      </c>
      <c r="Z30" s="1064">
        <v>1</v>
      </c>
      <c r="AA30" s="1064">
        <v>1</v>
      </c>
      <c r="AB30" s="1083" t="s">
        <v>204</v>
      </c>
      <c r="AC30" s="1081"/>
    </row>
    <row r="31" spans="1:29" ht="17.399999999999999">
      <c r="A31" s="827"/>
      <c r="B31" s="733"/>
      <c r="C31" s="733"/>
      <c r="D31" s="739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1"/>
      <c r="R31" s="1063" t="s">
        <v>567</v>
      </c>
      <c r="S31" s="1064">
        <v>3331559287</v>
      </c>
      <c r="T31" s="1065" t="s">
        <v>27</v>
      </c>
      <c r="U31" s="1064">
        <v>24141338</v>
      </c>
      <c r="V31" s="1064" t="s">
        <v>438</v>
      </c>
      <c r="W31" s="1066" t="s">
        <v>481</v>
      </c>
      <c r="X31" s="1065">
        <v>24242.084999999999</v>
      </c>
      <c r="Y31" s="1064" t="s">
        <v>200</v>
      </c>
      <c r="Z31" s="1064">
        <v>1</v>
      </c>
      <c r="AA31" s="1064">
        <v>1</v>
      </c>
      <c r="AB31" s="1083" t="s">
        <v>204</v>
      </c>
      <c r="AC31" s="1081"/>
    </row>
    <row r="32" spans="1:29" ht="17.399999999999999">
      <c r="A32" s="827"/>
      <c r="B32" s="733"/>
      <c r="C32" s="733"/>
      <c r="D32" s="739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1"/>
      <c r="R32" s="1063" t="s">
        <v>567</v>
      </c>
      <c r="S32" s="1064">
        <v>3331559288</v>
      </c>
      <c r="T32" s="1065" t="s">
        <v>27</v>
      </c>
      <c r="U32" s="1064">
        <v>24141339</v>
      </c>
      <c r="V32" s="1064" t="s">
        <v>438</v>
      </c>
      <c r="W32" s="1066" t="s">
        <v>481</v>
      </c>
      <c r="X32" s="1065">
        <v>25396.47</v>
      </c>
      <c r="Y32" s="1064" t="s">
        <v>200</v>
      </c>
      <c r="Z32" s="1064">
        <v>1</v>
      </c>
      <c r="AA32" s="1064">
        <v>1</v>
      </c>
      <c r="AB32" s="1083" t="s">
        <v>204</v>
      </c>
      <c r="AC32" s="1081"/>
    </row>
    <row r="33" spans="1:29" ht="17.399999999999999">
      <c r="A33" s="827"/>
      <c r="B33" s="733"/>
      <c r="C33" s="733"/>
      <c r="D33" s="739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1"/>
      <c r="R33" s="1063" t="s">
        <v>567</v>
      </c>
      <c r="S33" s="1064">
        <v>3331559289</v>
      </c>
      <c r="T33" s="1065" t="s">
        <v>27</v>
      </c>
      <c r="U33" s="1064">
        <v>24141340</v>
      </c>
      <c r="V33" s="1064" t="s">
        <v>438</v>
      </c>
      <c r="W33" s="1066" t="s">
        <v>481</v>
      </c>
      <c r="X33" s="1065">
        <v>25396.47</v>
      </c>
      <c r="Y33" s="1064" t="s">
        <v>200</v>
      </c>
      <c r="Z33" s="1064">
        <v>1</v>
      </c>
      <c r="AA33" s="1064">
        <v>1</v>
      </c>
      <c r="AB33" s="1083" t="s">
        <v>204</v>
      </c>
      <c r="AC33" s="1081"/>
    </row>
    <row r="34" spans="1:29" ht="17.399999999999999">
      <c r="A34" s="827"/>
      <c r="B34" s="733"/>
      <c r="C34" s="733"/>
      <c r="D34" s="739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1"/>
      <c r="R34" s="1063" t="s">
        <v>567</v>
      </c>
      <c r="S34" s="1064">
        <v>3331559290</v>
      </c>
      <c r="T34" s="1065" t="s">
        <v>27</v>
      </c>
      <c r="U34" s="1064">
        <v>24141341</v>
      </c>
      <c r="V34" s="1064" t="s">
        <v>438</v>
      </c>
      <c r="W34" s="1066" t="s">
        <v>481</v>
      </c>
      <c r="X34" s="1065">
        <v>25396.47</v>
      </c>
      <c r="Y34" s="1064" t="s">
        <v>200</v>
      </c>
      <c r="Z34" s="1064">
        <v>1</v>
      </c>
      <c r="AA34" s="1064">
        <v>1</v>
      </c>
      <c r="AB34" s="1083" t="s">
        <v>204</v>
      </c>
      <c r="AC34" s="1081"/>
    </row>
    <row r="35" spans="1:29" ht="17.399999999999999"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069" t="s">
        <v>567</v>
      </c>
      <c r="S35" s="1070">
        <v>3331559198</v>
      </c>
      <c r="T35" s="1071" t="s">
        <v>287</v>
      </c>
      <c r="U35" s="1070">
        <v>24141316</v>
      </c>
      <c r="V35" s="1072" t="s">
        <v>674</v>
      </c>
      <c r="W35" s="1073" t="s">
        <v>199</v>
      </c>
      <c r="X35" s="1074">
        <v>26933.222000000002</v>
      </c>
      <c r="Y35" s="1072" t="s">
        <v>200</v>
      </c>
      <c r="Z35" s="1072">
        <v>1</v>
      </c>
      <c r="AA35" s="1072">
        <v>1</v>
      </c>
      <c r="AB35" s="1075" t="s">
        <v>204</v>
      </c>
      <c r="AC35" s="1038"/>
    </row>
    <row r="36" spans="1:29" ht="17.399999999999999"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069" t="s">
        <v>567</v>
      </c>
      <c r="S36" s="1070">
        <v>3331559204</v>
      </c>
      <c r="T36" s="1071" t="s">
        <v>34</v>
      </c>
      <c r="U36" s="1070">
        <v>24141317</v>
      </c>
      <c r="V36" s="1072" t="s">
        <v>219</v>
      </c>
      <c r="W36" s="1073" t="s">
        <v>199</v>
      </c>
      <c r="X36" s="1074">
        <v>25760.894</v>
      </c>
      <c r="Y36" s="1072" t="s">
        <v>200</v>
      </c>
      <c r="Z36" s="1072">
        <v>1</v>
      </c>
      <c r="AA36" s="1072">
        <v>1</v>
      </c>
      <c r="AB36" s="1075" t="s">
        <v>204</v>
      </c>
      <c r="AC36" s="1038"/>
    </row>
    <row r="37" spans="1:29" ht="17.399999999999999"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069" t="s">
        <v>567</v>
      </c>
      <c r="S37" s="1070">
        <v>3331559205</v>
      </c>
      <c r="T37" s="1074" t="s">
        <v>34</v>
      </c>
      <c r="U37" s="1070">
        <v>24141318</v>
      </c>
      <c r="V37" s="1072" t="s">
        <v>219</v>
      </c>
      <c r="W37" s="1073" t="s">
        <v>199</v>
      </c>
      <c r="X37" s="1074">
        <v>25545.861000000001</v>
      </c>
      <c r="Y37" s="1072" t="s">
        <v>200</v>
      </c>
      <c r="Z37" s="1072">
        <v>1</v>
      </c>
      <c r="AA37" s="1072">
        <v>1</v>
      </c>
      <c r="AB37" s="1075" t="s">
        <v>204</v>
      </c>
      <c r="AC37" s="1038"/>
    </row>
    <row r="38" spans="1:29" ht="17.399999999999999"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069" t="s">
        <v>567</v>
      </c>
      <c r="S38" s="1070">
        <v>3331559241</v>
      </c>
      <c r="T38" s="1082" t="s">
        <v>11</v>
      </c>
      <c r="U38" s="1070">
        <v>24141322</v>
      </c>
      <c r="V38" s="1070" t="s">
        <v>150</v>
      </c>
      <c r="W38" s="1073" t="s">
        <v>199</v>
      </c>
      <c r="X38" s="1074">
        <v>25610.748</v>
      </c>
      <c r="Y38" s="1070" t="s">
        <v>200</v>
      </c>
      <c r="Z38" s="1070">
        <v>1</v>
      </c>
      <c r="AA38" s="1070">
        <v>1</v>
      </c>
      <c r="AB38" s="1075" t="s">
        <v>204</v>
      </c>
      <c r="AC38" s="1038"/>
    </row>
    <row r="39" spans="1:29" ht="17.399999999999999"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069" t="s">
        <v>452</v>
      </c>
      <c r="S39" s="1070">
        <v>3331559244</v>
      </c>
      <c r="T39" s="1082" t="s">
        <v>287</v>
      </c>
      <c r="U39" s="1070">
        <v>24141323</v>
      </c>
      <c r="V39" s="1070" t="s">
        <v>150</v>
      </c>
      <c r="W39" s="1073" t="s">
        <v>199</v>
      </c>
      <c r="X39" s="1074">
        <f>17147.196+8337.728</f>
        <v>25484.923999999999</v>
      </c>
      <c r="Y39" s="1070" t="s">
        <v>200</v>
      </c>
      <c r="Z39" s="1070">
        <v>1</v>
      </c>
      <c r="AA39" s="1070">
        <v>1</v>
      </c>
      <c r="AB39" s="1075" t="s">
        <v>204</v>
      </c>
      <c r="AC39" s="1038"/>
    </row>
    <row r="40" spans="1:29" ht="17.399999999999999"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069" t="s">
        <v>567</v>
      </c>
      <c r="S40" s="1070">
        <v>3331559245</v>
      </c>
      <c r="T40" s="1071" t="s">
        <v>256</v>
      </c>
      <c r="U40" s="1070" t="s">
        <v>256</v>
      </c>
      <c r="V40" s="1070" t="s">
        <v>256</v>
      </c>
      <c r="W40" s="1079" t="s">
        <v>256</v>
      </c>
      <c r="X40" s="1074" t="s">
        <v>256</v>
      </c>
      <c r="Y40" s="1070" t="s">
        <v>256</v>
      </c>
      <c r="Z40" s="1070" t="s">
        <v>256</v>
      </c>
      <c r="AA40" s="1070" t="s">
        <v>256</v>
      </c>
      <c r="AB40" s="1075" t="s">
        <v>256</v>
      </c>
      <c r="AC40" s="1038"/>
    </row>
    <row r="41" spans="1:29" ht="17.399999999999999">
      <c r="A41" s="1020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069" t="s">
        <v>567</v>
      </c>
      <c r="S41" s="1070">
        <v>3331559248</v>
      </c>
      <c r="T41" s="1082" t="s">
        <v>287</v>
      </c>
      <c r="U41" s="1070">
        <v>24141324</v>
      </c>
      <c r="V41" s="1070" t="s">
        <v>150</v>
      </c>
      <c r="W41" s="1073" t="s">
        <v>199</v>
      </c>
      <c r="X41" s="1074">
        <v>25287.784</v>
      </c>
      <c r="Y41" s="1070" t="s">
        <v>200</v>
      </c>
      <c r="Z41" s="1070">
        <v>1</v>
      </c>
      <c r="AA41" s="1070">
        <v>1</v>
      </c>
      <c r="AB41" s="1075" t="s">
        <v>204</v>
      </c>
      <c r="AC41" s="1038"/>
    </row>
    <row r="42" spans="1:29" ht="17.399999999999999">
      <c r="A42" s="1020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069" t="s">
        <v>567</v>
      </c>
      <c r="S42" s="1070">
        <v>3331559254</v>
      </c>
      <c r="T42" s="1074" t="s">
        <v>34</v>
      </c>
      <c r="U42" s="1070">
        <v>24141325</v>
      </c>
      <c r="V42" s="1070" t="s">
        <v>150</v>
      </c>
      <c r="W42" s="1073" t="s">
        <v>199</v>
      </c>
      <c r="X42" s="1074">
        <v>21953.607</v>
      </c>
      <c r="Y42" s="1070" t="s">
        <v>200</v>
      </c>
      <c r="Z42" s="1070">
        <v>1</v>
      </c>
      <c r="AA42" s="1070">
        <v>1</v>
      </c>
      <c r="AB42" s="1080" t="s">
        <v>204</v>
      </c>
      <c r="AC42" s="1038"/>
    </row>
    <row r="43" spans="1:29" ht="17.399999999999999">
      <c r="A43" s="1020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069" t="s">
        <v>567</v>
      </c>
      <c r="S43" s="1070">
        <v>3331559255</v>
      </c>
      <c r="T43" s="1085" t="s">
        <v>34</v>
      </c>
      <c r="U43" s="1070">
        <v>24141326</v>
      </c>
      <c r="V43" s="1070" t="s">
        <v>150</v>
      </c>
      <c r="W43" s="1073" t="s">
        <v>199</v>
      </c>
      <c r="X43" s="1074">
        <v>23339.239000000001</v>
      </c>
      <c r="Y43" s="1070" t="s">
        <v>200</v>
      </c>
      <c r="Z43" s="1070">
        <v>1</v>
      </c>
      <c r="AA43" s="1070">
        <v>1</v>
      </c>
      <c r="AB43" s="1080" t="s">
        <v>204</v>
      </c>
      <c r="AC43" s="1038"/>
    </row>
    <row r="44" spans="1:29" ht="17.399999999999999">
      <c r="A44" s="1020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069" t="s">
        <v>567</v>
      </c>
      <c r="S44" s="1070">
        <v>3331559259</v>
      </c>
      <c r="T44" s="1085" t="s">
        <v>34</v>
      </c>
      <c r="U44" s="1070">
        <v>24141327</v>
      </c>
      <c r="V44" s="1070" t="s">
        <v>150</v>
      </c>
      <c r="W44" s="1073" t="s">
        <v>199</v>
      </c>
      <c r="X44" s="1074">
        <v>23661.478999999999</v>
      </c>
      <c r="Y44" s="1070" t="s">
        <v>200</v>
      </c>
      <c r="Z44" s="1070">
        <v>1</v>
      </c>
      <c r="AA44" s="1070">
        <v>1</v>
      </c>
      <c r="AB44" s="1080" t="s">
        <v>204</v>
      </c>
      <c r="AC44" s="1038"/>
    </row>
    <row r="45" spans="1:29" ht="17.399999999999999">
      <c r="A45" s="1020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069" t="s">
        <v>567</v>
      </c>
      <c r="S45" s="1084">
        <v>3331559261</v>
      </c>
      <c r="T45" s="1085" t="s">
        <v>441</v>
      </c>
      <c r="U45" s="1070">
        <v>24141329</v>
      </c>
      <c r="V45" s="1070" t="s">
        <v>150</v>
      </c>
      <c r="W45" s="1073" t="s">
        <v>199</v>
      </c>
      <c r="X45" s="1074">
        <v>22689.723999999998</v>
      </c>
      <c r="Y45" s="1070" t="s">
        <v>200</v>
      </c>
      <c r="Z45" s="1070">
        <v>1</v>
      </c>
      <c r="AA45" s="1070">
        <v>1</v>
      </c>
      <c r="AB45" s="1080" t="s">
        <v>204</v>
      </c>
      <c r="AC45" s="1038"/>
    </row>
    <row r="46" spans="1:29" ht="15.6">
      <c r="A46" s="734"/>
      <c r="B46" s="734"/>
      <c r="C46" s="734"/>
      <c r="D46" s="734"/>
      <c r="E46" s="734"/>
      <c r="F46" s="734"/>
      <c r="G46" s="734"/>
      <c r="H46" s="734"/>
      <c r="I46" s="734"/>
      <c r="J46" s="734"/>
      <c r="K46" s="734"/>
      <c r="L46" s="734"/>
      <c r="M46" s="734"/>
      <c r="N46" s="734"/>
      <c r="O46" s="734"/>
      <c r="P46" s="734"/>
      <c r="R46" s="1069" t="s">
        <v>567</v>
      </c>
      <c r="S46" s="1084">
        <v>3331559262</v>
      </c>
      <c r="T46" s="1085" t="s">
        <v>441</v>
      </c>
      <c r="U46" s="1070">
        <v>24141330</v>
      </c>
      <c r="V46" s="1070" t="s">
        <v>150</v>
      </c>
      <c r="W46" s="1073" t="s">
        <v>199</v>
      </c>
      <c r="X46" s="1074">
        <v>24248.560000000001</v>
      </c>
      <c r="Y46" s="1070" t="s">
        <v>200</v>
      </c>
      <c r="Z46" s="1070">
        <v>1</v>
      </c>
      <c r="AA46" s="1070">
        <v>1</v>
      </c>
      <c r="AB46" s="1080" t="s">
        <v>204</v>
      </c>
      <c r="AC46" s="1038"/>
    </row>
    <row r="47" spans="1:29" ht="15.6">
      <c r="A47" s="734"/>
      <c r="B47" s="734"/>
      <c r="C47" s="734"/>
      <c r="D47" s="734"/>
      <c r="E47" s="734"/>
      <c r="F47" s="734"/>
      <c r="G47" s="734"/>
      <c r="H47" s="734"/>
      <c r="I47" s="734"/>
      <c r="J47" s="734"/>
      <c r="K47" s="734"/>
      <c r="L47" s="734"/>
      <c r="M47" s="734"/>
      <c r="N47" s="734"/>
      <c r="O47" s="734"/>
      <c r="P47" s="734"/>
      <c r="R47" s="1069" t="s">
        <v>567</v>
      </c>
      <c r="S47" s="1070">
        <v>3331559305</v>
      </c>
      <c r="T47" s="1070" t="s">
        <v>34</v>
      </c>
      <c r="U47" s="1070">
        <v>24141342</v>
      </c>
      <c r="V47" s="1070" t="s">
        <v>675</v>
      </c>
      <c r="W47" s="1073" t="s">
        <v>199</v>
      </c>
      <c r="X47" s="1074">
        <v>25356.914000000001</v>
      </c>
      <c r="Y47" s="1070" t="s">
        <v>200</v>
      </c>
      <c r="Z47" s="1070">
        <v>1</v>
      </c>
      <c r="AA47" s="1070">
        <v>1</v>
      </c>
      <c r="AB47" s="1080" t="s">
        <v>204</v>
      </c>
      <c r="AC47" s="1038"/>
    </row>
    <row r="48" spans="1:29" s="965" customFormat="1" ht="15.6">
      <c r="E48" s="964"/>
      <c r="F48" s="964"/>
      <c r="G48" s="964"/>
      <c r="H48" s="964"/>
      <c r="I48" s="964"/>
      <c r="J48" s="964"/>
      <c r="K48" s="964"/>
      <c r="L48" s="964"/>
      <c r="M48" s="964"/>
      <c r="N48" s="964"/>
      <c r="O48" s="964"/>
      <c r="P48" s="964"/>
      <c r="R48" s="1069" t="s">
        <v>567</v>
      </c>
      <c r="S48" s="1070">
        <v>3331559311</v>
      </c>
      <c r="T48" s="1070" t="s">
        <v>27</v>
      </c>
      <c r="U48" s="1070">
        <v>24141343</v>
      </c>
      <c r="V48" s="1070" t="s">
        <v>676</v>
      </c>
      <c r="W48" s="1073" t="s">
        <v>199</v>
      </c>
      <c r="X48" s="1074">
        <v>25272.617999999999</v>
      </c>
      <c r="Y48" s="1070" t="s">
        <v>200</v>
      </c>
      <c r="Z48" s="1070">
        <v>1</v>
      </c>
      <c r="AA48" s="1070">
        <v>1</v>
      </c>
      <c r="AB48" s="1080" t="s">
        <v>204</v>
      </c>
      <c r="AC48" s="1038"/>
    </row>
    <row r="49" spans="1:31" s="965" customFormat="1" ht="15.6">
      <c r="E49" s="964"/>
      <c r="F49" s="964"/>
      <c r="G49" s="964"/>
      <c r="H49" s="964"/>
      <c r="I49" s="964"/>
      <c r="J49" s="964"/>
      <c r="K49" s="964"/>
      <c r="L49" s="964"/>
      <c r="M49" s="964"/>
      <c r="N49" s="964"/>
      <c r="O49" s="964"/>
      <c r="P49" s="964"/>
      <c r="R49" s="1069" t="s">
        <v>567</v>
      </c>
      <c r="S49" s="1070">
        <v>3331559325</v>
      </c>
      <c r="T49" s="1070" t="s">
        <v>287</v>
      </c>
      <c r="U49" s="1070">
        <v>24141344</v>
      </c>
      <c r="V49" s="1070" t="s">
        <v>676</v>
      </c>
      <c r="W49" s="1073" t="s">
        <v>199</v>
      </c>
      <c r="X49" s="1074">
        <v>22159.359</v>
      </c>
      <c r="Y49" s="1070" t="s">
        <v>200</v>
      </c>
      <c r="Z49" s="1070">
        <v>1</v>
      </c>
      <c r="AA49" s="1070">
        <v>1</v>
      </c>
      <c r="AB49" s="1080" t="s">
        <v>204</v>
      </c>
      <c r="AC49" s="1038"/>
    </row>
    <row r="50" spans="1:31" s="965" customFormat="1" ht="15.6">
      <c r="E50" s="964"/>
      <c r="F50" s="964"/>
      <c r="G50" s="964"/>
      <c r="H50" s="964"/>
      <c r="I50" s="964"/>
      <c r="J50" s="964"/>
      <c r="K50" s="964"/>
      <c r="L50" s="964"/>
      <c r="M50" s="964"/>
      <c r="N50" s="964"/>
      <c r="O50" s="964"/>
      <c r="P50" s="964"/>
      <c r="R50" s="1041"/>
      <c r="S50" s="1039"/>
      <c r="T50" s="1045"/>
      <c r="U50" s="1039"/>
      <c r="V50" s="1039"/>
      <c r="W50" s="1042"/>
      <c r="X50" s="1043"/>
      <c r="Y50" s="1039"/>
      <c r="Z50" s="1039"/>
      <c r="AA50" s="1039"/>
      <c r="AB50" s="1044"/>
      <c r="AC50" s="1038"/>
    </row>
    <row r="51" spans="1:31" s="965" customFormat="1" ht="15.6">
      <c r="E51" s="964"/>
      <c r="F51" s="964"/>
      <c r="G51" s="964"/>
      <c r="H51" s="964"/>
      <c r="I51" s="964"/>
      <c r="J51" s="964"/>
      <c r="K51" s="964"/>
      <c r="L51" s="964"/>
      <c r="M51" s="964"/>
      <c r="N51" s="964"/>
      <c r="O51" s="964"/>
      <c r="P51" s="964"/>
      <c r="R51" s="1041"/>
      <c r="S51" s="1039"/>
      <c r="T51" s="1037"/>
      <c r="U51" s="1039"/>
      <c r="V51" s="1039"/>
      <c r="W51" s="1042"/>
      <c r="X51" s="1043"/>
      <c r="Y51" s="1039"/>
      <c r="Z51" s="1039"/>
      <c r="AA51" s="1039"/>
      <c r="AB51" s="1044"/>
      <c r="AC51" s="1038"/>
    </row>
    <row r="52" spans="1:31" s="965" customFormat="1" ht="18">
      <c r="A52" s="993"/>
      <c r="B52" s="994"/>
      <c r="C52" s="994"/>
      <c r="D52" s="836"/>
      <c r="E52" s="964"/>
      <c r="F52" s="964"/>
      <c r="G52" s="964"/>
      <c r="H52" s="964"/>
      <c r="I52" s="964"/>
      <c r="J52" s="964"/>
      <c r="K52" s="964"/>
      <c r="L52" s="964"/>
      <c r="M52" s="964"/>
      <c r="N52" s="964"/>
      <c r="O52" s="964"/>
      <c r="P52" s="964"/>
      <c r="R52" s="1041"/>
      <c r="S52" s="1039"/>
      <c r="T52" s="1045"/>
      <c r="U52" s="1039"/>
      <c r="V52" s="1039"/>
      <c r="W52" s="1042"/>
      <c r="X52" s="1043"/>
      <c r="Y52" s="1039"/>
      <c r="Z52" s="1039"/>
      <c r="AA52" s="1039"/>
      <c r="AB52" s="1044"/>
      <c r="AC52" s="1038"/>
    </row>
    <row r="53" spans="1:31" s="965" customFormat="1" ht="18">
      <c r="A53" s="993"/>
      <c r="B53" s="994"/>
      <c r="C53" s="994"/>
      <c r="D53" s="836"/>
      <c r="E53" s="964"/>
      <c r="F53" s="964"/>
      <c r="G53" s="964"/>
      <c r="H53" s="964"/>
      <c r="I53" s="964"/>
      <c r="J53" s="964"/>
      <c r="K53" s="964"/>
      <c r="L53" s="964"/>
      <c r="M53" s="964"/>
      <c r="N53" s="964"/>
      <c r="O53" s="964"/>
      <c r="P53" s="964"/>
      <c r="R53" s="1041"/>
      <c r="S53" s="1039"/>
      <c r="T53" s="1040"/>
      <c r="U53" s="1039"/>
      <c r="V53" s="1039"/>
      <c r="W53" s="1042"/>
      <c r="X53" s="1043"/>
      <c r="Y53" s="1039"/>
      <c r="Z53" s="1039"/>
      <c r="AA53" s="1039"/>
      <c r="AB53" s="1044"/>
      <c r="AC53" s="1038"/>
    </row>
    <row r="54" spans="1:31" s="965" customFormat="1" ht="18">
      <c r="A54" s="993"/>
      <c r="B54" s="994"/>
      <c r="C54" s="994"/>
      <c r="D54" s="836"/>
      <c r="E54" s="964"/>
      <c r="F54" s="964"/>
      <c r="G54" s="964"/>
      <c r="H54" s="964"/>
      <c r="I54" s="964"/>
      <c r="J54" s="964"/>
      <c r="K54" s="964"/>
      <c r="L54" s="964"/>
      <c r="M54" s="964"/>
      <c r="N54" s="964"/>
      <c r="O54" s="964"/>
      <c r="P54" s="964"/>
      <c r="R54" s="1041"/>
      <c r="S54" s="1039"/>
      <c r="T54" s="1045"/>
      <c r="U54" s="1039"/>
      <c r="V54" s="1039"/>
      <c r="W54" s="1042"/>
      <c r="X54" s="1043"/>
      <c r="Y54" s="1039"/>
      <c r="Z54" s="1039"/>
      <c r="AA54" s="1039"/>
      <c r="AB54" s="1044"/>
      <c r="AC54" s="1038"/>
    </row>
    <row r="55" spans="1:31" s="965" customFormat="1" ht="18">
      <c r="A55" s="993"/>
      <c r="B55" s="994"/>
      <c r="C55" s="994"/>
      <c r="D55" s="836"/>
      <c r="E55" s="964"/>
      <c r="F55" s="964"/>
      <c r="G55" s="964"/>
      <c r="H55" s="964"/>
      <c r="I55" s="964"/>
      <c r="J55" s="964"/>
      <c r="K55" s="964"/>
      <c r="L55" s="964"/>
      <c r="M55" s="964"/>
      <c r="N55" s="964"/>
      <c r="O55" s="964"/>
      <c r="P55" s="964"/>
      <c r="R55" s="1041"/>
      <c r="S55" s="1039"/>
      <c r="T55" s="1045"/>
      <c r="U55" s="1039"/>
      <c r="V55" s="1039"/>
      <c r="W55" s="1042"/>
      <c r="X55" s="1043"/>
      <c r="Y55" s="1039"/>
      <c r="Z55" s="1039"/>
      <c r="AA55" s="1039"/>
      <c r="AB55" s="1044"/>
      <c r="AC55" s="1038"/>
    </row>
    <row r="56" spans="1:31" s="965" customFormat="1" ht="18">
      <c r="A56" s="993"/>
      <c r="B56" s="994"/>
      <c r="C56" s="994"/>
      <c r="D56" s="836"/>
      <c r="E56" s="964"/>
      <c r="F56" s="964"/>
      <c r="G56" s="964"/>
      <c r="H56" s="964"/>
      <c r="I56" s="964"/>
      <c r="J56" s="964"/>
      <c r="K56" s="964"/>
      <c r="L56" s="964"/>
      <c r="M56" s="964"/>
      <c r="N56" s="964"/>
      <c r="O56" s="964"/>
      <c r="P56" s="964"/>
      <c r="R56" s="1041"/>
      <c r="S56" s="1039"/>
      <c r="T56" s="1045"/>
      <c r="U56" s="1039"/>
      <c r="V56" s="1039"/>
      <c r="W56" s="1042"/>
      <c r="X56" s="1043"/>
      <c r="Y56" s="1039"/>
      <c r="Z56" s="1039"/>
      <c r="AA56" s="1039"/>
      <c r="AB56" s="1044"/>
      <c r="AC56" s="1038"/>
    </row>
    <row r="57" spans="1:31" s="965" customFormat="1" ht="18">
      <c r="A57" s="993"/>
      <c r="B57" s="994"/>
      <c r="C57" s="994"/>
      <c r="D57" s="836"/>
      <c r="E57" s="964"/>
      <c r="F57" s="964"/>
      <c r="G57" s="964"/>
      <c r="H57" s="964"/>
      <c r="I57" s="964"/>
      <c r="J57" s="964"/>
      <c r="K57" s="964"/>
      <c r="L57" s="964"/>
      <c r="M57" s="964"/>
      <c r="N57" s="964"/>
      <c r="O57" s="964"/>
      <c r="P57" s="964"/>
      <c r="R57" s="1041"/>
      <c r="S57" s="1039"/>
      <c r="T57" s="1039"/>
      <c r="U57" s="1039"/>
      <c r="V57" s="1039"/>
      <c r="W57" s="1042"/>
      <c r="X57" s="1043"/>
      <c r="Y57" s="1039"/>
      <c r="Z57" s="1039"/>
      <c r="AA57" s="1039"/>
      <c r="AB57" s="1044"/>
      <c r="AC57" s="1038"/>
    </row>
    <row r="58" spans="1:31" s="965" customFormat="1" ht="18">
      <c r="A58" s="993"/>
      <c r="B58" s="994"/>
      <c r="C58" s="994"/>
      <c r="D58" s="836"/>
      <c r="E58" s="964"/>
      <c r="F58" s="964"/>
      <c r="G58" s="964"/>
      <c r="H58" s="964"/>
      <c r="I58" s="964"/>
      <c r="J58" s="964"/>
      <c r="K58" s="964"/>
      <c r="L58" s="964"/>
      <c r="M58" s="964"/>
      <c r="N58" s="964"/>
      <c r="O58" s="964"/>
      <c r="P58" s="964"/>
      <c r="R58" s="1041"/>
      <c r="S58" s="1039"/>
      <c r="T58" s="1045"/>
      <c r="U58" s="1039"/>
      <c r="V58" s="1039"/>
      <c r="W58" s="1042"/>
      <c r="X58" s="1043"/>
      <c r="Y58" s="1039"/>
      <c r="Z58" s="1039"/>
      <c r="AA58" s="1039"/>
      <c r="AB58" s="1044"/>
      <c r="AC58" s="1038"/>
    </row>
    <row r="59" spans="1:31" s="965" customFormat="1" ht="18">
      <c r="A59" s="993"/>
      <c r="B59" s="994"/>
      <c r="C59" s="994"/>
      <c r="D59" s="836"/>
      <c r="E59" s="964"/>
      <c r="F59" s="964"/>
      <c r="G59" s="964"/>
      <c r="H59" s="964"/>
      <c r="I59" s="964"/>
      <c r="J59" s="964"/>
      <c r="K59" s="964"/>
      <c r="L59" s="964"/>
      <c r="M59" s="964"/>
      <c r="N59" s="964"/>
      <c r="O59" s="964"/>
      <c r="P59" s="964"/>
      <c r="R59" s="1041"/>
      <c r="S59" s="1039"/>
      <c r="T59" s="1045"/>
      <c r="U59" s="1039"/>
      <c r="V59" s="1039"/>
      <c r="W59" s="1042"/>
      <c r="X59" s="1043"/>
      <c r="Y59" s="1039"/>
      <c r="Z59" s="1039"/>
      <c r="AA59" s="1039"/>
      <c r="AB59" s="1044"/>
      <c r="AC59" s="1038"/>
    </row>
    <row r="60" spans="1:31" s="965" customFormat="1" ht="18">
      <c r="A60" s="993"/>
      <c r="B60" s="994"/>
      <c r="C60" s="994"/>
      <c r="D60" s="836"/>
      <c r="E60" s="964"/>
      <c r="F60" s="964"/>
      <c r="G60" s="964"/>
      <c r="H60" s="964"/>
      <c r="I60" s="964"/>
      <c r="J60" s="964"/>
      <c r="K60" s="964"/>
      <c r="L60" s="964"/>
      <c r="M60" s="964"/>
      <c r="N60" s="964"/>
      <c r="O60" s="964"/>
      <c r="P60" s="964"/>
      <c r="R60" s="1041"/>
      <c r="S60" s="1039"/>
      <c r="T60" s="1043"/>
      <c r="U60" s="1039"/>
      <c r="V60" s="1039"/>
      <c r="W60" s="1042"/>
      <c r="X60" s="1043"/>
      <c r="Y60" s="1039"/>
      <c r="Z60" s="1039"/>
      <c r="AA60" s="1039"/>
      <c r="AB60" s="1044"/>
      <c r="AC60" s="1038"/>
      <c r="AD60" s="1004"/>
      <c r="AE60" s="1004"/>
    </row>
    <row r="61" spans="1:31" s="965" customFormat="1" ht="18">
      <c r="A61" s="993"/>
      <c r="B61" s="994"/>
      <c r="C61" s="994"/>
      <c r="D61" s="836"/>
      <c r="E61" s="964"/>
      <c r="F61" s="964"/>
      <c r="G61" s="964"/>
      <c r="H61" s="964"/>
      <c r="I61" s="964"/>
      <c r="J61" s="964"/>
      <c r="K61" s="964"/>
      <c r="L61" s="964"/>
      <c r="M61" s="964"/>
      <c r="N61" s="964"/>
      <c r="O61" s="964"/>
      <c r="P61" s="964"/>
      <c r="R61" s="1041"/>
      <c r="S61" s="1039"/>
      <c r="T61" s="1043"/>
      <c r="U61" s="1039"/>
      <c r="V61" s="1039"/>
      <c r="W61" s="1042"/>
      <c r="X61" s="1043"/>
      <c r="Y61" s="1039"/>
      <c r="Z61" s="1039"/>
      <c r="AA61" s="1039"/>
      <c r="AB61" s="1044"/>
      <c r="AC61" s="1038"/>
      <c r="AD61" s="1004"/>
      <c r="AE61" s="1004"/>
    </row>
    <row r="62" spans="1:31" s="965" customFormat="1" ht="18">
      <c r="A62" s="993"/>
      <c r="B62" s="994"/>
      <c r="C62" s="994"/>
      <c r="D62" s="836"/>
      <c r="E62" s="964"/>
      <c r="F62" s="964"/>
      <c r="G62" s="964"/>
      <c r="H62" s="964"/>
      <c r="I62" s="964"/>
      <c r="J62" s="964"/>
      <c r="K62" s="964"/>
      <c r="L62" s="964"/>
      <c r="M62" s="964"/>
      <c r="N62" s="964"/>
      <c r="O62" s="964"/>
      <c r="P62" s="964"/>
      <c r="R62" s="1041"/>
      <c r="S62" s="1039"/>
      <c r="T62" s="1043"/>
      <c r="U62" s="1039"/>
      <c r="V62" s="1039"/>
      <c r="W62" s="1042"/>
      <c r="X62" s="1043"/>
      <c r="Y62" s="1045"/>
      <c r="Z62" s="1039"/>
      <c r="AA62" s="1039"/>
      <c r="AB62" s="1044"/>
      <c r="AC62" s="1038"/>
      <c r="AD62" s="1004"/>
      <c r="AE62" s="1004"/>
    </row>
    <row r="63" spans="1:31" s="965" customFormat="1" ht="18">
      <c r="A63" s="993"/>
      <c r="B63" s="994"/>
      <c r="C63" s="994"/>
      <c r="D63" s="836"/>
      <c r="E63" s="964"/>
      <c r="F63" s="964"/>
      <c r="G63" s="964"/>
      <c r="H63" s="964"/>
      <c r="I63" s="964"/>
      <c r="J63" s="964"/>
      <c r="K63" s="964"/>
      <c r="L63" s="964"/>
      <c r="M63" s="964"/>
      <c r="N63" s="964"/>
      <c r="O63" s="964"/>
      <c r="P63" s="964"/>
      <c r="R63" s="1041"/>
      <c r="S63" s="1039"/>
      <c r="T63" s="1043"/>
      <c r="U63" s="1039"/>
      <c r="V63" s="1039"/>
      <c r="W63" s="1042"/>
      <c r="X63" s="1046"/>
      <c r="Y63" s="1039"/>
      <c r="Z63" s="1041"/>
      <c r="AA63" s="1039"/>
      <c r="AB63" s="1044"/>
      <c r="AC63" s="1038"/>
      <c r="AD63" s="1004"/>
      <c r="AE63" s="1004"/>
    </row>
    <row r="64" spans="1:31" s="965" customFormat="1" ht="18">
      <c r="A64" s="993"/>
      <c r="B64" s="994"/>
      <c r="C64" s="994"/>
      <c r="D64" s="836"/>
      <c r="E64" s="964"/>
      <c r="F64" s="964"/>
      <c r="G64" s="964"/>
      <c r="H64" s="964"/>
      <c r="I64" s="964"/>
      <c r="J64" s="964"/>
      <c r="K64" s="964"/>
      <c r="L64" s="964"/>
      <c r="M64" s="964"/>
      <c r="N64" s="964"/>
      <c r="O64" s="964"/>
      <c r="P64" s="964"/>
      <c r="R64" s="1041"/>
      <c r="S64" s="1039"/>
      <c r="T64" s="1043"/>
      <c r="U64" s="1039"/>
      <c r="V64" s="1039"/>
      <c r="W64" s="1042"/>
      <c r="X64" s="1043"/>
      <c r="Y64" s="1047"/>
      <c r="Z64" s="1039"/>
      <c r="AA64" s="1039"/>
      <c r="AB64" s="1044"/>
      <c r="AC64" s="1038"/>
      <c r="AD64" s="1004"/>
      <c r="AE64" s="1004"/>
    </row>
    <row r="65" spans="1:31" ht="15.6">
      <c r="A65" s="752"/>
      <c r="E65" s="734"/>
      <c r="F65" s="734"/>
      <c r="G65" s="734"/>
      <c r="H65" s="734"/>
      <c r="I65" s="734"/>
      <c r="J65" s="734"/>
      <c r="K65" s="734"/>
      <c r="L65" s="734"/>
      <c r="M65" s="734"/>
      <c r="N65" s="734"/>
      <c r="O65" s="734"/>
      <c r="P65" s="734"/>
      <c r="R65" s="1041"/>
      <c r="S65" s="1039"/>
      <c r="T65" s="1043"/>
      <c r="U65" s="1039"/>
      <c r="V65" s="1039"/>
      <c r="W65" s="1042"/>
      <c r="X65" s="1043"/>
      <c r="Y65" s="1039"/>
      <c r="Z65" s="1039"/>
      <c r="AA65" s="1039"/>
      <c r="AB65" s="1044"/>
      <c r="AC65" s="1038"/>
      <c r="AD65" s="44"/>
      <c r="AE65" s="44"/>
    </row>
    <row r="66" spans="1:31" ht="15.6">
      <c r="R66" s="1041"/>
      <c r="S66" s="1039"/>
      <c r="T66" s="1043"/>
      <c r="U66" s="1039"/>
      <c r="V66" s="1039"/>
      <c r="W66" s="1042"/>
      <c r="X66" s="1043"/>
      <c r="Y66" s="1039"/>
      <c r="Z66" s="1039"/>
      <c r="AA66" s="1039"/>
      <c r="AB66" s="1044"/>
      <c r="AC66" s="1038"/>
      <c r="AD66" s="44"/>
      <c r="AE66" s="44"/>
    </row>
    <row r="67" spans="1:31" ht="15.6">
      <c r="R67" s="1041"/>
      <c r="S67" s="1039"/>
      <c r="T67" s="1039"/>
      <c r="U67" s="1039"/>
      <c r="V67" s="1039"/>
      <c r="W67" s="1042"/>
      <c r="X67" s="1043"/>
      <c r="Y67" s="1039"/>
      <c r="Z67" s="1039"/>
      <c r="AA67" s="1039"/>
      <c r="AB67" s="1044"/>
      <c r="AC67" s="1038"/>
      <c r="AD67" s="44"/>
      <c r="AE67" s="44"/>
    </row>
    <row r="68" spans="1:31" ht="15.6">
      <c r="R68" s="1041"/>
      <c r="S68" s="1039"/>
      <c r="T68" s="1039"/>
      <c r="U68" s="1039"/>
      <c r="V68" s="1039"/>
      <c r="W68" s="1042"/>
      <c r="X68" s="1043"/>
      <c r="Y68" s="1039"/>
      <c r="Z68" s="1039"/>
      <c r="AA68" s="1039"/>
      <c r="AB68" s="1044"/>
      <c r="AC68" s="1038"/>
      <c r="AD68" s="44"/>
      <c r="AE68" s="44"/>
    </row>
    <row r="69" spans="1:31" ht="15.6">
      <c r="R69" s="1041"/>
      <c r="S69" s="1039"/>
      <c r="T69" s="1045"/>
      <c r="U69" s="1039"/>
      <c r="V69" s="1039"/>
      <c r="W69" s="1042"/>
      <c r="X69" s="1043"/>
      <c r="Y69" s="1039"/>
      <c r="Z69" s="1039"/>
      <c r="AA69" s="1039"/>
      <c r="AB69" s="1044"/>
      <c r="AC69" s="1038"/>
      <c r="AD69" s="44"/>
      <c r="AE69" s="44"/>
    </row>
    <row r="70" spans="1:31" ht="15.6">
      <c r="R70" s="1041"/>
      <c r="S70" s="1039"/>
      <c r="T70" s="1037"/>
      <c r="U70" s="1039"/>
      <c r="V70" s="1039"/>
      <c r="W70" s="1042"/>
      <c r="X70" s="1043"/>
      <c r="Y70" s="1039"/>
      <c r="Z70" s="1039"/>
      <c r="AA70" s="1039"/>
      <c r="AB70" s="1044"/>
      <c r="AC70" s="1038"/>
      <c r="AD70" s="44"/>
      <c r="AE70" s="44"/>
    </row>
    <row r="71" spans="1:31" ht="15.6">
      <c r="R71" s="1041"/>
      <c r="S71" s="1039"/>
      <c r="T71" s="1045"/>
      <c r="U71" s="1039"/>
      <c r="V71" s="1039"/>
      <c r="W71" s="1042"/>
      <c r="X71" s="1043"/>
      <c r="Y71" s="1039"/>
      <c r="Z71" s="1039"/>
      <c r="AA71" s="1039"/>
      <c r="AB71" s="1044"/>
      <c r="AC71" s="1038"/>
      <c r="AD71" s="44"/>
      <c r="AE71" s="44"/>
    </row>
    <row r="72" spans="1:31" ht="15.6">
      <c r="R72" s="1041"/>
      <c r="S72" s="1039"/>
      <c r="T72" s="1045"/>
      <c r="U72" s="1039"/>
      <c r="V72" s="1039"/>
      <c r="W72" s="1042"/>
      <c r="X72" s="1043"/>
      <c r="Y72" s="1039"/>
      <c r="Z72" s="1039"/>
      <c r="AA72" s="1039"/>
      <c r="AB72" s="1044"/>
      <c r="AC72" s="1038"/>
      <c r="AD72" s="44"/>
      <c r="AE72" s="44"/>
    </row>
    <row r="73" spans="1:31" ht="15.6">
      <c r="R73" s="1041"/>
      <c r="S73" s="1039"/>
      <c r="T73" s="1045"/>
      <c r="U73" s="1039"/>
      <c r="V73" s="1039"/>
      <c r="W73" s="1042"/>
      <c r="X73" s="1043"/>
      <c r="Y73" s="1039"/>
      <c r="Z73" s="1039"/>
      <c r="AA73" s="1039"/>
      <c r="AB73" s="1044"/>
      <c r="AC73" s="1038"/>
      <c r="AD73" s="44"/>
      <c r="AE73" s="44"/>
    </row>
    <row r="74" spans="1:31">
      <c r="R74" s="1041"/>
      <c r="S74" s="1039"/>
      <c r="T74" s="1039"/>
      <c r="U74" s="1039"/>
      <c r="V74" s="1039"/>
      <c r="W74" s="1042"/>
      <c r="X74" s="1043"/>
      <c r="Y74" s="1039"/>
      <c r="Z74" s="1039"/>
      <c r="AA74" s="1039"/>
      <c r="AB74" s="1039"/>
      <c r="AC74" s="1038"/>
      <c r="AD74" s="44"/>
      <c r="AE74" s="44"/>
    </row>
    <row r="75" spans="1:31" ht="15.6">
      <c r="R75" s="1041"/>
      <c r="S75" s="1039"/>
      <c r="T75" s="1039"/>
      <c r="U75" s="1039"/>
      <c r="V75" s="1039"/>
      <c r="W75" s="1042"/>
      <c r="X75" s="1043"/>
      <c r="Y75" s="1039"/>
      <c r="Z75" s="1039"/>
      <c r="AA75" s="1039"/>
      <c r="AB75" s="1044"/>
      <c r="AC75" s="1038"/>
      <c r="AD75" s="44"/>
      <c r="AE75" s="44"/>
    </row>
    <row r="76" spans="1:31" ht="15.6">
      <c r="R76" s="1041"/>
      <c r="S76" s="1039"/>
      <c r="T76" s="1039"/>
      <c r="U76" s="1039"/>
      <c r="V76" s="1039"/>
      <c r="W76" s="1042"/>
      <c r="X76" s="1043"/>
      <c r="Y76" s="1039"/>
      <c r="Z76" s="1039"/>
      <c r="AA76" s="1039"/>
      <c r="AB76" s="1044"/>
      <c r="AC76" s="1038"/>
      <c r="AD76" s="44"/>
      <c r="AE76" s="44"/>
    </row>
    <row r="77" spans="1:31" ht="18" customHeight="1">
      <c r="R77" s="1041"/>
      <c r="S77" s="1039"/>
      <c r="T77" s="1039"/>
      <c r="U77" s="1039"/>
      <c r="V77" s="1039"/>
      <c r="W77" s="1042"/>
      <c r="X77" s="1043"/>
      <c r="Y77" s="1039"/>
      <c r="Z77" s="1039"/>
      <c r="AA77" s="1039"/>
      <c r="AB77" s="1044"/>
      <c r="AC77" s="1038"/>
      <c r="AD77" s="44"/>
      <c r="AE77" s="44"/>
    </row>
    <row r="78" spans="1:31" ht="15.6">
      <c r="R78" s="1041"/>
      <c r="S78" s="1039"/>
      <c r="T78" s="1039"/>
      <c r="U78" s="1039"/>
      <c r="V78" s="1039"/>
      <c r="W78" s="1042"/>
      <c r="X78" s="1043"/>
      <c r="Y78" s="1039"/>
      <c r="Z78" s="1039"/>
      <c r="AA78" s="1039"/>
      <c r="AB78" s="1044"/>
      <c r="AC78" s="1038"/>
    </row>
    <row r="79" spans="1:31" ht="15.6">
      <c r="R79" s="1041"/>
      <c r="S79" s="1039"/>
      <c r="T79" s="1039"/>
      <c r="U79" s="1039"/>
      <c r="V79" s="1039"/>
      <c r="W79" s="1042"/>
      <c r="X79" s="1043"/>
      <c r="Y79" s="1039"/>
      <c r="Z79" s="1039"/>
      <c r="AA79" s="1039"/>
      <c r="AB79" s="1044"/>
      <c r="AC79" s="1038"/>
    </row>
    <row r="80" spans="1:31" ht="15.6">
      <c r="R80" s="1041"/>
      <c r="S80" s="1039"/>
      <c r="T80" s="1039"/>
      <c r="U80" s="1039"/>
      <c r="V80" s="1039"/>
      <c r="W80" s="1042"/>
      <c r="X80" s="1043"/>
      <c r="Y80" s="1039"/>
      <c r="Z80" s="1039"/>
      <c r="AA80" s="1039"/>
      <c r="AB80" s="1044"/>
      <c r="AC80" s="1038"/>
    </row>
    <row r="81" spans="18:29" ht="15.6">
      <c r="R81" s="1041"/>
      <c r="S81" s="1039"/>
      <c r="T81" s="1039"/>
      <c r="U81" s="1039"/>
      <c r="V81" s="1039"/>
      <c r="W81" s="1042"/>
      <c r="X81" s="1043"/>
      <c r="Y81" s="1039"/>
      <c r="Z81" s="1039"/>
      <c r="AA81" s="1039"/>
      <c r="AB81" s="1044"/>
      <c r="AC81" s="1038"/>
    </row>
    <row r="82" spans="18:29" ht="15.6">
      <c r="R82" s="1041"/>
      <c r="S82" s="1039"/>
      <c r="T82" s="1039"/>
      <c r="U82" s="1039"/>
      <c r="V82" s="1039"/>
      <c r="W82" s="1042"/>
      <c r="X82" s="1043"/>
      <c r="Y82" s="1039"/>
      <c r="Z82" s="1039"/>
      <c r="AA82" s="1039"/>
      <c r="AB82" s="1044"/>
      <c r="AC82" s="1038"/>
    </row>
    <row r="83" spans="18:29" ht="15.6">
      <c r="R83" s="1048"/>
      <c r="S83" s="1045"/>
      <c r="T83" s="1039"/>
      <c r="U83" s="1045"/>
      <c r="V83" s="1045"/>
      <c r="W83" s="1042"/>
      <c r="X83" s="1049"/>
      <c r="Y83" s="1045"/>
      <c r="Z83" s="1045"/>
      <c r="AA83" s="1045"/>
      <c r="AB83" s="1050"/>
      <c r="AC83" s="1051"/>
    </row>
    <row r="84" spans="18:29" ht="15.6">
      <c r="R84" s="1048"/>
      <c r="S84" s="1045"/>
      <c r="T84" s="1045"/>
      <c r="U84" s="1045"/>
      <c r="V84" s="1045"/>
      <c r="W84" s="1042"/>
      <c r="X84" s="1049"/>
      <c r="Y84" s="1045"/>
      <c r="Z84" s="1045"/>
      <c r="AA84" s="1045"/>
      <c r="AB84" s="1050"/>
      <c r="AC84" s="1051"/>
    </row>
    <row r="85" spans="18:29" ht="15.6">
      <c r="R85" s="1041"/>
      <c r="S85" s="1039"/>
      <c r="T85" s="1045"/>
      <c r="U85" s="1039"/>
      <c r="V85" s="1039"/>
      <c r="W85" s="1042"/>
      <c r="X85" s="1043"/>
      <c r="Y85" s="1039"/>
      <c r="Z85" s="1039"/>
      <c r="AA85" s="1039"/>
      <c r="AB85" s="1050"/>
      <c r="AC85" s="1038"/>
    </row>
    <row r="86" spans="18:29" ht="15.6">
      <c r="R86" s="1041"/>
      <c r="S86" s="1039"/>
      <c r="T86" s="1039"/>
      <c r="U86" s="1039"/>
      <c r="V86" s="1039"/>
      <c r="W86" s="1042"/>
      <c r="X86" s="1043"/>
      <c r="Y86" s="1039"/>
      <c r="Z86" s="1039"/>
      <c r="AA86" s="1039"/>
      <c r="AB86" s="1044"/>
      <c r="AC86" s="1038"/>
    </row>
    <row r="87" spans="18:29" ht="15.6">
      <c r="R87" s="1048"/>
      <c r="S87" s="1045"/>
      <c r="T87" s="1045"/>
      <c r="U87" s="1045"/>
      <c r="V87" s="1045"/>
      <c r="W87" s="1052"/>
      <c r="X87" s="1049"/>
      <c r="Y87" s="1045"/>
      <c r="Z87" s="1045"/>
      <c r="AA87" s="1045"/>
      <c r="AB87" s="1050"/>
      <c r="AC87" s="1051"/>
    </row>
    <row r="88" spans="18:29" ht="15.6">
      <c r="R88" s="1048"/>
      <c r="S88" s="1045"/>
      <c r="T88" s="1045"/>
      <c r="U88" s="1045"/>
      <c r="V88" s="1045"/>
      <c r="W88" s="1042"/>
      <c r="X88" s="1049"/>
      <c r="Y88" s="1039"/>
      <c r="Z88" s="1045"/>
      <c r="AA88" s="1045"/>
      <c r="AB88" s="1044"/>
      <c r="AC88" s="1051"/>
    </row>
    <row r="89" spans="18:29" ht="15.6">
      <c r="R89" s="1039"/>
      <c r="S89" s="1039"/>
      <c r="T89" s="1039"/>
      <c r="U89" s="1039"/>
      <c r="V89" s="1039"/>
      <c r="W89" s="1042"/>
      <c r="X89" s="1043"/>
      <c r="Y89" s="1039"/>
      <c r="Z89" s="1039"/>
      <c r="AA89" s="1039"/>
      <c r="AB89" s="1044"/>
      <c r="AC89" s="1053"/>
    </row>
    <row r="90" spans="18:29" ht="15.6">
      <c r="R90" s="1039"/>
      <c r="S90" s="1039"/>
      <c r="T90" s="1039"/>
      <c r="U90" s="1039"/>
      <c r="V90" s="1039"/>
      <c r="W90" s="1042"/>
      <c r="X90" s="1043"/>
      <c r="Y90" s="1039"/>
      <c r="Z90" s="1039"/>
      <c r="AA90" s="1039"/>
      <c r="AB90" s="1044"/>
      <c r="AC90" s="1053"/>
    </row>
    <row r="91" spans="18:29" ht="15.6">
      <c r="R91" s="1039"/>
      <c r="S91" s="1039"/>
      <c r="T91" s="1039"/>
      <c r="U91" s="1039"/>
      <c r="V91" s="1039"/>
      <c r="W91" s="1042"/>
      <c r="X91" s="1043"/>
      <c r="Y91" s="1039"/>
      <c r="Z91" s="1039"/>
      <c r="AA91" s="1039"/>
      <c r="AB91" s="1044"/>
      <c r="AC91" s="1053"/>
    </row>
    <row r="92" spans="18:29" ht="15.6">
      <c r="R92" s="1039"/>
      <c r="S92" s="1039"/>
      <c r="T92" s="1039"/>
      <c r="U92" s="1039"/>
      <c r="V92" s="1039"/>
      <c r="W92" s="1042"/>
      <c r="X92" s="1043"/>
      <c r="Y92" s="1039"/>
      <c r="Z92" s="1039"/>
      <c r="AA92" s="1039"/>
      <c r="AB92" s="1044"/>
      <c r="AC92" s="1053"/>
    </row>
    <row r="93" spans="18:29" ht="15.6">
      <c r="R93" s="1039"/>
      <c r="S93" s="1039"/>
      <c r="T93" s="1039"/>
      <c r="U93" s="1039"/>
      <c r="V93" s="1039"/>
      <c r="W93" s="1042"/>
      <c r="X93" s="1043"/>
      <c r="Y93" s="1039"/>
      <c r="Z93" s="1039"/>
      <c r="AA93" s="1039"/>
      <c r="AB93" s="1044"/>
      <c r="AC93" s="1053"/>
    </row>
    <row r="94" spans="18:29" ht="15.6">
      <c r="R94" s="1039"/>
      <c r="S94" s="1039"/>
      <c r="T94" s="1039"/>
      <c r="U94" s="1039"/>
      <c r="V94" s="1039"/>
      <c r="W94" s="1042"/>
      <c r="X94" s="1043"/>
      <c r="Y94" s="1039"/>
      <c r="Z94" s="1039"/>
      <c r="AA94" s="1039"/>
      <c r="AB94" s="1044"/>
      <c r="AC94" s="1053"/>
    </row>
  </sheetData>
  <protectedRanges>
    <protectedRange algorithmName="SHA-512" hashValue="24Yg3M703G5L8OyJWxlkx8c1Gwfrkael5W/l3TUk/Rcz5tR8QOgCx5v0Ebb/UGz+9BDKPJ5wV4hH8uuxvmtGIw==" saltValue="ZSJQ8EEnwGxsiYzxIw6K0Q==" spinCount="100000" sqref="N4:N8 O4:P16 N10:N16 E61:P65 B41:D47 E4:M60 N17:P60 B4:D18 B23:D34" name="Range1_65_32_32_30_30"/>
    <protectedRange algorithmName="SHA-512" hashValue="XYWjC+iAz2ErgjMh7TSLHlxfTfK0uVcITDFdCCZFdnsWWbUNnsQqu9AM+0WFXQpYcy9ZvQx2KUXfpLhpOROHkg==" saltValue="47TiGLG0rJVTo3iAJH8T4w==" spinCount="100000" sqref="B21:D22 B52:D64" name="Range2_5_2_2_2_2"/>
    <protectedRange algorithmName="SHA-512" hashValue="24Yg3M703G5L8OyJWxlkx8c1Gwfrkael5W/l3TUk/Rcz5tR8QOgCx5v0Ebb/UGz+9BDKPJ5wV4hH8uuxvmtGIw==" saltValue="ZSJQ8EEnwGxsiYzxIw6K0Q==" spinCount="100000" sqref="B19:D22 B52:D64" name="Range1_65_32_2_2_2"/>
  </protectedRanges>
  <mergeCells count="21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0:A11"/>
    <mergeCell ref="B10:D10"/>
    <mergeCell ref="F10:H10"/>
    <mergeCell ref="J10:L10"/>
    <mergeCell ref="N10:P10"/>
    <mergeCell ref="B19:D19"/>
    <mergeCell ref="F8:H8"/>
    <mergeCell ref="J8:L8"/>
    <mergeCell ref="N8:P9"/>
    <mergeCell ref="F9:H9"/>
    <mergeCell ref="J9:L9"/>
  </mergeCell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AA9E-0DED-4315-912F-660220AE7900}">
  <dimension ref="A1:AE117"/>
  <sheetViews>
    <sheetView showGridLines="0" topLeftCell="Q1" zoomScale="70" zoomScaleNormal="70" workbookViewId="0">
      <selection activeCell="V15" sqref="V15"/>
    </sheetView>
  </sheetViews>
  <sheetFormatPr defaultRowHeight="14.4"/>
  <cols>
    <col min="1" max="1" width="22" customWidth="1"/>
    <col min="2" max="4" width="18.5546875" customWidth="1"/>
    <col min="5" max="5" width="9.109375" bestFit="1" customWidth="1"/>
    <col min="6" max="8" width="12.6640625" customWidth="1"/>
    <col min="9" max="9" width="9.109375" bestFit="1" customWidth="1"/>
    <col min="10" max="12" width="15" customWidth="1"/>
    <col min="13" max="13" width="9.109375" bestFit="1" customWidth="1"/>
    <col min="14" max="16" width="26.6640625" customWidth="1"/>
    <col min="17" max="17" width="9.109375" bestFit="1" customWidth="1"/>
    <col min="18" max="18" width="12" style="1089" bestFit="1" customWidth="1"/>
    <col min="19" max="19" width="13.44140625" style="1089" bestFit="1" customWidth="1"/>
    <col min="20" max="20" width="20.88671875" style="1089" customWidth="1"/>
    <col min="21" max="21" width="11" style="1089" bestFit="1" customWidth="1"/>
    <col min="22" max="22" width="66" style="1089" bestFit="1" customWidth="1"/>
    <col min="23" max="23" width="30.88671875" style="1089" bestFit="1" customWidth="1"/>
    <col min="24" max="24" width="17.109375" style="1089" bestFit="1" customWidth="1"/>
    <col min="25" max="25" width="22" style="1089" bestFit="1" customWidth="1"/>
    <col min="26" max="26" width="14.6640625" style="1089" bestFit="1" customWidth="1"/>
    <col min="27" max="27" width="17.109375" style="1089" bestFit="1" customWidth="1"/>
    <col min="28" max="28" width="21.33203125" style="1089" customWidth="1"/>
    <col min="29" max="29" width="7" style="1089" bestFit="1" customWidth="1"/>
  </cols>
  <sheetData>
    <row r="1" spans="1:29" ht="17.399999999999999">
      <c r="A1" s="762" t="s">
        <v>677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090" t="s">
        <v>1</v>
      </c>
      <c r="S1" s="1091" t="s">
        <v>2</v>
      </c>
      <c r="T1" s="1091" t="s">
        <v>3</v>
      </c>
      <c r="U1" s="1091" t="s">
        <v>211</v>
      </c>
      <c r="V1" s="1091" t="s">
        <v>5</v>
      </c>
      <c r="W1" s="1091" t="s">
        <v>194</v>
      </c>
      <c r="X1" s="1091" t="s">
        <v>212</v>
      </c>
      <c r="Y1" s="1091" t="s">
        <v>213</v>
      </c>
      <c r="Z1" s="1091" t="s">
        <v>406</v>
      </c>
      <c r="AA1" s="1091" t="s">
        <v>215</v>
      </c>
      <c r="AB1" s="1091" t="s">
        <v>216</v>
      </c>
      <c r="AC1" s="1092" t="s">
        <v>407</v>
      </c>
    </row>
    <row r="2" spans="1:29" ht="17.399999999999999">
      <c r="A2" s="762" t="s">
        <v>678</v>
      </c>
      <c r="B2" s="733"/>
      <c r="C2" s="733"/>
      <c r="D2" s="733"/>
      <c r="E2" s="734"/>
      <c r="F2" s="1536" t="s">
        <v>679</v>
      </c>
      <c r="G2" s="1536"/>
      <c r="H2" s="1536"/>
      <c r="I2" s="742"/>
      <c r="J2" s="1525" t="s">
        <v>680</v>
      </c>
      <c r="K2" s="1525"/>
      <c r="L2" s="1525"/>
      <c r="M2" s="734"/>
      <c r="N2" s="1535"/>
      <c r="O2" s="1535"/>
      <c r="P2" s="1535"/>
      <c r="R2" s="1093" t="s">
        <v>662</v>
      </c>
      <c r="S2" s="1068">
        <v>3331558755</v>
      </c>
      <c r="T2" s="1094" t="s">
        <v>336</v>
      </c>
      <c r="U2" s="1068">
        <v>24141278</v>
      </c>
      <c r="V2" s="1068" t="s">
        <v>185</v>
      </c>
      <c r="W2" s="1086" t="s">
        <v>474</v>
      </c>
      <c r="X2" s="1152">
        <v>36558.04</v>
      </c>
      <c r="Y2" s="1068" t="s">
        <v>128</v>
      </c>
      <c r="Z2" s="1093">
        <v>1</v>
      </c>
      <c r="AA2" s="1068">
        <v>1</v>
      </c>
      <c r="AB2" s="1067" t="s">
        <v>204</v>
      </c>
      <c r="AC2" s="1100"/>
    </row>
    <row r="3" spans="1:29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093" t="s">
        <v>662</v>
      </c>
      <c r="S3" s="1068">
        <v>3331558757</v>
      </c>
      <c r="T3" s="1094" t="s">
        <v>336</v>
      </c>
      <c r="U3" s="1068">
        <v>24141274</v>
      </c>
      <c r="V3" s="1068" t="s">
        <v>185</v>
      </c>
      <c r="W3" s="1086" t="s">
        <v>474</v>
      </c>
      <c r="X3" s="1094">
        <f>21116.946+13639.815</f>
        <v>34756.760999999999</v>
      </c>
      <c r="Y3" s="1151" t="s">
        <v>128</v>
      </c>
      <c r="Z3" s="1068">
        <v>1</v>
      </c>
      <c r="AA3" s="1068">
        <v>1</v>
      </c>
      <c r="AB3" s="1067" t="s">
        <v>204</v>
      </c>
      <c r="AC3" s="1100"/>
    </row>
    <row r="4" spans="1:29" ht="38.2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93" t="s">
        <v>662</v>
      </c>
      <c r="S4" s="1068">
        <v>3331558762</v>
      </c>
      <c r="T4" s="1094" t="s">
        <v>256</v>
      </c>
      <c r="U4" s="1068" t="s">
        <v>256</v>
      </c>
      <c r="V4" s="1068" t="s">
        <v>256</v>
      </c>
      <c r="W4" s="1086" t="s">
        <v>256</v>
      </c>
      <c r="X4" s="1094" t="s">
        <v>256</v>
      </c>
      <c r="Y4" s="1068" t="s">
        <v>256</v>
      </c>
      <c r="Z4" s="1068" t="s">
        <v>256</v>
      </c>
      <c r="AA4" s="1068" t="s">
        <v>256</v>
      </c>
      <c r="AB4" s="1067" t="s">
        <v>256</v>
      </c>
      <c r="AC4" s="1100"/>
    </row>
    <row r="5" spans="1:29" ht="18">
      <c r="A5" s="746" t="s">
        <v>427</v>
      </c>
      <c r="B5" s="747" cm="1">
        <f t="array" ref="B5">SUMPRODUCT(--ISNUMBER(MATCH(TRIM(W1:W213), {"JABODETABEK","JAWA TENGAH","JAWA TIMUR","LUAR PULAU"}, 0)))</f>
        <v>37</v>
      </c>
      <c r="C5" s="747" cm="1">
        <f t="array" ref="C5">SUMPRODUCT(--(LOWER(TRIM(AB1:AB239))="masuk"), --(ISNUMBER(MATCH(TRIM(W1:W239), {"JABODETABEK","JAWA TENGAH","JAWA TIMUR","LUAR PULAU"}, 0))))</f>
        <v>36</v>
      </c>
      <c r="D5" s="740">
        <f>C5+-B5</f>
        <v>-1</v>
      </c>
      <c r="E5" s="734"/>
      <c r="F5" s="748" cm="1">
        <f t="array" ref="F5">SUMPRODUCT(--(LOWER(AC1:AC239)="add"), --(ISNUMBER(MATCH(W1:W239, {"JABODETABEK","JAWA TENGAH","JAWA TIMUR","LUAR PULAU"}, 0))))</f>
        <v>0</v>
      </c>
      <c r="G5" s="747" cm="1">
        <f t="array" ref="G5">SUMPRODUCT(--(LOWER(AB1:AB239)="masuk"), --(LOWER(AC1:AC239)="add"))</f>
        <v>0</v>
      </c>
      <c r="H5" s="740">
        <f>G5+-F5</f>
        <v>0</v>
      </c>
      <c r="I5" s="734"/>
      <c r="J5" s="748" cm="1">
        <f t="array" ref="J5">SUMPRODUCT(--(ISNUMBER(SEARCH("next day",LOWER(W1:W239)))+ISNUMBER(SEARCH("nextday",LOWER(W1:W239)))&gt; 0))</f>
        <v>13</v>
      </c>
      <c r="K5" s="747" cm="1">
        <f t="array" ref="K5">SUMPRODUCT(--(LOWER(AB1:AB239)="masuk"), --ISNUMBER(SEARCH("next day", LOWER(W1:W239))))</f>
        <v>8</v>
      </c>
      <c r="L5" s="747">
        <f>K5+-J5</f>
        <v>-5</v>
      </c>
      <c r="M5" s="734"/>
      <c r="N5" s="748">
        <f>B5+F5+J5</f>
        <v>50</v>
      </c>
      <c r="O5" s="747">
        <f>C5+G5+K5</f>
        <v>44</v>
      </c>
      <c r="P5" s="740">
        <f>D5+H5+L5</f>
        <v>-6</v>
      </c>
      <c r="R5" s="1093" t="s">
        <v>662</v>
      </c>
      <c r="S5" s="1068">
        <v>3331558770</v>
      </c>
      <c r="T5" s="1094" t="s">
        <v>336</v>
      </c>
      <c r="U5" s="1068">
        <v>24141283</v>
      </c>
      <c r="V5" s="1068" t="s">
        <v>185</v>
      </c>
      <c r="W5" s="1086" t="s">
        <v>474</v>
      </c>
      <c r="X5" s="1094">
        <v>38234.036</v>
      </c>
      <c r="Y5" s="1068" t="s">
        <v>128</v>
      </c>
      <c r="Z5" s="1068">
        <v>1</v>
      </c>
      <c r="AA5" s="1068">
        <v>1</v>
      </c>
      <c r="AB5" s="1067" t="s">
        <v>204</v>
      </c>
      <c r="AC5" s="1100"/>
    </row>
    <row r="6" spans="1:29" ht="17.399999999999999">
      <c r="A6" s="733"/>
      <c r="B6" s="733">
        <f>SUM(B5)</f>
        <v>37</v>
      </c>
      <c r="C6" s="733">
        <f>SUM(C5)</f>
        <v>36</v>
      </c>
      <c r="D6" s="739">
        <f>SUM(D5)</f>
        <v>-1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13</v>
      </c>
      <c r="K6" s="733">
        <f>SUM(K5)</f>
        <v>8</v>
      </c>
      <c r="L6" s="733">
        <f>SUM(L5)</f>
        <v>-5</v>
      </c>
      <c r="M6" s="733"/>
      <c r="N6" s="760">
        <f>SUM(N5:N5)</f>
        <v>50</v>
      </c>
      <c r="O6" s="760">
        <f>SUM(O5:O5)</f>
        <v>44</v>
      </c>
      <c r="P6" s="761">
        <f>SUM(P5:P5)</f>
        <v>-6</v>
      </c>
      <c r="R6" s="1093" t="s">
        <v>567</v>
      </c>
      <c r="S6" s="1068">
        <v>3331559284</v>
      </c>
      <c r="T6" s="1094" t="s">
        <v>152</v>
      </c>
      <c r="U6" s="1068">
        <v>24141333</v>
      </c>
      <c r="V6" s="1068" t="s">
        <v>430</v>
      </c>
      <c r="W6" s="1086" t="s">
        <v>481</v>
      </c>
      <c r="X6" s="1094">
        <v>35136.059000000001</v>
      </c>
      <c r="Y6" s="1068" t="s">
        <v>128</v>
      </c>
      <c r="Z6" s="1068">
        <v>1</v>
      </c>
      <c r="AA6" s="1068">
        <v>1</v>
      </c>
      <c r="AB6" s="1067" t="s">
        <v>204</v>
      </c>
      <c r="AC6" s="1100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01" t="s">
        <v>600</v>
      </c>
      <c r="S7" s="1102">
        <v>3331558151</v>
      </c>
      <c r="T7" s="1082" t="s">
        <v>34</v>
      </c>
      <c r="U7" s="1102">
        <v>24141348</v>
      </c>
      <c r="V7" s="1102" t="s">
        <v>158</v>
      </c>
      <c r="W7" s="1136" t="s">
        <v>199</v>
      </c>
      <c r="X7" s="1082">
        <v>22105.844000000001</v>
      </c>
      <c r="Y7" s="1102" t="s">
        <v>200</v>
      </c>
      <c r="Z7" s="1102">
        <v>1</v>
      </c>
      <c r="AA7" s="1102">
        <v>1</v>
      </c>
      <c r="AB7" s="1104" t="s">
        <v>204</v>
      </c>
      <c r="AC7" s="1100"/>
    </row>
    <row r="8" spans="1:29" ht="18.75" customHeight="1">
      <c r="A8" s="763" t="str">
        <f>A1</f>
        <v>Plan tgl 08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01" t="s">
        <v>600</v>
      </c>
      <c r="S8" s="1102">
        <v>3331559458</v>
      </c>
      <c r="T8" s="1082" t="s">
        <v>287</v>
      </c>
      <c r="U8" s="1102">
        <v>24141349</v>
      </c>
      <c r="V8" s="1102" t="s">
        <v>158</v>
      </c>
      <c r="W8" s="1136" t="s">
        <v>199</v>
      </c>
      <c r="X8" s="1082">
        <v>24989.955999999998</v>
      </c>
      <c r="Y8" s="1102" t="s">
        <v>200</v>
      </c>
      <c r="Z8" s="1102">
        <v>1</v>
      </c>
      <c r="AA8" s="1102">
        <v>1</v>
      </c>
      <c r="AB8" s="1104" t="s">
        <v>204</v>
      </c>
      <c r="AC8" s="1100"/>
    </row>
    <row r="9" spans="1:29" ht="18">
      <c r="A9" s="763" t="str">
        <f>A2</f>
        <v>Realz update 09 OKT’25 jam 07.00</v>
      </c>
      <c r="B9" s="825"/>
      <c r="C9" s="825"/>
      <c r="D9" s="825"/>
      <c r="E9" s="734"/>
      <c r="F9" s="1525" t="str">
        <f>F2</f>
        <v>Tgl 08 OKT’25 diatas jam 15.00</v>
      </c>
      <c r="G9" s="1525"/>
      <c r="H9" s="1525"/>
      <c r="I9" s="826"/>
      <c r="J9" s="1525" t="str">
        <f>J2</f>
        <v>Tgl 08 OKT’25</v>
      </c>
      <c r="K9" s="1525"/>
      <c r="L9" s="1525"/>
      <c r="M9" s="734"/>
      <c r="N9" s="1526"/>
      <c r="O9" s="1526"/>
      <c r="P9" s="1526"/>
      <c r="R9" s="1101" t="s">
        <v>600</v>
      </c>
      <c r="S9" s="1102">
        <v>3331559470</v>
      </c>
      <c r="T9" s="1102" t="s">
        <v>11</v>
      </c>
      <c r="U9" s="1102">
        <v>24141355</v>
      </c>
      <c r="V9" s="1102" t="s">
        <v>158</v>
      </c>
      <c r="W9" s="1136" t="s">
        <v>199</v>
      </c>
      <c r="X9" s="1082">
        <v>23565.55</v>
      </c>
      <c r="Y9" s="1102" t="s">
        <v>200</v>
      </c>
      <c r="Z9" s="1102">
        <v>1</v>
      </c>
      <c r="AA9" s="1102">
        <v>1</v>
      </c>
      <c r="AB9" s="1104" t="s">
        <v>204</v>
      </c>
      <c r="AC9" s="1100"/>
    </row>
    <row r="10" spans="1:29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01" t="s">
        <v>600</v>
      </c>
      <c r="S10" s="1102">
        <v>3331559471</v>
      </c>
      <c r="T10" s="1102" t="s">
        <v>34</v>
      </c>
      <c r="U10" s="1102">
        <v>24141356</v>
      </c>
      <c r="V10" s="1102" t="s">
        <v>158</v>
      </c>
      <c r="W10" s="1136" t="s">
        <v>199</v>
      </c>
      <c r="X10" s="1082">
        <v>23909.601999999999</v>
      </c>
      <c r="Y10" s="1102" t="s">
        <v>200</v>
      </c>
      <c r="Z10" s="1102">
        <v>1</v>
      </c>
      <c r="AA10" s="1102">
        <v>1</v>
      </c>
      <c r="AB10" s="1104" t="s">
        <v>204</v>
      </c>
      <c r="AC10" s="1100"/>
    </row>
    <row r="11" spans="1:29" ht="34.5" customHeight="1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093" t="s">
        <v>600</v>
      </c>
      <c r="S11" s="1068">
        <v>3331559460</v>
      </c>
      <c r="T11" s="1068" t="s">
        <v>445</v>
      </c>
      <c r="U11" s="1068">
        <v>24141351</v>
      </c>
      <c r="V11" s="1068" t="s">
        <v>224</v>
      </c>
      <c r="W11" s="1086" t="s">
        <v>203</v>
      </c>
      <c r="X11" s="1094">
        <v>27063.125</v>
      </c>
      <c r="Y11" s="1068" t="s">
        <v>200</v>
      </c>
      <c r="Z11" s="1068">
        <v>1</v>
      </c>
      <c r="AA11" s="1068">
        <v>1</v>
      </c>
      <c r="AB11" s="1067" t="s">
        <v>204</v>
      </c>
      <c r="AC11" s="1103"/>
    </row>
    <row r="12" spans="1:29" ht="18">
      <c r="A12" s="845" t="s">
        <v>199</v>
      </c>
      <c r="B12" s="748" cm="1">
        <f t="array" ref="B12">SUMPRODUCT(--(TRIM(LOWER(W1:W239))="jabodetabek"))</f>
        <v>11</v>
      </c>
      <c r="C12" s="748" cm="1">
        <f t="array" ref="C12">SUMPRODUCT(--(LOWER(AB1:AB239)="masuk"), --(TRIM(LOWER(W1:W239))="jabodetabek"))</f>
        <v>11</v>
      </c>
      <c r="D12" s="973">
        <f>C12+-B12</f>
        <v>0</v>
      </c>
      <c r="E12" s="734"/>
      <c r="F12" s="748" cm="1">
        <f t="array" ref="F12">SUMPRODUCT(--(LOWER(AC1:AC239)="add"), --(TRIM(LOWER(W1:W239))="jabodetabek"))</f>
        <v>0</v>
      </c>
      <c r="G12" s="747" cm="1">
        <f t="array" ref="G12">SUMPRODUCT(--(LOWER(AB1:AB239)="masuk"), --(LOWER(AC1:AC239)="add"), --(TRIM(LOWER(W1:W239))="jabodetabek"))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day",LOWER(W1:W239)))+ISNUMBER(SEARCH("jabodetabek nextday",LOWER(W1:W239)))&gt; 0))</f>
        <v>0</v>
      </c>
      <c r="K12" s="747" cm="1">
        <f t="array" ref="K12">SUMPRODUCT(--(LOWER(AB1:AB239)="masuk"), --(LOWER(TRIM(W1:W239))="jabodetabek next day"))</f>
        <v>0</v>
      </c>
      <c r="L12" s="747">
        <f>K12+-J12</f>
        <v>0</v>
      </c>
      <c r="M12" s="734"/>
      <c r="N12" s="748">
        <f t="shared" ref="N12:P16" si="0">B12+F12+J12</f>
        <v>11</v>
      </c>
      <c r="O12" s="747">
        <f t="shared" si="0"/>
        <v>11</v>
      </c>
      <c r="P12" s="740">
        <f t="shared" si="0"/>
        <v>0</v>
      </c>
      <c r="R12" s="1093" t="s">
        <v>600</v>
      </c>
      <c r="S12" s="1068">
        <v>3331559462</v>
      </c>
      <c r="T12" s="1068" t="s">
        <v>445</v>
      </c>
      <c r="U12" s="1068">
        <v>24141352</v>
      </c>
      <c r="V12" s="1068" t="s">
        <v>224</v>
      </c>
      <c r="W12" s="1086" t="s">
        <v>203</v>
      </c>
      <c r="X12" s="1094">
        <v>26067.202000000001</v>
      </c>
      <c r="Y12" s="1068" t="s">
        <v>200</v>
      </c>
      <c r="Z12" s="1068">
        <v>1</v>
      </c>
      <c r="AA12" s="1068">
        <v>1</v>
      </c>
      <c r="AB12" s="1067" t="s">
        <v>204</v>
      </c>
      <c r="AC12" s="1103"/>
    </row>
    <row r="13" spans="1:29" ht="18">
      <c r="A13" s="845" t="s">
        <v>203</v>
      </c>
      <c r="B13" s="750" cm="1">
        <f t="array" ref="B13">SUMPRODUCT(--(TRIM(LOWER(W1:W239))="jawa tengah"))</f>
        <v>20</v>
      </c>
      <c r="C13" s="750" cm="1">
        <f t="array" ref="C13">SUMPRODUCT(--(LOWER(AB1:AB239)="masuk"), --(TRIM(LOWER(W1:W239))="jawa tengah"))</f>
        <v>20</v>
      </c>
      <c r="D13" s="846">
        <f>C13+-B13</f>
        <v>0</v>
      </c>
      <c r="E13" s="734"/>
      <c r="F13" s="751" cm="1">
        <f t="array" ref="F13">SUMPRODUCT(--(LOWER(AC1:AC239)="add"), --(TRIM(LOWER(W1:W239))="jawa tengah"))</f>
        <v>0</v>
      </c>
      <c r="G13" s="747" cm="1">
        <f t="array" ref="G13">SUMPRODUCT(--(LOWER(AB1:AB239)="masuk"), --(LOWER(AC1:AC239)="add"), --(TRIM(LOWER(W1:W239))="jawa tengah"))</f>
        <v>0</v>
      </c>
      <c r="H13" s="740">
        <f>G13+-F13</f>
        <v>0</v>
      </c>
      <c r="I13" s="734"/>
      <c r="J13" s="748" cm="1">
        <f t="array" ref="J13">SUMPRODUCT(--((LOWER(TRIM(W1:W239))="jawa tengah next day")+(LOWER(TRIM(W1:W239))="jawa tengah nextday")))</f>
        <v>10</v>
      </c>
      <c r="K13" s="747" cm="1">
        <f t="array" ref="K13">SUMPRODUCT(--(LOWER(AB1:AB239)="masuk"), --(LOWER(TRIM(W1:W239))="jawa tengah next day"))</f>
        <v>7</v>
      </c>
      <c r="L13" s="747">
        <f>K13+-J13</f>
        <v>-3</v>
      </c>
      <c r="M13" s="734"/>
      <c r="N13" s="748">
        <f t="shared" si="0"/>
        <v>30</v>
      </c>
      <c r="O13" s="747">
        <f t="shared" si="0"/>
        <v>27</v>
      </c>
      <c r="P13" s="740">
        <f t="shared" si="0"/>
        <v>-3</v>
      </c>
      <c r="R13" s="1093" t="s">
        <v>600</v>
      </c>
      <c r="S13" s="1068">
        <v>3331559464</v>
      </c>
      <c r="T13" s="1068" t="s">
        <v>445</v>
      </c>
      <c r="U13" s="1068">
        <v>24141353</v>
      </c>
      <c r="V13" s="1068" t="s">
        <v>224</v>
      </c>
      <c r="W13" s="1086" t="s">
        <v>203</v>
      </c>
      <c r="X13" s="1094">
        <v>26327.008000000002</v>
      </c>
      <c r="Y13" s="1068" t="s">
        <v>200</v>
      </c>
      <c r="Z13" s="1068">
        <v>1</v>
      </c>
      <c r="AA13" s="1068">
        <v>1</v>
      </c>
      <c r="AB13" s="1067" t="s">
        <v>204</v>
      </c>
      <c r="AC13" s="1103"/>
    </row>
    <row r="14" spans="1:29" ht="18">
      <c r="A14" s="845" t="s">
        <v>205</v>
      </c>
      <c r="B14" s="750" cm="1">
        <f t="array" ref="B14">SUMPRODUCT(--(TRIM(LOWER(W1:W239))="jawa timur"))</f>
        <v>6</v>
      </c>
      <c r="C14" s="750" cm="1">
        <f t="array" ref="C14">SUMPRODUCT(--(LOWER(AB1:AB239)="masuk"), --(TRIM(LOWER(W1:W239))="jawa timur"))</f>
        <v>5</v>
      </c>
      <c r="D14" s="846">
        <f>C14+-B14</f>
        <v>-1</v>
      </c>
      <c r="E14" s="734"/>
      <c r="F14" s="750" cm="1">
        <f t="array" ref="F14">SUMPRODUCT(--(LOWER(AC1:AC239)="add"), --(TRIM(LOWER(W1:W239))="jawa timur"))</f>
        <v>0</v>
      </c>
      <c r="G14" s="747" cm="1">
        <f t="array" ref="G14">SUMPRODUCT(--(LOWER(AB1:AB239)="masuk"), --(LOWER(AC1:AC239)="add"), --(TRIM(LOWER(W1:W239))="jawa timur"))</f>
        <v>0</v>
      </c>
      <c r="H14" s="740">
        <f>G14+-F14</f>
        <v>0</v>
      </c>
      <c r="I14" s="734"/>
      <c r="J14" s="748" cm="1">
        <f t="array" ref="J14">SUMPRODUCT(--((LOWER(TRIM(W1:W239))="jawa timur next day")+(LOWER(TRIM(W1:W239))="jawa timur nextday")))</f>
        <v>3</v>
      </c>
      <c r="K14" s="747" cm="1">
        <f t="array" ref="K14">SUMPRODUCT(--(LOWER(AB1:AB239)="masuk"), --(LOWER(TRIM(W1:W239))="jawa timur next day"))</f>
        <v>1</v>
      </c>
      <c r="L14" s="747">
        <f>K14+-J14</f>
        <v>-2</v>
      </c>
      <c r="M14" s="734"/>
      <c r="N14" s="748">
        <f t="shared" si="0"/>
        <v>9</v>
      </c>
      <c r="O14" s="747">
        <f t="shared" si="0"/>
        <v>6</v>
      </c>
      <c r="P14" s="740">
        <f t="shared" si="0"/>
        <v>-3</v>
      </c>
      <c r="R14" s="1068" t="s">
        <v>600</v>
      </c>
      <c r="S14" s="1068">
        <v>3331559474</v>
      </c>
      <c r="T14" s="1068" t="s">
        <v>441</v>
      </c>
      <c r="U14" s="1068">
        <v>24141357</v>
      </c>
      <c r="V14" s="1068" t="s">
        <v>224</v>
      </c>
      <c r="W14" s="1086" t="s">
        <v>203</v>
      </c>
      <c r="X14" s="1132">
        <v>25460.988000000001</v>
      </c>
      <c r="Y14" s="1068" t="s">
        <v>200</v>
      </c>
      <c r="Z14" s="1068">
        <v>1</v>
      </c>
      <c r="AA14" s="1068">
        <v>1</v>
      </c>
      <c r="AB14" s="1067" t="s">
        <v>204</v>
      </c>
      <c r="AC14" s="1103"/>
    </row>
    <row r="15" spans="1:29" ht="18">
      <c r="A15" s="845" t="s">
        <v>362</v>
      </c>
      <c r="B15" s="750" cm="1">
        <f t="array" ref="B15">SUMPRODUCT(--(TRIM(LOWER(W1:W239))="luar pulau"))</f>
        <v>0</v>
      </c>
      <c r="C15" s="750" cm="1">
        <f t="array" ref="C15">SUMPRODUCT(--(LOWER(AB1:AB239)="masuk"), --(TRIM(LOWER(W1:W239))="luar pulau"))</f>
        <v>0</v>
      </c>
      <c r="D15" s="846">
        <f>C15+-B15</f>
        <v>0</v>
      </c>
      <c r="E15" s="734"/>
      <c r="F15" s="748" cm="1">
        <f t="array" ref="F15">SUMPRODUCT(--(LOWER(AC1:AC239)="add"), --(TRIM(LOWER(W1:W239))="luar pulau"))</f>
        <v>0</v>
      </c>
      <c r="G15" s="747" cm="1">
        <f t="array" ref="G15">SUMPRODUCT(--(LOWER(AB1:AB239)="masuk"), --(LOWER(AC1:AC239)="add"), --(TRIM(LOWER(W1:W239))="luar pulau"))</f>
        <v>0</v>
      </c>
      <c r="H15" s="740">
        <f>G15+-F15</f>
        <v>0</v>
      </c>
      <c r="I15" s="734"/>
      <c r="J15" s="748" cm="1">
        <f t="array" ref="J15">SUMPRODUCT(--((LOWER(TRIM(W1:W239))="luar pulau next day")+(LOWER(TRIM(W1:W239))="luar pulau nextday")))</f>
        <v>0</v>
      </c>
      <c r="K15" s="747" cm="1">
        <f t="array" ref="K15">SUMPRODUCT(--(LOWER(AB1:AB239)="masuk"), --(LOWER(TRIM(W1:W239))="luar pulau next day"))</f>
        <v>0</v>
      </c>
      <c r="L15" s="747">
        <f>K15+-J15</f>
        <v>0</v>
      </c>
      <c r="M15" s="734"/>
      <c r="N15" s="748">
        <f t="shared" si="0"/>
        <v>0</v>
      </c>
      <c r="O15" s="747">
        <f t="shared" si="0"/>
        <v>0</v>
      </c>
      <c r="P15" s="740">
        <f t="shared" si="0"/>
        <v>0</v>
      </c>
      <c r="R15" s="1068" t="s">
        <v>452</v>
      </c>
      <c r="S15" s="1068">
        <v>3331559475</v>
      </c>
      <c r="T15" s="1068" t="s">
        <v>441</v>
      </c>
      <c r="U15" s="1068">
        <v>24141358</v>
      </c>
      <c r="V15" s="1068" t="s">
        <v>224</v>
      </c>
      <c r="W15" s="1086" t="s">
        <v>203</v>
      </c>
      <c r="X15" s="1132">
        <v>26023.901000000002</v>
      </c>
      <c r="Y15" s="1068" t="s">
        <v>200</v>
      </c>
      <c r="Z15" s="1068">
        <v>1</v>
      </c>
      <c r="AA15" s="1068">
        <v>1</v>
      </c>
      <c r="AB15" s="1067" t="s">
        <v>204</v>
      </c>
      <c r="AC15" s="1103"/>
    </row>
    <row r="16" spans="1:29" ht="17.399999999999999">
      <c r="A16" s="827"/>
      <c r="B16" s="733">
        <f>SUM(B12:B15)</f>
        <v>37</v>
      </c>
      <c r="C16" s="733">
        <f>SUM(C12:C15)</f>
        <v>36</v>
      </c>
      <c r="D16" s="739">
        <f>SUM(D12:D15)</f>
        <v>-1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13</v>
      </c>
      <c r="K16" s="733">
        <f>SUM(K12:K15)</f>
        <v>8</v>
      </c>
      <c r="L16" s="733">
        <f>SUM(L12:L15)</f>
        <v>-5</v>
      </c>
      <c r="M16" s="734"/>
      <c r="N16" s="760">
        <f t="shared" si="0"/>
        <v>50</v>
      </c>
      <c r="O16" s="760">
        <f t="shared" si="0"/>
        <v>44</v>
      </c>
      <c r="P16" s="761">
        <f t="shared" si="0"/>
        <v>-6</v>
      </c>
      <c r="R16" s="1093" t="s">
        <v>600</v>
      </c>
      <c r="S16" s="1068">
        <v>3331559480</v>
      </c>
      <c r="T16" s="1068" t="s">
        <v>445</v>
      </c>
      <c r="U16" s="1068">
        <v>24141360</v>
      </c>
      <c r="V16" s="1068" t="s">
        <v>224</v>
      </c>
      <c r="W16" s="1086" t="s">
        <v>203</v>
      </c>
      <c r="X16" s="1094">
        <v>25850.697</v>
      </c>
      <c r="Y16" s="1068" t="s">
        <v>200</v>
      </c>
      <c r="Z16" s="1068">
        <v>1</v>
      </c>
      <c r="AA16" s="1068">
        <v>1</v>
      </c>
      <c r="AB16" s="1067" t="s">
        <v>204</v>
      </c>
      <c r="AC16" s="1096"/>
    </row>
    <row r="17" spans="1:29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063" t="s">
        <v>600</v>
      </c>
      <c r="S17" s="1064">
        <v>3331559484</v>
      </c>
      <c r="T17" s="1068" t="s">
        <v>445</v>
      </c>
      <c r="U17" s="1070">
        <v>24141364</v>
      </c>
      <c r="V17" s="1068" t="s">
        <v>224</v>
      </c>
      <c r="W17" s="1086" t="s">
        <v>203</v>
      </c>
      <c r="X17" s="1065">
        <v>24113.82</v>
      </c>
      <c r="Y17" s="1068" t="s">
        <v>200</v>
      </c>
      <c r="Z17" s="1068">
        <v>1</v>
      </c>
      <c r="AA17" s="1068">
        <v>1</v>
      </c>
      <c r="AB17" s="1067" t="s">
        <v>204</v>
      </c>
      <c r="AC17" s="1125"/>
    </row>
    <row r="18" spans="1:29" ht="17.399999999999999">
      <c r="A18" s="1007" t="s">
        <v>434</v>
      </c>
      <c r="B18" s="1522" t="s">
        <v>415</v>
      </c>
      <c r="C18" s="1523"/>
      <c r="D18" s="152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063" t="s">
        <v>600</v>
      </c>
      <c r="S18" s="1064">
        <v>3331559487</v>
      </c>
      <c r="T18" s="1068" t="s">
        <v>445</v>
      </c>
      <c r="U18" s="1064">
        <v>24141366</v>
      </c>
      <c r="V18" s="1068" t="s">
        <v>224</v>
      </c>
      <c r="W18" s="1086" t="s">
        <v>203</v>
      </c>
      <c r="X18" s="1065">
        <v>25781.264999999999</v>
      </c>
      <c r="Y18" s="1068" t="s">
        <v>200</v>
      </c>
      <c r="Z18" s="1068">
        <v>1</v>
      </c>
      <c r="AA18" s="1068">
        <v>1</v>
      </c>
      <c r="AB18" s="1067" t="s">
        <v>204</v>
      </c>
      <c r="AC18" s="1126"/>
    </row>
    <row r="19" spans="1:29" ht="17.399999999999999">
      <c r="A19" s="1008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063" t="s">
        <v>600</v>
      </c>
      <c r="S19" s="1064">
        <v>3331559491</v>
      </c>
      <c r="T19" s="1068" t="s">
        <v>445</v>
      </c>
      <c r="U19" s="1064">
        <v>24141367</v>
      </c>
      <c r="V19" s="1068" t="s">
        <v>224</v>
      </c>
      <c r="W19" s="1086" t="s">
        <v>203</v>
      </c>
      <c r="X19" s="1065">
        <v>23515.25</v>
      </c>
      <c r="Y19" s="1068" t="s">
        <v>200</v>
      </c>
      <c r="Z19" s="1068">
        <v>1</v>
      </c>
      <c r="AA19" s="1068">
        <v>1</v>
      </c>
      <c r="AB19" s="1067" t="s">
        <v>204</v>
      </c>
      <c r="AC19" s="1126"/>
    </row>
    <row r="20" spans="1:29" ht="18">
      <c r="A20" s="968" t="s">
        <v>427</v>
      </c>
      <c r="B20" s="970" cm="1">
        <f t="array" ref="B20">SUMPRODUCT(--((LOWER(TRIM($W$2:$W$246))="ambil sendiri")+(LOWER(TRIM($W$2:$W$246))="cokot sorangan")))</f>
        <v>3</v>
      </c>
      <c r="C20" s="969" cm="1">
        <f t="array" ref="C20">SUMPRODUCT(--(LOWER(AB2:AB272)="masuk"), --((LOWER(TRIM($W$2:$W$272))="cokot sorangan") + (LOWER(TRIM(W2:W272))="ambil sendiri")))</f>
        <v>3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063" t="s">
        <v>600</v>
      </c>
      <c r="S20" s="1064">
        <v>3331559492</v>
      </c>
      <c r="T20" s="1068" t="s">
        <v>445</v>
      </c>
      <c r="U20" s="1064">
        <v>24141368</v>
      </c>
      <c r="V20" s="1068" t="s">
        <v>224</v>
      </c>
      <c r="W20" s="1086" t="s">
        <v>203</v>
      </c>
      <c r="X20" s="1065">
        <v>23515.25</v>
      </c>
      <c r="Y20" s="1068" t="s">
        <v>200</v>
      </c>
      <c r="Z20" s="1068">
        <v>1</v>
      </c>
      <c r="AA20" s="1068">
        <v>1</v>
      </c>
      <c r="AB20" s="1067" t="s">
        <v>204</v>
      </c>
      <c r="AC20" s="1126"/>
    </row>
    <row r="21" spans="1:29" ht="17.399999999999999">
      <c r="A21" s="993"/>
      <c r="B21" s="760">
        <f>SUM(B94:B97)</f>
        <v>0</v>
      </c>
      <c r="C21" s="760">
        <f>SUM(C94:C97)</f>
        <v>0</v>
      </c>
      <c r="D21" s="761">
        <f>SUM(D94:D97)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063" t="s">
        <v>600</v>
      </c>
      <c r="S21" s="1064">
        <v>3331559490</v>
      </c>
      <c r="T21" s="1064" t="s">
        <v>437</v>
      </c>
      <c r="U21" s="1064">
        <v>24141369</v>
      </c>
      <c r="V21" s="1064" t="s">
        <v>681</v>
      </c>
      <c r="W21" s="1086" t="s">
        <v>203</v>
      </c>
      <c r="X21" s="1065">
        <v>33178.885999999999</v>
      </c>
      <c r="Y21" s="1068" t="s">
        <v>128</v>
      </c>
      <c r="Z21" s="1068">
        <v>1</v>
      </c>
      <c r="AA21" s="1068">
        <v>1</v>
      </c>
      <c r="AB21" s="1067" t="s">
        <v>204</v>
      </c>
      <c r="AC21" s="1126"/>
    </row>
    <row r="22" spans="1:29" s="1131" customFormat="1" ht="17.399999999999999">
      <c r="A22" s="1127"/>
      <c r="B22" s="1130"/>
      <c r="C22" s="1127"/>
      <c r="D22" s="1127"/>
      <c r="E22" s="1130"/>
      <c r="F22" s="1127"/>
      <c r="G22" s="1127"/>
      <c r="H22" s="1127"/>
      <c r="I22" s="1130"/>
      <c r="J22" s="1127"/>
      <c r="K22" s="1127"/>
      <c r="L22" s="1127"/>
      <c r="M22" s="1130"/>
      <c r="N22" s="1128"/>
      <c r="O22" s="1128"/>
      <c r="P22" s="1128"/>
      <c r="R22" s="1063" t="s">
        <v>600</v>
      </c>
      <c r="S22" s="1064">
        <v>3331559495</v>
      </c>
      <c r="T22" s="1064" t="s">
        <v>682</v>
      </c>
      <c r="U22" s="1064">
        <v>24141370</v>
      </c>
      <c r="V22" s="1064" t="s">
        <v>681</v>
      </c>
      <c r="W22" s="1086" t="s">
        <v>203</v>
      </c>
      <c r="X22" s="1065">
        <v>25524.735000000001</v>
      </c>
      <c r="Y22" s="1064" t="s">
        <v>200</v>
      </c>
      <c r="Z22" s="1068">
        <v>1</v>
      </c>
      <c r="AA22" s="1068">
        <v>1</v>
      </c>
      <c r="AB22" s="1067" t="s">
        <v>204</v>
      </c>
      <c r="AC22" s="1126"/>
    </row>
    <row r="23" spans="1:29" s="1131" customFormat="1" ht="17.399999999999999">
      <c r="A23" s="1127"/>
      <c r="B23" s="1130"/>
      <c r="C23" s="1127"/>
      <c r="D23" s="1127"/>
      <c r="E23" s="1130"/>
      <c r="F23" s="1127"/>
      <c r="G23" s="1127"/>
      <c r="H23" s="1127"/>
      <c r="I23" s="1130"/>
      <c r="J23" s="1127"/>
      <c r="K23" s="1127"/>
      <c r="L23" s="1127"/>
      <c r="M23" s="1130"/>
      <c r="N23" s="1128"/>
      <c r="O23" s="1128"/>
      <c r="P23" s="1128"/>
      <c r="R23" s="1063" t="s">
        <v>600</v>
      </c>
      <c r="S23" s="1064">
        <v>3331559496</v>
      </c>
      <c r="T23" s="1068" t="s">
        <v>445</v>
      </c>
      <c r="U23" s="1064">
        <v>24141371</v>
      </c>
      <c r="V23" s="1068" t="s">
        <v>681</v>
      </c>
      <c r="W23" s="1086" t="s">
        <v>203</v>
      </c>
      <c r="X23" s="1065">
        <v>25738.51</v>
      </c>
      <c r="Y23" s="1068" t="s">
        <v>200</v>
      </c>
      <c r="Z23" s="1068">
        <v>1</v>
      </c>
      <c r="AA23" s="1068">
        <v>1</v>
      </c>
      <c r="AB23" s="1067" t="s">
        <v>204</v>
      </c>
      <c r="AC23" s="1125"/>
    </row>
    <row r="24" spans="1:29" s="1131" customFormat="1" ht="17.399999999999999">
      <c r="A24" s="1127"/>
      <c r="B24" s="1130"/>
      <c r="C24" s="1127"/>
      <c r="D24" s="1127"/>
      <c r="E24" s="1130"/>
      <c r="F24" s="1127"/>
      <c r="G24" s="1127"/>
      <c r="H24" s="1127"/>
      <c r="I24" s="1130"/>
      <c r="J24" s="1127"/>
      <c r="K24" s="1127"/>
      <c r="L24" s="1127"/>
      <c r="M24" s="1130"/>
      <c r="N24" s="1128"/>
      <c r="O24" s="1128"/>
      <c r="P24" s="1128"/>
      <c r="R24" s="1063" t="s">
        <v>600</v>
      </c>
      <c r="S24" s="1064">
        <v>3331559501</v>
      </c>
      <c r="T24" s="1068" t="s">
        <v>445</v>
      </c>
      <c r="U24" s="1064">
        <v>24141372</v>
      </c>
      <c r="V24" s="1068" t="s">
        <v>681</v>
      </c>
      <c r="W24" s="1086" t="s">
        <v>203</v>
      </c>
      <c r="X24" s="1065">
        <v>26621.023000000001</v>
      </c>
      <c r="Y24" s="1068" t="s">
        <v>200</v>
      </c>
      <c r="Z24" s="1068">
        <v>1</v>
      </c>
      <c r="AA24" s="1068">
        <v>1</v>
      </c>
      <c r="AB24" s="1067" t="s">
        <v>204</v>
      </c>
      <c r="AC24" s="1126"/>
    </row>
    <row r="25" spans="1:29" s="1131" customFormat="1" ht="17.399999999999999">
      <c r="A25" s="1127"/>
      <c r="B25" s="1130"/>
      <c r="C25" s="1127"/>
      <c r="D25" s="1127"/>
      <c r="E25" s="1130"/>
      <c r="F25" s="1127"/>
      <c r="G25" s="1127"/>
      <c r="H25" s="1127"/>
      <c r="I25" s="1130"/>
      <c r="J25" s="1127"/>
      <c r="K25" s="1127"/>
      <c r="L25" s="1127"/>
      <c r="M25" s="1130"/>
      <c r="N25" s="1128"/>
      <c r="O25" s="1128"/>
      <c r="P25" s="1128"/>
      <c r="R25" s="1063" t="s">
        <v>600</v>
      </c>
      <c r="S25" s="1064">
        <v>3331559507</v>
      </c>
      <c r="T25" s="1068" t="s">
        <v>445</v>
      </c>
      <c r="U25" s="1064">
        <v>24141373</v>
      </c>
      <c r="V25" s="1068" t="s">
        <v>681</v>
      </c>
      <c r="W25" s="1086" t="s">
        <v>203</v>
      </c>
      <c r="X25" s="1065">
        <v>25674.880000000001</v>
      </c>
      <c r="Y25" s="1068" t="s">
        <v>200</v>
      </c>
      <c r="Z25" s="1068">
        <v>1</v>
      </c>
      <c r="AA25" s="1068">
        <v>1</v>
      </c>
      <c r="AB25" s="1067" t="s">
        <v>204</v>
      </c>
      <c r="AC25" s="1126"/>
    </row>
    <row r="26" spans="1:29" s="1131" customFormat="1" ht="17.399999999999999">
      <c r="A26" s="1127"/>
      <c r="B26" s="1130"/>
      <c r="C26" s="1127"/>
      <c r="D26" s="1127"/>
      <c r="E26" s="1130"/>
      <c r="F26" s="1127"/>
      <c r="G26" s="1127"/>
      <c r="H26" s="1127"/>
      <c r="I26" s="1130"/>
      <c r="J26" s="1127"/>
      <c r="K26" s="1127"/>
      <c r="L26" s="1127"/>
      <c r="M26" s="1130"/>
      <c r="N26" s="1128"/>
      <c r="O26" s="1128"/>
      <c r="P26" s="1128"/>
      <c r="R26" s="1137" t="s">
        <v>600</v>
      </c>
      <c r="S26" s="1138">
        <v>3331559508</v>
      </c>
      <c r="T26" s="1068" t="s">
        <v>441</v>
      </c>
      <c r="U26" s="1138">
        <v>24141374</v>
      </c>
      <c r="V26" s="1139" t="s">
        <v>681</v>
      </c>
      <c r="W26" s="1140" t="s">
        <v>203</v>
      </c>
      <c r="X26" s="1141">
        <v>26018.933000000001</v>
      </c>
      <c r="Y26" s="1139" t="s">
        <v>200</v>
      </c>
      <c r="Z26" s="1139">
        <v>1</v>
      </c>
      <c r="AA26" s="1139">
        <v>1</v>
      </c>
      <c r="AB26" s="1142" t="s">
        <v>204</v>
      </c>
      <c r="AC26" s="1125"/>
    </row>
    <row r="27" spans="1:29" s="1131" customFormat="1" ht="17.399999999999999">
      <c r="A27" s="1127"/>
      <c r="B27" s="1130"/>
      <c r="C27" s="1127"/>
      <c r="D27" s="1127"/>
      <c r="E27" s="1130"/>
      <c r="F27" s="1127"/>
      <c r="G27" s="1127"/>
      <c r="H27" s="1127"/>
      <c r="I27" s="1130"/>
      <c r="J27" s="1127"/>
      <c r="K27" s="1127"/>
      <c r="L27" s="1127"/>
      <c r="M27" s="1130"/>
      <c r="N27" s="1128"/>
      <c r="O27" s="1128"/>
      <c r="P27" s="1128"/>
      <c r="R27" s="1137" t="s">
        <v>600</v>
      </c>
      <c r="S27" s="1138">
        <v>3331559513</v>
      </c>
      <c r="T27" s="1068" t="s">
        <v>441</v>
      </c>
      <c r="U27" s="1139">
        <v>24141375</v>
      </c>
      <c r="V27" s="1139" t="s">
        <v>681</v>
      </c>
      <c r="W27" s="1140" t="s">
        <v>203</v>
      </c>
      <c r="X27" s="1141">
        <v>26362.984</v>
      </c>
      <c r="Y27" s="1139" t="s">
        <v>200</v>
      </c>
      <c r="Z27" s="1139">
        <v>1</v>
      </c>
      <c r="AA27" s="1139">
        <v>1</v>
      </c>
      <c r="AB27" s="1142" t="s">
        <v>204</v>
      </c>
      <c r="AC27" s="1125"/>
    </row>
    <row r="28" spans="1:29" s="1131" customFormat="1" ht="17.399999999999999">
      <c r="A28" s="1127"/>
      <c r="B28" s="1130"/>
      <c r="C28" s="1127"/>
      <c r="D28" s="1127"/>
      <c r="E28" s="1130"/>
      <c r="F28" s="1127"/>
      <c r="G28" s="1127"/>
      <c r="H28" s="1127"/>
      <c r="I28" s="1130"/>
      <c r="J28" s="1127"/>
      <c r="K28" s="1127"/>
      <c r="L28" s="1127"/>
      <c r="M28" s="1130"/>
      <c r="N28" s="1128"/>
      <c r="O28" s="1128"/>
      <c r="P28" s="1128"/>
      <c r="R28" s="1137" t="s">
        <v>600</v>
      </c>
      <c r="S28" s="1138">
        <v>3331559515</v>
      </c>
      <c r="T28" s="1068" t="s">
        <v>27</v>
      </c>
      <c r="U28" s="1139">
        <v>24141376</v>
      </c>
      <c r="V28" s="1139" t="s">
        <v>681</v>
      </c>
      <c r="W28" s="1140" t="s">
        <v>203</v>
      </c>
      <c r="X28" s="1141">
        <v>26362.985000000001</v>
      </c>
      <c r="Y28" s="1139" t="s">
        <v>200</v>
      </c>
      <c r="Z28" s="1139">
        <v>1</v>
      </c>
      <c r="AA28" s="1139">
        <v>1</v>
      </c>
      <c r="AB28" s="1142" t="s">
        <v>204</v>
      </c>
      <c r="AC28" s="1125"/>
    </row>
    <row r="29" spans="1:29" s="1131" customFormat="1" ht="17.399999999999999">
      <c r="A29" s="1127"/>
      <c r="B29" s="1130"/>
      <c r="C29" s="1127"/>
      <c r="D29" s="1127"/>
      <c r="E29" s="1130"/>
      <c r="F29" s="1127"/>
      <c r="G29" s="1127"/>
      <c r="H29" s="1127"/>
      <c r="I29" s="1130"/>
      <c r="J29" s="1127"/>
      <c r="K29" s="1127"/>
      <c r="L29" s="1127"/>
      <c r="M29" s="1130"/>
      <c r="N29" s="1128"/>
      <c r="O29" s="1128"/>
      <c r="P29" s="1128"/>
      <c r="R29" s="1137" t="s">
        <v>600</v>
      </c>
      <c r="S29" s="1138">
        <v>3331559516</v>
      </c>
      <c r="T29" s="1068" t="s">
        <v>27</v>
      </c>
      <c r="U29" s="1138">
        <v>24141378</v>
      </c>
      <c r="V29" s="1139" t="s">
        <v>681</v>
      </c>
      <c r="W29" s="1140" t="s">
        <v>203</v>
      </c>
      <c r="X29" s="1141">
        <v>26750.043000000001</v>
      </c>
      <c r="Y29" s="1139" t="s">
        <v>200</v>
      </c>
      <c r="Z29" s="1139">
        <v>1</v>
      </c>
      <c r="AA29" s="1139">
        <v>1</v>
      </c>
      <c r="AB29" s="1142" t="s">
        <v>204</v>
      </c>
      <c r="AC29" s="1125"/>
    </row>
    <row r="30" spans="1:29" s="1131" customFormat="1" ht="17.399999999999999">
      <c r="A30" s="1129"/>
      <c r="B30" s="1127"/>
      <c r="C30" s="1127"/>
      <c r="D30" s="1127"/>
      <c r="E30" s="1130"/>
      <c r="F30" s="1127"/>
      <c r="G30" s="1127"/>
      <c r="H30" s="1127"/>
      <c r="I30" s="1130"/>
      <c r="J30" s="1127"/>
      <c r="K30" s="1127"/>
      <c r="L30" s="1127"/>
      <c r="M30" s="1130"/>
      <c r="N30" s="1128"/>
      <c r="O30" s="1128"/>
      <c r="P30" s="1128"/>
      <c r="R30" s="1137" t="s">
        <v>600</v>
      </c>
      <c r="S30" s="1138">
        <v>3331559517</v>
      </c>
      <c r="T30" s="1068" t="s">
        <v>445</v>
      </c>
      <c r="U30" s="1138">
        <v>24141379</v>
      </c>
      <c r="V30" s="1139" t="s">
        <v>681</v>
      </c>
      <c r="W30" s="1140" t="s">
        <v>203</v>
      </c>
      <c r="X30" s="1141">
        <v>26750.043000000001</v>
      </c>
      <c r="Y30" s="1139" t="s">
        <v>200</v>
      </c>
      <c r="Z30" s="1139">
        <v>1</v>
      </c>
      <c r="AA30" s="1139">
        <v>1</v>
      </c>
      <c r="AB30" s="1142" t="s">
        <v>204</v>
      </c>
      <c r="AC30" s="1125"/>
    </row>
    <row r="31" spans="1:29" s="1131" customFormat="1" ht="17.399999999999999">
      <c r="A31" s="1129"/>
      <c r="B31" s="1127"/>
      <c r="C31" s="1127"/>
      <c r="D31" s="1127"/>
      <c r="E31" s="1130"/>
      <c r="F31" s="1127"/>
      <c r="G31" s="1127"/>
      <c r="H31" s="1127"/>
      <c r="I31" s="1130"/>
      <c r="J31" s="1127"/>
      <c r="K31" s="1127"/>
      <c r="L31" s="1127"/>
      <c r="M31" s="1130"/>
      <c r="N31" s="1128"/>
      <c r="O31" s="1128"/>
      <c r="P31" s="1128"/>
      <c r="R31" s="1137" t="s">
        <v>600</v>
      </c>
      <c r="S31" s="1138">
        <v>3331559519</v>
      </c>
      <c r="T31" s="1068" t="s">
        <v>441</v>
      </c>
      <c r="U31" s="1138">
        <v>24141380</v>
      </c>
      <c r="V31" s="1139" t="s">
        <v>681</v>
      </c>
      <c r="W31" s="1140" t="s">
        <v>344</v>
      </c>
      <c r="X31" s="1141">
        <v>26750.043000000001</v>
      </c>
      <c r="Y31" s="1139" t="s">
        <v>200</v>
      </c>
      <c r="Z31" s="1139">
        <v>1</v>
      </c>
      <c r="AA31" s="1139">
        <v>1</v>
      </c>
      <c r="AB31" s="1142" t="s">
        <v>204</v>
      </c>
      <c r="AC31" s="1125"/>
    </row>
    <row r="32" spans="1:29" s="1131" customFormat="1" ht="17.399999999999999">
      <c r="A32" s="1129"/>
      <c r="B32" s="1127"/>
      <c r="C32" s="1127"/>
      <c r="D32" s="1127"/>
      <c r="E32" s="1130"/>
      <c r="F32" s="1127"/>
      <c r="G32" s="1127"/>
      <c r="H32" s="1127"/>
      <c r="I32" s="1130"/>
      <c r="J32" s="1127"/>
      <c r="K32" s="1127"/>
      <c r="L32" s="1127"/>
      <c r="M32" s="1130"/>
      <c r="N32" s="1128"/>
      <c r="O32" s="1128"/>
      <c r="P32" s="1128"/>
      <c r="R32" s="1137" t="s">
        <v>600</v>
      </c>
      <c r="S32" s="1138">
        <v>3331559522</v>
      </c>
      <c r="T32" s="1068" t="s">
        <v>441</v>
      </c>
      <c r="U32" s="1138">
        <v>24141381</v>
      </c>
      <c r="V32" s="1139" t="s">
        <v>681</v>
      </c>
      <c r="W32" s="1140" t="s">
        <v>344</v>
      </c>
      <c r="X32" s="1141">
        <v>26104.945</v>
      </c>
      <c r="Y32" s="1139" t="s">
        <v>200</v>
      </c>
      <c r="Z32" s="1139">
        <v>1</v>
      </c>
      <c r="AA32" s="1139">
        <v>1</v>
      </c>
      <c r="AB32" s="1142" t="s">
        <v>204</v>
      </c>
      <c r="AC32" s="1125"/>
    </row>
    <row r="33" spans="1:29" s="1131" customFormat="1" ht="17.399999999999999">
      <c r="A33" s="1129"/>
      <c r="B33" s="1127"/>
      <c r="C33" s="1127"/>
      <c r="D33" s="1127"/>
      <c r="E33" s="1130"/>
      <c r="F33" s="1127"/>
      <c r="G33" s="1127"/>
      <c r="H33" s="1127"/>
      <c r="I33" s="1130"/>
      <c r="J33" s="1127"/>
      <c r="K33" s="1127"/>
      <c r="L33" s="1127"/>
      <c r="M33" s="1130"/>
      <c r="N33" s="1128"/>
      <c r="O33" s="1128"/>
      <c r="P33" s="1128"/>
      <c r="R33" s="1095" t="s">
        <v>600</v>
      </c>
      <c r="S33" s="1096">
        <v>3331559582</v>
      </c>
      <c r="T33" s="1096" t="s">
        <v>445</v>
      </c>
      <c r="U33" s="1096">
        <v>24141385</v>
      </c>
      <c r="V33" s="1096" t="s">
        <v>224</v>
      </c>
      <c r="W33" s="1134" t="s">
        <v>344</v>
      </c>
      <c r="X33" s="1097">
        <v>26283.706999999999</v>
      </c>
      <c r="Y33" s="1096" t="s">
        <v>200</v>
      </c>
      <c r="Z33" s="1096">
        <v>1</v>
      </c>
      <c r="AA33" s="1133">
        <v>1</v>
      </c>
      <c r="AB33" s="1135" t="s">
        <v>207</v>
      </c>
      <c r="AC33" s="1103"/>
    </row>
    <row r="34" spans="1:29" s="1131" customFormat="1" ht="17.399999999999999">
      <c r="A34" s="1129"/>
      <c r="B34" s="1127"/>
      <c r="C34" s="1127"/>
      <c r="D34" s="1127"/>
      <c r="E34" s="1130"/>
      <c r="F34" s="1127"/>
      <c r="G34" s="1127"/>
      <c r="H34" s="1127"/>
      <c r="I34" s="1130"/>
      <c r="J34" s="1127"/>
      <c r="K34" s="1127"/>
      <c r="L34" s="1127"/>
      <c r="M34" s="1130"/>
      <c r="N34" s="1128"/>
      <c r="O34" s="1128"/>
      <c r="P34" s="1128"/>
      <c r="R34" s="1093" t="s">
        <v>600</v>
      </c>
      <c r="S34" s="1068">
        <v>3331559584</v>
      </c>
      <c r="T34" s="1068" t="s">
        <v>445</v>
      </c>
      <c r="U34" s="1068">
        <v>24141386</v>
      </c>
      <c r="V34" s="1068" t="s">
        <v>224</v>
      </c>
      <c r="W34" s="1140" t="s">
        <v>344</v>
      </c>
      <c r="X34" s="1094">
        <v>25980.6</v>
      </c>
      <c r="Y34" s="1068" t="s">
        <v>200</v>
      </c>
      <c r="Z34" s="1068">
        <v>1</v>
      </c>
      <c r="AA34" s="1139">
        <v>1</v>
      </c>
      <c r="AB34" s="1142" t="s">
        <v>204</v>
      </c>
      <c r="AC34" s="1103"/>
    </row>
    <row r="35" spans="1:29" s="1131" customFormat="1" ht="17.399999999999999">
      <c r="A35" s="1129"/>
      <c r="B35" s="1127"/>
      <c r="C35" s="1127"/>
      <c r="D35" s="1127"/>
      <c r="E35" s="1130"/>
      <c r="F35" s="1127"/>
      <c r="G35" s="1127"/>
      <c r="H35" s="1127"/>
      <c r="I35" s="1130"/>
      <c r="J35" s="1127"/>
      <c r="K35" s="1127"/>
      <c r="L35" s="1127"/>
      <c r="M35" s="1130"/>
      <c r="N35" s="1128"/>
      <c r="O35" s="1128"/>
      <c r="P35" s="1128"/>
      <c r="R35" s="1093" t="s">
        <v>600</v>
      </c>
      <c r="S35" s="1068">
        <v>3331559586</v>
      </c>
      <c r="T35" s="1068" t="s">
        <v>445</v>
      </c>
      <c r="U35" s="1068">
        <v>24141387</v>
      </c>
      <c r="V35" s="1068" t="s">
        <v>224</v>
      </c>
      <c r="W35" s="1140" t="s">
        <v>344</v>
      </c>
      <c r="X35" s="1094">
        <v>26327.008000000002</v>
      </c>
      <c r="Y35" s="1068" t="s">
        <v>200</v>
      </c>
      <c r="Z35" s="1068">
        <v>1</v>
      </c>
      <c r="AA35" s="1139">
        <v>1</v>
      </c>
      <c r="AB35" s="1142" t="s">
        <v>204</v>
      </c>
      <c r="AC35" s="1103"/>
    </row>
    <row r="36" spans="1:29" s="1131" customFormat="1" ht="17.399999999999999">
      <c r="A36" s="1129"/>
      <c r="B36" s="1127"/>
      <c r="C36" s="1127"/>
      <c r="D36" s="1127"/>
      <c r="E36" s="1130"/>
      <c r="F36" s="1127"/>
      <c r="G36" s="1127"/>
      <c r="H36" s="1127"/>
      <c r="I36" s="1130"/>
      <c r="J36" s="1127"/>
      <c r="K36" s="1127"/>
      <c r="L36" s="1127"/>
      <c r="M36" s="1130"/>
      <c r="N36" s="1128"/>
      <c r="O36" s="1128"/>
      <c r="P36" s="1128"/>
      <c r="R36" s="1095" t="s">
        <v>600</v>
      </c>
      <c r="S36" s="1096">
        <v>3331559590</v>
      </c>
      <c r="T36" s="1124" t="s">
        <v>359</v>
      </c>
      <c r="U36" s="1096">
        <v>24141388</v>
      </c>
      <c r="V36" s="1096" t="s">
        <v>224</v>
      </c>
      <c r="W36" s="1134" t="s">
        <v>344</v>
      </c>
      <c r="X36" s="1097">
        <v>25547.59</v>
      </c>
      <c r="Y36" s="1096" t="s">
        <v>200</v>
      </c>
      <c r="Z36" s="1096">
        <v>1</v>
      </c>
      <c r="AA36" s="1133">
        <v>1</v>
      </c>
      <c r="AB36" s="1135" t="s">
        <v>207</v>
      </c>
      <c r="AC36" s="1103"/>
    </row>
    <row r="37" spans="1:29" s="1131" customFormat="1" ht="17.399999999999999">
      <c r="A37" s="1129"/>
      <c r="B37" s="1127"/>
      <c r="C37" s="1127"/>
      <c r="D37" s="1127"/>
      <c r="E37" s="1130"/>
      <c r="F37" s="1127"/>
      <c r="G37" s="1127"/>
      <c r="H37" s="1127"/>
      <c r="I37" s="1130"/>
      <c r="J37" s="1127"/>
      <c r="K37" s="1127"/>
      <c r="L37" s="1127"/>
      <c r="M37" s="1130"/>
      <c r="N37" s="1128"/>
      <c r="O37" s="1128"/>
      <c r="P37" s="1128"/>
      <c r="R37" s="1093" t="s">
        <v>600</v>
      </c>
      <c r="S37" s="1068">
        <v>3331559613</v>
      </c>
      <c r="T37" s="1068" t="s">
        <v>441</v>
      </c>
      <c r="U37" s="1068">
        <v>24141389</v>
      </c>
      <c r="V37" s="1068" t="s">
        <v>683</v>
      </c>
      <c r="W37" s="1140" t="s">
        <v>344</v>
      </c>
      <c r="X37" s="1094">
        <v>24113.82</v>
      </c>
      <c r="Y37" s="1068" t="s">
        <v>200</v>
      </c>
      <c r="Z37" s="1068">
        <v>1</v>
      </c>
      <c r="AA37" s="1139">
        <v>1</v>
      </c>
      <c r="AB37" s="1142" t="s">
        <v>204</v>
      </c>
      <c r="AC37" s="1103"/>
    </row>
    <row r="38" spans="1:29" s="1131" customFormat="1" ht="17.399999999999999">
      <c r="A38" s="1129"/>
      <c r="B38" s="1127"/>
      <c r="C38" s="1127"/>
      <c r="D38" s="1127"/>
      <c r="E38" s="1130"/>
      <c r="F38" s="1127"/>
      <c r="G38" s="1127"/>
      <c r="H38" s="1127"/>
      <c r="I38" s="1130"/>
      <c r="J38" s="1127"/>
      <c r="K38" s="1127"/>
      <c r="L38" s="1127"/>
      <c r="M38" s="1130"/>
      <c r="N38" s="1128"/>
      <c r="O38" s="1128"/>
      <c r="P38" s="1128"/>
      <c r="R38" s="1095" t="s">
        <v>600</v>
      </c>
      <c r="S38" s="1096">
        <v>3331559616</v>
      </c>
      <c r="T38" s="1124" t="s">
        <v>359</v>
      </c>
      <c r="U38" s="1096">
        <v>24141390</v>
      </c>
      <c r="V38" s="1096" t="s">
        <v>683</v>
      </c>
      <c r="W38" s="1134" t="s">
        <v>344</v>
      </c>
      <c r="X38" s="1097">
        <v>24284.84</v>
      </c>
      <c r="Y38" s="1096" t="s">
        <v>200</v>
      </c>
      <c r="Z38" s="1096">
        <v>1</v>
      </c>
      <c r="AA38" s="1133">
        <v>1</v>
      </c>
      <c r="AB38" s="1135" t="s">
        <v>207</v>
      </c>
      <c r="AC38" s="1103"/>
    </row>
    <row r="39" spans="1:29" s="1131" customFormat="1" ht="17.399999999999999">
      <c r="A39" s="1129"/>
      <c r="B39" s="1127"/>
      <c r="C39" s="1127"/>
      <c r="D39" s="1127"/>
      <c r="E39" s="1130"/>
      <c r="F39" s="1127"/>
      <c r="G39" s="1127"/>
      <c r="H39" s="1127"/>
      <c r="I39" s="1130"/>
      <c r="J39" s="1127"/>
      <c r="K39" s="1127"/>
      <c r="L39" s="1127"/>
      <c r="M39" s="1130"/>
      <c r="N39" s="1128"/>
      <c r="O39" s="1128"/>
      <c r="P39" s="1128"/>
      <c r="R39" s="1144" t="s">
        <v>600</v>
      </c>
      <c r="S39" s="1145">
        <v>3331559669</v>
      </c>
      <c r="T39" s="1124" t="s">
        <v>359</v>
      </c>
      <c r="U39" s="1056">
        <v>24141396</v>
      </c>
      <c r="V39" s="1056" t="s">
        <v>435</v>
      </c>
      <c r="W39" s="1058" t="s">
        <v>338</v>
      </c>
      <c r="X39" s="1057">
        <v>22104.334999999999</v>
      </c>
      <c r="Y39" s="1096" t="s">
        <v>200</v>
      </c>
      <c r="Z39" s="1096">
        <v>1</v>
      </c>
      <c r="AA39" s="1124">
        <v>1</v>
      </c>
      <c r="AB39" s="1143" t="s">
        <v>207</v>
      </c>
      <c r="AC39" s="1125"/>
    </row>
    <row r="40" spans="1:29" s="1131" customFormat="1" ht="17.399999999999999">
      <c r="A40" s="1129"/>
      <c r="B40" s="1127"/>
      <c r="C40" s="1127"/>
      <c r="D40" s="1127"/>
      <c r="E40" s="1130"/>
      <c r="F40" s="1127"/>
      <c r="G40" s="1127"/>
      <c r="H40" s="1127"/>
      <c r="I40" s="1130"/>
      <c r="J40" s="1127"/>
      <c r="K40" s="1127"/>
      <c r="L40" s="1127"/>
      <c r="M40" s="1130"/>
      <c r="N40" s="1128"/>
      <c r="O40" s="1128"/>
      <c r="P40" s="1128"/>
      <c r="R40" s="1055" t="s">
        <v>600</v>
      </c>
      <c r="S40" s="1056">
        <v>3331559672</v>
      </c>
      <c r="T40" s="1096" t="s">
        <v>684</v>
      </c>
      <c r="U40" s="1056">
        <v>24141397</v>
      </c>
      <c r="V40" s="1056" t="s">
        <v>435</v>
      </c>
      <c r="W40" s="1058" t="s">
        <v>338</v>
      </c>
      <c r="X40" s="1057">
        <v>22446.375</v>
      </c>
      <c r="Y40" s="1096" t="s">
        <v>200</v>
      </c>
      <c r="Z40" s="1096">
        <v>1</v>
      </c>
      <c r="AA40" s="1124">
        <v>1</v>
      </c>
      <c r="AB40" s="1143" t="s">
        <v>207</v>
      </c>
      <c r="AC40" s="1125"/>
    </row>
    <row r="41" spans="1:29" s="1131" customFormat="1" ht="17.399999999999999">
      <c r="A41" s="1129"/>
      <c r="B41" s="1127"/>
      <c r="C41" s="1127"/>
      <c r="D41" s="1127"/>
      <c r="E41" s="1130"/>
      <c r="F41" s="1127"/>
      <c r="G41" s="1127"/>
      <c r="H41" s="1127"/>
      <c r="I41" s="1130"/>
      <c r="J41" s="1127"/>
      <c r="K41" s="1127"/>
      <c r="L41" s="1127"/>
      <c r="M41" s="1130"/>
      <c r="N41" s="1128"/>
      <c r="O41" s="1128"/>
      <c r="P41" s="1128"/>
      <c r="R41" s="1063" t="s">
        <v>600</v>
      </c>
      <c r="S41" s="1064">
        <v>3331559695</v>
      </c>
      <c r="T41" s="1068" t="s">
        <v>682</v>
      </c>
      <c r="U41" s="1064">
        <v>24141398</v>
      </c>
      <c r="V41" s="1064" t="s">
        <v>435</v>
      </c>
      <c r="W41" s="1066" t="s">
        <v>338</v>
      </c>
      <c r="X41" s="1065">
        <v>23223.51</v>
      </c>
      <c r="Y41" s="1068" t="s">
        <v>200</v>
      </c>
      <c r="Z41" s="1068">
        <v>1</v>
      </c>
      <c r="AA41" s="1153">
        <v>1</v>
      </c>
      <c r="AB41" s="1154" t="s">
        <v>204</v>
      </c>
      <c r="AC41" s="1125"/>
    </row>
    <row r="42" spans="1:29" s="1131" customFormat="1" ht="17.399999999999999">
      <c r="A42" s="1129"/>
      <c r="B42" s="1127"/>
      <c r="C42" s="1127"/>
      <c r="D42" s="1127"/>
      <c r="E42" s="1130"/>
      <c r="F42" s="1127"/>
      <c r="G42" s="1127"/>
      <c r="H42" s="1127"/>
      <c r="I42" s="1130"/>
      <c r="J42" s="1127"/>
      <c r="K42" s="1127"/>
      <c r="L42" s="1127"/>
      <c r="M42" s="1130"/>
      <c r="N42" s="1128"/>
      <c r="O42" s="1128"/>
      <c r="P42" s="1128"/>
      <c r="R42" s="1095" t="s">
        <v>600</v>
      </c>
      <c r="S42" s="1096">
        <v>3331559482</v>
      </c>
      <c r="T42" s="1096" t="s">
        <v>682</v>
      </c>
      <c r="U42" s="1096">
        <v>24141394</v>
      </c>
      <c r="V42" s="1096" t="s">
        <v>223</v>
      </c>
      <c r="W42" s="1098" t="s">
        <v>481</v>
      </c>
      <c r="X42" s="1097">
        <f>5109.474+15924.981</f>
        <v>21034.455000000002</v>
      </c>
      <c r="Y42" s="1096" t="s">
        <v>200</v>
      </c>
      <c r="Z42" s="1096">
        <v>1</v>
      </c>
      <c r="AA42" s="1096">
        <v>1</v>
      </c>
      <c r="AB42" s="1099" t="s">
        <v>207</v>
      </c>
      <c r="AC42" s="1100"/>
    </row>
    <row r="43" spans="1:29" s="1131" customFormat="1" ht="17.399999999999999">
      <c r="A43" s="1129"/>
      <c r="B43" s="1127"/>
      <c r="C43" s="1127"/>
      <c r="D43" s="1127"/>
      <c r="E43" s="1130"/>
      <c r="F43" s="1127"/>
      <c r="G43" s="1127"/>
      <c r="H43" s="1127"/>
      <c r="I43" s="1130"/>
      <c r="J43" s="1127"/>
      <c r="K43" s="1127"/>
      <c r="L43" s="1127"/>
      <c r="M43" s="1130"/>
      <c r="N43" s="1128"/>
      <c r="O43" s="1128"/>
      <c r="P43" s="1128"/>
      <c r="R43" s="1095" t="s">
        <v>600</v>
      </c>
      <c r="S43" s="1096">
        <v>3331559534</v>
      </c>
      <c r="T43" s="1097" t="s">
        <v>256</v>
      </c>
      <c r="U43" s="1096" t="s">
        <v>256</v>
      </c>
      <c r="V43" s="1096" t="s">
        <v>256</v>
      </c>
      <c r="W43" s="1098" t="s">
        <v>256</v>
      </c>
      <c r="X43" s="1097" t="s">
        <v>256</v>
      </c>
      <c r="Y43" s="1096" t="s">
        <v>256</v>
      </c>
      <c r="Z43" s="1096" t="s">
        <v>256</v>
      </c>
      <c r="AA43" s="1096" t="s">
        <v>256</v>
      </c>
      <c r="AB43" s="1099" t="s">
        <v>256</v>
      </c>
      <c r="AC43" s="1100"/>
    </row>
    <row r="44" spans="1:29" s="1131" customFormat="1" ht="17.399999999999999">
      <c r="A44" s="1129"/>
      <c r="B44" s="1127"/>
      <c r="C44" s="1127"/>
      <c r="D44" s="1127"/>
      <c r="E44" s="1130"/>
      <c r="F44" s="1127"/>
      <c r="G44" s="1127"/>
      <c r="H44" s="1127"/>
      <c r="I44" s="1130"/>
      <c r="J44" s="1127"/>
      <c r="K44" s="1127"/>
      <c r="L44" s="1127"/>
      <c r="M44" s="1130"/>
      <c r="N44" s="1128"/>
      <c r="O44" s="1128"/>
      <c r="P44" s="1128"/>
      <c r="R44" s="1093" t="s">
        <v>452</v>
      </c>
      <c r="S44" s="1068">
        <v>3331559545</v>
      </c>
      <c r="T44" s="1149" t="s">
        <v>441</v>
      </c>
      <c r="U44" s="1068">
        <v>24141383</v>
      </c>
      <c r="V44" s="1068" t="s">
        <v>497</v>
      </c>
      <c r="W44" s="1086" t="s">
        <v>481</v>
      </c>
      <c r="X44" s="1094">
        <v>42370.205000000002</v>
      </c>
      <c r="Y44" s="1068" t="s">
        <v>128</v>
      </c>
      <c r="Z44" s="1068">
        <v>1</v>
      </c>
      <c r="AA44" s="1068">
        <v>1</v>
      </c>
      <c r="AB44" s="1067" t="s">
        <v>204</v>
      </c>
      <c r="AC44" s="1125"/>
    </row>
    <row r="45" spans="1:29" s="1131" customFormat="1" ht="17.399999999999999">
      <c r="A45" s="1129"/>
      <c r="B45" s="1127"/>
      <c r="C45" s="1127"/>
      <c r="D45" s="1127"/>
      <c r="E45" s="1130"/>
      <c r="F45" s="1127"/>
      <c r="G45" s="1127"/>
      <c r="H45" s="1127"/>
      <c r="I45" s="1130"/>
      <c r="J45" s="1127"/>
      <c r="K45" s="1127"/>
      <c r="L45" s="1127"/>
      <c r="M45" s="1130"/>
      <c r="N45" s="1128"/>
      <c r="O45" s="1128"/>
      <c r="P45" s="1128"/>
      <c r="R45" s="1063" t="s">
        <v>600</v>
      </c>
      <c r="S45" s="1064">
        <v>3331559549</v>
      </c>
      <c r="T45" s="1149" t="s">
        <v>441</v>
      </c>
      <c r="U45" s="1064">
        <v>24141384</v>
      </c>
      <c r="V45" s="1068" t="s">
        <v>497</v>
      </c>
      <c r="W45" s="1086" t="s">
        <v>481</v>
      </c>
      <c r="X45" s="1065">
        <v>42818.125999999997</v>
      </c>
      <c r="Y45" s="1068" t="s">
        <v>128</v>
      </c>
      <c r="Z45" s="1068">
        <v>1</v>
      </c>
      <c r="AA45" s="1068">
        <v>1</v>
      </c>
      <c r="AB45" s="1067" t="s">
        <v>204</v>
      </c>
      <c r="AC45" s="1125"/>
    </row>
    <row r="46" spans="1:29" s="1131" customFormat="1" ht="17.399999999999999">
      <c r="A46" s="1129"/>
      <c r="B46" s="1127"/>
      <c r="C46" s="1127"/>
      <c r="D46" s="1127"/>
      <c r="E46" s="1130"/>
      <c r="F46" s="1127"/>
      <c r="G46" s="1127"/>
      <c r="H46" s="1127"/>
      <c r="I46" s="1130"/>
      <c r="J46" s="1127"/>
      <c r="K46" s="1127"/>
      <c r="L46" s="1127"/>
      <c r="M46" s="1130"/>
      <c r="N46" s="1128"/>
      <c r="O46" s="1128"/>
      <c r="P46" s="1128"/>
      <c r="R46" s="1101" t="s">
        <v>600</v>
      </c>
      <c r="S46" s="1148">
        <v>3331559463</v>
      </c>
      <c r="T46" s="1102" t="s">
        <v>34</v>
      </c>
      <c r="U46" s="1102">
        <v>24141354</v>
      </c>
      <c r="V46" s="1102" t="s">
        <v>685</v>
      </c>
      <c r="W46" s="1136" t="s">
        <v>199</v>
      </c>
      <c r="X46" s="1082">
        <v>23262.706999999999</v>
      </c>
      <c r="Y46" s="1102" t="s">
        <v>200</v>
      </c>
      <c r="Z46" s="1102">
        <v>1</v>
      </c>
      <c r="AA46" s="1102">
        <v>1</v>
      </c>
      <c r="AB46" s="1104" t="s">
        <v>204</v>
      </c>
      <c r="AC46" s="1096"/>
    </row>
    <row r="47" spans="1:29" s="1131" customFormat="1" ht="17.399999999999999">
      <c r="A47" s="1129"/>
      <c r="B47" s="1127"/>
      <c r="C47" s="1127"/>
      <c r="D47" s="1127"/>
      <c r="E47" s="1130"/>
      <c r="F47" s="1127"/>
      <c r="G47" s="1127"/>
      <c r="H47" s="1127"/>
      <c r="I47" s="1130"/>
      <c r="J47" s="1127"/>
      <c r="K47" s="1127"/>
      <c r="L47" s="1127"/>
      <c r="M47" s="1130"/>
      <c r="N47" s="1128"/>
      <c r="O47" s="1128"/>
      <c r="P47" s="1128"/>
      <c r="R47" s="1137" t="s">
        <v>600</v>
      </c>
      <c r="S47" s="1138">
        <v>3331559523</v>
      </c>
      <c r="T47" s="1139" t="s">
        <v>682</v>
      </c>
      <c r="U47" s="1138">
        <v>24141377</v>
      </c>
      <c r="V47" s="1138" t="s">
        <v>430</v>
      </c>
      <c r="W47" s="1147" t="s">
        <v>481</v>
      </c>
      <c r="X47" s="1141">
        <v>20565.657999999999</v>
      </c>
      <c r="Y47" s="1139" t="s">
        <v>200</v>
      </c>
      <c r="Z47" s="1139">
        <v>1</v>
      </c>
      <c r="AA47" s="1139">
        <v>1</v>
      </c>
      <c r="AB47" s="1142" t="s">
        <v>204</v>
      </c>
      <c r="AC47" s="1125"/>
    </row>
    <row r="48" spans="1:29" s="1131" customFormat="1" ht="17.399999999999999">
      <c r="A48" s="1129"/>
      <c r="B48" s="1127"/>
      <c r="C48" s="1127"/>
      <c r="D48" s="1127"/>
      <c r="E48" s="1130"/>
      <c r="F48" s="1127"/>
      <c r="G48" s="1127"/>
      <c r="H48" s="1127"/>
      <c r="I48" s="1130"/>
      <c r="J48" s="1127"/>
      <c r="K48" s="1127"/>
      <c r="L48" s="1127"/>
      <c r="M48" s="1130"/>
      <c r="N48" s="1128"/>
      <c r="O48" s="1128"/>
      <c r="P48" s="1128"/>
      <c r="R48" s="1137" t="s">
        <v>600</v>
      </c>
      <c r="S48" s="1138">
        <v>3331559525</v>
      </c>
      <c r="T48" s="1139" t="s">
        <v>682</v>
      </c>
      <c r="U48" s="1138">
        <v>24141382</v>
      </c>
      <c r="V48" s="1139" t="s">
        <v>430</v>
      </c>
      <c r="W48" s="1140" t="s">
        <v>481</v>
      </c>
      <c r="X48" s="1141">
        <v>20565.657999999999</v>
      </c>
      <c r="Y48" s="1139" t="s">
        <v>200</v>
      </c>
      <c r="Z48" s="1139">
        <v>1</v>
      </c>
      <c r="AA48" s="1139">
        <v>1</v>
      </c>
      <c r="AB48" s="1142" t="s">
        <v>204</v>
      </c>
      <c r="AC48" s="1125"/>
    </row>
    <row r="49" spans="1:29" ht="17.399999999999999">
      <c r="A49" s="827"/>
      <c r="B49" s="733"/>
      <c r="C49" s="733"/>
      <c r="D49" s="739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1"/>
      <c r="R49" s="1076" t="s">
        <v>600</v>
      </c>
      <c r="S49" s="1072">
        <v>3331559456</v>
      </c>
      <c r="T49" s="1102" t="s">
        <v>34</v>
      </c>
      <c r="U49" s="1072">
        <v>24141359</v>
      </c>
      <c r="V49" s="1072" t="s">
        <v>150</v>
      </c>
      <c r="W49" s="1136" t="s">
        <v>199</v>
      </c>
      <c r="X49" s="1071">
        <f>3897.09+3269.5+4104.48+11872.53+1678.008</f>
        <v>24821.608</v>
      </c>
      <c r="Y49" s="1102" t="s">
        <v>200</v>
      </c>
      <c r="Z49" s="1072">
        <v>1</v>
      </c>
      <c r="AA49" s="1072">
        <v>1</v>
      </c>
      <c r="AB49" s="1075" t="s">
        <v>204</v>
      </c>
      <c r="AC49" s="1103"/>
    </row>
    <row r="50" spans="1:29" ht="17.399999999999999"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1"/>
      <c r="R50" s="1101" t="s">
        <v>600</v>
      </c>
      <c r="S50" s="1102">
        <v>3331559457</v>
      </c>
      <c r="T50" s="1102" t="s">
        <v>256</v>
      </c>
      <c r="U50" s="1102" t="s">
        <v>256</v>
      </c>
      <c r="V50" s="1102" t="s">
        <v>256</v>
      </c>
      <c r="W50" s="1136" t="s">
        <v>256</v>
      </c>
      <c r="X50" s="1082" t="s">
        <v>256</v>
      </c>
      <c r="Y50" s="1102" t="s">
        <v>256</v>
      </c>
      <c r="Z50" s="1102" t="s">
        <v>256</v>
      </c>
      <c r="AA50" s="1102" t="s">
        <v>256</v>
      </c>
      <c r="AB50" s="1104" t="s">
        <v>256</v>
      </c>
      <c r="AC50" s="1103"/>
    </row>
    <row r="51" spans="1:29" ht="17.399999999999999"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1"/>
      <c r="R51" s="1101" t="s">
        <v>600</v>
      </c>
      <c r="S51" s="1102">
        <v>3331559459</v>
      </c>
      <c r="T51" s="1102" t="s">
        <v>256</v>
      </c>
      <c r="U51" s="1102" t="s">
        <v>256</v>
      </c>
      <c r="V51" s="1102" t="s">
        <v>256</v>
      </c>
      <c r="W51" s="1136" t="s">
        <v>256</v>
      </c>
      <c r="X51" s="1082" t="s">
        <v>256</v>
      </c>
      <c r="Y51" s="1102" t="s">
        <v>256</v>
      </c>
      <c r="Z51" s="1102" t="s">
        <v>256</v>
      </c>
      <c r="AA51" s="1102" t="s">
        <v>256</v>
      </c>
      <c r="AB51" s="1104" t="s">
        <v>256</v>
      </c>
      <c r="AC51" s="1103"/>
    </row>
    <row r="52" spans="1:29" ht="17.399999999999999"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1"/>
      <c r="R52" s="1101" t="s">
        <v>600</v>
      </c>
      <c r="S52" s="1102">
        <v>3331559461</v>
      </c>
      <c r="T52" s="1102" t="s">
        <v>256</v>
      </c>
      <c r="U52" s="1102" t="s">
        <v>256</v>
      </c>
      <c r="V52" s="1102" t="s">
        <v>256</v>
      </c>
      <c r="W52" s="1136" t="s">
        <v>256</v>
      </c>
      <c r="X52" s="1082" t="s">
        <v>256</v>
      </c>
      <c r="Y52" s="1102" t="s">
        <v>256</v>
      </c>
      <c r="Z52" s="1102" t="s">
        <v>256</v>
      </c>
      <c r="AA52" s="1102" t="s">
        <v>256</v>
      </c>
      <c r="AB52" s="1104" t="s">
        <v>256</v>
      </c>
      <c r="AC52" s="1103"/>
    </row>
    <row r="53" spans="1:29" ht="17.399999999999999"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1"/>
      <c r="R53" s="1101" t="s">
        <v>600</v>
      </c>
      <c r="S53" s="1102">
        <v>3331559473</v>
      </c>
      <c r="T53" s="1102" t="s">
        <v>256</v>
      </c>
      <c r="U53" s="1102" t="s">
        <v>256</v>
      </c>
      <c r="V53" s="1102" t="s">
        <v>256</v>
      </c>
      <c r="W53" s="1136" t="s">
        <v>256</v>
      </c>
      <c r="X53" s="1082" t="s">
        <v>256</v>
      </c>
      <c r="Y53" s="1102" t="s">
        <v>256</v>
      </c>
      <c r="Z53" s="1102" t="s">
        <v>256</v>
      </c>
      <c r="AA53" s="1102" t="s">
        <v>256</v>
      </c>
      <c r="AB53" s="1104" t="s">
        <v>256</v>
      </c>
      <c r="AC53" s="1103"/>
    </row>
    <row r="54" spans="1:29" ht="17.399999999999999">
      <c r="A54" s="993"/>
      <c r="B54" s="733"/>
      <c r="C54" s="733"/>
      <c r="D54" s="733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1"/>
      <c r="R54" s="1101" t="s">
        <v>600</v>
      </c>
      <c r="S54" s="1102">
        <v>3331559469</v>
      </c>
      <c r="T54" s="1102" t="s">
        <v>11</v>
      </c>
      <c r="U54" s="1102">
        <v>24141361</v>
      </c>
      <c r="V54" s="1102" t="s">
        <v>150</v>
      </c>
      <c r="W54" s="1136" t="s">
        <v>199</v>
      </c>
      <c r="X54" s="1082">
        <f>19139.151+7361.17</f>
        <v>26500.321000000004</v>
      </c>
      <c r="Y54" s="1102" t="s">
        <v>200</v>
      </c>
      <c r="Z54" s="1102">
        <v>1</v>
      </c>
      <c r="AA54" s="1102">
        <v>1</v>
      </c>
      <c r="AB54" s="1104" t="s">
        <v>204</v>
      </c>
      <c r="AC54" s="1100"/>
    </row>
    <row r="55" spans="1:29" ht="17.399999999999999">
      <c r="A55" s="993"/>
      <c r="B55" s="733"/>
      <c r="C55" s="733"/>
      <c r="D55" s="733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1"/>
      <c r="R55" s="1102" t="s">
        <v>600</v>
      </c>
      <c r="S55" s="1102">
        <v>3331559476</v>
      </c>
      <c r="T55" s="1102" t="s">
        <v>256</v>
      </c>
      <c r="U55" s="1102" t="s">
        <v>256</v>
      </c>
      <c r="V55" s="1102" t="s">
        <v>256</v>
      </c>
      <c r="W55" s="1136" t="s">
        <v>256</v>
      </c>
      <c r="X55" s="1146" t="s">
        <v>256</v>
      </c>
      <c r="Y55" s="1102" t="s">
        <v>256</v>
      </c>
      <c r="Z55" s="1102" t="s">
        <v>256</v>
      </c>
      <c r="AA55" s="1102" t="s">
        <v>256</v>
      </c>
      <c r="AB55" s="1104" t="s">
        <v>256</v>
      </c>
      <c r="AC55" s="1100"/>
    </row>
    <row r="56" spans="1:29" ht="17.399999999999999">
      <c r="A56" s="827"/>
      <c r="B56" s="733"/>
      <c r="C56" s="733"/>
      <c r="D56" s="739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1"/>
      <c r="R56" s="1102" t="s">
        <v>600</v>
      </c>
      <c r="S56" s="1102">
        <v>3331559481</v>
      </c>
      <c r="T56" s="1102" t="s">
        <v>11</v>
      </c>
      <c r="U56" s="1102">
        <v>24141362</v>
      </c>
      <c r="V56" s="1102" t="s">
        <v>150</v>
      </c>
      <c r="W56" s="1136" t="s">
        <v>199</v>
      </c>
      <c r="X56" s="1146">
        <v>22580.675999999999</v>
      </c>
      <c r="Y56" s="1102" t="s">
        <v>200</v>
      </c>
      <c r="Z56" s="1102">
        <v>1</v>
      </c>
      <c r="AA56" s="1102">
        <v>1</v>
      </c>
      <c r="AB56" s="1104" t="s">
        <v>204</v>
      </c>
      <c r="AC56" s="1103"/>
    </row>
    <row r="57" spans="1:29" ht="17.399999999999999">
      <c r="A57" s="827"/>
      <c r="B57" s="733"/>
      <c r="C57" s="733"/>
      <c r="D57" s="739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1"/>
      <c r="R57" s="1101" t="s">
        <v>452</v>
      </c>
      <c r="S57" s="1102">
        <v>3331559483</v>
      </c>
      <c r="T57" s="1102" t="s">
        <v>682</v>
      </c>
      <c r="U57" s="1102">
        <v>24141363</v>
      </c>
      <c r="V57" s="1102" t="s">
        <v>150</v>
      </c>
      <c r="W57" s="1136" t="s">
        <v>199</v>
      </c>
      <c r="X57" s="1082">
        <v>26320.984</v>
      </c>
      <c r="Y57" s="1102" t="s">
        <v>200</v>
      </c>
      <c r="Z57" s="1102">
        <v>1</v>
      </c>
      <c r="AA57" s="1102">
        <v>1</v>
      </c>
      <c r="AB57" s="1104" t="s">
        <v>204</v>
      </c>
      <c r="AC57" s="1103"/>
    </row>
    <row r="58" spans="1:29" ht="17.399999999999999">
      <c r="A58" s="827"/>
      <c r="B58" s="733"/>
      <c r="C58" s="733"/>
      <c r="D58" s="739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1"/>
      <c r="R58" s="1101" t="s">
        <v>600</v>
      </c>
      <c r="S58" s="1102">
        <v>3331559485</v>
      </c>
      <c r="T58" s="1102" t="s">
        <v>682</v>
      </c>
      <c r="U58" s="1102">
        <v>24141365</v>
      </c>
      <c r="V58" s="1102" t="s">
        <v>150</v>
      </c>
      <c r="W58" s="1136" t="s">
        <v>199</v>
      </c>
      <c r="X58" s="1082">
        <v>26467.86</v>
      </c>
      <c r="Y58" s="1102" t="s">
        <v>200</v>
      </c>
      <c r="Z58" s="1102">
        <v>1</v>
      </c>
      <c r="AA58" s="1102">
        <v>1</v>
      </c>
      <c r="AB58" s="1104" t="s">
        <v>204</v>
      </c>
      <c r="AC58" s="1103"/>
    </row>
    <row r="59" spans="1:29" ht="17.399999999999999">
      <c r="A59" s="827"/>
      <c r="B59" s="733"/>
      <c r="C59" s="733"/>
      <c r="D59" s="739"/>
      <c r="E59" s="734"/>
      <c r="F59" s="733"/>
      <c r="G59" s="733"/>
      <c r="H59" s="739"/>
      <c r="I59" s="734"/>
      <c r="J59" s="733"/>
      <c r="K59" s="733"/>
      <c r="L59" s="733"/>
      <c r="M59" s="734"/>
      <c r="N59" s="1021"/>
      <c r="O59" s="1021"/>
      <c r="P59" s="1021"/>
      <c r="R59" s="1093" t="s">
        <v>600</v>
      </c>
      <c r="S59" s="1068">
        <v>3331559627</v>
      </c>
      <c r="T59" s="1094" t="s">
        <v>441</v>
      </c>
      <c r="U59" s="1068">
        <v>24141392</v>
      </c>
      <c r="V59" s="1068" t="s">
        <v>681</v>
      </c>
      <c r="W59" s="1140" t="s">
        <v>344</v>
      </c>
      <c r="X59" s="1094">
        <v>36329.538999999997</v>
      </c>
      <c r="Y59" s="1068" t="s">
        <v>128</v>
      </c>
      <c r="Z59" s="1068">
        <v>1</v>
      </c>
      <c r="AA59" s="1068">
        <v>1</v>
      </c>
      <c r="AB59" s="1142" t="s">
        <v>204</v>
      </c>
      <c r="AC59" s="1103"/>
    </row>
    <row r="60" spans="1:29" ht="17.399999999999999"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093" t="s">
        <v>600</v>
      </c>
      <c r="S60" s="1068">
        <v>3331559631</v>
      </c>
      <c r="T60" s="1094" t="s">
        <v>441</v>
      </c>
      <c r="U60" s="1068">
        <v>24141393</v>
      </c>
      <c r="V60" s="1068" t="s">
        <v>681</v>
      </c>
      <c r="W60" s="1140" t="s">
        <v>344</v>
      </c>
      <c r="X60" s="1094">
        <v>36242.936999999998</v>
      </c>
      <c r="Y60" s="1068" t="s">
        <v>128</v>
      </c>
      <c r="Z60" s="1068">
        <v>1</v>
      </c>
      <c r="AA60" s="1068">
        <v>1</v>
      </c>
      <c r="AB60" s="1142" t="s">
        <v>204</v>
      </c>
      <c r="AC60" s="1100"/>
    </row>
    <row r="61" spans="1:29" ht="17.399999999999999"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50" t="s">
        <v>600</v>
      </c>
      <c r="S61" s="1077">
        <v>3331559662</v>
      </c>
      <c r="T61" s="1082" t="s">
        <v>34</v>
      </c>
      <c r="U61" s="1077">
        <v>24141395</v>
      </c>
      <c r="V61" s="1077" t="s">
        <v>686</v>
      </c>
      <c r="W61" s="1073" t="s">
        <v>199</v>
      </c>
      <c r="X61" s="1085">
        <v>23576.023000000001</v>
      </c>
      <c r="Y61" s="1077" t="s">
        <v>200</v>
      </c>
      <c r="Z61" s="1077">
        <v>1</v>
      </c>
      <c r="AA61" s="1077">
        <v>1</v>
      </c>
      <c r="AB61" s="1104" t="s">
        <v>204</v>
      </c>
      <c r="AC61" s="1100"/>
    </row>
    <row r="62" spans="1:29" ht="17.399999999999999"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05"/>
      <c r="S62" s="1106"/>
      <c r="T62" s="1122"/>
      <c r="U62" s="1106"/>
      <c r="V62" s="1106"/>
      <c r="W62" s="1108"/>
      <c r="X62" s="1109"/>
      <c r="Y62" s="1106"/>
      <c r="Z62" s="1106"/>
      <c r="AA62" s="1106"/>
      <c r="AB62" s="1123"/>
      <c r="AC62" s="1100"/>
    </row>
    <row r="63" spans="1:29" ht="17.399999999999999"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05"/>
      <c r="S63" s="1106"/>
      <c r="T63" s="1122"/>
      <c r="U63" s="1106"/>
      <c r="V63" s="1106"/>
      <c r="W63" s="1108"/>
      <c r="X63" s="1109"/>
      <c r="Y63" s="1106"/>
      <c r="Z63" s="1106"/>
      <c r="AA63" s="1106"/>
      <c r="AB63" s="1123"/>
      <c r="AC63" s="1100"/>
    </row>
    <row r="64" spans="1:29" ht="17.399999999999999">
      <c r="A64" s="1020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05"/>
      <c r="S64" s="1106"/>
      <c r="T64" s="1122"/>
      <c r="U64" s="1106"/>
      <c r="V64" s="1106"/>
      <c r="W64" s="1108"/>
      <c r="X64" s="1109"/>
      <c r="Y64" s="1106"/>
      <c r="Z64" s="1106"/>
      <c r="AA64" s="1106"/>
      <c r="AB64" s="1123"/>
      <c r="AC64" s="1100"/>
    </row>
    <row r="65" spans="1:29" ht="17.399999999999999">
      <c r="A65" s="1020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05"/>
      <c r="S65" s="1106"/>
      <c r="T65" s="1109"/>
      <c r="U65" s="1106"/>
      <c r="V65" s="1106"/>
      <c r="W65" s="1108"/>
      <c r="X65" s="1109"/>
      <c r="Y65" s="1106"/>
      <c r="Z65" s="1106"/>
      <c r="AA65" s="1106"/>
      <c r="AB65" s="1110"/>
      <c r="AC65" s="1100"/>
    </row>
    <row r="66" spans="1:29" ht="17.399999999999999">
      <c r="A66" s="1020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05"/>
      <c r="S66" s="1106"/>
      <c r="T66" s="1109"/>
      <c r="U66" s="1106"/>
      <c r="V66" s="1106"/>
      <c r="W66" s="1108"/>
      <c r="X66" s="1109"/>
      <c r="Y66" s="1106"/>
      <c r="Z66" s="1106"/>
      <c r="AA66" s="1106"/>
      <c r="AB66" s="1110"/>
      <c r="AC66" s="1100"/>
    </row>
    <row r="67" spans="1:29" ht="17.399999999999999">
      <c r="A67" s="1020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05"/>
      <c r="S67" s="1106"/>
      <c r="T67" s="1109"/>
      <c r="U67" s="1106"/>
      <c r="V67" s="1106"/>
      <c r="W67" s="1108"/>
      <c r="X67" s="1109"/>
      <c r="Y67" s="1106"/>
      <c r="Z67" s="1106"/>
      <c r="AA67" s="1106"/>
      <c r="AB67" s="1110"/>
      <c r="AC67" s="1100"/>
    </row>
    <row r="68" spans="1:29" ht="17.399999999999999">
      <c r="A68" s="1020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05"/>
      <c r="S68" s="1121"/>
      <c r="T68" s="1109"/>
      <c r="U68" s="1106"/>
      <c r="V68" s="1106"/>
      <c r="W68" s="1108"/>
      <c r="X68" s="1109"/>
      <c r="Y68" s="1106"/>
      <c r="Z68" s="1106"/>
      <c r="AA68" s="1106"/>
      <c r="AB68" s="1110"/>
      <c r="AC68" s="1100"/>
    </row>
    <row r="69" spans="1:29" ht="15.6">
      <c r="A69" s="734"/>
      <c r="B69" s="734"/>
      <c r="C69" s="734"/>
      <c r="D69" s="734"/>
      <c r="E69" s="734"/>
      <c r="F69" s="734"/>
      <c r="G69" s="734"/>
      <c r="H69" s="734"/>
      <c r="I69" s="734"/>
      <c r="J69" s="734"/>
      <c r="K69" s="734"/>
      <c r="L69" s="734"/>
      <c r="M69" s="734"/>
      <c r="N69" s="734"/>
      <c r="O69" s="734"/>
      <c r="P69" s="734"/>
      <c r="R69" s="1105"/>
      <c r="S69" s="1121"/>
      <c r="T69" s="1109"/>
      <c r="U69" s="1106"/>
      <c r="V69" s="1106"/>
      <c r="W69" s="1108"/>
      <c r="X69" s="1109"/>
      <c r="Y69" s="1106"/>
      <c r="Z69" s="1106"/>
      <c r="AA69" s="1106"/>
      <c r="AB69" s="1110"/>
      <c r="AC69" s="1100"/>
    </row>
    <row r="70" spans="1:29" ht="15.6">
      <c r="A70" s="734"/>
      <c r="B70" s="734"/>
      <c r="C70" s="734"/>
      <c r="D70" s="734"/>
      <c r="E70" s="734"/>
      <c r="F70" s="734"/>
      <c r="G70" s="734"/>
      <c r="H70" s="734"/>
      <c r="I70" s="734"/>
      <c r="J70" s="734"/>
      <c r="K70" s="734"/>
      <c r="L70" s="734"/>
      <c r="M70" s="734"/>
      <c r="N70" s="734"/>
      <c r="O70" s="734"/>
      <c r="P70" s="734"/>
      <c r="R70" s="1105"/>
      <c r="S70" s="1106"/>
      <c r="T70" s="1106"/>
      <c r="U70" s="1106"/>
      <c r="V70" s="1106"/>
      <c r="W70" s="1108"/>
      <c r="X70" s="1109"/>
      <c r="Y70" s="1106"/>
      <c r="Z70" s="1106"/>
      <c r="AA70" s="1106"/>
      <c r="AB70" s="1110"/>
      <c r="AC70" s="1100"/>
    </row>
    <row r="71" spans="1:29" s="965" customFormat="1" ht="15.6">
      <c r="E71" s="964"/>
      <c r="F71" s="964"/>
      <c r="G71" s="964"/>
      <c r="H71" s="964"/>
      <c r="I71" s="964"/>
      <c r="J71" s="964"/>
      <c r="K71" s="964"/>
      <c r="L71" s="964"/>
      <c r="M71" s="964"/>
      <c r="N71" s="964"/>
      <c r="O71" s="964"/>
      <c r="P71" s="964"/>
      <c r="R71" s="1105"/>
      <c r="S71" s="1106"/>
      <c r="T71" s="1106"/>
      <c r="U71" s="1106"/>
      <c r="V71" s="1106"/>
      <c r="W71" s="1108"/>
      <c r="X71" s="1109"/>
      <c r="Y71" s="1106"/>
      <c r="Z71" s="1106"/>
      <c r="AA71" s="1106"/>
      <c r="AB71" s="1110"/>
      <c r="AC71" s="1100"/>
    </row>
    <row r="72" spans="1:29" s="965" customFormat="1" ht="15.6">
      <c r="E72" s="964"/>
      <c r="F72" s="964"/>
      <c r="G72" s="964"/>
      <c r="H72" s="964"/>
      <c r="I72" s="964"/>
      <c r="J72" s="964"/>
      <c r="K72" s="964"/>
      <c r="L72" s="964"/>
      <c r="M72" s="964"/>
      <c r="N72" s="964"/>
      <c r="O72" s="964"/>
      <c r="P72" s="964"/>
      <c r="R72" s="1105"/>
      <c r="S72" s="1106"/>
      <c r="T72" s="1106"/>
      <c r="U72" s="1106"/>
      <c r="V72" s="1106"/>
      <c r="W72" s="1108"/>
      <c r="X72" s="1109"/>
      <c r="Y72" s="1106"/>
      <c r="Z72" s="1106"/>
      <c r="AA72" s="1106"/>
      <c r="AB72" s="1110"/>
      <c r="AC72" s="1100"/>
    </row>
    <row r="73" spans="1:29" s="965" customFormat="1" ht="15.6">
      <c r="E73" s="964"/>
      <c r="F73" s="964"/>
      <c r="G73" s="964"/>
      <c r="H73" s="964"/>
      <c r="I73" s="964"/>
      <c r="J73" s="964"/>
      <c r="K73" s="964"/>
      <c r="L73" s="964"/>
      <c r="M73" s="964"/>
      <c r="N73" s="964"/>
      <c r="O73" s="964"/>
      <c r="P73" s="964"/>
      <c r="R73" s="1105"/>
      <c r="S73" s="1106"/>
      <c r="T73" s="1107"/>
      <c r="U73" s="1106"/>
      <c r="V73" s="1106"/>
      <c r="W73" s="1108"/>
      <c r="X73" s="1109"/>
      <c r="Y73" s="1106"/>
      <c r="Z73" s="1106"/>
      <c r="AA73" s="1106"/>
      <c r="AB73" s="1110"/>
      <c r="AC73" s="1100"/>
    </row>
    <row r="74" spans="1:29" s="965" customFormat="1" ht="15.6">
      <c r="E74" s="964"/>
      <c r="F74" s="964"/>
      <c r="G74" s="964"/>
      <c r="H74" s="964"/>
      <c r="I74" s="964"/>
      <c r="J74" s="964"/>
      <c r="K74" s="964"/>
      <c r="L74" s="964"/>
      <c r="M74" s="964"/>
      <c r="N74" s="964"/>
      <c r="O74" s="964"/>
      <c r="P74" s="964"/>
      <c r="R74" s="1105"/>
      <c r="S74" s="1106"/>
      <c r="T74" s="1111"/>
      <c r="U74" s="1106"/>
      <c r="V74" s="1106"/>
      <c r="W74" s="1108"/>
      <c r="X74" s="1109"/>
      <c r="Y74" s="1106"/>
      <c r="Z74" s="1106"/>
      <c r="AA74" s="1106"/>
      <c r="AB74" s="1110"/>
      <c r="AC74" s="1100"/>
    </row>
    <row r="75" spans="1:29" s="965" customFormat="1" ht="18">
      <c r="A75" s="993"/>
      <c r="B75" s="994"/>
      <c r="C75" s="994"/>
      <c r="D75" s="836"/>
      <c r="E75" s="964"/>
      <c r="F75" s="964"/>
      <c r="G75" s="964"/>
      <c r="H75" s="964"/>
      <c r="I75" s="964"/>
      <c r="J75" s="964"/>
      <c r="K75" s="964"/>
      <c r="L75" s="964"/>
      <c r="M75" s="964"/>
      <c r="N75" s="964"/>
      <c r="O75" s="964"/>
      <c r="P75" s="964"/>
      <c r="R75" s="1105"/>
      <c r="S75" s="1106"/>
      <c r="T75" s="1107"/>
      <c r="U75" s="1106"/>
      <c r="V75" s="1106"/>
      <c r="W75" s="1108"/>
      <c r="X75" s="1109"/>
      <c r="Y75" s="1106"/>
      <c r="Z75" s="1106"/>
      <c r="AA75" s="1106"/>
      <c r="AB75" s="1110"/>
      <c r="AC75" s="1100"/>
    </row>
    <row r="76" spans="1:29" s="965" customFormat="1" ht="18">
      <c r="A76" s="993"/>
      <c r="B76" s="994"/>
      <c r="C76" s="994"/>
      <c r="D76" s="836"/>
      <c r="E76" s="964"/>
      <c r="F76" s="964"/>
      <c r="G76" s="964"/>
      <c r="H76" s="964"/>
      <c r="I76" s="964"/>
      <c r="J76" s="964"/>
      <c r="K76" s="964"/>
      <c r="L76" s="964"/>
      <c r="M76" s="964"/>
      <c r="N76" s="964"/>
      <c r="O76" s="964"/>
      <c r="P76" s="964"/>
      <c r="R76" s="1105"/>
      <c r="S76" s="1106"/>
      <c r="T76" s="1112"/>
      <c r="U76" s="1106"/>
      <c r="V76" s="1106"/>
      <c r="W76" s="1108"/>
      <c r="X76" s="1109"/>
      <c r="Y76" s="1106"/>
      <c r="Z76" s="1106"/>
      <c r="AA76" s="1106"/>
      <c r="AB76" s="1110"/>
      <c r="AC76" s="1100"/>
    </row>
    <row r="77" spans="1:29" s="965" customFormat="1" ht="18">
      <c r="A77" s="993"/>
      <c r="B77" s="994"/>
      <c r="C77" s="994"/>
      <c r="D77" s="836"/>
      <c r="E77" s="964"/>
      <c r="F77" s="964"/>
      <c r="G77" s="964"/>
      <c r="H77" s="964"/>
      <c r="I77" s="964"/>
      <c r="J77" s="964"/>
      <c r="K77" s="964"/>
      <c r="L77" s="964"/>
      <c r="M77" s="964"/>
      <c r="N77" s="964"/>
      <c r="O77" s="964"/>
      <c r="P77" s="964"/>
      <c r="R77" s="1105"/>
      <c r="S77" s="1106"/>
      <c r="T77" s="1107"/>
      <c r="U77" s="1106"/>
      <c r="V77" s="1106"/>
      <c r="W77" s="1108"/>
      <c r="X77" s="1109"/>
      <c r="Y77" s="1106"/>
      <c r="Z77" s="1106"/>
      <c r="AA77" s="1106"/>
      <c r="AB77" s="1110"/>
      <c r="AC77" s="1100"/>
    </row>
    <row r="78" spans="1:29" s="965" customFormat="1" ht="18">
      <c r="A78" s="993"/>
      <c r="B78" s="994"/>
      <c r="C78" s="994"/>
      <c r="D78" s="836"/>
      <c r="E78" s="964"/>
      <c r="F78" s="964"/>
      <c r="G78" s="964"/>
      <c r="H78" s="964"/>
      <c r="I78" s="964"/>
      <c r="J78" s="964"/>
      <c r="K78" s="964"/>
      <c r="L78" s="964"/>
      <c r="M78" s="964"/>
      <c r="N78" s="964"/>
      <c r="O78" s="964"/>
      <c r="P78" s="964"/>
      <c r="R78" s="1105"/>
      <c r="S78" s="1106"/>
      <c r="T78" s="1107"/>
      <c r="U78" s="1106"/>
      <c r="V78" s="1106"/>
      <c r="W78" s="1108"/>
      <c r="X78" s="1109"/>
      <c r="Y78" s="1106"/>
      <c r="Z78" s="1106"/>
      <c r="AA78" s="1106"/>
      <c r="AB78" s="1110"/>
      <c r="AC78" s="1100"/>
    </row>
    <row r="79" spans="1:29" s="965" customFormat="1" ht="18">
      <c r="A79" s="993"/>
      <c r="B79" s="994"/>
      <c r="C79" s="994"/>
      <c r="D79" s="836"/>
      <c r="E79" s="964"/>
      <c r="F79" s="964"/>
      <c r="G79" s="964"/>
      <c r="H79" s="964"/>
      <c r="I79" s="964"/>
      <c r="J79" s="964"/>
      <c r="K79" s="964"/>
      <c r="L79" s="964"/>
      <c r="M79" s="964"/>
      <c r="N79" s="964"/>
      <c r="O79" s="964"/>
      <c r="P79" s="964"/>
      <c r="R79" s="1105"/>
      <c r="S79" s="1106"/>
      <c r="T79" s="1107"/>
      <c r="U79" s="1106"/>
      <c r="V79" s="1106"/>
      <c r="W79" s="1108"/>
      <c r="X79" s="1109"/>
      <c r="Y79" s="1106"/>
      <c r="Z79" s="1106"/>
      <c r="AA79" s="1106"/>
      <c r="AB79" s="1110"/>
      <c r="AC79" s="1100"/>
    </row>
    <row r="80" spans="1:29" s="965" customFormat="1" ht="18">
      <c r="A80" s="993"/>
      <c r="B80" s="994"/>
      <c r="C80" s="994"/>
      <c r="D80" s="836"/>
      <c r="E80" s="964"/>
      <c r="F80" s="964"/>
      <c r="G80" s="964"/>
      <c r="H80" s="964"/>
      <c r="I80" s="964"/>
      <c r="J80" s="964"/>
      <c r="K80" s="964"/>
      <c r="L80" s="964"/>
      <c r="M80" s="964"/>
      <c r="N80" s="964"/>
      <c r="O80" s="964"/>
      <c r="P80" s="964"/>
      <c r="R80" s="1105"/>
      <c r="S80" s="1106"/>
      <c r="T80" s="1106"/>
      <c r="U80" s="1106"/>
      <c r="V80" s="1106"/>
      <c r="W80" s="1108"/>
      <c r="X80" s="1109"/>
      <c r="Y80" s="1106"/>
      <c r="Z80" s="1106"/>
      <c r="AA80" s="1106"/>
      <c r="AB80" s="1110"/>
      <c r="AC80" s="1100"/>
    </row>
    <row r="81" spans="1:31" s="965" customFormat="1" ht="18">
      <c r="A81" s="993"/>
      <c r="B81" s="994"/>
      <c r="C81" s="994"/>
      <c r="D81" s="836"/>
      <c r="E81" s="964"/>
      <c r="F81" s="964"/>
      <c r="G81" s="964"/>
      <c r="H81" s="964"/>
      <c r="I81" s="964"/>
      <c r="J81" s="964"/>
      <c r="K81" s="964"/>
      <c r="L81" s="964"/>
      <c r="M81" s="964"/>
      <c r="N81" s="964"/>
      <c r="O81" s="964"/>
      <c r="P81" s="964"/>
      <c r="R81" s="1105"/>
      <c r="S81" s="1106"/>
      <c r="T81" s="1107"/>
      <c r="U81" s="1106"/>
      <c r="V81" s="1106"/>
      <c r="W81" s="1108"/>
      <c r="X81" s="1109"/>
      <c r="Y81" s="1106"/>
      <c r="Z81" s="1106"/>
      <c r="AA81" s="1106"/>
      <c r="AB81" s="1110"/>
      <c r="AC81" s="1100"/>
    </row>
    <row r="82" spans="1:31" s="965" customFormat="1" ht="18">
      <c r="A82" s="993"/>
      <c r="B82" s="994"/>
      <c r="C82" s="994"/>
      <c r="D82" s="836"/>
      <c r="E82" s="964"/>
      <c r="F82" s="964"/>
      <c r="G82" s="964"/>
      <c r="H82" s="964"/>
      <c r="I82" s="964"/>
      <c r="J82" s="964"/>
      <c r="K82" s="964"/>
      <c r="L82" s="964"/>
      <c r="M82" s="964"/>
      <c r="N82" s="964"/>
      <c r="O82" s="964"/>
      <c r="P82" s="964"/>
      <c r="R82" s="1105"/>
      <c r="S82" s="1106"/>
      <c r="T82" s="1107"/>
      <c r="U82" s="1106"/>
      <c r="V82" s="1106"/>
      <c r="W82" s="1108"/>
      <c r="X82" s="1109"/>
      <c r="Y82" s="1106"/>
      <c r="Z82" s="1106"/>
      <c r="AA82" s="1106"/>
      <c r="AB82" s="1110"/>
      <c r="AC82" s="1100"/>
    </row>
    <row r="83" spans="1:31" s="965" customFormat="1" ht="18">
      <c r="A83" s="993"/>
      <c r="B83" s="994"/>
      <c r="C83" s="994"/>
      <c r="D83" s="836"/>
      <c r="E83" s="964"/>
      <c r="F83" s="964"/>
      <c r="G83" s="964"/>
      <c r="H83" s="964"/>
      <c r="I83" s="964"/>
      <c r="J83" s="964"/>
      <c r="K83" s="964"/>
      <c r="L83" s="964"/>
      <c r="M83" s="964"/>
      <c r="N83" s="964"/>
      <c r="O83" s="964"/>
      <c r="P83" s="964"/>
      <c r="R83" s="1105"/>
      <c r="S83" s="1106"/>
      <c r="T83" s="1109"/>
      <c r="U83" s="1106"/>
      <c r="V83" s="1106"/>
      <c r="W83" s="1108"/>
      <c r="X83" s="1109"/>
      <c r="Y83" s="1106"/>
      <c r="Z83" s="1106"/>
      <c r="AA83" s="1106"/>
      <c r="AB83" s="1110"/>
      <c r="AC83" s="1100"/>
      <c r="AD83" s="1004"/>
      <c r="AE83" s="1004"/>
    </row>
    <row r="84" spans="1:31" s="965" customFormat="1" ht="18">
      <c r="A84" s="993"/>
      <c r="B84" s="994"/>
      <c r="C84" s="994"/>
      <c r="D84" s="836"/>
      <c r="E84" s="964"/>
      <c r="F84" s="964"/>
      <c r="G84" s="964"/>
      <c r="H84" s="964"/>
      <c r="I84" s="964"/>
      <c r="J84" s="964"/>
      <c r="K84" s="964"/>
      <c r="L84" s="964"/>
      <c r="M84" s="964"/>
      <c r="N84" s="964"/>
      <c r="O84" s="964"/>
      <c r="P84" s="964"/>
      <c r="R84" s="1105"/>
      <c r="S84" s="1106"/>
      <c r="T84" s="1109"/>
      <c r="U84" s="1106"/>
      <c r="V84" s="1106"/>
      <c r="W84" s="1108"/>
      <c r="X84" s="1109"/>
      <c r="Y84" s="1106"/>
      <c r="Z84" s="1106"/>
      <c r="AA84" s="1106"/>
      <c r="AB84" s="1110"/>
      <c r="AC84" s="1100"/>
      <c r="AD84" s="1004"/>
      <c r="AE84" s="1004"/>
    </row>
    <row r="85" spans="1:31" s="965" customFormat="1" ht="18">
      <c r="A85" s="993"/>
      <c r="B85" s="994"/>
      <c r="C85" s="994"/>
      <c r="D85" s="836"/>
      <c r="E85" s="964"/>
      <c r="F85" s="964"/>
      <c r="G85" s="964"/>
      <c r="H85" s="964"/>
      <c r="I85" s="964"/>
      <c r="J85" s="964"/>
      <c r="K85" s="964"/>
      <c r="L85" s="964"/>
      <c r="M85" s="964"/>
      <c r="N85" s="964"/>
      <c r="O85" s="964"/>
      <c r="P85" s="964"/>
      <c r="R85" s="1105"/>
      <c r="S85" s="1106"/>
      <c r="T85" s="1109"/>
      <c r="U85" s="1106"/>
      <c r="V85" s="1106"/>
      <c r="W85" s="1108"/>
      <c r="X85" s="1109"/>
      <c r="Y85" s="1107"/>
      <c r="Z85" s="1106"/>
      <c r="AA85" s="1106"/>
      <c r="AB85" s="1110"/>
      <c r="AC85" s="1100"/>
      <c r="AD85" s="1004"/>
      <c r="AE85" s="1004"/>
    </row>
    <row r="86" spans="1:31" s="965" customFormat="1" ht="18">
      <c r="A86" s="993"/>
      <c r="B86" s="994"/>
      <c r="C86" s="994"/>
      <c r="D86" s="836"/>
      <c r="E86" s="964"/>
      <c r="F86" s="964"/>
      <c r="G86" s="964"/>
      <c r="H86" s="964"/>
      <c r="I86" s="964"/>
      <c r="J86" s="964"/>
      <c r="K86" s="964"/>
      <c r="L86" s="964"/>
      <c r="M86" s="964"/>
      <c r="N86" s="964"/>
      <c r="O86" s="964"/>
      <c r="P86" s="964"/>
      <c r="R86" s="1105"/>
      <c r="S86" s="1106"/>
      <c r="T86" s="1109"/>
      <c r="U86" s="1106"/>
      <c r="V86" s="1106"/>
      <c r="W86" s="1108"/>
      <c r="X86" s="1113"/>
      <c r="Y86" s="1106"/>
      <c r="Z86" s="1105"/>
      <c r="AA86" s="1106"/>
      <c r="AB86" s="1110"/>
      <c r="AC86" s="1100"/>
      <c r="AD86" s="1004"/>
      <c r="AE86" s="1004"/>
    </row>
    <row r="87" spans="1:31" s="965" customFormat="1" ht="18">
      <c r="A87" s="993"/>
      <c r="B87" s="994"/>
      <c r="C87" s="994"/>
      <c r="D87" s="836"/>
      <c r="E87" s="964"/>
      <c r="F87" s="964"/>
      <c r="G87" s="964"/>
      <c r="H87" s="964"/>
      <c r="I87" s="964"/>
      <c r="J87" s="964"/>
      <c r="K87" s="964"/>
      <c r="L87" s="964"/>
      <c r="M87" s="964"/>
      <c r="N87" s="964"/>
      <c r="O87" s="964"/>
      <c r="P87" s="964"/>
      <c r="R87" s="1105"/>
      <c r="S87" s="1106"/>
      <c r="T87" s="1109"/>
      <c r="U87" s="1106"/>
      <c r="V87" s="1106"/>
      <c r="W87" s="1108"/>
      <c r="X87" s="1109"/>
      <c r="Y87" s="1114"/>
      <c r="Z87" s="1106"/>
      <c r="AA87" s="1106"/>
      <c r="AB87" s="1110"/>
      <c r="AC87" s="1100"/>
      <c r="AD87" s="1004"/>
      <c r="AE87" s="1004"/>
    </row>
    <row r="88" spans="1:31" ht="15.6">
      <c r="A88" s="752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R88" s="1105"/>
      <c r="S88" s="1106"/>
      <c r="T88" s="1109"/>
      <c r="U88" s="1106"/>
      <c r="V88" s="1106"/>
      <c r="W88" s="1108"/>
      <c r="X88" s="1109"/>
      <c r="Y88" s="1106"/>
      <c r="Z88" s="1106"/>
      <c r="AA88" s="1106"/>
      <c r="AB88" s="1110"/>
      <c r="AC88" s="1100"/>
      <c r="AD88" s="44"/>
      <c r="AE88" s="44"/>
    </row>
    <row r="89" spans="1:31" ht="15.6">
      <c r="R89" s="1105"/>
      <c r="S89" s="1106"/>
      <c r="T89" s="1109"/>
      <c r="U89" s="1106"/>
      <c r="V89" s="1106"/>
      <c r="W89" s="1108"/>
      <c r="X89" s="1109"/>
      <c r="Y89" s="1106"/>
      <c r="Z89" s="1106"/>
      <c r="AA89" s="1106"/>
      <c r="AB89" s="1110"/>
      <c r="AC89" s="1100"/>
      <c r="AD89" s="44"/>
      <c r="AE89" s="44"/>
    </row>
    <row r="90" spans="1:31" ht="15.6">
      <c r="R90" s="1105"/>
      <c r="S90" s="1106"/>
      <c r="T90" s="1106"/>
      <c r="U90" s="1106"/>
      <c r="V90" s="1106"/>
      <c r="W90" s="1108"/>
      <c r="X90" s="1109"/>
      <c r="Y90" s="1106"/>
      <c r="Z90" s="1106"/>
      <c r="AA90" s="1106"/>
      <c r="AB90" s="1110"/>
      <c r="AC90" s="1100"/>
      <c r="AD90" s="44"/>
      <c r="AE90" s="44"/>
    </row>
    <row r="91" spans="1:31" ht="15.6">
      <c r="R91" s="1105"/>
      <c r="S91" s="1106"/>
      <c r="T91" s="1106"/>
      <c r="U91" s="1106"/>
      <c r="V91" s="1106"/>
      <c r="W91" s="1108"/>
      <c r="X91" s="1109"/>
      <c r="Y91" s="1106"/>
      <c r="Z91" s="1106"/>
      <c r="AA91" s="1106"/>
      <c r="AB91" s="1110"/>
      <c r="AC91" s="1100"/>
      <c r="AD91" s="44"/>
      <c r="AE91" s="44"/>
    </row>
    <row r="92" spans="1:31" ht="15.6">
      <c r="R92" s="1105"/>
      <c r="S92" s="1106"/>
      <c r="T92" s="1107"/>
      <c r="U92" s="1106"/>
      <c r="V92" s="1106"/>
      <c r="W92" s="1108"/>
      <c r="X92" s="1109"/>
      <c r="Y92" s="1106"/>
      <c r="Z92" s="1106"/>
      <c r="AA92" s="1106"/>
      <c r="AB92" s="1110"/>
      <c r="AC92" s="1100"/>
      <c r="AD92" s="44"/>
      <c r="AE92" s="44"/>
    </row>
    <row r="93" spans="1:31" ht="15.6">
      <c r="R93" s="1105"/>
      <c r="S93" s="1106"/>
      <c r="T93" s="1111"/>
      <c r="U93" s="1106"/>
      <c r="V93" s="1106"/>
      <c r="W93" s="1108"/>
      <c r="X93" s="1109"/>
      <c r="Y93" s="1106"/>
      <c r="Z93" s="1106"/>
      <c r="AA93" s="1106"/>
      <c r="AB93" s="1110"/>
      <c r="AC93" s="1100"/>
      <c r="AD93" s="44"/>
      <c r="AE93" s="44"/>
    </row>
    <row r="94" spans="1:31" ht="15.6">
      <c r="R94" s="1105"/>
      <c r="S94" s="1106"/>
      <c r="T94" s="1107"/>
      <c r="U94" s="1106"/>
      <c r="V94" s="1106"/>
      <c r="W94" s="1108"/>
      <c r="X94" s="1109"/>
      <c r="Y94" s="1106"/>
      <c r="Z94" s="1106"/>
      <c r="AA94" s="1106"/>
      <c r="AB94" s="1110"/>
      <c r="AC94" s="1100"/>
      <c r="AD94" s="44"/>
      <c r="AE94" s="44"/>
    </row>
    <row r="95" spans="1:31" ht="15.6">
      <c r="R95" s="1105"/>
      <c r="S95" s="1106"/>
      <c r="T95" s="1107"/>
      <c r="U95" s="1106"/>
      <c r="V95" s="1106"/>
      <c r="W95" s="1108"/>
      <c r="X95" s="1109"/>
      <c r="Y95" s="1106"/>
      <c r="Z95" s="1106"/>
      <c r="AA95" s="1106"/>
      <c r="AB95" s="1110"/>
      <c r="AC95" s="1100"/>
      <c r="AD95" s="44"/>
      <c r="AE95" s="44"/>
    </row>
    <row r="96" spans="1:31" ht="15.6">
      <c r="R96" s="1105"/>
      <c r="S96" s="1106"/>
      <c r="T96" s="1107"/>
      <c r="U96" s="1106"/>
      <c r="V96" s="1106"/>
      <c r="W96" s="1108"/>
      <c r="X96" s="1109"/>
      <c r="Y96" s="1106"/>
      <c r="Z96" s="1106"/>
      <c r="AA96" s="1106"/>
      <c r="AB96" s="1110"/>
      <c r="AC96" s="1100"/>
      <c r="AD96" s="44"/>
      <c r="AE96" s="44"/>
    </row>
    <row r="97" spans="18:31">
      <c r="R97" s="1105"/>
      <c r="S97" s="1106"/>
      <c r="T97" s="1106"/>
      <c r="U97" s="1106"/>
      <c r="V97" s="1106"/>
      <c r="W97" s="1108"/>
      <c r="X97" s="1109"/>
      <c r="Y97" s="1106"/>
      <c r="Z97" s="1106"/>
      <c r="AA97" s="1106"/>
      <c r="AB97" s="1106"/>
      <c r="AC97" s="1100"/>
      <c r="AD97" s="44"/>
      <c r="AE97" s="44"/>
    </row>
    <row r="98" spans="18:31" ht="15.6">
      <c r="R98" s="1105"/>
      <c r="S98" s="1106"/>
      <c r="T98" s="1106"/>
      <c r="U98" s="1106"/>
      <c r="V98" s="1106"/>
      <c r="W98" s="1108"/>
      <c r="X98" s="1109"/>
      <c r="Y98" s="1106"/>
      <c r="Z98" s="1106"/>
      <c r="AA98" s="1106"/>
      <c r="AB98" s="1110"/>
      <c r="AC98" s="1100"/>
      <c r="AD98" s="44"/>
      <c r="AE98" s="44"/>
    </row>
    <row r="99" spans="18:31" ht="15.6">
      <c r="R99" s="1105"/>
      <c r="S99" s="1106"/>
      <c r="T99" s="1106"/>
      <c r="U99" s="1106"/>
      <c r="V99" s="1106"/>
      <c r="W99" s="1108"/>
      <c r="X99" s="1109"/>
      <c r="Y99" s="1106"/>
      <c r="Z99" s="1106"/>
      <c r="AA99" s="1106"/>
      <c r="AB99" s="1110"/>
      <c r="AC99" s="1100"/>
      <c r="AD99" s="44"/>
      <c r="AE99" s="44"/>
    </row>
    <row r="100" spans="18:31" ht="18" customHeight="1">
      <c r="R100" s="1105"/>
      <c r="S100" s="1106"/>
      <c r="T100" s="1106"/>
      <c r="U100" s="1106"/>
      <c r="V100" s="1106"/>
      <c r="W100" s="1108"/>
      <c r="X100" s="1109"/>
      <c r="Y100" s="1106"/>
      <c r="Z100" s="1106"/>
      <c r="AA100" s="1106"/>
      <c r="AB100" s="1110"/>
      <c r="AC100" s="1100"/>
      <c r="AD100" s="44"/>
      <c r="AE100" s="44"/>
    </row>
    <row r="101" spans="18:31" ht="15.6">
      <c r="R101" s="1105"/>
      <c r="S101" s="1106"/>
      <c r="T101" s="1106"/>
      <c r="U101" s="1106"/>
      <c r="V101" s="1106"/>
      <c r="W101" s="1108"/>
      <c r="X101" s="1109"/>
      <c r="Y101" s="1106"/>
      <c r="Z101" s="1106"/>
      <c r="AA101" s="1106"/>
      <c r="AB101" s="1110"/>
      <c r="AC101" s="1100"/>
    </row>
    <row r="102" spans="18:31" ht="15.6">
      <c r="R102" s="1105"/>
      <c r="S102" s="1106"/>
      <c r="T102" s="1106"/>
      <c r="U102" s="1106"/>
      <c r="V102" s="1106"/>
      <c r="W102" s="1108"/>
      <c r="X102" s="1109"/>
      <c r="Y102" s="1106"/>
      <c r="Z102" s="1106"/>
      <c r="AA102" s="1106"/>
      <c r="AB102" s="1110"/>
      <c r="AC102" s="1100"/>
    </row>
    <row r="103" spans="18:31" ht="15.6">
      <c r="R103" s="1105"/>
      <c r="S103" s="1106"/>
      <c r="T103" s="1106"/>
      <c r="U103" s="1106"/>
      <c r="V103" s="1106"/>
      <c r="W103" s="1108"/>
      <c r="X103" s="1109"/>
      <c r="Y103" s="1106"/>
      <c r="Z103" s="1106"/>
      <c r="AA103" s="1106"/>
      <c r="AB103" s="1110"/>
      <c r="AC103" s="1100"/>
    </row>
    <row r="104" spans="18:31" ht="15.6">
      <c r="R104" s="1105"/>
      <c r="S104" s="1106"/>
      <c r="T104" s="1106"/>
      <c r="U104" s="1106"/>
      <c r="V104" s="1106"/>
      <c r="W104" s="1108"/>
      <c r="X104" s="1109"/>
      <c r="Y104" s="1106"/>
      <c r="Z104" s="1106"/>
      <c r="AA104" s="1106"/>
      <c r="AB104" s="1110"/>
      <c r="AC104" s="1100"/>
    </row>
    <row r="105" spans="18:31" ht="15.6">
      <c r="R105" s="1105"/>
      <c r="S105" s="1106"/>
      <c r="T105" s="1106"/>
      <c r="U105" s="1106"/>
      <c r="V105" s="1106"/>
      <c r="W105" s="1108"/>
      <c r="X105" s="1109"/>
      <c r="Y105" s="1106"/>
      <c r="Z105" s="1106"/>
      <c r="AA105" s="1106"/>
      <c r="AB105" s="1110"/>
      <c r="AC105" s="1100"/>
    </row>
    <row r="106" spans="18:31" ht="15.6">
      <c r="R106" s="1115"/>
      <c r="S106" s="1107"/>
      <c r="T106" s="1106"/>
      <c r="U106" s="1107"/>
      <c r="V106" s="1107"/>
      <c r="W106" s="1108"/>
      <c r="X106" s="1116"/>
      <c r="Y106" s="1107"/>
      <c r="Z106" s="1107"/>
      <c r="AA106" s="1107"/>
      <c r="AB106" s="1117"/>
      <c r="AC106" s="1118"/>
    </row>
    <row r="107" spans="18:31" ht="15.6">
      <c r="R107" s="1115"/>
      <c r="S107" s="1107"/>
      <c r="T107" s="1107"/>
      <c r="U107" s="1107"/>
      <c r="V107" s="1107"/>
      <c r="W107" s="1108"/>
      <c r="X107" s="1116"/>
      <c r="Y107" s="1107"/>
      <c r="Z107" s="1107"/>
      <c r="AA107" s="1107"/>
      <c r="AB107" s="1117"/>
      <c r="AC107" s="1118"/>
    </row>
    <row r="108" spans="18:31" ht="15.6">
      <c r="R108" s="1105"/>
      <c r="S108" s="1106"/>
      <c r="T108" s="1107"/>
      <c r="U108" s="1106"/>
      <c r="V108" s="1106"/>
      <c r="W108" s="1108"/>
      <c r="X108" s="1109"/>
      <c r="Y108" s="1106"/>
      <c r="Z108" s="1106"/>
      <c r="AA108" s="1106"/>
      <c r="AB108" s="1117"/>
      <c r="AC108" s="1100"/>
    </row>
    <row r="109" spans="18:31" ht="15.6">
      <c r="R109" s="1105"/>
      <c r="S109" s="1106"/>
      <c r="T109" s="1106"/>
      <c r="U109" s="1106"/>
      <c r="V109" s="1106"/>
      <c r="W109" s="1108"/>
      <c r="X109" s="1109"/>
      <c r="Y109" s="1106"/>
      <c r="Z109" s="1106"/>
      <c r="AA109" s="1106"/>
      <c r="AB109" s="1110"/>
      <c r="AC109" s="1100"/>
    </row>
    <row r="110" spans="18:31" ht="15.6">
      <c r="R110" s="1115"/>
      <c r="S110" s="1107"/>
      <c r="T110" s="1107"/>
      <c r="U110" s="1107"/>
      <c r="V110" s="1107"/>
      <c r="W110" s="1119"/>
      <c r="X110" s="1116"/>
      <c r="Y110" s="1107"/>
      <c r="Z110" s="1107"/>
      <c r="AA110" s="1107"/>
      <c r="AB110" s="1117"/>
      <c r="AC110" s="1118"/>
    </row>
    <row r="111" spans="18:31" ht="15.6">
      <c r="R111" s="1115"/>
      <c r="S111" s="1107"/>
      <c r="T111" s="1107"/>
      <c r="U111" s="1107"/>
      <c r="V111" s="1107"/>
      <c r="W111" s="1108"/>
      <c r="X111" s="1116"/>
      <c r="Y111" s="1106"/>
      <c r="Z111" s="1107"/>
      <c r="AA111" s="1107"/>
      <c r="AB111" s="1110"/>
      <c r="AC111" s="1118"/>
    </row>
    <row r="112" spans="18:31" ht="15.6">
      <c r="R112" s="1106"/>
      <c r="S112" s="1106"/>
      <c r="T112" s="1106"/>
      <c r="U112" s="1106"/>
      <c r="V112" s="1106"/>
      <c r="W112" s="1108"/>
      <c r="X112" s="1109"/>
      <c r="Y112" s="1106"/>
      <c r="Z112" s="1106"/>
      <c r="AA112" s="1106"/>
      <c r="AB112" s="1110"/>
      <c r="AC112" s="1120"/>
    </row>
    <row r="113" spans="18:29" ht="15.6">
      <c r="R113" s="1106"/>
      <c r="S113" s="1106"/>
      <c r="T113" s="1106"/>
      <c r="U113" s="1106"/>
      <c r="V113" s="1106"/>
      <c r="W113" s="1108"/>
      <c r="X113" s="1109"/>
      <c r="Y113" s="1106"/>
      <c r="Z113" s="1106"/>
      <c r="AA113" s="1106"/>
      <c r="AB113" s="1110"/>
      <c r="AC113" s="1120"/>
    </row>
    <row r="114" spans="18:29" ht="15.6">
      <c r="R114" s="1106"/>
      <c r="S114" s="1106"/>
      <c r="T114" s="1106"/>
      <c r="U114" s="1106"/>
      <c r="V114" s="1106"/>
      <c r="W114" s="1108"/>
      <c r="X114" s="1109"/>
      <c r="Y114" s="1106"/>
      <c r="Z114" s="1106"/>
      <c r="AA114" s="1106"/>
      <c r="AB114" s="1110"/>
      <c r="AC114" s="1120"/>
    </row>
    <row r="115" spans="18:29" ht="15.6">
      <c r="R115" s="1106"/>
      <c r="S115" s="1106"/>
      <c r="T115" s="1106"/>
      <c r="U115" s="1106"/>
      <c r="V115" s="1106"/>
      <c r="W115" s="1108"/>
      <c r="X115" s="1109"/>
      <c r="Y115" s="1106"/>
      <c r="Z115" s="1106"/>
      <c r="AA115" s="1106"/>
      <c r="AB115" s="1110"/>
      <c r="AC115" s="1120"/>
    </row>
    <row r="116" spans="18:29" ht="15.6">
      <c r="R116" s="1106"/>
      <c r="S116" s="1106"/>
      <c r="T116" s="1106"/>
      <c r="U116" s="1106"/>
      <c r="V116" s="1106"/>
      <c r="W116" s="1108"/>
      <c r="X116" s="1109"/>
      <c r="Y116" s="1106"/>
      <c r="Z116" s="1106"/>
      <c r="AA116" s="1106"/>
      <c r="AB116" s="1110"/>
      <c r="AC116" s="1120"/>
    </row>
    <row r="117" spans="18:29" ht="15.6">
      <c r="R117" s="1106"/>
      <c r="S117" s="1106"/>
      <c r="T117" s="1106"/>
      <c r="U117" s="1106"/>
      <c r="V117" s="1106"/>
      <c r="W117" s="1108"/>
      <c r="X117" s="1109"/>
      <c r="Y117" s="1106"/>
      <c r="Z117" s="1106"/>
      <c r="AA117" s="1106"/>
      <c r="AB117" s="1110"/>
      <c r="AC117" s="1120"/>
    </row>
  </sheetData>
  <protectedRanges>
    <protectedRange algorithmName="SHA-512" hashValue="24Yg3M703G5L8OyJWxlkx8c1Gwfrkael5W/l3TUk/Rcz5tR8QOgCx5v0Ebb/UGz+9BDKPJ5wV4hH8uuxvmtGIw==" saltValue="ZSJQ8EEnwGxsiYzxIw6K0Q==" spinCount="100000" sqref="N4:N8 O4:P25 B64:D70 O26 B24:D25 B4:D17 B54:D59 O27:P48 N10:N48 B30:D49 E4:M48 E49:P88" name="Range1_65_32_32_30_30_30"/>
    <protectedRange algorithmName="SHA-512" hashValue="XYWjC+iAz2ErgjMh7TSLHlxfTfK0uVcITDFdCCZFdnsWWbUNnsQqu9AM+0WFXQpYcy9ZvQx2KUXfpLhpOROHkg==" saltValue="47TiGLG0rJVTo3iAJH8T4w==" spinCount="100000" sqref="B75:D87 B20:D23 B28:D29" name="Range2_5_2_2_2_2_2"/>
    <protectedRange algorithmName="SHA-512" hashValue="24Yg3M703G5L8OyJWxlkx8c1Gwfrkael5W/l3TUk/Rcz5tR8QOgCx5v0Ebb/UGz+9BDKPJ5wV4hH8uuxvmtGIw==" saltValue="ZSJQ8EEnwGxsiYzxIw6K0Q==" spinCount="100000" sqref="B75:D87 B26:D29 B18:D23" name="Range1_65_32_2_2_2_2"/>
  </protectedRanges>
  <mergeCells count="21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0:A11"/>
    <mergeCell ref="B10:D10"/>
    <mergeCell ref="F10:H10"/>
    <mergeCell ref="J10:L10"/>
    <mergeCell ref="N10:P10"/>
    <mergeCell ref="B18:D18"/>
    <mergeCell ref="F8:H8"/>
    <mergeCell ref="J8:L8"/>
    <mergeCell ref="N8:P9"/>
    <mergeCell ref="F9:H9"/>
    <mergeCell ref="J9:L9"/>
  </mergeCells>
  <pageMargins left="0.7" right="0.7" top="0.75" bottom="0.75" header="0.3" footer="0.3"/>
  <drawing r:id="rId1"/>
  <legacyDrawing r:id="rId2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A797-22A5-41FE-8A03-BD0F6A883BF8}">
  <dimension ref="A1:AF36"/>
  <sheetViews>
    <sheetView workbookViewId="0"/>
  </sheetViews>
  <sheetFormatPr defaultRowHeight="14.4"/>
  <cols>
    <col min="18" max="18" width="10.109375" bestFit="1" customWidth="1"/>
    <col min="19" max="19" width="11" bestFit="1" customWidth="1"/>
    <col min="20" max="20" width="16.44140625" bestFit="1" customWidth="1"/>
    <col min="21" max="21" width="9" bestFit="1" customWidth="1"/>
    <col min="22" max="22" width="43.44140625" bestFit="1" customWidth="1"/>
    <col min="23" max="23" width="24.33203125" bestFit="1" customWidth="1"/>
    <col min="24" max="24" width="6.5546875" bestFit="1" customWidth="1"/>
    <col min="25" max="25" width="9.88671875" bestFit="1" customWidth="1"/>
    <col min="26" max="27" width="2" bestFit="1" customWidth="1"/>
    <col min="28" max="28" width="15.88671875" bestFit="1" customWidth="1"/>
  </cols>
  <sheetData>
    <row r="1" spans="1:32" ht="15.6">
      <c r="R1" s="804" t="s">
        <v>637</v>
      </c>
      <c r="S1" s="798">
        <v>3331558025</v>
      </c>
      <c r="T1" s="798" t="s">
        <v>189</v>
      </c>
      <c r="U1" s="798">
        <v>24141192</v>
      </c>
      <c r="V1" s="798" t="s">
        <v>687</v>
      </c>
      <c r="W1" s="801" t="s">
        <v>362</v>
      </c>
      <c r="X1" s="802">
        <v>25115.795999999998</v>
      </c>
      <c r="Y1" s="798" t="s">
        <v>426</v>
      </c>
      <c r="Z1" s="798">
        <v>1</v>
      </c>
      <c r="AA1" s="798">
        <v>1</v>
      </c>
      <c r="AB1" s="803" t="s">
        <v>207</v>
      </c>
      <c r="AC1" s="810"/>
    </row>
    <row r="2" spans="1:32" ht="15.6">
      <c r="R2" s="804" t="s">
        <v>637</v>
      </c>
      <c r="S2" s="798">
        <v>3331558026</v>
      </c>
      <c r="T2" s="798" t="s">
        <v>189</v>
      </c>
      <c r="U2" s="798">
        <v>24141193</v>
      </c>
      <c r="V2" s="798" t="s">
        <v>687</v>
      </c>
      <c r="W2" s="801" t="s">
        <v>362</v>
      </c>
      <c r="X2" s="802">
        <v>25115.795999999998</v>
      </c>
      <c r="Y2" s="798" t="s">
        <v>426</v>
      </c>
      <c r="Z2" s="798">
        <v>1</v>
      </c>
      <c r="AA2" s="798">
        <v>1</v>
      </c>
      <c r="AB2" s="803" t="s">
        <v>207</v>
      </c>
      <c r="AC2" s="810"/>
    </row>
    <row r="3" spans="1:32" ht="15.6">
      <c r="R3" s="804" t="s">
        <v>637</v>
      </c>
      <c r="S3" s="798">
        <v>3331558027</v>
      </c>
      <c r="T3" s="798" t="s">
        <v>189</v>
      </c>
      <c r="U3" s="798">
        <v>24141194</v>
      </c>
      <c r="V3" s="798" t="s">
        <v>687</v>
      </c>
      <c r="W3" s="801" t="s">
        <v>362</v>
      </c>
      <c r="X3" s="802">
        <v>25115.795999999998</v>
      </c>
      <c r="Y3" s="798" t="s">
        <v>426</v>
      </c>
      <c r="Z3" s="798">
        <v>1</v>
      </c>
      <c r="AA3" s="798">
        <v>1</v>
      </c>
      <c r="AB3" s="803" t="s">
        <v>207</v>
      </c>
      <c r="AC3" s="810"/>
    </row>
    <row r="4" spans="1:32" ht="15.6">
      <c r="R4" s="804" t="s">
        <v>637</v>
      </c>
      <c r="S4" s="798">
        <v>3331558028</v>
      </c>
      <c r="T4" s="798" t="s">
        <v>189</v>
      </c>
      <c r="U4" s="798">
        <v>24141195</v>
      </c>
      <c r="V4" s="798" t="s">
        <v>687</v>
      </c>
      <c r="W4" s="801" t="s">
        <v>362</v>
      </c>
      <c r="X4" s="802">
        <v>25115.794999999998</v>
      </c>
      <c r="Y4" s="798" t="s">
        <v>426</v>
      </c>
      <c r="Z4" s="798">
        <v>1</v>
      </c>
      <c r="AA4" s="798">
        <v>1</v>
      </c>
      <c r="AB4" s="803" t="s">
        <v>207</v>
      </c>
      <c r="AC4" s="810"/>
    </row>
    <row r="5" spans="1:32" ht="15.6">
      <c r="R5" s="804" t="s">
        <v>452</v>
      </c>
      <c r="S5" s="798">
        <v>3331558037</v>
      </c>
      <c r="T5" s="798" t="s">
        <v>189</v>
      </c>
      <c r="U5" s="798">
        <v>24141196</v>
      </c>
      <c r="V5" s="798" t="s">
        <v>687</v>
      </c>
      <c r="W5" s="801" t="s">
        <v>362</v>
      </c>
      <c r="X5" s="802">
        <f>20299.069+3078.36</f>
        <v>23377.429</v>
      </c>
      <c r="Y5" s="798" t="s">
        <v>426</v>
      </c>
      <c r="Z5" s="798">
        <v>1</v>
      </c>
      <c r="AA5" s="798">
        <v>1</v>
      </c>
      <c r="AB5" s="803" t="s">
        <v>207</v>
      </c>
      <c r="AC5" s="810"/>
    </row>
    <row r="6" spans="1:32" ht="15.6">
      <c r="R6" s="804" t="s">
        <v>637</v>
      </c>
      <c r="S6" s="798">
        <v>3331558038</v>
      </c>
      <c r="T6" s="798" t="s">
        <v>256</v>
      </c>
      <c r="U6" s="798" t="s">
        <v>256</v>
      </c>
      <c r="V6" s="798" t="s">
        <v>256</v>
      </c>
      <c r="W6" s="801" t="s">
        <v>256</v>
      </c>
      <c r="X6" s="802" t="s">
        <v>256</v>
      </c>
      <c r="Y6" s="798" t="s">
        <v>256</v>
      </c>
      <c r="Z6" s="798" t="s">
        <v>256</v>
      </c>
      <c r="AA6" s="798" t="s">
        <v>256</v>
      </c>
      <c r="AB6" s="803" t="s">
        <v>256</v>
      </c>
      <c r="AC6" s="810"/>
    </row>
    <row r="7" spans="1:32" ht="15.6">
      <c r="A7" s="719"/>
      <c r="B7" s="719"/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19"/>
      <c r="Q7" s="719"/>
      <c r="R7" s="804" t="s">
        <v>452</v>
      </c>
      <c r="S7" s="798">
        <v>3331558066</v>
      </c>
      <c r="T7" s="798" t="s">
        <v>189</v>
      </c>
      <c r="U7" s="798">
        <v>24141202</v>
      </c>
      <c r="V7" s="798" t="s">
        <v>687</v>
      </c>
      <c r="W7" s="801" t="s">
        <v>362</v>
      </c>
      <c r="X7" s="802">
        <v>24712.39</v>
      </c>
      <c r="Y7" s="798" t="s">
        <v>426</v>
      </c>
      <c r="Z7" s="798">
        <v>1</v>
      </c>
      <c r="AA7" s="798">
        <v>1</v>
      </c>
      <c r="AB7" s="803" t="s">
        <v>207</v>
      </c>
      <c r="AC7" s="810"/>
      <c r="AD7" s="719"/>
      <c r="AE7" s="719"/>
      <c r="AF7" s="719"/>
    </row>
    <row r="8" spans="1:32" ht="15.6">
      <c r="A8" s="719"/>
      <c r="B8" s="719"/>
      <c r="C8" s="719"/>
      <c r="D8" s="719"/>
      <c r="E8" s="719"/>
      <c r="F8" s="719"/>
      <c r="G8" s="719"/>
      <c r="H8" s="719"/>
      <c r="I8" s="719"/>
      <c r="J8" s="719"/>
      <c r="K8" s="719"/>
      <c r="L8" s="719"/>
      <c r="M8" s="719"/>
      <c r="N8" s="719"/>
      <c r="O8" s="719"/>
      <c r="P8" s="719"/>
      <c r="Q8" s="719"/>
      <c r="R8" s="804" t="s">
        <v>637</v>
      </c>
      <c r="S8" s="798">
        <v>3331558067</v>
      </c>
      <c r="T8" s="798" t="s">
        <v>189</v>
      </c>
      <c r="U8" s="798">
        <v>24141206</v>
      </c>
      <c r="V8" s="798" t="s">
        <v>687</v>
      </c>
      <c r="W8" s="801" t="s">
        <v>362</v>
      </c>
      <c r="X8" s="802">
        <f>8573.598+16127.437</f>
        <v>24701.035</v>
      </c>
      <c r="Y8" s="798" t="s">
        <v>426</v>
      </c>
      <c r="Z8" s="798">
        <v>1</v>
      </c>
      <c r="AA8" s="798">
        <v>1</v>
      </c>
      <c r="AB8" s="803" t="s">
        <v>207</v>
      </c>
      <c r="AC8" s="810"/>
      <c r="AD8" s="719"/>
      <c r="AE8" s="719"/>
      <c r="AF8" s="719"/>
    </row>
    <row r="9" spans="1:32" ht="15.6">
      <c r="A9" s="719"/>
      <c r="B9" s="719"/>
      <c r="C9" s="719"/>
      <c r="D9" s="719"/>
      <c r="E9" s="719"/>
      <c r="F9" s="719"/>
      <c r="G9" s="719"/>
      <c r="H9" s="719"/>
      <c r="I9" s="719"/>
      <c r="J9" s="719"/>
      <c r="K9" s="719"/>
      <c r="L9" s="719"/>
      <c r="M9" s="719"/>
      <c r="N9" s="719"/>
      <c r="O9" s="719"/>
      <c r="P9" s="719"/>
      <c r="Q9" s="719"/>
      <c r="R9" s="804" t="s">
        <v>637</v>
      </c>
      <c r="S9" s="798">
        <v>3331558068</v>
      </c>
      <c r="T9" s="798" t="s">
        <v>256</v>
      </c>
      <c r="U9" s="798" t="s">
        <v>256</v>
      </c>
      <c r="V9" s="798" t="s">
        <v>256</v>
      </c>
      <c r="W9" s="801" t="s">
        <v>256</v>
      </c>
      <c r="X9" s="802" t="s">
        <v>256</v>
      </c>
      <c r="Y9" s="798" t="s">
        <v>256</v>
      </c>
      <c r="Z9" s="798" t="s">
        <v>256</v>
      </c>
      <c r="AA9" s="798" t="s">
        <v>256</v>
      </c>
      <c r="AB9" s="803" t="s">
        <v>256</v>
      </c>
      <c r="AC9" s="810"/>
      <c r="AD9" s="719"/>
      <c r="AE9" s="719"/>
      <c r="AF9" s="719"/>
    </row>
    <row r="10" spans="1:32" ht="15.6">
      <c r="A10" s="719"/>
      <c r="B10" s="719"/>
      <c r="C10" s="719"/>
      <c r="D10" s="719"/>
      <c r="E10" s="719"/>
      <c r="F10" s="719"/>
      <c r="G10" s="719"/>
      <c r="H10" s="719"/>
      <c r="I10" s="719"/>
      <c r="J10" s="719"/>
      <c r="K10" s="719"/>
      <c r="L10" s="719"/>
      <c r="M10" s="719"/>
      <c r="N10" s="719"/>
      <c r="O10" s="719"/>
      <c r="P10" s="719"/>
      <c r="Q10" s="719"/>
      <c r="R10" s="804" t="s">
        <v>637</v>
      </c>
      <c r="S10" s="798">
        <v>3331558071</v>
      </c>
      <c r="T10" s="798" t="s">
        <v>189</v>
      </c>
      <c r="U10" s="798">
        <v>24141207</v>
      </c>
      <c r="V10" s="798" t="s">
        <v>687</v>
      </c>
      <c r="W10" s="801" t="s">
        <v>362</v>
      </c>
      <c r="X10" s="802">
        <v>24508.366000000002</v>
      </c>
      <c r="Y10" s="798" t="s">
        <v>426</v>
      </c>
      <c r="Z10" s="798">
        <v>1</v>
      </c>
      <c r="AA10" s="798">
        <v>1</v>
      </c>
      <c r="AB10" s="803" t="s">
        <v>207</v>
      </c>
      <c r="AC10" s="810"/>
      <c r="AD10" s="719"/>
      <c r="AE10" s="719"/>
      <c r="AF10" s="719"/>
    </row>
    <row r="11" spans="1:32" ht="15.6">
      <c r="A11" s="719"/>
      <c r="B11" s="719"/>
      <c r="C11" s="719"/>
      <c r="D11" s="719"/>
      <c r="E11" s="719"/>
      <c r="F11" s="719"/>
      <c r="G11" s="719"/>
      <c r="H11" s="719"/>
      <c r="I11" s="719"/>
      <c r="J11" s="719"/>
      <c r="K11" s="719"/>
      <c r="L11" s="719"/>
      <c r="M11" s="719"/>
      <c r="N11" s="719"/>
      <c r="O11" s="719"/>
      <c r="P11" s="719"/>
      <c r="Q11" s="719"/>
      <c r="R11" s="804" t="s">
        <v>637</v>
      </c>
      <c r="S11" s="798">
        <v>3331558072</v>
      </c>
      <c r="T11" s="798" t="s">
        <v>189</v>
      </c>
      <c r="U11" s="798">
        <v>24141208</v>
      </c>
      <c r="V11" s="798" t="s">
        <v>687</v>
      </c>
      <c r="W11" s="801" t="s">
        <v>362</v>
      </c>
      <c r="X11" s="802">
        <v>24508.366000000002</v>
      </c>
      <c r="Y11" s="798" t="s">
        <v>426</v>
      </c>
      <c r="Z11" s="798">
        <v>1</v>
      </c>
      <c r="AA11" s="798">
        <v>1</v>
      </c>
      <c r="AB11" s="803" t="s">
        <v>207</v>
      </c>
      <c r="AC11" s="810"/>
      <c r="AD11" s="719"/>
      <c r="AE11" s="719"/>
      <c r="AF11" s="719"/>
    </row>
    <row r="12" spans="1:32" ht="15.6">
      <c r="A12" s="719"/>
      <c r="B12" s="719"/>
      <c r="C12" s="719"/>
      <c r="D12" s="719"/>
      <c r="E12" s="719"/>
      <c r="F12" s="719"/>
      <c r="G12" s="719"/>
      <c r="H12" s="719"/>
      <c r="I12" s="719"/>
      <c r="J12" s="719"/>
      <c r="K12" s="719"/>
      <c r="L12" s="719"/>
      <c r="M12" s="719"/>
      <c r="N12" s="719"/>
      <c r="O12" s="719"/>
      <c r="P12" s="719"/>
      <c r="Q12" s="719"/>
      <c r="R12" s="804" t="s">
        <v>637</v>
      </c>
      <c r="S12" s="798">
        <v>3331558073</v>
      </c>
      <c r="T12" s="798" t="s">
        <v>189</v>
      </c>
      <c r="U12" s="798">
        <v>24141209</v>
      </c>
      <c r="V12" s="798" t="s">
        <v>687</v>
      </c>
      <c r="W12" s="801" t="s">
        <v>362</v>
      </c>
      <c r="X12" s="802">
        <v>24508.366000000002</v>
      </c>
      <c r="Y12" s="798" t="s">
        <v>426</v>
      </c>
      <c r="Z12" s="798">
        <v>1</v>
      </c>
      <c r="AA12" s="798">
        <v>1</v>
      </c>
      <c r="AB12" s="803" t="s">
        <v>207</v>
      </c>
      <c r="AC12" s="810"/>
      <c r="AD12" s="719"/>
      <c r="AE12" s="719"/>
      <c r="AF12" s="719"/>
    </row>
    <row r="15" spans="1:32" ht="15.6">
      <c r="R15" s="800" t="s">
        <v>637</v>
      </c>
      <c r="S15" s="798">
        <v>3331557893</v>
      </c>
      <c r="T15" s="798" t="s">
        <v>648</v>
      </c>
      <c r="U15" s="798">
        <v>24141168</v>
      </c>
      <c r="V15" s="798" t="s">
        <v>561</v>
      </c>
      <c r="W15" s="801" t="s">
        <v>362</v>
      </c>
      <c r="X15" s="802">
        <v>25054.43</v>
      </c>
      <c r="Y15" s="798" t="s">
        <v>200</v>
      </c>
      <c r="Z15" s="798">
        <v>1</v>
      </c>
      <c r="AA15" s="798">
        <v>1</v>
      </c>
      <c r="AB15" s="803" t="s">
        <v>207</v>
      </c>
    </row>
    <row r="16" spans="1:32" ht="15.6">
      <c r="R16" s="800" t="s">
        <v>637</v>
      </c>
      <c r="S16" s="798">
        <v>3331557894</v>
      </c>
      <c r="T16" s="798" t="s">
        <v>648</v>
      </c>
      <c r="U16" s="798">
        <v>24141169</v>
      </c>
      <c r="V16" s="798" t="s">
        <v>561</v>
      </c>
      <c r="W16" s="801" t="s">
        <v>362</v>
      </c>
      <c r="X16" s="802">
        <v>24840.654999999999</v>
      </c>
      <c r="Y16" s="798" t="s">
        <v>200</v>
      </c>
      <c r="Z16" s="798">
        <v>1</v>
      </c>
      <c r="AA16" s="798">
        <v>1</v>
      </c>
      <c r="AB16" s="803" t="s">
        <v>207</v>
      </c>
    </row>
    <row r="17" spans="18:28" ht="15.6">
      <c r="R17" s="800" t="s">
        <v>637</v>
      </c>
      <c r="S17" s="798">
        <v>3331557896</v>
      </c>
      <c r="T17" s="798" t="s">
        <v>189</v>
      </c>
      <c r="U17" s="798">
        <v>24141171</v>
      </c>
      <c r="V17" s="798" t="s">
        <v>561</v>
      </c>
      <c r="W17" s="801" t="s">
        <v>362</v>
      </c>
      <c r="X17" s="802">
        <f>7014.762+16674.45</f>
        <v>23689.212</v>
      </c>
      <c r="Y17" s="798" t="s">
        <v>200</v>
      </c>
      <c r="Z17" s="798">
        <v>1</v>
      </c>
      <c r="AA17" s="798">
        <v>1</v>
      </c>
      <c r="AB17" s="803" t="s">
        <v>207</v>
      </c>
    </row>
    <row r="18" spans="18:28" ht="15.6">
      <c r="R18" s="800" t="s">
        <v>637</v>
      </c>
      <c r="S18" s="800">
        <v>3331557897</v>
      </c>
      <c r="T18" s="798" t="s">
        <v>256</v>
      </c>
      <c r="U18" s="798" t="s">
        <v>256</v>
      </c>
      <c r="V18" s="798" t="s">
        <v>256</v>
      </c>
      <c r="W18" s="801" t="s">
        <v>256</v>
      </c>
      <c r="X18" s="802" t="s">
        <v>256</v>
      </c>
      <c r="Y18" s="798" t="s">
        <v>256</v>
      </c>
      <c r="Z18" s="800" t="s">
        <v>256</v>
      </c>
      <c r="AA18" s="800" t="s">
        <v>256</v>
      </c>
      <c r="AB18" s="803" t="s">
        <v>207</v>
      </c>
    </row>
    <row r="19" spans="18:28" ht="15.6">
      <c r="R19" s="800" t="s">
        <v>637</v>
      </c>
      <c r="S19" s="798">
        <v>3331557898</v>
      </c>
      <c r="T19" s="798" t="s">
        <v>189</v>
      </c>
      <c r="U19" s="798">
        <v>24141174</v>
      </c>
      <c r="V19" s="798" t="s">
        <v>561</v>
      </c>
      <c r="W19" s="801" t="s">
        <v>362</v>
      </c>
      <c r="X19" s="802">
        <f>18363.776+7101.364</f>
        <v>25465.14</v>
      </c>
      <c r="Y19" s="798" t="s">
        <v>200</v>
      </c>
      <c r="Z19" s="798">
        <v>1</v>
      </c>
      <c r="AA19" s="798">
        <v>1</v>
      </c>
      <c r="AB19" s="803" t="s">
        <v>207</v>
      </c>
    </row>
    <row r="20" spans="18:28" ht="15.6">
      <c r="R20" s="800" t="s">
        <v>637</v>
      </c>
      <c r="S20" s="798">
        <v>3331557904</v>
      </c>
      <c r="T20" s="798" t="s">
        <v>256</v>
      </c>
      <c r="U20" s="798" t="s">
        <v>256</v>
      </c>
      <c r="V20" s="798" t="s">
        <v>256</v>
      </c>
      <c r="W20" s="801" t="s">
        <v>256</v>
      </c>
      <c r="X20" s="802" t="s">
        <v>256</v>
      </c>
      <c r="Y20" s="798" t="s">
        <v>256</v>
      </c>
      <c r="Z20" s="798" t="s">
        <v>256</v>
      </c>
      <c r="AA20" s="798" t="s">
        <v>256</v>
      </c>
      <c r="AB20" s="803" t="s">
        <v>256</v>
      </c>
    </row>
    <row r="21" spans="18:28" ht="15.6">
      <c r="R21" s="796" t="s">
        <v>637</v>
      </c>
      <c r="S21" s="797">
        <v>3331557905</v>
      </c>
      <c r="T21" s="798" t="s">
        <v>189</v>
      </c>
      <c r="U21" s="798">
        <v>24141176</v>
      </c>
      <c r="V21" s="798" t="s">
        <v>561</v>
      </c>
      <c r="W21" s="801" t="s">
        <v>362</v>
      </c>
      <c r="X21" s="799">
        <v>26104.946</v>
      </c>
      <c r="Y21" s="798" t="s">
        <v>200</v>
      </c>
      <c r="Z21" s="798">
        <v>1</v>
      </c>
      <c r="AA21" s="798">
        <v>1</v>
      </c>
      <c r="AB21" s="803" t="s">
        <v>207</v>
      </c>
    </row>
    <row r="22" spans="18:28" ht="15.6">
      <c r="R22" s="732" t="s">
        <v>630</v>
      </c>
      <c r="S22" s="772">
        <v>3331557757</v>
      </c>
      <c r="T22" s="798" t="s">
        <v>206</v>
      </c>
      <c r="U22" s="772"/>
      <c r="V22" s="772" t="s">
        <v>173</v>
      </c>
      <c r="W22" s="774" t="s">
        <v>205</v>
      </c>
      <c r="X22" s="775">
        <f>37274.191+8334.063</f>
        <v>45608.254000000001</v>
      </c>
      <c r="Y22" s="772" t="s">
        <v>128</v>
      </c>
      <c r="Z22" s="772">
        <v>1</v>
      </c>
      <c r="AA22" s="772">
        <v>1</v>
      </c>
      <c r="AB22" s="803" t="s">
        <v>207</v>
      </c>
    </row>
    <row r="23" spans="18:28" ht="15.6">
      <c r="R23" s="732" t="s">
        <v>637</v>
      </c>
      <c r="S23" s="772">
        <v>3331557940</v>
      </c>
      <c r="T23" s="798" t="s">
        <v>256</v>
      </c>
      <c r="U23" s="772" t="s">
        <v>256</v>
      </c>
      <c r="V23" s="772" t="s">
        <v>256</v>
      </c>
      <c r="W23" s="774" t="s">
        <v>256</v>
      </c>
      <c r="X23" s="775" t="s">
        <v>256</v>
      </c>
      <c r="Y23" s="772" t="s">
        <v>256</v>
      </c>
      <c r="Z23" s="772" t="s">
        <v>256</v>
      </c>
      <c r="AA23" s="772" t="s">
        <v>256</v>
      </c>
      <c r="AB23" s="803" t="s">
        <v>256</v>
      </c>
    </row>
    <row r="24" spans="18:28" ht="15.6">
      <c r="R24" s="800" t="s">
        <v>637</v>
      </c>
      <c r="S24" s="798">
        <v>3331558015</v>
      </c>
      <c r="T24" s="798" t="s">
        <v>336</v>
      </c>
      <c r="U24" s="798">
        <v>24141189</v>
      </c>
      <c r="V24" s="798" t="s">
        <v>413</v>
      </c>
      <c r="W24" s="801" t="s">
        <v>205</v>
      </c>
      <c r="X24" s="802">
        <f>24199.33+21044.286</f>
        <v>45243.616000000002</v>
      </c>
      <c r="Y24" s="798" t="s">
        <v>128</v>
      </c>
      <c r="Z24" s="772">
        <v>1</v>
      </c>
      <c r="AA24" s="772">
        <v>1</v>
      </c>
      <c r="AB24" s="803" t="s">
        <v>207</v>
      </c>
    </row>
    <row r="25" spans="18:28" ht="15.6">
      <c r="R25" s="800" t="s">
        <v>637</v>
      </c>
      <c r="S25" s="798">
        <v>3331558017</v>
      </c>
      <c r="T25" s="798" t="s">
        <v>256</v>
      </c>
      <c r="U25" s="798" t="s">
        <v>256</v>
      </c>
      <c r="V25" s="798" t="s">
        <v>256</v>
      </c>
      <c r="W25" s="801" t="s">
        <v>256</v>
      </c>
      <c r="X25" s="802" t="s">
        <v>256</v>
      </c>
      <c r="Y25" s="798" t="s">
        <v>256</v>
      </c>
      <c r="Z25" s="772" t="s">
        <v>256</v>
      </c>
      <c r="AA25" s="772" t="s">
        <v>256</v>
      </c>
      <c r="AB25" s="803" t="s">
        <v>256</v>
      </c>
    </row>
    <row r="26" spans="18:28" ht="15.6">
      <c r="R26" s="800" t="s">
        <v>637</v>
      </c>
      <c r="S26" s="798">
        <v>3331557917</v>
      </c>
      <c r="T26" s="798" t="s">
        <v>287</v>
      </c>
      <c r="U26" s="798">
        <v>24141191</v>
      </c>
      <c r="V26" s="798" t="s">
        <v>625</v>
      </c>
      <c r="W26" s="801" t="s">
        <v>205</v>
      </c>
      <c r="X26" s="802">
        <f>7526.137+13382.315+1763.266</f>
        <v>22671.718000000001</v>
      </c>
      <c r="Y26" s="798" t="s">
        <v>200</v>
      </c>
      <c r="Z26" s="798">
        <v>1</v>
      </c>
      <c r="AA26" s="798">
        <v>1</v>
      </c>
      <c r="AB26" s="803" t="s">
        <v>207</v>
      </c>
    </row>
    <row r="27" spans="18:28" ht="15.6">
      <c r="R27" s="800" t="s">
        <v>637</v>
      </c>
      <c r="S27" s="798">
        <v>3331557918</v>
      </c>
      <c r="T27" s="798" t="s">
        <v>256</v>
      </c>
      <c r="U27" s="798" t="s">
        <v>256</v>
      </c>
      <c r="V27" s="798" t="s">
        <v>256</v>
      </c>
      <c r="W27" s="801" t="s">
        <v>256</v>
      </c>
      <c r="X27" s="802" t="s">
        <v>256</v>
      </c>
      <c r="Y27" s="798" t="s">
        <v>256</v>
      </c>
      <c r="Z27" s="798" t="s">
        <v>256</v>
      </c>
      <c r="AA27" s="798" t="s">
        <v>256</v>
      </c>
      <c r="AB27" s="803" t="s">
        <v>256</v>
      </c>
    </row>
    <row r="28" spans="18:28" ht="15.6">
      <c r="R28" s="800" t="s">
        <v>637</v>
      </c>
      <c r="S28" s="798">
        <v>3331557919</v>
      </c>
      <c r="T28" s="798" t="s">
        <v>256</v>
      </c>
      <c r="U28" s="798" t="s">
        <v>256</v>
      </c>
      <c r="V28" s="798" t="s">
        <v>256</v>
      </c>
      <c r="W28" s="801" t="s">
        <v>256</v>
      </c>
      <c r="X28" s="802" t="s">
        <v>256</v>
      </c>
      <c r="Y28" s="798" t="s">
        <v>256</v>
      </c>
      <c r="Z28" s="798" t="s">
        <v>256</v>
      </c>
      <c r="AA28" s="798" t="s">
        <v>256</v>
      </c>
      <c r="AB28" s="803" t="s">
        <v>256</v>
      </c>
    </row>
    <row r="29" spans="18:28" ht="15.6">
      <c r="R29" s="800" t="s">
        <v>637</v>
      </c>
      <c r="S29" s="798">
        <v>3331558043</v>
      </c>
      <c r="T29" s="798" t="s">
        <v>206</v>
      </c>
      <c r="U29" s="798">
        <v>24141197</v>
      </c>
      <c r="V29" s="798" t="s">
        <v>226</v>
      </c>
      <c r="W29" s="801" t="s">
        <v>344</v>
      </c>
      <c r="X29" s="802">
        <v>40383.103999999999</v>
      </c>
      <c r="Y29" s="798" t="s">
        <v>128</v>
      </c>
      <c r="Z29" s="798">
        <v>1</v>
      </c>
      <c r="AA29" s="798">
        <v>1</v>
      </c>
      <c r="AB29" s="803" t="s">
        <v>207</v>
      </c>
    </row>
    <row r="30" spans="18:28" ht="15.6">
      <c r="R30" s="800" t="s">
        <v>637</v>
      </c>
      <c r="S30" s="798">
        <v>3331558044</v>
      </c>
      <c r="T30" s="798" t="s">
        <v>206</v>
      </c>
      <c r="U30" s="798">
        <v>24141198</v>
      </c>
      <c r="V30" s="798" t="s">
        <v>226</v>
      </c>
      <c r="W30" s="801" t="s">
        <v>344</v>
      </c>
      <c r="X30" s="802">
        <v>41415.260999999999</v>
      </c>
      <c r="Y30" s="798" t="s">
        <v>128</v>
      </c>
      <c r="Z30" s="798">
        <v>1</v>
      </c>
      <c r="AA30" s="798">
        <v>1</v>
      </c>
      <c r="AB30" s="803" t="s">
        <v>207</v>
      </c>
    </row>
    <row r="31" spans="18:28" ht="15.6">
      <c r="R31" s="800" t="s">
        <v>637</v>
      </c>
      <c r="S31" s="798">
        <v>3331558046</v>
      </c>
      <c r="T31" s="798" t="s">
        <v>206</v>
      </c>
      <c r="U31" s="798">
        <v>24141199</v>
      </c>
      <c r="V31" s="798" t="s">
        <v>226</v>
      </c>
      <c r="W31" s="801" t="s">
        <v>344</v>
      </c>
      <c r="X31" s="802">
        <v>35308.336000000003</v>
      </c>
      <c r="Y31" s="798" t="s">
        <v>128</v>
      </c>
      <c r="Z31" s="798">
        <v>1</v>
      </c>
      <c r="AA31" s="798">
        <v>1</v>
      </c>
      <c r="AB31" s="803" t="s">
        <v>207</v>
      </c>
    </row>
    <row r="32" spans="18:28" ht="15.6">
      <c r="R32" s="800" t="s">
        <v>637</v>
      </c>
      <c r="S32" s="798">
        <v>3331558051</v>
      </c>
      <c r="T32" s="798" t="s">
        <v>206</v>
      </c>
      <c r="U32" s="798">
        <v>24141200</v>
      </c>
      <c r="V32" s="798" t="s">
        <v>226</v>
      </c>
      <c r="W32" s="801" t="s">
        <v>344</v>
      </c>
      <c r="X32" s="802">
        <v>41286.239999999998</v>
      </c>
      <c r="Y32" s="798" t="s">
        <v>128</v>
      </c>
      <c r="Z32" s="798">
        <v>1</v>
      </c>
      <c r="AA32" s="798">
        <v>1</v>
      </c>
      <c r="AB32" s="803" t="s">
        <v>207</v>
      </c>
    </row>
    <row r="33" spans="18:28" ht="15.6">
      <c r="R33" s="800" t="s">
        <v>637</v>
      </c>
      <c r="S33" s="798">
        <v>3331558058</v>
      </c>
      <c r="T33" s="798" t="s">
        <v>206</v>
      </c>
      <c r="U33" s="798">
        <v>24141201</v>
      </c>
      <c r="V33" s="798" t="s">
        <v>226</v>
      </c>
      <c r="W33" s="801" t="s">
        <v>344</v>
      </c>
      <c r="X33" s="802">
        <v>34276.180999999997</v>
      </c>
      <c r="Y33" s="798" t="s">
        <v>128</v>
      </c>
      <c r="Z33" s="798">
        <v>1</v>
      </c>
      <c r="AA33" s="798">
        <v>1</v>
      </c>
      <c r="AB33" s="803" t="s">
        <v>207</v>
      </c>
    </row>
    <row r="34" spans="18:28" ht="15.6">
      <c r="R34" s="800" t="s">
        <v>637</v>
      </c>
      <c r="S34" s="798">
        <v>3331558064</v>
      </c>
      <c r="T34" s="798" t="s">
        <v>206</v>
      </c>
      <c r="U34" s="798">
        <v>24141203</v>
      </c>
      <c r="V34" s="798" t="s">
        <v>226</v>
      </c>
      <c r="W34" s="801" t="s">
        <v>344</v>
      </c>
      <c r="X34" s="802">
        <v>33373.044000000002</v>
      </c>
      <c r="Y34" s="798" t="s">
        <v>128</v>
      </c>
      <c r="Z34" s="798">
        <v>1</v>
      </c>
      <c r="AA34" s="798">
        <v>1</v>
      </c>
      <c r="AB34" s="803" t="s">
        <v>207</v>
      </c>
    </row>
    <row r="35" spans="18:28" ht="15.6">
      <c r="R35" s="800" t="s">
        <v>646</v>
      </c>
      <c r="S35" s="798">
        <v>3331558050</v>
      </c>
      <c r="T35" s="798" t="s">
        <v>336</v>
      </c>
      <c r="U35" s="798">
        <v>24141204</v>
      </c>
      <c r="V35" s="798" t="s">
        <v>430</v>
      </c>
      <c r="W35" s="801" t="s">
        <v>338</v>
      </c>
      <c r="X35" s="802">
        <v>34477.631999999998</v>
      </c>
      <c r="Y35" s="798" t="s">
        <v>128</v>
      </c>
      <c r="Z35" s="798">
        <v>1</v>
      </c>
      <c r="AA35" s="798">
        <v>1</v>
      </c>
      <c r="AB35" s="803" t="s">
        <v>207</v>
      </c>
    </row>
    <row r="36" spans="18:28" ht="15.6">
      <c r="R36" s="800" t="s">
        <v>646</v>
      </c>
      <c r="S36" s="798">
        <v>3331558052</v>
      </c>
      <c r="T36" s="798" t="s">
        <v>336</v>
      </c>
      <c r="U36" s="798">
        <v>24141205</v>
      </c>
      <c r="V36" s="798" t="s">
        <v>430</v>
      </c>
      <c r="W36" s="801" t="s">
        <v>338</v>
      </c>
      <c r="X36" s="802">
        <v>34477.631999999998</v>
      </c>
      <c r="Y36" s="798" t="s">
        <v>128</v>
      </c>
      <c r="Z36" s="798">
        <v>1</v>
      </c>
      <c r="AA36" s="798">
        <v>1</v>
      </c>
      <c r="AB36" s="803" t="s">
        <v>207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D69F-25CE-45DB-AC7B-B6D7AED561F3}">
  <dimension ref="A1:AG302"/>
  <sheetViews>
    <sheetView showGridLines="0" tabSelected="1" topLeftCell="A25" zoomScale="55" zoomScaleNormal="55" workbookViewId="0">
      <selection activeCell="S47" sqref="S47"/>
    </sheetView>
  </sheetViews>
  <sheetFormatPr defaultRowHeight="14.4"/>
  <cols>
    <col min="1" max="1" width="43.77734375" bestFit="1" customWidth="1"/>
    <col min="2" max="4" width="11.109375" customWidth="1"/>
    <col min="5" max="5" width="8.6640625" customWidth="1"/>
    <col min="6" max="7" width="16" customWidth="1"/>
    <col min="8" max="8" width="14.88671875" customWidth="1"/>
    <col min="9" max="9" width="6.6640625" customWidth="1"/>
    <col min="10" max="12" width="20.44140625" customWidth="1"/>
    <col min="13" max="13" width="5.44140625" customWidth="1"/>
    <col min="14" max="14" width="18.109375" customWidth="1"/>
    <col min="15" max="15" width="20.6640625" customWidth="1"/>
    <col min="16" max="16" width="13.44140625" customWidth="1"/>
    <col min="17" max="17" width="9.109375" bestFit="1" customWidth="1"/>
    <col min="18" max="18" width="12.33203125" bestFit="1" customWidth="1"/>
    <col min="19" max="19" width="13.33203125" bestFit="1" customWidth="1"/>
    <col min="20" max="20" width="16.88671875" bestFit="1" customWidth="1"/>
    <col min="21" max="21" width="13.6640625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15.109375" customWidth="1"/>
    <col min="31" max="31" width="9.109375" bestFit="1" customWidth="1"/>
  </cols>
  <sheetData>
    <row r="1" spans="1:33" ht="17.399999999999999">
      <c r="A1" s="1211" t="s">
        <v>933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7.399999999999999">
      <c r="A2" s="762" t="s">
        <v>934</v>
      </c>
      <c r="B2" s="733"/>
      <c r="C2" s="733"/>
      <c r="D2" s="733"/>
      <c r="E2" s="735"/>
      <c r="F2" s="1525" t="s">
        <v>935</v>
      </c>
      <c r="G2" s="1525"/>
      <c r="H2" s="1525"/>
      <c r="I2" s="742"/>
      <c r="J2" s="1525" t="s">
        <v>936</v>
      </c>
      <c r="K2" s="1525"/>
      <c r="L2" s="1525"/>
      <c r="M2" s="735"/>
      <c r="N2" s="1526"/>
      <c r="O2" s="1526"/>
      <c r="P2" s="1526"/>
      <c r="R2" s="1201" t="s">
        <v>691</v>
      </c>
      <c r="S2" s="1251">
        <v>3331569785</v>
      </c>
      <c r="T2" s="1317" t="s">
        <v>424</v>
      </c>
      <c r="U2" s="1227">
        <v>24142736</v>
      </c>
      <c r="V2" s="1227" t="s">
        <v>429</v>
      </c>
      <c r="W2" s="1227" t="s">
        <v>362</v>
      </c>
      <c r="X2" s="1229">
        <v>24508.366000000002</v>
      </c>
      <c r="Y2" s="105" t="s">
        <v>426</v>
      </c>
      <c r="Z2" s="1373">
        <v>1</v>
      </c>
      <c r="AA2" s="1373">
        <v>1</v>
      </c>
      <c r="AB2" s="1373" t="s">
        <v>204</v>
      </c>
      <c r="AC2" s="1192"/>
      <c r="AD2" s="81"/>
      <c r="AE2" s="1243"/>
      <c r="AF2" s="1243"/>
      <c r="AG2" s="1243"/>
    </row>
    <row r="3" spans="1:33" ht="18.75" customHeight="1">
      <c r="A3" s="1559" t="s">
        <v>414</v>
      </c>
      <c r="B3" s="1529" t="s">
        <v>415</v>
      </c>
      <c r="C3" s="1530"/>
      <c r="D3" s="1531"/>
      <c r="E3" s="734"/>
      <c r="F3" s="1529" t="s">
        <v>415</v>
      </c>
      <c r="G3" s="1530"/>
      <c r="H3" s="1531"/>
      <c r="I3" s="734"/>
      <c r="J3" s="1529" t="s">
        <v>415</v>
      </c>
      <c r="K3" s="1530"/>
      <c r="L3" s="1531"/>
      <c r="M3" s="734"/>
      <c r="N3" s="1529" t="s">
        <v>415</v>
      </c>
      <c r="O3" s="1530"/>
      <c r="P3" s="1531"/>
      <c r="R3" s="1201" t="s">
        <v>691</v>
      </c>
      <c r="S3" s="1251">
        <v>3331569786</v>
      </c>
      <c r="T3" s="1317" t="s">
        <v>424</v>
      </c>
      <c r="U3" s="1227">
        <v>24142737</v>
      </c>
      <c r="V3" s="1227" t="s">
        <v>429</v>
      </c>
      <c r="W3" s="1227" t="s">
        <v>362</v>
      </c>
      <c r="X3" s="1229">
        <v>25114.58</v>
      </c>
      <c r="Y3" s="105" t="s">
        <v>426</v>
      </c>
      <c r="Z3" s="1373">
        <v>1</v>
      </c>
      <c r="AA3" s="1373">
        <v>1</v>
      </c>
      <c r="AB3" s="1373" t="s">
        <v>204</v>
      </c>
      <c r="AC3" s="1192"/>
      <c r="AD3" s="81"/>
      <c r="AE3" s="44"/>
      <c r="AF3" s="44"/>
      <c r="AG3" s="44"/>
    </row>
    <row r="4" spans="1:33" ht="30.75" customHeight="1">
      <c r="A4" s="158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691</v>
      </c>
      <c r="S4" s="1251">
        <v>3331569787</v>
      </c>
      <c r="T4" s="1317" t="s">
        <v>424</v>
      </c>
      <c r="U4" s="1227">
        <v>24142738</v>
      </c>
      <c r="V4" s="1227" t="s">
        <v>429</v>
      </c>
      <c r="W4" s="1227" t="s">
        <v>362</v>
      </c>
      <c r="X4" s="1229">
        <v>24819.072</v>
      </c>
      <c r="Y4" s="105" t="s">
        <v>426</v>
      </c>
      <c r="Z4" s="1373">
        <v>1</v>
      </c>
      <c r="AA4" s="1373">
        <v>1</v>
      </c>
      <c r="AB4" s="1373" t="s">
        <v>204</v>
      </c>
      <c r="AC4" s="1192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SUMPRODUCT(--ISNUMBER(MATCH(TRIM(W1:W284), {"JABODETABEK","JAWA TENGAH","JAWA TIMUR","LUAR PULAU"}, 0)), --(AC1:AC284=""))</f>
        <v>69</v>
      </c>
      <c r="C5" s="1303" cm="1">
        <f t="array" ref="C5">SUMPRODUCT(--(LOWER(TRIM(AB1:AB310))="masuk"), --(ISNUMBER(MATCH(TRIM(W1:W310), {"JABODETABEK","JAWA TENGAH","JAWA TIMUR","LUAR PULAU"}, 0))), --(LOWER(AC1:AC310)&lt;&gt;"add"))</f>
        <v>63</v>
      </c>
      <c r="D5" s="1304">
        <f>C5+-B5</f>
        <v>-6</v>
      </c>
      <c r="E5" s="734"/>
      <c r="F5" s="1306" cm="1">
        <f t="array" ref="F5">SUMPRODUCT(--(LOWER(AC1:AC310)="add"), --(ISNUMBER(MATCH(W1:W310, {"JABODETABEK","JAWA TENGAH","JAWA TIMUR","LUAR PULAU"}, 0))))</f>
        <v>6</v>
      </c>
      <c r="G5" s="1303" cm="1">
        <f t="array" ref="G5">SUMPRODUCT(--(LOWER(AB1:AB310)="masuk"), --(LOWER(AC1:AC310)="add"))</f>
        <v>6</v>
      </c>
      <c r="H5" s="1304">
        <f>G5+-F5</f>
        <v>0</v>
      </c>
      <c r="I5" s="734"/>
      <c r="J5" s="1306" cm="1">
        <f t="array" ref="J5">SUMPRODUCT(--(ISNUMBER(SEARCH("next day",LOWER(W1:W310)))+ISNUMBER(SEARCH("nextday",LOWER(W1:W310)))&gt; 0))</f>
        <v>18</v>
      </c>
      <c r="K5" s="1303" cm="1">
        <f t="array" ref="K5">SUMPRODUCT(--(LOWER(AB1:AB310)="masuk"), --ISNUMBER(SEARCH("next day", LOWER(W1:W310))))</f>
        <v>16</v>
      </c>
      <c r="L5" s="1304">
        <f>K5+-J5</f>
        <v>-2</v>
      </c>
      <c r="M5" s="734"/>
      <c r="N5" s="1306">
        <f>B5+F5+J5</f>
        <v>93</v>
      </c>
      <c r="O5" s="1303">
        <f>C5+G5+K5</f>
        <v>85</v>
      </c>
      <c r="P5" s="1304">
        <f>D5+H5+L5</f>
        <v>-8</v>
      </c>
      <c r="R5" s="1201" t="s">
        <v>692</v>
      </c>
      <c r="S5" s="1251">
        <v>3331569793</v>
      </c>
      <c r="T5" s="1317" t="s">
        <v>424</v>
      </c>
      <c r="U5" s="1227">
        <v>24142739</v>
      </c>
      <c r="V5" s="1227" t="s">
        <v>429</v>
      </c>
      <c r="W5" s="1227" t="s">
        <v>362</v>
      </c>
      <c r="X5" s="1229">
        <v>24248.560000000001</v>
      </c>
      <c r="Y5" s="105" t="s">
        <v>426</v>
      </c>
      <c r="Z5" s="1373">
        <v>1</v>
      </c>
      <c r="AA5" s="1373">
        <v>1</v>
      </c>
      <c r="AB5" s="1373" t="s">
        <v>204</v>
      </c>
      <c r="AC5" s="1192"/>
      <c r="AD5" s="81"/>
      <c r="AE5" s="44"/>
      <c r="AF5" s="44"/>
      <c r="AG5" s="44"/>
    </row>
    <row r="6" spans="1:33" ht="17.399999999999999">
      <c r="A6" s="733"/>
      <c r="B6" s="733">
        <f>SUM(B5)</f>
        <v>69</v>
      </c>
      <c r="C6" s="733">
        <f>SUM(C5)</f>
        <v>63</v>
      </c>
      <c r="D6" s="739">
        <f>SUM(D5)</f>
        <v>-6</v>
      </c>
      <c r="E6" s="734"/>
      <c r="F6" s="733">
        <f>SUM(F5)</f>
        <v>6</v>
      </c>
      <c r="G6" s="733">
        <f>SUM(G5)</f>
        <v>6</v>
      </c>
      <c r="H6" s="739">
        <f>SUM(H5)</f>
        <v>0</v>
      </c>
      <c r="I6" s="733"/>
      <c r="J6" s="733">
        <f>SUM(J5)</f>
        <v>18</v>
      </c>
      <c r="K6" s="733">
        <f>SUM(K5)</f>
        <v>16</v>
      </c>
      <c r="L6" s="739">
        <f>SUM(L5)</f>
        <v>-2</v>
      </c>
      <c r="M6" s="733"/>
      <c r="N6" s="760">
        <f>SUM(N5:N5)</f>
        <v>93</v>
      </c>
      <c r="O6" s="760">
        <f>SUM(O5:O5)</f>
        <v>85</v>
      </c>
      <c r="P6" s="761">
        <f>SUM(P5:P5)</f>
        <v>-8</v>
      </c>
      <c r="R6" s="1189" t="s">
        <v>691</v>
      </c>
      <c r="S6" s="1219">
        <v>3331569808</v>
      </c>
      <c r="T6" s="1279" t="s">
        <v>424</v>
      </c>
      <c r="U6" s="1224">
        <v>24142748</v>
      </c>
      <c r="V6" s="1224" t="s">
        <v>693</v>
      </c>
      <c r="W6" s="1224" t="s">
        <v>362</v>
      </c>
      <c r="X6" s="1225">
        <v>24943.77</v>
      </c>
      <c r="Y6" s="81" t="s">
        <v>426</v>
      </c>
      <c r="Z6" s="1362">
        <v>1</v>
      </c>
      <c r="AA6" s="1362">
        <v>1</v>
      </c>
      <c r="AB6" s="1362" t="s">
        <v>207</v>
      </c>
      <c r="AC6" s="1192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691</v>
      </c>
      <c r="S7" s="1251">
        <v>3331569811</v>
      </c>
      <c r="T7" s="1317" t="s">
        <v>424</v>
      </c>
      <c r="U7" s="1227">
        <v>24142750</v>
      </c>
      <c r="V7" s="1227" t="s">
        <v>693</v>
      </c>
      <c r="W7" s="1227" t="s">
        <v>362</v>
      </c>
      <c r="X7" s="1229">
        <v>23902.151999999998</v>
      </c>
      <c r="Y7" s="105" t="s">
        <v>426</v>
      </c>
      <c r="Z7" s="1373">
        <v>1</v>
      </c>
      <c r="AA7" s="1373">
        <v>1</v>
      </c>
      <c r="AB7" s="1373" t="s">
        <v>204</v>
      </c>
      <c r="AC7" s="1192"/>
      <c r="AD7" s="81"/>
      <c r="AE7" s="44"/>
      <c r="AF7" s="44"/>
      <c r="AG7" s="44"/>
    </row>
    <row r="8" spans="1:33" ht="17.399999999999999">
      <c r="A8" s="763" t="str">
        <f>A1</f>
        <v>Plan Delivery 14-16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1" t="s">
        <v>691</v>
      </c>
      <c r="S8" s="1251">
        <v>3331569813</v>
      </c>
      <c r="T8" s="1317" t="s">
        <v>424</v>
      </c>
      <c r="U8" s="1227">
        <v>24142751</v>
      </c>
      <c r="V8" s="1227" t="s">
        <v>693</v>
      </c>
      <c r="W8" s="1227" t="s">
        <v>362</v>
      </c>
      <c r="X8" s="1229">
        <v>24898.075000000001</v>
      </c>
      <c r="Y8" s="105" t="s">
        <v>426</v>
      </c>
      <c r="Z8" s="1373">
        <v>1</v>
      </c>
      <c r="AA8" s="1373">
        <v>1</v>
      </c>
      <c r="AB8" s="1373" t="s">
        <v>204</v>
      </c>
      <c r="AC8" s="1192"/>
      <c r="AD8" s="81"/>
      <c r="AE8" s="44"/>
      <c r="AF8" s="44"/>
      <c r="AG8" s="44"/>
    </row>
    <row r="9" spans="1:33" ht="18.75" customHeight="1">
      <c r="A9" s="763" t="str">
        <f>A2</f>
        <v>Realz update 14-16 Nov’25 jam 07.00</v>
      </c>
      <c r="B9" s="825"/>
      <c r="C9" s="825"/>
      <c r="D9" s="825"/>
      <c r="E9" s="734"/>
      <c r="F9" s="1525" t="str">
        <f>F2</f>
        <v>Tgl 14-16 Nov’25 diatas jam 15.00</v>
      </c>
      <c r="G9" s="1525"/>
      <c r="H9" s="1525"/>
      <c r="I9" s="826"/>
      <c r="J9" s="1525" t="str">
        <f>J2</f>
        <v>Tgl 14-16 Nov’25</v>
      </c>
      <c r="K9" s="1525"/>
      <c r="L9" s="1525"/>
      <c r="M9" s="734"/>
      <c r="N9" s="1526"/>
      <c r="O9" s="1526"/>
      <c r="P9" s="1526"/>
      <c r="R9" s="1201" t="s">
        <v>694</v>
      </c>
      <c r="S9" s="1251">
        <v>3331570272</v>
      </c>
      <c r="T9" s="1317" t="s">
        <v>424</v>
      </c>
      <c r="U9" s="1227">
        <v>24142818</v>
      </c>
      <c r="V9" s="1227" t="s">
        <v>429</v>
      </c>
      <c r="W9" s="1227" t="s">
        <v>362</v>
      </c>
      <c r="X9" s="1229">
        <v>24465.87</v>
      </c>
      <c r="Y9" s="105" t="s">
        <v>426</v>
      </c>
      <c r="Z9" s="1373">
        <v>1</v>
      </c>
      <c r="AA9" s="1373">
        <v>1</v>
      </c>
      <c r="AB9" s="1373" t="s">
        <v>204</v>
      </c>
      <c r="AC9" s="1271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30"/>
      <c r="D10" s="1531"/>
      <c r="E10" s="734"/>
      <c r="F10" s="1529" t="s">
        <v>415</v>
      </c>
      <c r="G10" s="1530"/>
      <c r="H10" s="1531"/>
      <c r="I10" s="734"/>
      <c r="J10" s="1529" t="s">
        <v>415</v>
      </c>
      <c r="K10" s="1530"/>
      <c r="L10" s="1531"/>
      <c r="M10" s="734"/>
      <c r="N10" s="1529" t="s">
        <v>415</v>
      </c>
      <c r="O10" s="1530"/>
      <c r="P10" s="1531"/>
      <c r="R10" s="1201" t="s">
        <v>691</v>
      </c>
      <c r="S10" s="1251">
        <v>3331570275</v>
      </c>
      <c r="T10" s="1317" t="s">
        <v>424</v>
      </c>
      <c r="U10" s="1227">
        <v>24142819</v>
      </c>
      <c r="V10" s="1227" t="s">
        <v>429</v>
      </c>
      <c r="W10" s="1227" t="s">
        <v>362</v>
      </c>
      <c r="X10" s="1229">
        <v>24415.481</v>
      </c>
      <c r="Y10" s="105" t="s">
        <v>426</v>
      </c>
      <c r="Z10" s="1373">
        <v>1</v>
      </c>
      <c r="AA10" s="1373">
        <v>1</v>
      </c>
      <c r="AB10" s="1373" t="s">
        <v>204</v>
      </c>
      <c r="AC10" s="1271"/>
      <c r="AD10" s="81"/>
      <c r="AE10" s="44"/>
      <c r="AF10" s="44"/>
      <c r="AG10" s="44"/>
    </row>
    <row r="11" spans="1:33" ht="30" customHeight="1">
      <c r="A11" s="1541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691</v>
      </c>
      <c r="S11" s="1251">
        <v>3331570276</v>
      </c>
      <c r="T11" s="1317" t="s">
        <v>424</v>
      </c>
      <c r="U11" s="1227">
        <v>24142820</v>
      </c>
      <c r="V11" s="1227" t="s">
        <v>429</v>
      </c>
      <c r="W11" s="1227" t="s">
        <v>362</v>
      </c>
      <c r="X11" s="1229">
        <f>8171.235+13336.708+4330.1</f>
        <v>25838.042999999998</v>
      </c>
      <c r="Y11" s="105" t="s">
        <v>426</v>
      </c>
      <c r="Z11" s="1373">
        <v>1</v>
      </c>
      <c r="AA11" s="1373">
        <v>1</v>
      </c>
      <c r="AB11" s="1373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SUMPRODUCT(--(TRIM(LOWER(W1:W310))="jabodetabek"), --(LOWER(AC1:AC310)&lt;&gt;"add"))</f>
        <v>13</v>
      </c>
      <c r="C12" s="748" cm="1">
        <f t="array" ref="C12">SUMPRODUCT(--(LOWER(AB1:AB310)="masuk"), --(TRIM(LOWER(W1:W310))="jabodetabek"), --(LOWER(AC1:AC310)&lt;&gt;"add"))</f>
        <v>13</v>
      </c>
      <c r="D12" s="973">
        <f>C12+-B12</f>
        <v>0</v>
      </c>
      <c r="E12" s="734"/>
      <c r="F12" s="748" cm="1">
        <f t="array" ref="F12">SUMPRODUCT(--(LOWER(AC1:AC310)="add"), --(TRIM(LOWER(W1:W310))="jabodetabek"))</f>
        <v>6</v>
      </c>
      <c r="G12" s="747" cm="1">
        <f t="array" ref="G12">SUMPRODUCT(--(LOWER(AB1:AB310)="masuk"), --(LOWER(AC1:AC310)="add"), --(TRIM(LOWER(W1:W310))="jabodetabek"))</f>
        <v>6</v>
      </c>
      <c r="H12" s="740">
        <f>G12+-F12</f>
        <v>0</v>
      </c>
      <c r="I12" s="734"/>
      <c r="J12" s="748" cm="1">
        <f t="array" ref="J12">SUMPRODUCT(--(ISNUMBER(SEARCH("jabodetabek next day",LOWER(W1:W310)))+ISNUMBER(SEARCH("jabodetabek nextday",LOWER(W1:W310)))&gt; 0))</f>
        <v>14</v>
      </c>
      <c r="K12" s="747" cm="1">
        <f t="array" ref="K12">SUMPRODUCT(--(LOWER(AB1:AB310)="masuk"), --(LOWER(TRIM(W1:W310))="jabodetabek next day"))</f>
        <v>12</v>
      </c>
      <c r="L12" s="740">
        <f>K12+-J12</f>
        <v>-2</v>
      </c>
      <c r="M12" s="734"/>
      <c r="N12" s="748">
        <f t="shared" ref="N12:P16" si="0">B12+F12+J12</f>
        <v>33</v>
      </c>
      <c r="O12" s="747">
        <f t="shared" si="0"/>
        <v>31</v>
      </c>
      <c r="P12" s="740">
        <f t="shared" si="0"/>
        <v>-2</v>
      </c>
      <c r="R12" s="1201" t="s">
        <v>694</v>
      </c>
      <c r="S12" s="1251">
        <v>3331570277</v>
      </c>
      <c r="T12" s="1317" t="s">
        <v>256</v>
      </c>
      <c r="U12" s="1227" t="s">
        <v>256</v>
      </c>
      <c r="V12" s="1227" t="s">
        <v>256</v>
      </c>
      <c r="W12" s="1227" t="s">
        <v>256</v>
      </c>
      <c r="X12" s="1229" t="s">
        <v>256</v>
      </c>
      <c r="Y12" s="105" t="s">
        <v>256</v>
      </c>
      <c r="Z12" s="1373" t="s">
        <v>256</v>
      </c>
      <c r="AA12" s="1373" t="s">
        <v>256</v>
      </c>
      <c r="AB12" s="1373" t="s">
        <v>256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SUMPRODUCT(--(TRIM(LOWER(W1:W310))="jawa tengah"), --(LOWER(AC1:AC310)&lt;&gt;"add"))</f>
        <v>12</v>
      </c>
      <c r="C13" s="750" cm="1">
        <f t="array" ref="C13">SUMPRODUCT(--(LOWER(AB1:AB310)="masuk"), --(TRIM(LOWER(W1:W310))="jawa tengah"), --(LOWER(AC1:AC310)&lt;&gt;"add"))</f>
        <v>12</v>
      </c>
      <c r="D13" s="846">
        <f>C13+-B13</f>
        <v>0</v>
      </c>
      <c r="E13" s="734"/>
      <c r="F13" s="751" cm="1">
        <f t="array" ref="F13">SUMPRODUCT(--(LOWER(AC1:AC310)="add"), --(TRIM(LOWER(W1:W310))="jawa tengah"))</f>
        <v>0</v>
      </c>
      <c r="G13" s="747" cm="1">
        <f t="array" ref="G13">SUMPRODUCT(--(LOWER(AB1:AB310)="masuk"), --(LOWER(AC1:AC310)="add"), --(TRIM(LOWER(W1:W310))="jawa tengah"))</f>
        <v>0</v>
      </c>
      <c r="H13" s="740">
        <f>G13+-F13</f>
        <v>0</v>
      </c>
      <c r="I13" s="734"/>
      <c r="J13" s="748" cm="1">
        <f t="array" ref="J13">SUMPRODUCT(--((LOWER(TRIM(W1:W310))="jawa tengah next day")+(LOWER(TRIM(W1:W310))="jawa tengah nextday")))</f>
        <v>2</v>
      </c>
      <c r="K13" s="747" cm="1">
        <f t="array" ref="K13">SUMPRODUCT(--(LOWER(AB1:AB310)="masuk"), --(LOWER(TRIM(W1:W310))="jawa tengah next day"))</f>
        <v>2</v>
      </c>
      <c r="L13" s="740">
        <f>K13+-J13</f>
        <v>0</v>
      </c>
      <c r="M13" s="734"/>
      <c r="N13" s="748">
        <f t="shared" si="0"/>
        <v>14</v>
      </c>
      <c r="O13" s="747">
        <f t="shared" si="0"/>
        <v>14</v>
      </c>
      <c r="P13" s="740">
        <f t="shared" si="0"/>
        <v>0</v>
      </c>
      <c r="R13" s="1201" t="s">
        <v>694</v>
      </c>
      <c r="S13" s="1251">
        <v>3331570278</v>
      </c>
      <c r="T13" s="1317" t="s">
        <v>256</v>
      </c>
      <c r="U13" s="1227" t="s">
        <v>256</v>
      </c>
      <c r="V13" s="1227" t="s">
        <v>256</v>
      </c>
      <c r="W13" s="1227" t="s">
        <v>256</v>
      </c>
      <c r="X13" s="1229" t="s">
        <v>256</v>
      </c>
      <c r="Y13" s="105" t="s">
        <v>256</v>
      </c>
      <c r="Z13" s="1373" t="s">
        <v>256</v>
      </c>
      <c r="AA13" s="1373" t="s">
        <v>256</v>
      </c>
      <c r="AB13" s="1373" t="s">
        <v>256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SUMPRODUCT(--(TRIM(LOWER(W1:W310))="jawa timur"), --(LOWER(AC1:AC310)&lt;&gt;"add"))</f>
        <v>21</v>
      </c>
      <c r="C14" s="750" cm="1">
        <f t="array" ref="C14">SUMPRODUCT(--(LOWER(AB1:AB310)="masuk"), --(TRIM(LOWER(W1:W310))="jawa timur"), --(LOWER(AC1:AC310)&lt;&gt;"add"))</f>
        <v>16</v>
      </c>
      <c r="D14" s="846">
        <f>C14+-B14</f>
        <v>-5</v>
      </c>
      <c r="E14" s="734"/>
      <c r="F14" s="750" cm="1">
        <f t="array" ref="F14">SUMPRODUCT(--(LOWER(AC1:AC310)="add"), --(TRIM(LOWER(W1:W310))="jawa timur"))</f>
        <v>0</v>
      </c>
      <c r="G14" s="747" cm="1">
        <f t="array" ref="G14">SUMPRODUCT(--(LOWER(AB1:AB310)="masuk"), --(LOWER(AC1:AC310)="add"), --(TRIM(LOWER(W1:W310))="jawa timur"))</f>
        <v>0</v>
      </c>
      <c r="H14" s="740">
        <f>G14+-F14</f>
        <v>0</v>
      </c>
      <c r="I14" s="734"/>
      <c r="J14" s="748" cm="1">
        <f t="array" ref="J14">SUMPRODUCT(--((LOWER(TRIM(W1:W310))="jawa timur next day")+(LOWER(TRIM(W1:W310))="jawa timur nextday")))</f>
        <v>1</v>
      </c>
      <c r="K14" s="747" cm="1">
        <f t="array" ref="K14">SUMPRODUCT(--(LOWER(AB1:AB310)="masuk"), --(LOWER(TRIM(W1:W310))="jawa timur next day"))</f>
        <v>1</v>
      </c>
      <c r="L14" s="740">
        <f>K14+-J14</f>
        <v>0</v>
      </c>
      <c r="M14" s="734"/>
      <c r="N14" s="748">
        <f t="shared" si="0"/>
        <v>22</v>
      </c>
      <c r="O14" s="747">
        <f t="shared" si="0"/>
        <v>17</v>
      </c>
      <c r="P14" s="740">
        <f t="shared" si="0"/>
        <v>-5</v>
      </c>
      <c r="R14" s="1189" t="s">
        <v>691</v>
      </c>
      <c r="S14" s="1190">
        <v>3331570223</v>
      </c>
      <c r="T14" s="1190" t="s">
        <v>439</v>
      </c>
      <c r="U14" s="1190">
        <v>24142815</v>
      </c>
      <c r="V14" s="1195" t="s">
        <v>440</v>
      </c>
      <c r="W14" s="1190" t="s">
        <v>434</v>
      </c>
      <c r="X14" s="1191">
        <f>8978.55+32599.151</f>
        <v>41577.701000000001</v>
      </c>
      <c r="Y14" s="1190" t="s">
        <v>128</v>
      </c>
      <c r="Z14" s="1195">
        <v>1</v>
      </c>
      <c r="AA14" s="1195">
        <v>1</v>
      </c>
      <c r="AB14" s="1190" t="s">
        <v>207</v>
      </c>
      <c r="AC14" s="1192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SUMPRODUCT(--(TRIM(LOWER(W1:W310))="luar pulau"), --(LOWER(AC1:AC310)&lt;&gt;"add"))</f>
        <v>23</v>
      </c>
      <c r="C15" s="750" cm="1">
        <f t="array" ref="C15">SUMPRODUCT(--(LOWER(AB1:AB310)="masuk"), --(TRIM(LOWER(W1:W310))="luar pulau"), --(LOWER(AC1:AC310)&lt;&gt;"add"))</f>
        <v>22</v>
      </c>
      <c r="D15" s="846">
        <f>C15+-B15</f>
        <v>-1</v>
      </c>
      <c r="E15" s="734"/>
      <c r="F15" s="748" cm="1">
        <f t="array" ref="F15">SUMPRODUCT(--(LOWER(AC1:AC310)="add"), --(TRIM(LOWER(W1:W310))="luar pulau"))</f>
        <v>0</v>
      </c>
      <c r="G15" s="747" cm="1">
        <f t="array" ref="G15">SUMPRODUCT(--(LOWER(AB1:AB310)="masuk"), --(LOWER(AC1:AC310)="add"), --(TRIM(LOWER(W1:W310))="luar pulau"))</f>
        <v>0</v>
      </c>
      <c r="H15" s="740">
        <f>G15+-F15</f>
        <v>0</v>
      </c>
      <c r="I15" s="734"/>
      <c r="J15" s="748" cm="1">
        <f t="array" ref="J15">SUMPRODUCT(--((LOWER(TRIM(W1:W310))="luar pulau next day")+(LOWER(TRIM(W1:W310))="luar pulau nextday")))</f>
        <v>1</v>
      </c>
      <c r="K15" s="747" cm="1">
        <f t="array" ref="K15">SUMPRODUCT(--(LOWER(AB1:AB310)="masuk"), --(LOWER(TRIM(W1:W310))="luar pulau next day"))</f>
        <v>1</v>
      </c>
      <c r="L15" s="740">
        <f>K15+-J15</f>
        <v>0</v>
      </c>
      <c r="M15" s="734"/>
      <c r="N15" s="748">
        <f t="shared" si="0"/>
        <v>24</v>
      </c>
      <c r="O15" s="747">
        <f t="shared" si="0"/>
        <v>23</v>
      </c>
      <c r="P15" s="740">
        <f t="shared" si="0"/>
        <v>-1</v>
      </c>
      <c r="R15" s="1189" t="s">
        <v>691</v>
      </c>
      <c r="S15" s="1190">
        <v>3331570227</v>
      </c>
      <c r="T15" s="1106" t="s">
        <v>256</v>
      </c>
      <c r="U15" s="1106" t="s">
        <v>256</v>
      </c>
      <c r="V15" s="1106" t="s">
        <v>256</v>
      </c>
      <c r="W15" s="1106" t="s">
        <v>256</v>
      </c>
      <c r="X15" s="1191" t="s">
        <v>256</v>
      </c>
      <c r="Y15" s="1106" t="s">
        <v>256</v>
      </c>
      <c r="Z15" s="1106" t="s">
        <v>256</v>
      </c>
      <c r="AA15" s="1106" t="s">
        <v>256</v>
      </c>
      <c r="AB15" s="1106" t="s">
        <v>256</v>
      </c>
      <c r="AC15" s="1192"/>
      <c r="AD15" s="203"/>
      <c r="AE15" s="44"/>
      <c r="AF15" s="44"/>
      <c r="AG15" s="44"/>
    </row>
    <row r="16" spans="1:33" ht="17.399999999999999">
      <c r="A16" s="827"/>
      <c r="B16" s="733">
        <f>SUM(B12:B15)</f>
        <v>69</v>
      </c>
      <c r="C16" s="733">
        <f>SUM(C12:C15)</f>
        <v>63</v>
      </c>
      <c r="D16" s="739">
        <f>SUM(D12:D15)</f>
        <v>-6</v>
      </c>
      <c r="E16" s="734"/>
      <c r="F16" s="733">
        <f>SUM(F12:F15)</f>
        <v>6</v>
      </c>
      <c r="G16" s="733">
        <f>SUM(G12:G15)</f>
        <v>6</v>
      </c>
      <c r="H16" s="739">
        <f>SUM(H12:H15)</f>
        <v>0</v>
      </c>
      <c r="I16" s="734"/>
      <c r="J16" s="733">
        <f>SUM(J12:J15)</f>
        <v>18</v>
      </c>
      <c r="K16" s="733">
        <f>SUM(K12:K15)</f>
        <v>16</v>
      </c>
      <c r="L16" s="739">
        <f>SUM(L12:L15)</f>
        <v>-2</v>
      </c>
      <c r="M16" s="734"/>
      <c r="N16" s="760">
        <f t="shared" si="0"/>
        <v>93</v>
      </c>
      <c r="O16" s="760">
        <f t="shared" si="0"/>
        <v>85</v>
      </c>
      <c r="P16" s="761">
        <f t="shared" si="0"/>
        <v>-8</v>
      </c>
      <c r="R16" s="1201" t="s">
        <v>691</v>
      </c>
      <c r="S16" s="1202">
        <v>3331570445</v>
      </c>
      <c r="T16" s="1257" t="s">
        <v>336</v>
      </c>
      <c r="U16" s="1202">
        <v>24142848</v>
      </c>
      <c r="V16" s="1257" t="s">
        <v>529</v>
      </c>
      <c r="W16" s="1257" t="s">
        <v>434</v>
      </c>
      <c r="X16" s="1203">
        <f>8773.326+19008.873+3031.07+5729.17</f>
        <v>36542.438999999998</v>
      </c>
      <c r="Y16" s="1257" t="s">
        <v>128</v>
      </c>
      <c r="Z16" s="1257">
        <v>1</v>
      </c>
      <c r="AA16" s="1257">
        <v>1</v>
      </c>
      <c r="AB16" s="1202" t="s">
        <v>204</v>
      </c>
      <c r="AC16" s="1192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695</v>
      </c>
      <c r="S17" s="1202">
        <v>3331570447</v>
      </c>
      <c r="T17" s="1077" t="s">
        <v>256</v>
      </c>
      <c r="U17" s="1077" t="s">
        <v>256</v>
      </c>
      <c r="V17" s="1077" t="s">
        <v>256</v>
      </c>
      <c r="W17" s="1077" t="s">
        <v>256</v>
      </c>
      <c r="X17" s="1077" t="s">
        <v>256</v>
      </c>
      <c r="Y17" s="1077" t="s">
        <v>256</v>
      </c>
      <c r="Z17" s="1077" t="s">
        <v>256</v>
      </c>
      <c r="AA17" s="1077" t="s">
        <v>256</v>
      </c>
      <c r="AB17" s="1077" t="s">
        <v>256</v>
      </c>
      <c r="AC17" s="1192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74" t="s">
        <v>695</v>
      </c>
      <c r="S18" s="105">
        <v>3331570449</v>
      </c>
      <c r="T18" s="1077" t="s">
        <v>256</v>
      </c>
      <c r="U18" s="1077" t="s">
        <v>256</v>
      </c>
      <c r="V18" s="1077" t="s">
        <v>256</v>
      </c>
      <c r="W18" s="1077" t="s">
        <v>256</v>
      </c>
      <c r="X18" s="1077" t="s">
        <v>256</v>
      </c>
      <c r="Y18" s="1077" t="s">
        <v>256</v>
      </c>
      <c r="Z18" s="1077" t="s">
        <v>256</v>
      </c>
      <c r="AA18" s="1077" t="s">
        <v>256</v>
      </c>
      <c r="AB18" s="1077" t="s">
        <v>256</v>
      </c>
      <c r="AC18" s="1192"/>
      <c r="AD18" s="81"/>
    </row>
    <row r="19" spans="1:30" s="44" customFormat="1" ht="17.399999999999999">
      <c r="A19" s="1583" t="s">
        <v>434</v>
      </c>
      <c r="B19" s="1529" t="s">
        <v>415</v>
      </c>
      <c r="C19" s="1530"/>
      <c r="D19" s="153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1" t="s">
        <v>695</v>
      </c>
      <c r="S19" s="1202">
        <v>3331570450</v>
      </c>
      <c r="T19" s="1077" t="s">
        <v>256</v>
      </c>
      <c r="U19" s="1077" t="s">
        <v>256</v>
      </c>
      <c r="V19" s="1077" t="s">
        <v>256</v>
      </c>
      <c r="W19" s="1077" t="s">
        <v>256</v>
      </c>
      <c r="X19" s="1077" t="s">
        <v>256</v>
      </c>
      <c r="Y19" s="1077" t="s">
        <v>256</v>
      </c>
      <c r="Z19" s="1077" t="s">
        <v>256</v>
      </c>
      <c r="AA19" s="1077" t="s">
        <v>256</v>
      </c>
      <c r="AB19" s="1077" t="s">
        <v>256</v>
      </c>
      <c r="AC19" s="1192"/>
      <c r="AD19" s="81"/>
    </row>
    <row r="20" spans="1:30" s="44" customFormat="1" ht="17.399999999999999">
      <c r="A20" s="1583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691</v>
      </c>
      <c r="S20" s="1202">
        <v>3331570625</v>
      </c>
      <c r="T20" s="1202" t="s">
        <v>441</v>
      </c>
      <c r="U20" s="1202">
        <v>24142877</v>
      </c>
      <c r="V20" s="1202" t="s">
        <v>444</v>
      </c>
      <c r="W20" s="1202" t="s">
        <v>203</v>
      </c>
      <c r="X20" s="1203">
        <v>41501.271999999997</v>
      </c>
      <c r="Y20" s="1202" t="s">
        <v>128</v>
      </c>
      <c r="Z20" s="1202">
        <v>1</v>
      </c>
      <c r="AA20" s="1202">
        <v>1</v>
      </c>
      <c r="AB20" s="1202" t="s">
        <v>204</v>
      </c>
      <c r="AC20" s="1192"/>
      <c r="AD20" s="81"/>
    </row>
    <row r="21" spans="1:30" s="44" customFormat="1" ht="18">
      <c r="A21" s="968" t="s">
        <v>427</v>
      </c>
      <c r="B21" s="970" cm="1">
        <f t="array" ref="B21">SUMPRODUCT(--((LOWER(TRIM($W$2:$W$306))="ambil sendiri")+(LOWER(TRIM($W$2:$W$306))="cokot sorangan")))</f>
        <v>3</v>
      </c>
      <c r="C21" s="969" cm="1">
        <f t="array" ref="C21">SUMPRODUCT(--(LOWER(AB6:AB453)="masuk"), --((LOWER(TRIM($W$2:$W$449))="cokot sorangan") + (LOWER(TRIM(W6:W453))="ambil sendiri")))</f>
        <v>2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74" t="s">
        <v>696</v>
      </c>
      <c r="S21" s="105">
        <v>3331570925</v>
      </c>
      <c r="T21" s="1202" t="s">
        <v>459</v>
      </c>
      <c r="U21" s="105">
        <v>24142925</v>
      </c>
      <c r="V21" s="1202" t="s">
        <v>224</v>
      </c>
      <c r="W21" s="1257" t="s">
        <v>203</v>
      </c>
      <c r="X21" s="209">
        <v>30771.025000000001</v>
      </c>
      <c r="Y21" s="1257" t="s">
        <v>426</v>
      </c>
      <c r="Z21" s="1257">
        <v>1</v>
      </c>
      <c r="AA21" s="1257">
        <v>1</v>
      </c>
      <c r="AB21" s="1257" t="s">
        <v>204</v>
      </c>
      <c r="AC21" s="1192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696</v>
      </c>
      <c r="S22" s="1209">
        <v>3331570931</v>
      </c>
      <c r="T22" s="1202" t="s">
        <v>459</v>
      </c>
      <c r="U22" s="1202">
        <v>24142926</v>
      </c>
      <c r="V22" s="1202" t="s">
        <v>224</v>
      </c>
      <c r="W22" s="1257" t="s">
        <v>203</v>
      </c>
      <c r="X22" s="1203">
        <v>31387.200000000001</v>
      </c>
      <c r="Y22" s="1257" t="s">
        <v>426</v>
      </c>
      <c r="Z22" s="1257">
        <v>1</v>
      </c>
      <c r="AA22" s="1257">
        <v>1</v>
      </c>
      <c r="AB22" s="1257" t="s">
        <v>204</v>
      </c>
      <c r="AC22" s="1192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696</v>
      </c>
      <c r="S23" s="1209">
        <v>3331570934</v>
      </c>
      <c r="T23" s="1202" t="s">
        <v>459</v>
      </c>
      <c r="U23" s="1202">
        <v>24142927</v>
      </c>
      <c r="V23" s="1202" t="s">
        <v>224</v>
      </c>
      <c r="W23" s="1257" t="s">
        <v>203</v>
      </c>
      <c r="X23" s="1203">
        <v>28202.204000000002</v>
      </c>
      <c r="Y23" s="1257" t="s">
        <v>426</v>
      </c>
      <c r="Z23" s="1257">
        <v>1</v>
      </c>
      <c r="AA23" s="1257">
        <v>1</v>
      </c>
      <c r="AB23" s="1257" t="s">
        <v>204</v>
      </c>
      <c r="AC23" s="1192"/>
      <c r="AD23" s="81"/>
    </row>
    <row r="24" spans="1:30" s="44" customFormat="1" ht="17.399999999999999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1" t="s">
        <v>691</v>
      </c>
      <c r="S24" s="1202">
        <v>3331570909</v>
      </c>
      <c r="T24" s="1077" t="s">
        <v>336</v>
      </c>
      <c r="U24" s="1202">
        <v>24142965</v>
      </c>
      <c r="V24" s="1077" t="s">
        <v>497</v>
      </c>
      <c r="W24" s="1257" t="s">
        <v>205</v>
      </c>
      <c r="X24" s="1203">
        <f>34288.659+12527.215</f>
        <v>46815.873999999996</v>
      </c>
      <c r="Y24" s="1257" t="s">
        <v>128</v>
      </c>
      <c r="Z24" s="1257">
        <v>1</v>
      </c>
      <c r="AA24" s="1257">
        <v>1</v>
      </c>
      <c r="AB24" s="1257" t="s">
        <v>204</v>
      </c>
      <c r="AC24" s="1192"/>
      <c r="AD24" s="81"/>
    </row>
    <row r="25" spans="1:30" s="44" customFormat="1" ht="18.75" customHeight="1">
      <c r="A25" s="1021"/>
      <c r="B25" s="1584" t="s">
        <v>697</v>
      </c>
      <c r="C25" s="1584"/>
      <c r="D25" s="1584"/>
      <c r="E25" s="1584"/>
      <c r="F25" s="1584"/>
      <c r="G25" s="1584"/>
      <c r="H25" s="1584"/>
      <c r="I25" s="1584"/>
      <c r="J25" s="1584"/>
      <c r="K25" s="1584"/>
      <c r="L25" s="1584"/>
      <c r="M25" s="1584"/>
      <c r="N25" s="1584"/>
      <c r="O25" s="1021"/>
      <c r="P25" s="1022"/>
      <c r="R25" s="1201" t="s">
        <v>691</v>
      </c>
      <c r="S25" s="1202">
        <v>3331571143</v>
      </c>
      <c r="T25" s="1077" t="s">
        <v>256</v>
      </c>
      <c r="U25" s="1077" t="s">
        <v>256</v>
      </c>
      <c r="V25" s="1077" t="s">
        <v>256</v>
      </c>
      <c r="W25" s="1077" t="s">
        <v>256</v>
      </c>
      <c r="X25" s="1265" t="s">
        <v>256</v>
      </c>
      <c r="Y25" s="1077" t="s">
        <v>256</v>
      </c>
      <c r="Z25" s="1077" t="s">
        <v>256</v>
      </c>
      <c r="AA25" s="1077" t="s">
        <v>256</v>
      </c>
      <c r="AB25" s="1077" t="s">
        <v>256</v>
      </c>
      <c r="AC25" s="1192"/>
      <c r="AD25" s="81"/>
    </row>
    <row r="26" spans="1:30" s="44" customFormat="1" ht="18.75" customHeight="1">
      <c r="A26" s="1021"/>
      <c r="B26" s="1584"/>
      <c r="C26" s="1584"/>
      <c r="D26" s="1584"/>
      <c r="E26" s="1584"/>
      <c r="F26" s="1584"/>
      <c r="G26" s="1584"/>
      <c r="H26" s="1584"/>
      <c r="I26" s="1584"/>
      <c r="J26" s="1584"/>
      <c r="K26" s="1584"/>
      <c r="L26" s="1584"/>
      <c r="M26" s="1584"/>
      <c r="N26" s="1584"/>
      <c r="O26" s="1021"/>
      <c r="P26" s="1022"/>
      <c r="R26" s="1201" t="s">
        <v>691</v>
      </c>
      <c r="S26" s="1202">
        <v>3331571150</v>
      </c>
      <c r="T26" s="1077" t="s">
        <v>441</v>
      </c>
      <c r="U26" s="1202">
        <v>24142966</v>
      </c>
      <c r="V26" s="1077" t="s">
        <v>497</v>
      </c>
      <c r="W26" s="1257" t="s">
        <v>205</v>
      </c>
      <c r="X26" s="1203">
        <v>41344.9</v>
      </c>
      <c r="Y26" s="1257" t="s">
        <v>128</v>
      </c>
      <c r="Z26" s="1257">
        <v>1</v>
      </c>
      <c r="AA26" s="1257">
        <v>1</v>
      </c>
      <c r="AB26" s="1257" t="s">
        <v>204</v>
      </c>
      <c r="AC26" s="1192"/>
      <c r="AD26" s="81"/>
    </row>
    <row r="27" spans="1:30" s="44" customFormat="1" ht="18.75" customHeight="1">
      <c r="A27" s="1021"/>
      <c r="B27" s="1584"/>
      <c r="C27" s="1584"/>
      <c r="D27" s="1584"/>
      <c r="E27" s="1584"/>
      <c r="F27" s="1584"/>
      <c r="G27" s="1584"/>
      <c r="H27" s="1584"/>
      <c r="I27" s="1584"/>
      <c r="J27" s="1584"/>
      <c r="K27" s="1584"/>
      <c r="L27" s="1584"/>
      <c r="M27" s="1584"/>
      <c r="N27" s="1584"/>
      <c r="O27" s="1021"/>
      <c r="P27" s="1022"/>
      <c r="R27" s="1256" t="s">
        <v>691</v>
      </c>
      <c r="S27" s="1257">
        <v>3331571151</v>
      </c>
      <c r="T27" s="1077" t="s">
        <v>441</v>
      </c>
      <c r="U27" s="1077">
        <v>24142967</v>
      </c>
      <c r="V27" s="1077" t="s">
        <v>497</v>
      </c>
      <c r="W27" s="1257" t="s">
        <v>205</v>
      </c>
      <c r="X27" s="1258">
        <v>38436.745000000003</v>
      </c>
      <c r="Y27" s="1257" t="s">
        <v>128</v>
      </c>
      <c r="Z27" s="1257">
        <v>1</v>
      </c>
      <c r="AA27" s="1257">
        <v>1</v>
      </c>
      <c r="AB27" s="1257" t="s">
        <v>204</v>
      </c>
      <c r="AC27" s="1192"/>
      <c r="AD27" s="81"/>
    </row>
    <row r="28" spans="1:30" s="44" customFormat="1" ht="18.75" customHeight="1">
      <c r="A28" s="1021"/>
      <c r="B28" s="1584"/>
      <c r="C28" s="1584"/>
      <c r="D28" s="1584"/>
      <c r="E28" s="1584"/>
      <c r="F28" s="1584"/>
      <c r="G28" s="1584"/>
      <c r="H28" s="1584"/>
      <c r="I28" s="1584"/>
      <c r="J28" s="1584"/>
      <c r="K28" s="1584"/>
      <c r="L28" s="1584"/>
      <c r="M28" s="1584"/>
      <c r="N28" s="1584"/>
      <c r="O28" s="1021"/>
      <c r="P28" s="1022"/>
      <c r="R28" s="1256" t="s">
        <v>691</v>
      </c>
      <c r="S28" s="1257">
        <v>3331571154</v>
      </c>
      <c r="T28" s="1077" t="s">
        <v>27</v>
      </c>
      <c r="U28" s="1257">
        <v>24142968</v>
      </c>
      <c r="V28" s="1077" t="s">
        <v>497</v>
      </c>
      <c r="W28" s="1257" t="s">
        <v>205</v>
      </c>
      <c r="X28" s="1258">
        <v>25312.159</v>
      </c>
      <c r="Y28" s="1257" t="s">
        <v>200</v>
      </c>
      <c r="Z28" s="1257">
        <v>1</v>
      </c>
      <c r="AA28" s="1257">
        <v>1</v>
      </c>
      <c r="AB28" s="1257" t="s">
        <v>204</v>
      </c>
      <c r="AC28" s="1192"/>
      <c r="AD28" s="81"/>
    </row>
    <row r="29" spans="1:30" s="44" customFormat="1" ht="18.75" customHeight="1">
      <c r="A29" s="1021"/>
      <c r="B29" s="1584"/>
      <c r="C29" s="1584"/>
      <c r="D29" s="1584"/>
      <c r="E29" s="1584"/>
      <c r="F29" s="1584"/>
      <c r="G29" s="1584"/>
      <c r="H29" s="1584"/>
      <c r="I29" s="1584"/>
      <c r="J29" s="1584"/>
      <c r="K29" s="1584"/>
      <c r="L29" s="1584"/>
      <c r="M29" s="1584"/>
      <c r="N29" s="1584"/>
      <c r="O29" s="1021"/>
      <c r="P29" s="1022"/>
      <c r="R29" s="1201" t="s">
        <v>691</v>
      </c>
      <c r="S29" s="1209">
        <v>3331571156</v>
      </c>
      <c r="T29" s="1077" t="s">
        <v>698</v>
      </c>
      <c r="U29" s="1202">
        <v>24142969</v>
      </c>
      <c r="V29" s="1202" t="s">
        <v>561</v>
      </c>
      <c r="W29" s="1257" t="s">
        <v>362</v>
      </c>
      <c r="X29" s="1203">
        <v>21805.05</v>
      </c>
      <c r="Y29" s="1257" t="s">
        <v>200</v>
      </c>
      <c r="Z29" s="1257">
        <v>1</v>
      </c>
      <c r="AA29" s="1257">
        <v>1</v>
      </c>
      <c r="AB29" s="1257" t="s">
        <v>204</v>
      </c>
      <c r="AC29" s="1192"/>
      <c r="AD29" s="81"/>
    </row>
    <row r="30" spans="1:30" s="44" customFormat="1" ht="18.75" customHeight="1">
      <c r="A30" s="1324"/>
      <c r="B30" s="1584"/>
      <c r="C30" s="1584"/>
      <c r="D30" s="1584"/>
      <c r="E30" s="1584"/>
      <c r="F30" s="1584"/>
      <c r="G30" s="1584"/>
      <c r="H30" s="1584"/>
      <c r="I30" s="1584"/>
      <c r="J30" s="1584"/>
      <c r="K30" s="1584"/>
      <c r="L30" s="1584"/>
      <c r="M30" s="1584"/>
      <c r="N30" s="1584"/>
      <c r="O30" s="1021"/>
      <c r="P30" s="1022"/>
      <c r="R30" s="1174" t="s">
        <v>691</v>
      </c>
      <c r="S30" s="1312">
        <v>3331571160</v>
      </c>
      <c r="T30" s="1077" t="s">
        <v>698</v>
      </c>
      <c r="U30" s="105">
        <v>24142970</v>
      </c>
      <c r="V30" s="1202" t="s">
        <v>561</v>
      </c>
      <c r="W30" s="1257" t="s">
        <v>362</v>
      </c>
      <c r="X30" s="209">
        <v>21805.05</v>
      </c>
      <c r="Y30" s="1257" t="s">
        <v>200</v>
      </c>
      <c r="Z30" s="1257">
        <v>1</v>
      </c>
      <c r="AA30" s="1257">
        <v>1</v>
      </c>
      <c r="AB30" s="1257" t="s">
        <v>204</v>
      </c>
      <c r="AC30" s="1192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74" t="s">
        <v>696</v>
      </c>
      <c r="S31" s="1312">
        <v>3331571163</v>
      </c>
      <c r="T31" s="105" t="s">
        <v>441</v>
      </c>
      <c r="U31" s="105">
        <v>24142971</v>
      </c>
      <c r="V31" s="1202" t="s">
        <v>699</v>
      </c>
      <c r="W31" s="105" t="s">
        <v>205</v>
      </c>
      <c r="X31" s="209">
        <v>39121.328000000001</v>
      </c>
      <c r="Y31" s="105" t="s">
        <v>128</v>
      </c>
      <c r="Z31" s="105">
        <v>1</v>
      </c>
      <c r="AA31" s="105">
        <v>1</v>
      </c>
      <c r="AB31" s="1257" t="s">
        <v>204</v>
      </c>
      <c r="AC31" s="1192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74" t="s">
        <v>691</v>
      </c>
      <c r="S32" s="1312">
        <v>3331571177</v>
      </c>
      <c r="T32" s="1077" t="s">
        <v>698</v>
      </c>
      <c r="U32" s="105">
        <v>24142972</v>
      </c>
      <c r="V32" s="1202" t="s">
        <v>561</v>
      </c>
      <c r="W32" s="1257" t="s">
        <v>362</v>
      </c>
      <c r="X32" s="209">
        <f>1453.67+23616.166</f>
        <v>25069.836000000003</v>
      </c>
      <c r="Y32" s="1257" t="s">
        <v>200</v>
      </c>
      <c r="Z32" s="1257">
        <v>1</v>
      </c>
      <c r="AA32" s="1257">
        <v>1</v>
      </c>
      <c r="AB32" s="1257" t="s">
        <v>204</v>
      </c>
      <c r="AC32" s="1192"/>
      <c r="AD32" s="81"/>
    </row>
    <row r="33" spans="1:30" s="44" customFormat="1" ht="23.25" customHeight="1">
      <c r="A33" s="1324"/>
      <c r="B33" s="1021"/>
      <c r="C33" s="1021"/>
      <c r="D33" s="1022"/>
      <c r="E33" s="1023"/>
      <c r="M33" s="1023"/>
      <c r="N33" s="1021"/>
      <c r="O33" s="1021"/>
      <c r="P33" s="1022"/>
      <c r="R33" s="1174" t="s">
        <v>691</v>
      </c>
      <c r="S33" s="1312">
        <v>3331571185</v>
      </c>
      <c r="T33" s="105" t="s">
        <v>256</v>
      </c>
      <c r="U33" s="105" t="s">
        <v>256</v>
      </c>
      <c r="V33" s="1202" t="s">
        <v>256</v>
      </c>
      <c r="W33" s="105" t="s">
        <v>256</v>
      </c>
      <c r="X33" s="209" t="s">
        <v>256</v>
      </c>
      <c r="Y33" s="105" t="s">
        <v>256</v>
      </c>
      <c r="Z33" s="105" t="s">
        <v>256</v>
      </c>
      <c r="AA33" s="105" t="s">
        <v>256</v>
      </c>
      <c r="AB33" s="105" t="s">
        <v>256</v>
      </c>
      <c r="AC33" s="1192"/>
      <c r="AD33" s="81"/>
    </row>
    <row r="34" spans="1:30" s="44" customFormat="1" ht="23.25" customHeight="1">
      <c r="A34" s="1324"/>
      <c r="B34" s="1021"/>
      <c r="C34" s="1021"/>
      <c r="D34" s="1022"/>
      <c r="E34" s="1023"/>
      <c r="M34" s="1023"/>
      <c r="N34" s="1021"/>
      <c r="O34" s="1021"/>
      <c r="P34" s="1022"/>
      <c r="R34" s="1646">
        <v>0.61440972222222223</v>
      </c>
      <c r="S34" s="1650">
        <v>3331571180</v>
      </c>
      <c r="T34" s="1647" t="s">
        <v>27</v>
      </c>
      <c r="U34" s="1647">
        <v>24142973</v>
      </c>
      <c r="V34" s="1647" t="s">
        <v>561</v>
      </c>
      <c r="W34" s="1651" t="s">
        <v>362</v>
      </c>
      <c r="X34" s="1648">
        <v>25000</v>
      </c>
      <c r="Y34" s="1647" t="s">
        <v>200</v>
      </c>
      <c r="Z34" s="1647">
        <v>1</v>
      </c>
      <c r="AA34" s="1647">
        <v>1</v>
      </c>
      <c r="AB34" s="1647" t="s">
        <v>204</v>
      </c>
      <c r="AC34" s="1192"/>
      <c r="AD34" s="81"/>
    </row>
    <row r="35" spans="1:30" s="44" customFormat="1" ht="23.25" customHeight="1">
      <c r="A35" s="1324"/>
      <c r="B35" s="1021"/>
      <c r="C35" s="1021"/>
      <c r="D35" s="1022"/>
      <c r="E35" s="1023"/>
      <c r="M35" s="1023"/>
      <c r="N35" s="1021"/>
      <c r="O35" s="1021"/>
      <c r="P35" s="1022"/>
      <c r="R35" s="1646" t="s">
        <v>696</v>
      </c>
      <c r="S35" s="1650">
        <v>3331571181</v>
      </c>
      <c r="T35" s="1647" t="s">
        <v>27</v>
      </c>
      <c r="U35" s="1647">
        <v>24142974</v>
      </c>
      <c r="V35" s="1647" t="s">
        <v>561</v>
      </c>
      <c r="W35" s="1651" t="s">
        <v>362</v>
      </c>
      <c r="X35" s="1648">
        <v>25000</v>
      </c>
      <c r="Y35" s="1647" t="s">
        <v>200</v>
      </c>
      <c r="Z35" s="1647">
        <v>1</v>
      </c>
      <c r="AA35" s="1647">
        <v>1</v>
      </c>
      <c r="AB35" s="1647" t="s">
        <v>204</v>
      </c>
      <c r="AC35" s="1192"/>
      <c r="AD35" s="81"/>
    </row>
    <row r="36" spans="1:30" s="44" customFormat="1" ht="37.5" customHeight="1">
      <c r="A36" s="1324"/>
      <c r="B36" s="1021"/>
      <c r="C36" s="1021"/>
      <c r="D36" s="1022"/>
      <c r="E36" s="1023"/>
      <c r="M36" s="1023"/>
      <c r="N36" s="1021"/>
      <c r="O36" s="1021"/>
      <c r="P36" s="1022"/>
      <c r="R36" s="1201" t="s">
        <v>691</v>
      </c>
      <c r="S36" s="1209">
        <v>3331571182</v>
      </c>
      <c r="T36" s="1202" t="s">
        <v>27</v>
      </c>
      <c r="U36" s="1202">
        <v>24142975</v>
      </c>
      <c r="V36" s="1202" t="s">
        <v>561</v>
      </c>
      <c r="W36" s="1257" t="s">
        <v>362</v>
      </c>
      <c r="X36" s="1203">
        <v>23942.799999999999</v>
      </c>
      <c r="Y36" s="1257" t="s">
        <v>200</v>
      </c>
      <c r="Z36" s="1257">
        <v>1</v>
      </c>
      <c r="AA36" s="1257">
        <v>1</v>
      </c>
      <c r="AB36" s="1257" t="s">
        <v>204</v>
      </c>
      <c r="AC36" s="1192"/>
      <c r="AD36" s="81"/>
    </row>
    <row r="37" spans="1:30" s="44" customFormat="1" ht="17.399999999999999">
      <c r="A37" s="1324"/>
      <c r="B37" s="1021"/>
      <c r="C37" s="1021"/>
      <c r="D37" s="1022"/>
      <c r="E37" s="1023"/>
      <c r="M37" s="1023"/>
      <c r="N37" s="1021"/>
      <c r="O37" s="1021"/>
      <c r="P37" s="1022"/>
      <c r="R37" s="1201" t="s">
        <v>691</v>
      </c>
      <c r="S37" s="1209">
        <v>3331571184</v>
      </c>
      <c r="T37" s="1202" t="s">
        <v>27</v>
      </c>
      <c r="U37" s="1202">
        <v>24142976</v>
      </c>
      <c r="V37" s="1202" t="s">
        <v>561</v>
      </c>
      <c r="W37" s="1257" t="s">
        <v>362</v>
      </c>
      <c r="X37" s="1203">
        <v>24455.86</v>
      </c>
      <c r="Y37" s="1257" t="s">
        <v>200</v>
      </c>
      <c r="Z37" s="1257">
        <v>1</v>
      </c>
      <c r="AA37" s="1257">
        <v>1</v>
      </c>
      <c r="AB37" s="1257" t="s">
        <v>204</v>
      </c>
      <c r="AC37" s="1192"/>
      <c r="AD37" s="81"/>
    </row>
    <row r="38" spans="1:30" s="44" customFormat="1" ht="17.399999999999999">
      <c r="A38" s="1324"/>
      <c r="B38" s="1021"/>
      <c r="C38" s="1021"/>
      <c r="D38" s="1022"/>
      <c r="E38" s="1023"/>
      <c r="M38" s="1023"/>
      <c r="N38" s="1021"/>
      <c r="O38" s="1021"/>
      <c r="P38" s="1022"/>
      <c r="R38" s="1201" t="s">
        <v>696</v>
      </c>
      <c r="S38" s="1209">
        <v>3331571183</v>
      </c>
      <c r="T38" s="1202" t="s">
        <v>27</v>
      </c>
      <c r="U38" s="1202">
        <v>24142977</v>
      </c>
      <c r="V38" s="1202" t="s">
        <v>173</v>
      </c>
      <c r="W38" s="1202" t="s">
        <v>205</v>
      </c>
      <c r="X38" s="1203">
        <v>25653</v>
      </c>
      <c r="Y38" s="1257" t="s">
        <v>200</v>
      </c>
      <c r="Z38" s="1257">
        <v>1</v>
      </c>
      <c r="AA38" s="1257">
        <v>1</v>
      </c>
      <c r="AB38" s="1257" t="s">
        <v>204</v>
      </c>
      <c r="AC38" s="1192"/>
      <c r="AD38" s="81"/>
    </row>
    <row r="39" spans="1:30" s="44" customFormat="1" ht="17.399999999999999">
      <c r="A39" s="1324"/>
      <c r="B39" s="1021"/>
      <c r="C39" s="1021"/>
      <c r="D39" s="1022"/>
      <c r="E39" s="1023"/>
      <c r="M39" s="1023"/>
      <c r="N39" s="1021"/>
      <c r="O39" s="1021"/>
      <c r="P39" s="1022"/>
      <c r="R39" s="1201" t="s">
        <v>696</v>
      </c>
      <c r="S39" s="1209">
        <v>3331571187</v>
      </c>
      <c r="T39" s="1202" t="s">
        <v>27</v>
      </c>
      <c r="U39" s="1202">
        <v>24142980</v>
      </c>
      <c r="V39" s="1202" t="s">
        <v>253</v>
      </c>
      <c r="W39" s="1202" t="s">
        <v>205</v>
      </c>
      <c r="X39" s="1203">
        <v>22702.904999999999</v>
      </c>
      <c r="Y39" s="1257" t="s">
        <v>200</v>
      </c>
      <c r="Z39" s="1257">
        <v>1</v>
      </c>
      <c r="AA39" s="1257">
        <v>1</v>
      </c>
      <c r="AB39" s="1257" t="s">
        <v>204</v>
      </c>
      <c r="AC39" s="1192"/>
      <c r="AD39" s="81"/>
    </row>
    <row r="40" spans="1:30" s="44" customFormat="1" ht="17.399999999999999">
      <c r="A40" s="1324"/>
      <c r="B40" s="1021"/>
      <c r="C40" s="1021"/>
      <c r="D40" s="1022"/>
      <c r="E40" s="1023"/>
      <c r="M40" s="1023"/>
      <c r="N40" s="1021"/>
      <c r="O40" s="1021"/>
      <c r="P40" s="1022"/>
      <c r="R40" s="1201" t="s">
        <v>696</v>
      </c>
      <c r="S40" s="1209">
        <v>3331571201</v>
      </c>
      <c r="T40" s="1202" t="s">
        <v>27</v>
      </c>
      <c r="U40" s="1202">
        <v>24142982</v>
      </c>
      <c r="V40" s="1202" t="s">
        <v>472</v>
      </c>
      <c r="W40" s="1202" t="s">
        <v>205</v>
      </c>
      <c r="X40" s="1203">
        <f>1831.926+16460.675+7332.734</f>
        <v>25625.334999999999</v>
      </c>
      <c r="Y40" s="1257" t="s">
        <v>200</v>
      </c>
      <c r="Z40" s="1257">
        <v>1</v>
      </c>
      <c r="AA40" s="1257">
        <v>1</v>
      </c>
      <c r="AB40" s="1257" t="s">
        <v>204</v>
      </c>
      <c r="AC40" s="1192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696</v>
      </c>
      <c r="S41" s="1209">
        <v>3331571204</v>
      </c>
      <c r="T41" s="1202" t="s">
        <v>256</v>
      </c>
      <c r="U41" s="1202" t="s">
        <v>256</v>
      </c>
      <c r="V41" s="1202" t="s">
        <v>256</v>
      </c>
      <c r="W41" s="1202" t="s">
        <v>256</v>
      </c>
      <c r="X41" s="1203" t="s">
        <v>256</v>
      </c>
      <c r="Y41" s="1202" t="s">
        <v>256</v>
      </c>
      <c r="Z41" s="1202" t="s">
        <v>256</v>
      </c>
      <c r="AA41" s="1202" t="s">
        <v>256</v>
      </c>
      <c r="AB41" s="1202" t="s">
        <v>256</v>
      </c>
      <c r="AC41" s="1192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696</v>
      </c>
      <c r="S42" s="1209">
        <v>3331571206</v>
      </c>
      <c r="T42" s="1202" t="s">
        <v>256</v>
      </c>
      <c r="U42" s="1202" t="s">
        <v>256</v>
      </c>
      <c r="V42" s="1202" t="s">
        <v>256</v>
      </c>
      <c r="W42" s="1202" t="s">
        <v>256</v>
      </c>
      <c r="X42" s="1203" t="s">
        <v>256</v>
      </c>
      <c r="Y42" s="1202" t="s">
        <v>256</v>
      </c>
      <c r="Z42" s="1202" t="s">
        <v>256</v>
      </c>
      <c r="AA42" s="1202" t="s">
        <v>256</v>
      </c>
      <c r="AB42" s="1202" t="s">
        <v>256</v>
      </c>
      <c r="AC42" s="1192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696</v>
      </c>
      <c r="S43" s="1209">
        <v>3331571220</v>
      </c>
      <c r="T43" s="1202" t="s">
        <v>27</v>
      </c>
      <c r="U43" s="1202">
        <v>24142991</v>
      </c>
      <c r="V43" s="1202" t="s">
        <v>700</v>
      </c>
      <c r="W43" s="1202" t="s">
        <v>205</v>
      </c>
      <c r="X43" s="1203">
        <v>26892.895</v>
      </c>
      <c r="Y43" s="1202" t="s">
        <v>200</v>
      </c>
      <c r="Z43" s="1202">
        <v>1</v>
      </c>
      <c r="AA43" s="1202">
        <v>1</v>
      </c>
      <c r="AB43" s="1202" t="s">
        <v>204</v>
      </c>
      <c r="AC43" s="1192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691</v>
      </c>
      <c r="S44" s="1202">
        <v>3331571240</v>
      </c>
      <c r="T44" s="1202" t="s">
        <v>27</v>
      </c>
      <c r="U44" s="1202">
        <v>24142993</v>
      </c>
      <c r="V44" s="1202" t="s">
        <v>701</v>
      </c>
      <c r="W44" s="1202" t="s">
        <v>205</v>
      </c>
      <c r="X44" s="1203">
        <f>11972.267+13443.178</f>
        <v>25415.445</v>
      </c>
      <c r="Y44" s="1202" t="s">
        <v>200</v>
      </c>
      <c r="Z44" s="1202">
        <v>1</v>
      </c>
      <c r="AA44" s="1202">
        <v>1</v>
      </c>
      <c r="AB44" s="1202" t="s">
        <v>204</v>
      </c>
      <c r="AC44" s="1192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691</v>
      </c>
      <c r="S45" s="1202">
        <v>3331571247</v>
      </c>
      <c r="T45" s="1202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2" t="s">
        <v>256</v>
      </c>
      <c r="AC45" s="1192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691</v>
      </c>
      <c r="S46" s="1202">
        <v>3331571212</v>
      </c>
      <c r="T46" s="1202" t="s">
        <v>27</v>
      </c>
      <c r="U46" s="1202">
        <v>24142987</v>
      </c>
      <c r="V46" s="1202" t="s">
        <v>435</v>
      </c>
      <c r="W46" s="1202" t="s">
        <v>205</v>
      </c>
      <c r="X46" s="1203">
        <v>23600.76</v>
      </c>
      <c r="Y46" s="1202" t="s">
        <v>200</v>
      </c>
      <c r="Z46" s="1202">
        <v>1</v>
      </c>
      <c r="AA46" s="1202">
        <v>1</v>
      </c>
      <c r="AB46" s="1202" t="s">
        <v>204</v>
      </c>
      <c r="AC46" s="1192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691</v>
      </c>
      <c r="S47" s="1202">
        <v>3331571216</v>
      </c>
      <c r="T47" s="1202" t="s">
        <v>27</v>
      </c>
      <c r="U47" s="1202">
        <v>24142988</v>
      </c>
      <c r="V47" s="1202" t="s">
        <v>435</v>
      </c>
      <c r="W47" s="1202" t="s">
        <v>205</v>
      </c>
      <c r="X47" s="1203">
        <v>20650.665000000001</v>
      </c>
      <c r="Y47" s="1202" t="s">
        <v>200</v>
      </c>
      <c r="Z47" s="1202">
        <v>1</v>
      </c>
      <c r="AA47" s="1202">
        <v>1</v>
      </c>
      <c r="AB47" s="1202" t="s">
        <v>204</v>
      </c>
      <c r="AC47" s="1192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696</v>
      </c>
      <c r="S48" s="1209">
        <v>3331571255</v>
      </c>
      <c r="T48" s="1202" t="s">
        <v>27</v>
      </c>
      <c r="U48" s="1202">
        <v>24142994</v>
      </c>
      <c r="V48" s="1202" t="s">
        <v>226</v>
      </c>
      <c r="W48" s="1202" t="s">
        <v>203</v>
      </c>
      <c r="X48" s="1203">
        <v>25653</v>
      </c>
      <c r="Y48" s="1202" t="s">
        <v>200</v>
      </c>
      <c r="Z48" s="1202">
        <v>1</v>
      </c>
      <c r="AA48" s="1202">
        <v>1</v>
      </c>
      <c r="AB48" s="1202" t="s">
        <v>204</v>
      </c>
      <c r="AC48" s="1192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691</v>
      </c>
      <c r="S49" s="1202">
        <v>3331571254</v>
      </c>
      <c r="T49" s="1202" t="s">
        <v>342</v>
      </c>
      <c r="U49" s="1202">
        <v>24142995</v>
      </c>
      <c r="V49" s="1202" t="s">
        <v>444</v>
      </c>
      <c r="W49" s="1202" t="s">
        <v>434</v>
      </c>
      <c r="X49" s="1203">
        <v>25866.499</v>
      </c>
      <c r="Y49" s="1202" t="s">
        <v>200</v>
      </c>
      <c r="Z49" s="1202">
        <v>1</v>
      </c>
      <c r="AA49" s="1202">
        <v>1</v>
      </c>
      <c r="AB49" s="1202" t="s">
        <v>204</v>
      </c>
      <c r="AC49" s="1192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691</v>
      </c>
      <c r="S50" s="1202">
        <v>3331571286</v>
      </c>
      <c r="T50" s="1202" t="s">
        <v>27</v>
      </c>
      <c r="U50" s="1202">
        <v>24143001</v>
      </c>
      <c r="V50" s="1202" t="s">
        <v>702</v>
      </c>
      <c r="W50" s="1202" t="s">
        <v>203</v>
      </c>
      <c r="X50" s="1203">
        <v>24465.064999999999</v>
      </c>
      <c r="Y50" s="1202" t="s">
        <v>200</v>
      </c>
      <c r="Z50" s="1202">
        <v>1</v>
      </c>
      <c r="AA50" s="1202">
        <v>1</v>
      </c>
      <c r="AB50" s="1202" t="s">
        <v>204</v>
      </c>
      <c r="AC50" s="1192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691</v>
      </c>
      <c r="S51" s="1202">
        <v>3331571285</v>
      </c>
      <c r="T51" s="1202" t="s">
        <v>470</v>
      </c>
      <c r="U51" s="1202">
        <v>24143002</v>
      </c>
      <c r="V51" s="1202" t="s">
        <v>354</v>
      </c>
      <c r="W51" s="1202" t="s">
        <v>703</v>
      </c>
      <c r="X51" s="1203">
        <f>3117.672+21634.03</f>
        <v>24751.701999999997</v>
      </c>
      <c r="Y51" s="1202" t="s">
        <v>426</v>
      </c>
      <c r="Z51" s="1202">
        <v>1</v>
      </c>
      <c r="AA51" s="1202">
        <v>1</v>
      </c>
      <c r="AB51" s="1202" t="s">
        <v>204</v>
      </c>
      <c r="AC51" s="1192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691</v>
      </c>
      <c r="S52" s="1202">
        <v>3331571287</v>
      </c>
      <c r="T52" s="1202" t="s">
        <v>256</v>
      </c>
      <c r="U52" s="1202" t="s">
        <v>256</v>
      </c>
      <c r="V52" s="1202" t="s">
        <v>256</v>
      </c>
      <c r="W52" s="1202" t="s">
        <v>256</v>
      </c>
      <c r="X52" s="1203" t="s">
        <v>256</v>
      </c>
      <c r="Y52" s="1202" t="s">
        <v>256</v>
      </c>
      <c r="Z52" s="1202" t="s">
        <v>256</v>
      </c>
      <c r="AA52" s="1202" t="s">
        <v>256</v>
      </c>
      <c r="AB52" s="1202" t="s">
        <v>256</v>
      </c>
      <c r="AC52" s="1192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1" t="s">
        <v>704</v>
      </c>
      <c r="S53" s="1202">
        <v>3331571295</v>
      </c>
      <c r="T53" s="1202" t="s">
        <v>459</v>
      </c>
      <c r="U53" s="1202">
        <v>24143006</v>
      </c>
      <c r="V53" s="1202" t="s">
        <v>224</v>
      </c>
      <c r="W53" s="1202" t="s">
        <v>344</v>
      </c>
      <c r="X53" s="1203">
        <v>30014.01</v>
      </c>
      <c r="Y53" s="1202" t="s">
        <v>426</v>
      </c>
      <c r="Z53" s="1202">
        <v>1</v>
      </c>
      <c r="AA53" s="1202">
        <v>1</v>
      </c>
      <c r="AB53" s="1202" t="s">
        <v>204</v>
      </c>
      <c r="AC53" s="1192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696</v>
      </c>
      <c r="S54" s="1202">
        <v>3331571305</v>
      </c>
      <c r="T54" s="1202" t="s">
        <v>27</v>
      </c>
      <c r="U54" s="1202">
        <v>24143015</v>
      </c>
      <c r="V54" s="1202" t="s">
        <v>430</v>
      </c>
      <c r="W54" s="1202" t="s">
        <v>338</v>
      </c>
      <c r="X54" s="1203">
        <f>16496.572+10183.939</f>
        <v>26680.510999999999</v>
      </c>
      <c r="Y54" s="1202" t="s">
        <v>200</v>
      </c>
      <c r="Z54" s="1202">
        <v>1</v>
      </c>
      <c r="AA54" s="1202">
        <v>1</v>
      </c>
      <c r="AB54" s="1202" t="s">
        <v>204</v>
      </c>
      <c r="AC54" s="1192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01" t="s">
        <v>705</v>
      </c>
      <c r="S55" s="1202">
        <v>3331571315</v>
      </c>
      <c r="T55" s="1202" t="s">
        <v>256</v>
      </c>
      <c r="U55" s="1202" t="s">
        <v>256</v>
      </c>
      <c r="V55" s="1202" t="s">
        <v>256</v>
      </c>
      <c r="W55" s="1202" t="s">
        <v>256</v>
      </c>
      <c r="X55" s="1203" t="s">
        <v>256</v>
      </c>
      <c r="Y55" s="1202" t="s">
        <v>256</v>
      </c>
      <c r="Z55" s="1202" t="s">
        <v>256</v>
      </c>
      <c r="AA55" s="1202" t="s">
        <v>256</v>
      </c>
      <c r="AB55" s="1202" t="s">
        <v>256</v>
      </c>
      <c r="AC55" s="1192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01" t="s">
        <v>704</v>
      </c>
      <c r="S56" s="1202">
        <v>3331571321</v>
      </c>
      <c r="T56" s="1202" t="s">
        <v>459</v>
      </c>
      <c r="U56" s="1202">
        <v>24143018</v>
      </c>
      <c r="V56" s="1202" t="s">
        <v>226</v>
      </c>
      <c r="W56" s="1202" t="s">
        <v>344</v>
      </c>
      <c r="X56" s="1203">
        <v>31553.19</v>
      </c>
      <c r="Y56" s="1202" t="s">
        <v>426</v>
      </c>
      <c r="Z56" s="1202">
        <v>1</v>
      </c>
      <c r="AA56" s="1202">
        <v>1</v>
      </c>
      <c r="AB56" s="1202" t="s">
        <v>204</v>
      </c>
      <c r="AC56" s="1192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/>
      <c r="S57" s="1190"/>
      <c r="T57" s="1190"/>
      <c r="U57" s="1190"/>
      <c r="V57" s="1190"/>
      <c r="W57" s="1190"/>
      <c r="X57" s="1191"/>
      <c r="Y57" s="1190"/>
      <c r="Z57" s="1190"/>
      <c r="AA57" s="1190"/>
      <c r="AB57" s="1190"/>
      <c r="AC57" s="1192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1" t="s">
        <v>691</v>
      </c>
      <c r="S58" s="1202">
        <v>3331571106</v>
      </c>
      <c r="T58" s="1202" t="s">
        <v>34</v>
      </c>
      <c r="U58" s="1202">
        <v>24142937</v>
      </c>
      <c r="V58" s="1202" t="s">
        <v>366</v>
      </c>
      <c r="W58" s="1202" t="s">
        <v>199</v>
      </c>
      <c r="X58" s="1203">
        <v>25331.456999999999</v>
      </c>
      <c r="Y58" s="1202" t="s">
        <v>200</v>
      </c>
      <c r="Z58" s="1202">
        <v>1</v>
      </c>
      <c r="AA58" s="1202">
        <v>1</v>
      </c>
      <c r="AB58" s="1202" t="s">
        <v>204</v>
      </c>
      <c r="AC58" s="1192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691</v>
      </c>
      <c r="S59" s="1202">
        <v>3331571107</v>
      </c>
      <c r="T59" s="1202" t="s">
        <v>287</v>
      </c>
      <c r="U59" s="1202">
        <v>24142938</v>
      </c>
      <c r="V59" s="1202" t="s">
        <v>366</v>
      </c>
      <c r="W59" s="1202" t="s">
        <v>199</v>
      </c>
      <c r="X59" s="1203">
        <f>15095.183+10955.153</f>
        <v>26050.336000000003</v>
      </c>
      <c r="Y59" s="1202" t="s">
        <v>200</v>
      </c>
      <c r="Z59" s="1202">
        <v>1</v>
      </c>
      <c r="AA59" s="1202">
        <v>1</v>
      </c>
      <c r="AB59" s="1202" t="s">
        <v>204</v>
      </c>
      <c r="AC59" s="1192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691</v>
      </c>
      <c r="S60" s="1202">
        <v>3331571108</v>
      </c>
      <c r="T60" s="1203" t="s">
        <v>256</v>
      </c>
      <c r="U60" s="1203" t="s">
        <v>256</v>
      </c>
      <c r="V60" s="1203" t="s">
        <v>256</v>
      </c>
      <c r="W60" s="1203" t="s">
        <v>256</v>
      </c>
      <c r="X60" s="1203" t="s">
        <v>256</v>
      </c>
      <c r="Y60" s="1203" t="s">
        <v>256</v>
      </c>
      <c r="Z60" s="1203" t="s">
        <v>256</v>
      </c>
      <c r="AA60" s="1203" t="s">
        <v>256</v>
      </c>
      <c r="AB60" s="1203" t="s">
        <v>256</v>
      </c>
      <c r="AC60" s="1192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691</v>
      </c>
      <c r="S61" s="1202">
        <v>3331571125</v>
      </c>
      <c r="T61" s="1202" t="s">
        <v>462</v>
      </c>
      <c r="U61" s="1202">
        <v>24142947</v>
      </c>
      <c r="V61" s="1202" t="s">
        <v>572</v>
      </c>
      <c r="W61" s="1202" t="s">
        <v>199</v>
      </c>
      <c r="X61" s="1203">
        <v>25784.04</v>
      </c>
      <c r="Y61" s="1202" t="s">
        <v>200</v>
      </c>
      <c r="Z61" s="1202">
        <v>1</v>
      </c>
      <c r="AA61" s="1202">
        <v>1</v>
      </c>
      <c r="AB61" s="1202" t="s">
        <v>204</v>
      </c>
      <c r="AC61" s="1192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691</v>
      </c>
      <c r="S62" s="1202">
        <v>3331571126</v>
      </c>
      <c r="T62" s="1202" t="s">
        <v>27</v>
      </c>
      <c r="U62" s="1202">
        <v>24142948</v>
      </c>
      <c r="V62" s="1202" t="s">
        <v>572</v>
      </c>
      <c r="W62" s="1202" t="s">
        <v>199</v>
      </c>
      <c r="X62" s="1203">
        <v>25504.195</v>
      </c>
      <c r="Y62" s="1202" t="s">
        <v>200</v>
      </c>
      <c r="Z62" s="1202">
        <v>1</v>
      </c>
      <c r="AA62" s="1202">
        <v>1</v>
      </c>
      <c r="AB62" s="1202" t="s">
        <v>204</v>
      </c>
      <c r="AC62" s="1192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691</v>
      </c>
      <c r="S63" s="1202">
        <v>3331571128</v>
      </c>
      <c r="T63" s="1202" t="s">
        <v>27</v>
      </c>
      <c r="U63" s="1202">
        <v>24142949</v>
      </c>
      <c r="V63" s="1202" t="s">
        <v>572</v>
      </c>
      <c r="W63" s="1202" t="s">
        <v>199</v>
      </c>
      <c r="X63" s="1203">
        <v>26976.523000000001</v>
      </c>
      <c r="Y63" s="1202" t="s">
        <v>200</v>
      </c>
      <c r="Z63" s="1202">
        <v>1</v>
      </c>
      <c r="AA63" s="1202">
        <v>1</v>
      </c>
      <c r="AB63" s="1202" t="s">
        <v>204</v>
      </c>
      <c r="AC63" s="1192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691</v>
      </c>
      <c r="S64" s="1202">
        <v>3331571131</v>
      </c>
      <c r="T64" s="1202" t="s">
        <v>27</v>
      </c>
      <c r="U64" s="1202">
        <v>24142958</v>
      </c>
      <c r="V64" s="1202" t="s">
        <v>572</v>
      </c>
      <c r="W64" s="1202" t="s">
        <v>199</v>
      </c>
      <c r="X64" s="1203">
        <f>11543.85+6105.441+8162.485</f>
        <v>25811.776000000002</v>
      </c>
      <c r="Y64" s="1202" t="s">
        <v>200</v>
      </c>
      <c r="Z64" s="1202">
        <v>1</v>
      </c>
      <c r="AA64" s="1202">
        <v>1</v>
      </c>
      <c r="AB64" s="1202" t="s">
        <v>204</v>
      </c>
      <c r="AC64" s="1192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691</v>
      </c>
      <c r="S65" s="1202">
        <v>3331571132</v>
      </c>
      <c r="T65" s="1203" t="s">
        <v>256</v>
      </c>
      <c r="U65" s="1203" t="s">
        <v>256</v>
      </c>
      <c r="V65" s="1203" t="s">
        <v>256</v>
      </c>
      <c r="W65" s="1203" t="s">
        <v>256</v>
      </c>
      <c r="X65" s="1203" t="s">
        <v>256</v>
      </c>
      <c r="Y65" s="1203" t="s">
        <v>256</v>
      </c>
      <c r="Z65" s="1203" t="s">
        <v>256</v>
      </c>
      <c r="AA65" s="1203" t="s">
        <v>256</v>
      </c>
      <c r="AB65" s="1203" t="s">
        <v>256</v>
      </c>
      <c r="AC65" s="1192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691</v>
      </c>
      <c r="S66" s="1202">
        <v>3331571138</v>
      </c>
      <c r="T66" s="1203" t="s">
        <v>256</v>
      </c>
      <c r="U66" s="1203" t="s">
        <v>256</v>
      </c>
      <c r="V66" s="1203" t="s">
        <v>256</v>
      </c>
      <c r="W66" s="1203" t="s">
        <v>256</v>
      </c>
      <c r="X66" s="1203" t="s">
        <v>256</v>
      </c>
      <c r="Y66" s="1203" t="s">
        <v>256</v>
      </c>
      <c r="Z66" s="1203" t="s">
        <v>256</v>
      </c>
      <c r="AA66" s="1203" t="s">
        <v>256</v>
      </c>
      <c r="AB66" s="1203" t="s">
        <v>256</v>
      </c>
      <c r="AC66" s="1192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691</v>
      </c>
      <c r="S67" s="1202">
        <v>3331571193</v>
      </c>
      <c r="T67" s="1203" t="s">
        <v>462</v>
      </c>
      <c r="U67" s="1202">
        <v>24142978</v>
      </c>
      <c r="V67" s="1203" t="s">
        <v>243</v>
      </c>
      <c r="W67" s="1203" t="s">
        <v>199</v>
      </c>
      <c r="X67" s="1203">
        <v>23413.364000000001</v>
      </c>
      <c r="Y67" s="1202" t="s">
        <v>200</v>
      </c>
      <c r="Z67" s="1202">
        <v>1</v>
      </c>
      <c r="AA67" s="1202">
        <v>1</v>
      </c>
      <c r="AB67" s="1202" t="s">
        <v>204</v>
      </c>
      <c r="AC67" s="1192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691</v>
      </c>
      <c r="S68" s="1202">
        <v>3331571195</v>
      </c>
      <c r="T68" s="1203" t="s">
        <v>11</v>
      </c>
      <c r="U68" s="1202">
        <v>24142979</v>
      </c>
      <c r="V68" s="1203" t="s">
        <v>243</v>
      </c>
      <c r="W68" s="1203" t="s">
        <v>706</v>
      </c>
      <c r="X68" s="1203">
        <v>23790.240000000002</v>
      </c>
      <c r="Y68" s="1202" t="s">
        <v>200</v>
      </c>
      <c r="Z68" s="1202">
        <v>1</v>
      </c>
      <c r="AA68" s="1202">
        <v>1</v>
      </c>
      <c r="AB68" s="1202" t="s">
        <v>204</v>
      </c>
      <c r="AC68" s="1192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691</v>
      </c>
      <c r="S69" s="1202">
        <v>3331571198</v>
      </c>
      <c r="T69" s="1203" t="s">
        <v>287</v>
      </c>
      <c r="U69" s="1202">
        <v>24142983</v>
      </c>
      <c r="V69" s="1203" t="s">
        <v>243</v>
      </c>
      <c r="W69" s="1203" t="s">
        <v>199</v>
      </c>
      <c r="X69" s="1203">
        <f>14179.927+9506.7</f>
        <v>23686.627</v>
      </c>
      <c r="Y69" s="1202" t="s">
        <v>200</v>
      </c>
      <c r="Z69" s="1202">
        <v>1</v>
      </c>
      <c r="AA69" s="1202">
        <v>1</v>
      </c>
      <c r="AB69" s="1202" t="s">
        <v>204</v>
      </c>
      <c r="AC69" s="1192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691</v>
      </c>
      <c r="S70" s="1202">
        <v>3331571203</v>
      </c>
      <c r="T70" s="1203" t="s">
        <v>256</v>
      </c>
      <c r="U70" s="1203" t="s">
        <v>256</v>
      </c>
      <c r="V70" s="1203" t="s">
        <v>256</v>
      </c>
      <c r="W70" s="1203" t="s">
        <v>256</v>
      </c>
      <c r="X70" s="1203" t="s">
        <v>256</v>
      </c>
      <c r="Y70" s="1203" t="s">
        <v>256</v>
      </c>
      <c r="Z70" s="1203" t="s">
        <v>256</v>
      </c>
      <c r="AA70" s="1203" t="s">
        <v>256</v>
      </c>
      <c r="AB70" s="1203" t="s">
        <v>256</v>
      </c>
      <c r="AC70" s="1192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691</v>
      </c>
      <c r="S71" s="1202">
        <v>3331571205</v>
      </c>
      <c r="T71" s="1203" t="s">
        <v>287</v>
      </c>
      <c r="U71" s="1202">
        <v>24142984</v>
      </c>
      <c r="V71" s="1203" t="s">
        <v>243</v>
      </c>
      <c r="W71" s="1203" t="s">
        <v>199</v>
      </c>
      <c r="X71" s="1203">
        <v>21429.690999999999</v>
      </c>
      <c r="Y71" s="1202" t="s">
        <v>200</v>
      </c>
      <c r="Z71" s="1202">
        <v>1</v>
      </c>
      <c r="AA71" s="1202">
        <v>1</v>
      </c>
      <c r="AB71" s="1202" t="s">
        <v>204</v>
      </c>
      <c r="AC71" s="1192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691</v>
      </c>
      <c r="S72" s="1202">
        <v>3331571111</v>
      </c>
      <c r="T72" s="1203" t="s">
        <v>11</v>
      </c>
      <c r="U72" s="1202">
        <v>24142939</v>
      </c>
      <c r="V72" s="1202" t="s">
        <v>366</v>
      </c>
      <c r="W72" s="1202" t="s">
        <v>340</v>
      </c>
      <c r="X72" s="1203">
        <v>26147.952000000001</v>
      </c>
      <c r="Y72" s="1202" t="s">
        <v>200</v>
      </c>
      <c r="Z72" s="1202">
        <v>1</v>
      </c>
      <c r="AA72" s="1202">
        <v>1</v>
      </c>
      <c r="AB72" s="1202" t="s">
        <v>204</v>
      </c>
      <c r="AC72" s="1192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691</v>
      </c>
      <c r="S73" s="1202">
        <v>3331571114</v>
      </c>
      <c r="T73" s="1202" t="s">
        <v>34</v>
      </c>
      <c r="U73" s="1202">
        <v>24142940</v>
      </c>
      <c r="V73" s="1202" t="s">
        <v>366</v>
      </c>
      <c r="W73" s="1202" t="s">
        <v>340</v>
      </c>
      <c r="X73" s="1203">
        <v>26716.717000000001</v>
      </c>
      <c r="Y73" s="1202" t="s">
        <v>200</v>
      </c>
      <c r="Z73" s="1202">
        <v>1</v>
      </c>
      <c r="AA73" s="1202">
        <v>1</v>
      </c>
      <c r="AB73" s="1202" t="s">
        <v>204</v>
      </c>
      <c r="AC73" s="1192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696</v>
      </c>
      <c r="S74" s="1202">
        <v>3331571288</v>
      </c>
      <c r="T74" s="1202" t="s">
        <v>34</v>
      </c>
      <c r="U74" s="1202">
        <v>24143003</v>
      </c>
      <c r="V74" s="1203" t="s">
        <v>243</v>
      </c>
      <c r="W74" s="1203" t="s">
        <v>199</v>
      </c>
      <c r="X74" s="1203">
        <f>20681.021+6971.58</f>
        <v>27652.601000000002</v>
      </c>
      <c r="Y74" s="1202" t="s">
        <v>200</v>
      </c>
      <c r="Z74" s="1202">
        <v>1</v>
      </c>
      <c r="AA74" s="1202">
        <v>1</v>
      </c>
      <c r="AB74" s="1202" t="s">
        <v>204</v>
      </c>
      <c r="AC74" s="1192" t="s">
        <v>422</v>
      </c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691</v>
      </c>
      <c r="S75" s="105">
        <v>3331571289</v>
      </c>
      <c r="T75" s="1203" t="s">
        <v>256</v>
      </c>
      <c r="U75" s="1203" t="s">
        <v>256</v>
      </c>
      <c r="V75" s="1203" t="s">
        <v>256</v>
      </c>
      <c r="W75" s="1203" t="s">
        <v>256</v>
      </c>
      <c r="X75" s="209" t="s">
        <v>256</v>
      </c>
      <c r="Y75" s="1203" t="s">
        <v>256</v>
      </c>
      <c r="Z75" s="1203" t="s">
        <v>256</v>
      </c>
      <c r="AA75" s="1203" t="s">
        <v>256</v>
      </c>
      <c r="AB75" s="1203" t="s">
        <v>256</v>
      </c>
      <c r="AC75" s="1192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691</v>
      </c>
      <c r="S76" s="105">
        <v>3331571290</v>
      </c>
      <c r="T76" s="1203" t="s">
        <v>287</v>
      </c>
      <c r="U76" s="1202">
        <v>24143004</v>
      </c>
      <c r="V76" s="1202" t="s">
        <v>676</v>
      </c>
      <c r="W76" s="1203" t="s">
        <v>199</v>
      </c>
      <c r="X76" s="209">
        <v>25812.63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422</v>
      </c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74" t="s">
        <v>691</v>
      </c>
      <c r="S77" s="105">
        <v>3331571293</v>
      </c>
      <c r="T77" s="1203" t="s">
        <v>11</v>
      </c>
      <c r="U77" s="1202">
        <v>24143005</v>
      </c>
      <c r="V77" s="1202" t="s">
        <v>676</v>
      </c>
      <c r="W77" s="1203" t="s">
        <v>199</v>
      </c>
      <c r="X77" s="209">
        <v>23163.300999999999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422</v>
      </c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74" t="s">
        <v>691</v>
      </c>
      <c r="S78" s="105">
        <v>3331571296</v>
      </c>
      <c r="T78" s="1202" t="s">
        <v>34</v>
      </c>
      <c r="U78" s="1202">
        <v>24143007</v>
      </c>
      <c r="V78" s="1077" t="s">
        <v>675</v>
      </c>
      <c r="W78" s="1203" t="s">
        <v>199</v>
      </c>
      <c r="X78" s="209">
        <v>25641.951000000001</v>
      </c>
      <c r="Y78" s="1202" t="s">
        <v>200</v>
      </c>
      <c r="Z78" s="1202">
        <v>1</v>
      </c>
      <c r="AA78" s="1202">
        <v>1</v>
      </c>
      <c r="AB78" s="1202" t="s">
        <v>204</v>
      </c>
      <c r="AC78" s="1192" t="s">
        <v>422</v>
      </c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691</v>
      </c>
      <c r="S79" s="105">
        <v>3331571297</v>
      </c>
      <c r="T79" s="1203" t="s">
        <v>11</v>
      </c>
      <c r="U79" s="1202">
        <v>24143012</v>
      </c>
      <c r="V79" s="1077" t="s">
        <v>675</v>
      </c>
      <c r="W79" s="1203" t="s">
        <v>199</v>
      </c>
      <c r="X79" s="209">
        <f>14673.768+10701.435</f>
        <v>25375.203000000001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 t="s">
        <v>422</v>
      </c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74" t="s">
        <v>691</v>
      </c>
      <c r="S80" s="105">
        <v>3331571298</v>
      </c>
      <c r="T80" s="1203" t="s">
        <v>256</v>
      </c>
      <c r="U80" s="1203" t="s">
        <v>256</v>
      </c>
      <c r="V80" s="1203" t="s">
        <v>256</v>
      </c>
      <c r="W80" s="1203" t="s">
        <v>256</v>
      </c>
      <c r="X80" s="1203" t="s">
        <v>256</v>
      </c>
      <c r="Y80" s="1203" t="s">
        <v>256</v>
      </c>
      <c r="Z80" s="1203" t="s">
        <v>256</v>
      </c>
      <c r="AA80" s="1203" t="s">
        <v>256</v>
      </c>
      <c r="AB80" s="1203" t="s">
        <v>256</v>
      </c>
      <c r="AC80" s="1192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174" t="s">
        <v>691</v>
      </c>
      <c r="S81" s="105">
        <v>3331571310</v>
      </c>
      <c r="T81" s="1202" t="s">
        <v>34</v>
      </c>
      <c r="U81" s="1202">
        <v>24143016</v>
      </c>
      <c r="V81" s="1202" t="s">
        <v>676</v>
      </c>
      <c r="W81" s="1203" t="s">
        <v>199</v>
      </c>
      <c r="X81" s="1203">
        <v>23382.54</v>
      </c>
      <c r="Y81" s="1202" t="s">
        <v>200</v>
      </c>
      <c r="Z81" s="1202">
        <v>1</v>
      </c>
      <c r="AA81" s="1202">
        <v>1</v>
      </c>
      <c r="AB81" s="1202" t="s">
        <v>204</v>
      </c>
      <c r="AC81" s="1192" t="s">
        <v>422</v>
      </c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89" t="s">
        <v>696</v>
      </c>
      <c r="S82" s="1190">
        <v>3331571127</v>
      </c>
      <c r="T82" s="1217" t="s">
        <v>462</v>
      </c>
      <c r="U82" s="1190">
        <v>24142950</v>
      </c>
      <c r="V82" s="1190" t="s">
        <v>150</v>
      </c>
      <c r="W82" s="1190" t="s">
        <v>340</v>
      </c>
      <c r="X82" s="1191">
        <v>25115.795999999998</v>
      </c>
      <c r="Y82" s="1190" t="s">
        <v>200</v>
      </c>
      <c r="Z82" s="1190">
        <v>1</v>
      </c>
      <c r="AA82" s="1190">
        <v>1</v>
      </c>
      <c r="AB82" s="1190" t="s">
        <v>207</v>
      </c>
      <c r="AC82" s="1192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696</v>
      </c>
      <c r="S83" s="1202">
        <v>3331571133</v>
      </c>
      <c r="T83" s="1209" t="s">
        <v>287</v>
      </c>
      <c r="U83" s="1202">
        <v>24142996</v>
      </c>
      <c r="V83" s="1202" t="s">
        <v>150</v>
      </c>
      <c r="W83" s="1202" t="s">
        <v>340</v>
      </c>
      <c r="X83" s="1203">
        <v>25115.795999999998</v>
      </c>
      <c r="Y83" s="1202" t="s">
        <v>200</v>
      </c>
      <c r="Z83" s="1202">
        <v>1</v>
      </c>
      <c r="AA83" s="1202">
        <v>1</v>
      </c>
      <c r="AB83" s="1202" t="s">
        <v>204</v>
      </c>
      <c r="AC83" s="1192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696</v>
      </c>
      <c r="S84" s="1202">
        <v>3331571134</v>
      </c>
      <c r="T84" s="1209" t="s">
        <v>287</v>
      </c>
      <c r="U84" s="1202">
        <v>24142997</v>
      </c>
      <c r="V84" s="1202" t="s">
        <v>150</v>
      </c>
      <c r="W84" s="1202" t="s">
        <v>340</v>
      </c>
      <c r="X84" s="1203">
        <v>26320.984</v>
      </c>
      <c r="Y84" s="1202" t="s">
        <v>200</v>
      </c>
      <c r="Z84" s="1202">
        <v>1</v>
      </c>
      <c r="AA84" s="1202">
        <v>1</v>
      </c>
      <c r="AB84" s="1202" t="s">
        <v>204</v>
      </c>
      <c r="AC84" s="1192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696</v>
      </c>
      <c r="S85" s="1202">
        <v>3331571136</v>
      </c>
      <c r="T85" s="1209" t="s">
        <v>287</v>
      </c>
      <c r="U85" s="1202">
        <v>24143000</v>
      </c>
      <c r="V85" s="1202" t="s">
        <v>150</v>
      </c>
      <c r="W85" s="1202" t="s">
        <v>340</v>
      </c>
      <c r="X85" s="1203">
        <f>15198.651+9719.972</f>
        <v>24918.623</v>
      </c>
      <c r="Y85" s="1202" t="s">
        <v>200</v>
      </c>
      <c r="Z85" s="1202">
        <v>1</v>
      </c>
      <c r="AA85" s="1202">
        <v>1</v>
      </c>
      <c r="AB85" s="1202" t="s">
        <v>204</v>
      </c>
      <c r="AC85" s="1192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696</v>
      </c>
      <c r="S86" s="1202">
        <v>3331571283</v>
      </c>
      <c r="T86" s="1203" t="s">
        <v>256</v>
      </c>
      <c r="U86" s="1203" t="s">
        <v>256</v>
      </c>
      <c r="V86" s="1203" t="s">
        <v>256</v>
      </c>
      <c r="W86" s="1203" t="s">
        <v>256</v>
      </c>
      <c r="X86" s="1203" t="s">
        <v>256</v>
      </c>
      <c r="Y86" s="1203" t="s">
        <v>256</v>
      </c>
      <c r="Z86" s="1203" t="s">
        <v>256</v>
      </c>
      <c r="AA86" s="1203" t="s">
        <v>256</v>
      </c>
      <c r="AB86" s="1203" t="s">
        <v>256</v>
      </c>
      <c r="AC86" s="1192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696</v>
      </c>
      <c r="S87" s="1202">
        <v>3331571141</v>
      </c>
      <c r="T87" s="1209" t="s">
        <v>287</v>
      </c>
      <c r="U87" s="1202">
        <v>24142963</v>
      </c>
      <c r="V87" s="1202" t="s">
        <v>150</v>
      </c>
      <c r="W87" s="1202" t="s">
        <v>340</v>
      </c>
      <c r="X87" s="1203">
        <f>2064.312+22708.438</f>
        <v>24772.75</v>
      </c>
      <c r="Y87" s="1202" t="s">
        <v>200</v>
      </c>
      <c r="Z87" s="1202">
        <v>1</v>
      </c>
      <c r="AA87" s="1202">
        <v>1</v>
      </c>
      <c r="AB87" s="1202" t="s">
        <v>204</v>
      </c>
      <c r="AC87" s="1192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696</v>
      </c>
      <c r="S88" s="1202">
        <v>3331571142</v>
      </c>
      <c r="T88" s="1203" t="s">
        <v>256</v>
      </c>
      <c r="U88" s="1203" t="s">
        <v>256</v>
      </c>
      <c r="V88" s="1203" t="s">
        <v>256</v>
      </c>
      <c r="W88" s="1203" t="s">
        <v>256</v>
      </c>
      <c r="X88" s="1203" t="s">
        <v>256</v>
      </c>
      <c r="Y88" s="1203" t="s">
        <v>256</v>
      </c>
      <c r="Z88" s="1203" t="s">
        <v>256</v>
      </c>
      <c r="AA88" s="1203" t="s">
        <v>256</v>
      </c>
      <c r="AB88" s="1203" t="s">
        <v>256</v>
      </c>
      <c r="AC88" s="1192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696</v>
      </c>
      <c r="S89" s="1202">
        <v>3331571145</v>
      </c>
      <c r="T89" s="1209" t="s">
        <v>34</v>
      </c>
      <c r="U89" s="1202">
        <v>24142964</v>
      </c>
      <c r="V89" s="1202" t="s">
        <v>150</v>
      </c>
      <c r="W89" s="1202" t="s">
        <v>340</v>
      </c>
      <c r="X89" s="1203">
        <v>24898.075000000001</v>
      </c>
      <c r="Y89" s="1202" t="s">
        <v>200</v>
      </c>
      <c r="Z89" s="1202">
        <v>1</v>
      </c>
      <c r="AA89" s="1202">
        <v>1</v>
      </c>
      <c r="AB89" s="1202" t="s">
        <v>204</v>
      </c>
      <c r="AC89" s="1192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696</v>
      </c>
      <c r="S90" s="1202">
        <v>3331571202</v>
      </c>
      <c r="T90" s="1209" t="s">
        <v>34</v>
      </c>
      <c r="U90" s="1202">
        <v>24142981</v>
      </c>
      <c r="V90" s="1202" t="s">
        <v>150</v>
      </c>
      <c r="W90" s="1202" t="s">
        <v>340</v>
      </c>
      <c r="X90" s="1203">
        <v>24768.171999999999</v>
      </c>
      <c r="Y90" s="1202" t="s">
        <v>200</v>
      </c>
      <c r="Z90" s="1202">
        <v>1</v>
      </c>
      <c r="AA90" s="1202">
        <v>1</v>
      </c>
      <c r="AB90" s="1202" t="s">
        <v>204</v>
      </c>
      <c r="AC90" s="1192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696</v>
      </c>
      <c r="S91" s="1202">
        <v>3331571208</v>
      </c>
      <c r="T91" s="1209" t="s">
        <v>34</v>
      </c>
      <c r="U91" s="1202">
        <v>24142985</v>
      </c>
      <c r="V91" s="1202" t="s">
        <v>150</v>
      </c>
      <c r="W91" s="1202" t="s">
        <v>340</v>
      </c>
      <c r="X91" s="1203">
        <v>25807.396000000001</v>
      </c>
      <c r="Y91" s="1202" t="s">
        <v>200</v>
      </c>
      <c r="Z91" s="1202">
        <v>1</v>
      </c>
      <c r="AA91" s="1202">
        <v>1</v>
      </c>
      <c r="AB91" s="1202" t="s">
        <v>204</v>
      </c>
      <c r="AC91" s="1192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696</v>
      </c>
      <c r="S92" s="1202">
        <v>3331571215</v>
      </c>
      <c r="T92" s="1209" t="s">
        <v>34</v>
      </c>
      <c r="U92" s="1202">
        <v>24142986</v>
      </c>
      <c r="V92" s="1202" t="s">
        <v>150</v>
      </c>
      <c r="W92" s="1202" t="s">
        <v>340</v>
      </c>
      <c r="X92" s="1203">
        <v>25374.385999999999</v>
      </c>
      <c r="Y92" s="1202" t="s">
        <v>200</v>
      </c>
      <c r="Z92" s="1202">
        <v>1</v>
      </c>
      <c r="AA92" s="1202">
        <v>1</v>
      </c>
      <c r="AB92" s="1202" t="s">
        <v>204</v>
      </c>
      <c r="AC92" s="1192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696</v>
      </c>
      <c r="S93" s="1202">
        <v>3331571222</v>
      </c>
      <c r="T93" s="1209" t="s">
        <v>11</v>
      </c>
      <c r="U93" s="1202">
        <v>24142989</v>
      </c>
      <c r="V93" s="1202" t="s">
        <v>150</v>
      </c>
      <c r="W93" s="1202" t="s">
        <v>340</v>
      </c>
      <c r="X93" s="1203">
        <v>25374.385999999999</v>
      </c>
      <c r="Y93" s="1202" t="s">
        <v>200</v>
      </c>
      <c r="Z93" s="1202">
        <v>1</v>
      </c>
      <c r="AA93" s="1202">
        <v>1</v>
      </c>
      <c r="AB93" s="1202" t="s">
        <v>204</v>
      </c>
      <c r="AC93" s="1192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696</v>
      </c>
      <c r="S94" s="1202">
        <v>3331571227</v>
      </c>
      <c r="T94" s="1209" t="s">
        <v>11</v>
      </c>
      <c r="U94" s="1202">
        <v>24142999</v>
      </c>
      <c r="V94" s="1202" t="s">
        <v>150</v>
      </c>
      <c r="W94" s="1202" t="s">
        <v>340</v>
      </c>
      <c r="X94" s="1203">
        <v>25201.182000000001</v>
      </c>
      <c r="Y94" s="1202" t="s">
        <v>200</v>
      </c>
      <c r="Z94" s="1202">
        <v>1</v>
      </c>
      <c r="AA94" s="1202">
        <v>1</v>
      </c>
      <c r="AB94" s="1202" t="s">
        <v>204</v>
      </c>
      <c r="AC94" s="1192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189" t="s">
        <v>696</v>
      </c>
      <c r="S95" s="1190">
        <v>3331571228</v>
      </c>
      <c r="T95" s="1217" t="s">
        <v>11</v>
      </c>
      <c r="U95" s="1190">
        <v>24142992</v>
      </c>
      <c r="V95" s="1190" t="s">
        <v>150</v>
      </c>
      <c r="W95" s="1190" t="s">
        <v>340</v>
      </c>
      <c r="X95" s="1191">
        <v>24335.162</v>
      </c>
      <c r="Y95" s="1190" t="s">
        <v>200</v>
      </c>
      <c r="Z95" s="1190">
        <v>1</v>
      </c>
      <c r="AA95" s="1190">
        <v>1</v>
      </c>
      <c r="AB95" s="1190" t="s">
        <v>207</v>
      </c>
      <c r="AC95" s="1192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077" t="s">
        <v>704</v>
      </c>
      <c r="S96" s="1202">
        <v>3331571526</v>
      </c>
      <c r="T96" s="1202" t="s">
        <v>608</v>
      </c>
      <c r="U96" s="1202">
        <v>24143028</v>
      </c>
      <c r="V96" s="1202" t="s">
        <v>707</v>
      </c>
      <c r="W96" s="1202" t="s">
        <v>362</v>
      </c>
      <c r="X96" s="1203">
        <v>25738.51</v>
      </c>
      <c r="Y96" s="1202" t="s">
        <v>200</v>
      </c>
      <c r="Z96" s="1202">
        <v>1</v>
      </c>
      <c r="AA96" s="1202">
        <v>1</v>
      </c>
      <c r="AB96" s="1202" t="s">
        <v>204</v>
      </c>
      <c r="AC96" s="1192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704</v>
      </c>
      <c r="S97" s="1202">
        <v>3331571529</v>
      </c>
      <c r="T97" s="1202" t="s">
        <v>698</v>
      </c>
      <c r="U97" s="1202">
        <v>24143030</v>
      </c>
      <c r="V97" s="1202" t="s">
        <v>708</v>
      </c>
      <c r="W97" s="1202" t="s">
        <v>362</v>
      </c>
      <c r="X97" s="1203">
        <v>23954</v>
      </c>
      <c r="Y97" s="1202" t="s">
        <v>200</v>
      </c>
      <c r="Z97" s="1202">
        <v>1</v>
      </c>
      <c r="AA97" s="1202">
        <v>1</v>
      </c>
      <c r="AB97" s="1202" t="s">
        <v>204</v>
      </c>
      <c r="AC97" s="1192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704</v>
      </c>
      <c r="S98" s="1467">
        <v>3331571525</v>
      </c>
      <c r="T98" s="1229" t="s">
        <v>256</v>
      </c>
      <c r="U98" s="1229" t="s">
        <v>256</v>
      </c>
      <c r="V98" s="1229" t="s">
        <v>256</v>
      </c>
      <c r="W98" s="1229" t="s">
        <v>256</v>
      </c>
      <c r="X98" s="1229" t="s">
        <v>256</v>
      </c>
      <c r="Y98" s="1229" t="s">
        <v>256</v>
      </c>
      <c r="Z98" s="1202" t="s">
        <v>256</v>
      </c>
      <c r="AA98" s="1202" t="s">
        <v>256</v>
      </c>
      <c r="AB98" s="1202" t="s">
        <v>256</v>
      </c>
      <c r="AC98" s="1192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704</v>
      </c>
      <c r="S99" s="1202">
        <v>3331570923</v>
      </c>
      <c r="T99" s="1202" t="s">
        <v>287</v>
      </c>
      <c r="U99" s="1202">
        <v>24143023</v>
      </c>
      <c r="V99" s="1202" t="s">
        <v>709</v>
      </c>
      <c r="W99" s="1202" t="s">
        <v>199</v>
      </c>
      <c r="X99" s="1203">
        <v>24866</v>
      </c>
      <c r="Y99" s="1202" t="s">
        <v>200</v>
      </c>
      <c r="Z99" s="1202">
        <v>1</v>
      </c>
      <c r="AA99" s="1202">
        <v>1</v>
      </c>
      <c r="AB99" s="1202" t="s">
        <v>204</v>
      </c>
      <c r="AC99" s="1192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704</v>
      </c>
      <c r="S100" s="1202">
        <v>3331571536</v>
      </c>
      <c r="T100" s="1202" t="s">
        <v>256</v>
      </c>
      <c r="U100" s="1202" t="s">
        <v>256</v>
      </c>
      <c r="V100" s="1202" t="s">
        <v>256</v>
      </c>
      <c r="W100" s="1202" t="s">
        <v>256</v>
      </c>
      <c r="X100" s="1077" t="s">
        <v>256</v>
      </c>
      <c r="Y100" s="1077" t="s">
        <v>256</v>
      </c>
      <c r="Z100" s="1202" t="s">
        <v>256</v>
      </c>
      <c r="AA100" s="1202" t="s">
        <v>256</v>
      </c>
      <c r="AB100" s="1202" t="s">
        <v>256</v>
      </c>
      <c r="AC100" s="1192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704</v>
      </c>
      <c r="S101" s="1202">
        <v>3331571537</v>
      </c>
      <c r="T101" s="1202" t="s">
        <v>256</v>
      </c>
      <c r="U101" s="1202" t="s">
        <v>256</v>
      </c>
      <c r="V101" s="1202" t="s">
        <v>256</v>
      </c>
      <c r="W101" s="1202" t="s">
        <v>256</v>
      </c>
      <c r="X101" s="1077" t="s">
        <v>256</v>
      </c>
      <c r="Y101" s="1077" t="s">
        <v>256</v>
      </c>
      <c r="Z101" s="1202" t="s">
        <v>256</v>
      </c>
      <c r="AA101" s="1202" t="s">
        <v>256</v>
      </c>
      <c r="AB101" s="1202" t="s">
        <v>256</v>
      </c>
      <c r="AC101" s="1192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704</v>
      </c>
      <c r="S102" s="1202">
        <v>3331571539</v>
      </c>
      <c r="T102" s="1202" t="s">
        <v>34</v>
      </c>
      <c r="U102" s="1202">
        <v>24143027</v>
      </c>
      <c r="V102" s="1202" t="s">
        <v>710</v>
      </c>
      <c r="W102" s="1202" t="s">
        <v>199</v>
      </c>
      <c r="X102" s="1203">
        <v>25524.735000000001</v>
      </c>
      <c r="Y102" s="1202" t="s">
        <v>200</v>
      </c>
      <c r="Z102" s="1202">
        <v>1</v>
      </c>
      <c r="AA102" s="1202">
        <v>1</v>
      </c>
      <c r="AB102" s="1202" t="s">
        <v>204</v>
      </c>
      <c r="AC102" s="1192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704</v>
      </c>
      <c r="S103" s="1202">
        <v>3331571540</v>
      </c>
      <c r="T103" s="1202" t="s">
        <v>462</v>
      </c>
      <c r="U103" s="1202">
        <v>24143024</v>
      </c>
      <c r="V103" s="1202" t="s">
        <v>709</v>
      </c>
      <c r="W103" s="1202" t="s">
        <v>711</v>
      </c>
      <c r="X103" s="1203">
        <v>27808</v>
      </c>
      <c r="Y103" s="1202" t="s">
        <v>200</v>
      </c>
      <c r="Z103" s="1202">
        <v>1</v>
      </c>
      <c r="AA103" s="1202">
        <v>1</v>
      </c>
      <c r="AB103" s="1202" t="s">
        <v>204</v>
      </c>
      <c r="AC103" s="1192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704</v>
      </c>
      <c r="S104" s="1202">
        <v>3331571541</v>
      </c>
      <c r="T104" s="1202" t="s">
        <v>256</v>
      </c>
      <c r="U104" s="1202" t="s">
        <v>256</v>
      </c>
      <c r="V104" s="1202" t="s">
        <v>256</v>
      </c>
      <c r="W104" s="1202" t="s">
        <v>256</v>
      </c>
      <c r="X104" s="1202" t="s">
        <v>256</v>
      </c>
      <c r="Y104" s="1077" t="s">
        <v>256</v>
      </c>
      <c r="Z104" s="1202" t="s">
        <v>256</v>
      </c>
      <c r="AA104" s="1202" t="s">
        <v>256</v>
      </c>
      <c r="AB104" s="1202" t="s">
        <v>256</v>
      </c>
      <c r="AC104" s="1192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704</v>
      </c>
      <c r="S105" s="1202">
        <v>3331571542</v>
      </c>
      <c r="T105" s="1202" t="s">
        <v>256</v>
      </c>
      <c r="U105" s="1202" t="s">
        <v>256</v>
      </c>
      <c r="V105" s="1202" t="s">
        <v>256</v>
      </c>
      <c r="W105" s="1202" t="s">
        <v>256</v>
      </c>
      <c r="X105" s="1202" t="s">
        <v>256</v>
      </c>
      <c r="Y105" s="1077" t="s">
        <v>256</v>
      </c>
      <c r="Z105" s="1202" t="s">
        <v>256</v>
      </c>
      <c r="AA105" s="1202" t="s">
        <v>256</v>
      </c>
      <c r="AB105" s="1202" t="s">
        <v>256</v>
      </c>
      <c r="AC105" s="1192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704</v>
      </c>
      <c r="S106" s="1202">
        <v>3331571505</v>
      </c>
      <c r="T106" s="1202" t="s">
        <v>424</v>
      </c>
      <c r="U106" s="1202">
        <v>24143019</v>
      </c>
      <c r="V106" s="1202" t="s">
        <v>693</v>
      </c>
      <c r="W106" s="1202" t="s">
        <v>362</v>
      </c>
      <c r="X106" s="1203">
        <v>25330.829000000002</v>
      </c>
      <c r="Y106" s="1202" t="s">
        <v>426</v>
      </c>
      <c r="Z106" s="1202">
        <v>1</v>
      </c>
      <c r="AA106" s="1202">
        <v>1</v>
      </c>
      <c r="AB106" s="1202" t="s">
        <v>204</v>
      </c>
      <c r="AC106" s="1192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704</v>
      </c>
      <c r="S107" s="1202">
        <v>3331571506</v>
      </c>
      <c r="T107" s="1202" t="s">
        <v>424</v>
      </c>
      <c r="U107" s="1202">
        <v>24143020</v>
      </c>
      <c r="V107" s="1202" t="s">
        <v>693</v>
      </c>
      <c r="W107" s="1202" t="s">
        <v>362</v>
      </c>
      <c r="X107" s="1203">
        <v>25330.829000000002</v>
      </c>
      <c r="Y107" s="1202" t="s">
        <v>426</v>
      </c>
      <c r="Z107" s="1202">
        <v>1</v>
      </c>
      <c r="AA107" s="1202">
        <v>1</v>
      </c>
      <c r="AB107" s="1202" t="s">
        <v>204</v>
      </c>
      <c r="AC107" s="1192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077" t="s">
        <v>704</v>
      </c>
      <c r="S108" s="1202">
        <v>3331571507</v>
      </c>
      <c r="T108" s="1202" t="s">
        <v>424</v>
      </c>
      <c r="U108" s="1202">
        <v>24143021</v>
      </c>
      <c r="V108" s="1202" t="s">
        <v>693</v>
      </c>
      <c r="W108" s="1202" t="s">
        <v>362</v>
      </c>
      <c r="X108" s="1203">
        <v>25330.828000000001</v>
      </c>
      <c r="Y108" s="105" t="s">
        <v>426</v>
      </c>
      <c r="Z108" s="1202">
        <v>1</v>
      </c>
      <c r="AA108" s="1202">
        <v>1</v>
      </c>
      <c r="AB108" s="1202" t="s">
        <v>204</v>
      </c>
      <c r="AC108" s="1192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704</v>
      </c>
      <c r="S109" s="1202">
        <v>3331571508</v>
      </c>
      <c r="T109" s="1202" t="s">
        <v>424</v>
      </c>
      <c r="U109" s="1202">
        <v>24143022</v>
      </c>
      <c r="V109" s="1202" t="s">
        <v>693</v>
      </c>
      <c r="W109" s="1202" t="s">
        <v>362</v>
      </c>
      <c r="X109" s="1203">
        <v>25330.829000000002</v>
      </c>
      <c r="Y109" s="1202" t="s">
        <v>426</v>
      </c>
      <c r="Z109" s="1202">
        <v>1</v>
      </c>
      <c r="AA109" s="1202">
        <v>1</v>
      </c>
      <c r="AB109" s="1202" t="s">
        <v>204</v>
      </c>
      <c r="AC109" s="1192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704</v>
      </c>
      <c r="S110" s="1202">
        <v>3331571545</v>
      </c>
      <c r="T110" s="1202" t="s">
        <v>437</v>
      </c>
      <c r="U110" s="1202">
        <v>0</v>
      </c>
      <c r="V110" s="1202" t="s">
        <v>712</v>
      </c>
      <c r="W110" s="1202" t="s">
        <v>203</v>
      </c>
      <c r="X110" s="1203">
        <v>35486.65</v>
      </c>
      <c r="Y110" s="1202" t="s">
        <v>128</v>
      </c>
      <c r="Z110" s="1202">
        <v>1</v>
      </c>
      <c r="AA110" s="1202">
        <v>1</v>
      </c>
      <c r="AB110" s="1202" t="s">
        <v>204</v>
      </c>
      <c r="AC110" s="1192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704</v>
      </c>
      <c r="S111" s="1077">
        <v>3331571546</v>
      </c>
      <c r="T111" s="1077" t="s">
        <v>441</v>
      </c>
      <c r="U111" s="1473">
        <v>24143035</v>
      </c>
      <c r="V111" s="1077" t="s">
        <v>712</v>
      </c>
      <c r="W111" s="1077" t="s">
        <v>203</v>
      </c>
      <c r="X111" s="1085">
        <v>36042.464999999997</v>
      </c>
      <c r="Y111" s="1202" t="s">
        <v>128</v>
      </c>
      <c r="Z111" s="1077">
        <v>1</v>
      </c>
      <c r="AA111" s="1077">
        <v>1</v>
      </c>
      <c r="AB111" s="1077" t="s">
        <v>204</v>
      </c>
      <c r="AC111" s="1192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01" t="s">
        <v>704</v>
      </c>
      <c r="S112" s="1202">
        <v>3331571547</v>
      </c>
      <c r="T112" s="1202" t="s">
        <v>441</v>
      </c>
      <c r="U112" s="1202">
        <v>24143037</v>
      </c>
      <c r="V112" s="1202" t="s">
        <v>712</v>
      </c>
      <c r="W112" s="1202" t="s">
        <v>203</v>
      </c>
      <c r="X112" s="1203">
        <v>34930.834999999999</v>
      </c>
      <c r="Y112" s="1202" t="s">
        <v>128</v>
      </c>
      <c r="Z112" s="1202">
        <v>1</v>
      </c>
      <c r="AA112" s="1202">
        <v>1</v>
      </c>
      <c r="AB112" s="1202" t="s">
        <v>204</v>
      </c>
      <c r="AC112" s="1192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646" t="s">
        <v>704</v>
      </c>
      <c r="S113" s="1647">
        <v>3331571543</v>
      </c>
      <c r="T113" s="1647" t="s">
        <v>27</v>
      </c>
      <c r="U113" s="1647">
        <v>0</v>
      </c>
      <c r="V113" s="1647" t="s">
        <v>713</v>
      </c>
      <c r="W113" s="1647" t="s">
        <v>203</v>
      </c>
      <c r="X113" s="1648">
        <v>25824.02</v>
      </c>
      <c r="Y113" s="1649" t="s">
        <v>200</v>
      </c>
      <c r="Z113" s="1647">
        <v>1</v>
      </c>
      <c r="AA113" s="1647">
        <v>1</v>
      </c>
      <c r="AB113" s="1647" t="s">
        <v>204</v>
      </c>
      <c r="AC113" s="1192"/>
      <c r="AD113" s="26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646" t="s">
        <v>704</v>
      </c>
      <c r="S114" s="1647">
        <v>3331571544</v>
      </c>
      <c r="T114" s="1647" t="s">
        <v>27</v>
      </c>
      <c r="U114" s="1647">
        <v>0</v>
      </c>
      <c r="V114" s="1647" t="s">
        <v>713</v>
      </c>
      <c r="W114" s="1647" t="s">
        <v>203</v>
      </c>
      <c r="X114" s="1648">
        <v>24370.35</v>
      </c>
      <c r="Y114" s="1649" t="s">
        <v>200</v>
      </c>
      <c r="Z114" s="1647">
        <v>1</v>
      </c>
      <c r="AA114" s="1647">
        <v>1</v>
      </c>
      <c r="AB114" s="1647" t="s">
        <v>204</v>
      </c>
      <c r="AC114" s="1192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704</v>
      </c>
      <c r="S115" s="1202">
        <v>3331571555</v>
      </c>
      <c r="T115" s="1202" t="s">
        <v>11</v>
      </c>
      <c r="U115" s="1202">
        <v>24143026</v>
      </c>
      <c r="V115" s="1257" t="s">
        <v>714</v>
      </c>
      <c r="W115" s="1202" t="s">
        <v>711</v>
      </c>
      <c r="X115" s="1203">
        <v>25657</v>
      </c>
      <c r="Y115" s="449" t="s">
        <v>200</v>
      </c>
      <c r="Z115" s="1202">
        <v>1</v>
      </c>
      <c r="AA115" s="1202">
        <v>1</v>
      </c>
      <c r="AB115" s="1202" t="s">
        <v>204</v>
      </c>
      <c r="AC115" s="1192"/>
      <c r="AD115" s="203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01" t="s">
        <v>704</v>
      </c>
      <c r="S116" s="1257">
        <v>3331571558</v>
      </c>
      <c r="T116" s="1202" t="s">
        <v>256</v>
      </c>
      <c r="U116" s="1077" t="s">
        <v>256</v>
      </c>
      <c r="V116" s="1077" t="s">
        <v>256</v>
      </c>
      <c r="W116" s="1077" t="s">
        <v>256</v>
      </c>
      <c r="X116" s="1077" t="s">
        <v>256</v>
      </c>
      <c r="Y116" s="1077" t="s">
        <v>256</v>
      </c>
      <c r="Z116" s="1202" t="s">
        <v>256</v>
      </c>
      <c r="AA116" s="1202" t="s">
        <v>256</v>
      </c>
      <c r="AB116" s="1202" t="s">
        <v>256</v>
      </c>
      <c r="AC116" s="1197"/>
      <c r="AD116" s="203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01" t="s">
        <v>704</v>
      </c>
      <c r="S117" s="1257">
        <v>3331571559</v>
      </c>
      <c r="T117" s="1257" t="s">
        <v>256</v>
      </c>
      <c r="U117" s="1077" t="s">
        <v>256</v>
      </c>
      <c r="V117" s="1077" t="s">
        <v>256</v>
      </c>
      <c r="W117" s="1077" t="s">
        <v>256</v>
      </c>
      <c r="X117" s="1077" t="s">
        <v>256</v>
      </c>
      <c r="Y117" s="1077" t="s">
        <v>256</v>
      </c>
      <c r="Z117" s="1257" t="s">
        <v>256</v>
      </c>
      <c r="AA117" s="1257" t="s">
        <v>256</v>
      </c>
      <c r="AB117" s="1257" t="s">
        <v>256</v>
      </c>
      <c r="AC117" s="1192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077" t="s">
        <v>704</v>
      </c>
      <c r="S118" s="449">
        <v>3331571544</v>
      </c>
      <c r="T118" s="1077" t="s">
        <v>27</v>
      </c>
      <c r="U118" s="449">
        <v>24143029</v>
      </c>
      <c r="V118" s="449" t="s">
        <v>715</v>
      </c>
      <c r="W118" s="1202" t="s">
        <v>203</v>
      </c>
      <c r="X118" s="1472">
        <v>24370.35</v>
      </c>
      <c r="Y118" s="449" t="s">
        <v>200</v>
      </c>
      <c r="Z118" s="1077">
        <v>1</v>
      </c>
      <c r="AA118" s="1077">
        <v>1</v>
      </c>
      <c r="AB118" s="1077" t="s">
        <v>204</v>
      </c>
      <c r="AC118" s="1468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077" t="s">
        <v>704</v>
      </c>
      <c r="S119" s="449">
        <v>3331571548</v>
      </c>
      <c r="T119" s="1077" t="s">
        <v>27</v>
      </c>
      <c r="U119" s="449">
        <v>24143031</v>
      </c>
      <c r="V119" s="449" t="s">
        <v>716</v>
      </c>
      <c r="W119" s="1202" t="s">
        <v>205</v>
      </c>
      <c r="X119" s="1472">
        <v>25738.51</v>
      </c>
      <c r="Y119" s="449" t="s">
        <v>200</v>
      </c>
      <c r="Z119" s="1077">
        <v>1</v>
      </c>
      <c r="AA119" s="1077">
        <v>1</v>
      </c>
      <c r="AB119" s="1077" t="s">
        <v>204</v>
      </c>
      <c r="AC119" s="1468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077" t="s">
        <v>704</v>
      </c>
      <c r="S120" s="449">
        <v>3331571549</v>
      </c>
      <c r="T120" s="1077" t="s">
        <v>27</v>
      </c>
      <c r="U120" s="449">
        <v>24143032</v>
      </c>
      <c r="V120" s="449" t="s">
        <v>716</v>
      </c>
      <c r="W120" s="1202" t="s">
        <v>205</v>
      </c>
      <c r="X120" s="1472">
        <v>25738.51</v>
      </c>
      <c r="Y120" s="449" t="s">
        <v>200</v>
      </c>
      <c r="Z120" s="1077">
        <v>1</v>
      </c>
      <c r="AA120" s="1077">
        <v>1</v>
      </c>
      <c r="AB120" s="1077" t="s">
        <v>204</v>
      </c>
      <c r="AC120" s="1469"/>
      <c r="AD120" s="203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077" t="s">
        <v>704</v>
      </c>
      <c r="S121" s="449">
        <v>3331571550</v>
      </c>
      <c r="T121" s="1077" t="s">
        <v>27</v>
      </c>
      <c r="U121" s="449">
        <v>24143033</v>
      </c>
      <c r="V121" s="449" t="s">
        <v>716</v>
      </c>
      <c r="W121" s="1202" t="s">
        <v>205</v>
      </c>
      <c r="X121" s="1472">
        <v>25738.51</v>
      </c>
      <c r="Y121" s="449" t="s">
        <v>200</v>
      </c>
      <c r="Z121" s="1077">
        <v>1</v>
      </c>
      <c r="AA121" s="1077">
        <v>1</v>
      </c>
      <c r="AB121" s="1077" t="s">
        <v>204</v>
      </c>
      <c r="AC121" s="1470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48" t="s">
        <v>704</v>
      </c>
      <c r="S122" s="452">
        <v>3331571551</v>
      </c>
      <c r="T122" s="1248" t="s">
        <v>27</v>
      </c>
      <c r="U122" s="452">
        <v>24143034</v>
      </c>
      <c r="V122" s="452" t="s">
        <v>716</v>
      </c>
      <c r="W122" s="1202" t="s">
        <v>205</v>
      </c>
      <c r="X122" s="453">
        <v>25738.51</v>
      </c>
      <c r="Y122" s="784" t="s">
        <v>200</v>
      </c>
      <c r="Z122" s="1248">
        <v>1</v>
      </c>
      <c r="AA122" s="1248">
        <v>1</v>
      </c>
      <c r="AB122" s="1248" t="s">
        <v>204</v>
      </c>
      <c r="AC122" s="1469"/>
      <c r="AD122" s="203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06" t="s">
        <v>704</v>
      </c>
      <c r="S123" s="732">
        <v>3331571552</v>
      </c>
      <c r="T123" s="80" t="s">
        <v>27</v>
      </c>
      <c r="U123" s="80">
        <v>24143038</v>
      </c>
      <c r="V123" s="732" t="s">
        <v>716</v>
      </c>
      <c r="W123" s="1190" t="s">
        <v>205</v>
      </c>
      <c r="X123" s="1471">
        <v>25738.51</v>
      </c>
      <c r="Y123" s="772" t="s">
        <v>200</v>
      </c>
      <c r="Z123" s="80">
        <v>1</v>
      </c>
      <c r="AA123" s="80">
        <v>1</v>
      </c>
      <c r="AB123" s="1190" t="s">
        <v>207</v>
      </c>
      <c r="AC123" s="80"/>
      <c r="AD123" s="80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06" t="s">
        <v>704</v>
      </c>
      <c r="S124" s="732">
        <v>3331571553</v>
      </c>
      <c r="T124" s="80" t="s">
        <v>27</v>
      </c>
      <c r="U124" s="80">
        <v>24143039</v>
      </c>
      <c r="V124" s="732" t="s">
        <v>716</v>
      </c>
      <c r="W124" s="1190" t="s">
        <v>205</v>
      </c>
      <c r="X124" s="1471">
        <v>25738.51</v>
      </c>
      <c r="Y124" s="772" t="s">
        <v>200</v>
      </c>
      <c r="Z124" s="80">
        <v>1</v>
      </c>
      <c r="AA124" s="80">
        <v>1</v>
      </c>
      <c r="AB124" s="1190" t="s">
        <v>207</v>
      </c>
      <c r="AC124" s="80"/>
      <c r="AD124" s="80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06" t="s">
        <v>704</v>
      </c>
      <c r="S125" s="732">
        <v>3331571554</v>
      </c>
      <c r="T125" s="80" t="s">
        <v>27</v>
      </c>
      <c r="U125" s="80">
        <v>24143040</v>
      </c>
      <c r="V125" s="732" t="s">
        <v>716</v>
      </c>
      <c r="W125" s="1190" t="s">
        <v>205</v>
      </c>
      <c r="X125" s="1471">
        <v>25738.51</v>
      </c>
      <c r="Y125" s="772" t="s">
        <v>200</v>
      </c>
      <c r="Z125" s="80">
        <v>1</v>
      </c>
      <c r="AA125" s="80">
        <v>1</v>
      </c>
      <c r="AB125" s="1190" t="s">
        <v>207</v>
      </c>
      <c r="AC125" s="80"/>
      <c r="AD125" s="80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06" t="s">
        <v>704</v>
      </c>
      <c r="S126" s="732">
        <v>3331571556</v>
      </c>
      <c r="T126" s="80" t="s">
        <v>27</v>
      </c>
      <c r="U126" s="80">
        <v>24143041</v>
      </c>
      <c r="V126" s="732" t="s">
        <v>716</v>
      </c>
      <c r="W126" s="1190" t="s">
        <v>205</v>
      </c>
      <c r="X126" s="1471">
        <v>22061.58</v>
      </c>
      <c r="Y126" s="772" t="s">
        <v>200</v>
      </c>
      <c r="Z126" s="80">
        <v>1</v>
      </c>
      <c r="AA126" s="80">
        <v>1</v>
      </c>
      <c r="AB126" s="1190" t="s">
        <v>207</v>
      </c>
      <c r="AC126" s="80"/>
      <c r="AD126" s="80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06" t="s">
        <v>704</v>
      </c>
      <c r="S127" s="732">
        <v>3331571557</v>
      </c>
      <c r="T127" s="80" t="s">
        <v>27</v>
      </c>
      <c r="U127" s="80">
        <v>24143042</v>
      </c>
      <c r="V127" s="732" t="s">
        <v>716</v>
      </c>
      <c r="W127" s="1190" t="s">
        <v>205</v>
      </c>
      <c r="X127" s="1471">
        <v>20223.12</v>
      </c>
      <c r="Y127" s="772" t="s">
        <v>200</v>
      </c>
      <c r="Z127" s="80">
        <v>1</v>
      </c>
      <c r="AA127" s="80">
        <v>1</v>
      </c>
      <c r="AB127" s="1190" t="s">
        <v>207</v>
      </c>
      <c r="AC127" s="80"/>
      <c r="AD127" s="80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/>
      <c r="S128"/>
      <c r="T128"/>
      <c r="U128"/>
      <c r="V128"/>
      <c r="W128"/>
      <c r="X128"/>
      <c r="Y128"/>
      <c r="Z128"/>
      <c r="AA128"/>
      <c r="AB128"/>
      <c r="AC128" s="609"/>
      <c r="AD128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/>
      <c r="S129"/>
      <c r="T129"/>
      <c r="U129"/>
      <c r="V129"/>
      <c r="W129"/>
      <c r="X129"/>
      <c r="Y129"/>
      <c r="Z129"/>
      <c r="AA129"/>
      <c r="AB129"/>
      <c r="AC129" s="609"/>
      <c r="AD129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/>
      <c r="S130"/>
      <c r="T130"/>
      <c r="U130"/>
      <c r="V130"/>
      <c r="W130"/>
      <c r="X130"/>
      <c r="Y130"/>
      <c r="Z130"/>
      <c r="AA130"/>
      <c r="AB130"/>
      <c r="AC130" s="609"/>
      <c r="AD130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/>
      <c r="S131"/>
      <c r="T131"/>
      <c r="U131"/>
      <c r="V131"/>
      <c r="W131"/>
      <c r="X131"/>
      <c r="Y131"/>
      <c r="Z131"/>
      <c r="AA131"/>
      <c r="AB131"/>
      <c r="AC131" s="609"/>
      <c r="AD13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/>
      <c r="S132"/>
      <c r="T132"/>
      <c r="U132"/>
      <c r="V132"/>
      <c r="W132"/>
      <c r="X132"/>
      <c r="Y132"/>
      <c r="Z132"/>
      <c r="AA132"/>
      <c r="AB132"/>
      <c r="AC132" s="609"/>
      <c r="AD132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/>
      <c r="S133"/>
      <c r="T133"/>
      <c r="U133"/>
      <c r="V133"/>
      <c r="W133"/>
      <c r="X133"/>
      <c r="Y133"/>
      <c r="Z133"/>
      <c r="AA133"/>
      <c r="AB133"/>
      <c r="AC133" s="609"/>
      <c r="AD133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/>
      <c r="S134"/>
      <c r="T134"/>
      <c r="U134"/>
      <c r="V134"/>
      <c r="W134"/>
      <c r="X134"/>
      <c r="Y134"/>
      <c r="Z134"/>
      <c r="AA134"/>
      <c r="AB134"/>
      <c r="AC134" s="609"/>
      <c r="AD134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 ht="17.399999999999999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 ht="17.399999999999999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:30" s="44" customFormat="1" ht="17.399999999999999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:30" s="44" customFormat="1" ht="17.399999999999999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:30" s="44" customFormat="1" ht="17.399999999999999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:30" s="44" customFormat="1" ht="17.399999999999999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:30" s="44" customFormat="1" ht="17.399999999999999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:30" s="44" customFormat="1" ht="17.399999999999999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:30" s="44" customFormat="1" ht="17.399999999999999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:30" s="44" customFormat="1" ht="17.399999999999999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:30" s="44" customFormat="1" ht="17.399999999999999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:30" s="44" customFormat="1" ht="17.399999999999999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:30" s="44" customFormat="1" ht="17.399999999999999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:30" s="44" customFormat="1" ht="17.399999999999999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:30" s="44" customFormat="1" ht="17.399999999999999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:30" s="44" customFormat="1" ht="17.399999999999999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:30" s="44" customFormat="1" ht="17.399999999999999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:30" s="44" customFormat="1" ht="17.399999999999999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:30" s="44" customFormat="1" ht="17.399999999999999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:30" s="44" customFormat="1" ht="17.399999999999999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:30" s="44" customFormat="1" ht="17.399999999999999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:30" s="44" customFormat="1" ht="17.399999999999999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:30" s="44" customFormat="1" ht="17.399999999999999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:30" s="44" customFormat="1" ht="17.399999999999999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:30" s="44" customFormat="1" ht="17.399999999999999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:30" s="44" customFormat="1" ht="17.399999999999999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:30" s="44" customFormat="1" ht="17.399999999999999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:30" s="44" customFormat="1" ht="17.399999999999999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:30" s="44" customFormat="1" ht="17.399999999999999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:30" s="44" customFormat="1" ht="17.399999999999999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:30" s="44" customFormat="1" ht="17.399999999999999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:30" s="44" customFormat="1" ht="17.399999999999999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:30" s="44" customFormat="1" ht="17.399999999999999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:30" s="44" customFormat="1" ht="17.399999999999999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7.399999999999999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7.399999999999999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7.399999999999999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7.399999999999999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7.399999999999999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7.399999999999999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 ht="17.399999999999999">
      <c r="A199" s="1324"/>
      <c r="B199" s="1021"/>
      <c r="C199" s="1021"/>
      <c r="D199" s="1022"/>
      <c r="E199" s="1023"/>
      <c r="F199" s="1021"/>
      <c r="G199" s="1021"/>
      <c r="H199" s="1022"/>
      <c r="I199" s="1023"/>
      <c r="J199" s="1021"/>
      <c r="K199" s="1021"/>
      <c r="L199" s="1021"/>
      <c r="M199" s="1023"/>
      <c r="N199" s="1021"/>
      <c r="O199" s="1021"/>
      <c r="P199" s="1022"/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 ht="17.399999999999999">
      <c r="A200" s="1324"/>
      <c r="B200" s="1021"/>
      <c r="C200" s="1021"/>
      <c r="D200" s="1022"/>
      <c r="E200" s="1023"/>
      <c r="F200" s="1021"/>
      <c r="G200" s="1021"/>
      <c r="H200" s="1022"/>
      <c r="I200" s="1023"/>
      <c r="J200" s="1021"/>
      <c r="K200" s="1021"/>
      <c r="L200" s="1021"/>
      <c r="M200" s="1023"/>
      <c r="N200" s="1021"/>
      <c r="O200" s="1021"/>
      <c r="P200" s="1022"/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 ht="17.399999999999999">
      <c r="A201" s="1324"/>
      <c r="B201" s="1021"/>
      <c r="C201" s="1021"/>
      <c r="D201" s="1022"/>
      <c r="E201" s="1023"/>
      <c r="F201" s="1021"/>
      <c r="G201" s="1021"/>
      <c r="H201" s="1022"/>
      <c r="I201" s="1023"/>
      <c r="J201" s="1021"/>
      <c r="K201" s="1021"/>
      <c r="L201" s="1021"/>
      <c r="M201" s="1023"/>
      <c r="N201" s="1021"/>
      <c r="O201" s="1021"/>
      <c r="P201" s="1022"/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 ht="17.399999999999999">
      <c r="A202" s="1324"/>
      <c r="B202" s="1021"/>
      <c r="C202" s="1021"/>
      <c r="D202" s="1022"/>
      <c r="E202" s="1023"/>
      <c r="F202" s="1021"/>
      <c r="G202" s="1021"/>
      <c r="H202" s="1022"/>
      <c r="I202" s="1023"/>
      <c r="J202" s="1021"/>
      <c r="K202" s="1021"/>
      <c r="L202" s="1021"/>
      <c r="M202" s="1023"/>
      <c r="N202" s="1021"/>
      <c r="O202" s="1021"/>
      <c r="P202" s="1022"/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 ht="17.399999999999999">
      <c r="A203" s="1324"/>
      <c r="B203" s="1021"/>
      <c r="C203" s="1021"/>
      <c r="D203" s="1022"/>
      <c r="E203" s="1023"/>
      <c r="F203" s="1021"/>
      <c r="G203" s="1021"/>
      <c r="H203" s="1022"/>
      <c r="I203" s="1023"/>
      <c r="J203" s="1021"/>
      <c r="K203" s="1021"/>
      <c r="L203" s="1021"/>
      <c r="M203" s="1023"/>
      <c r="N203" s="1021"/>
      <c r="O203" s="1021"/>
      <c r="P203" s="1022"/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 ht="17.399999999999999">
      <c r="A204" s="1324"/>
      <c r="B204" s="1021"/>
      <c r="C204" s="1021"/>
      <c r="D204" s="1022"/>
      <c r="E204" s="1023"/>
      <c r="F204" s="1021"/>
      <c r="G204" s="1021"/>
      <c r="H204" s="1022"/>
      <c r="I204" s="1023"/>
      <c r="J204" s="1021"/>
      <c r="K204" s="1021"/>
      <c r="L204" s="1021"/>
      <c r="M204" s="1023"/>
      <c r="N204" s="1021"/>
      <c r="O204" s="1021"/>
      <c r="P204" s="1022"/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 ht="17.399999999999999">
      <c r="A205" s="1324"/>
      <c r="B205" s="1021"/>
      <c r="C205" s="1021"/>
      <c r="D205" s="1022"/>
      <c r="E205" s="1023"/>
      <c r="F205" s="1021"/>
      <c r="G205" s="1021"/>
      <c r="H205" s="1022"/>
      <c r="I205" s="1023"/>
      <c r="J205" s="1021"/>
      <c r="K205" s="1021"/>
      <c r="L205" s="1021"/>
      <c r="M205" s="1023"/>
      <c r="N205" s="1021"/>
      <c r="O205" s="1021"/>
      <c r="P205" s="1022"/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 ht="17.399999999999999">
      <c r="A206" s="1324"/>
      <c r="B206" s="1021"/>
      <c r="C206" s="1021"/>
      <c r="D206" s="1022"/>
      <c r="E206" s="1023"/>
      <c r="F206" s="1021"/>
      <c r="G206" s="1021"/>
      <c r="H206" s="1022"/>
      <c r="I206" s="1023"/>
      <c r="J206" s="1021"/>
      <c r="K206" s="1021"/>
      <c r="L206" s="1021"/>
      <c r="M206" s="1023"/>
      <c r="N206" s="1021"/>
      <c r="O206" s="1021"/>
      <c r="P206" s="1022"/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 ht="17.399999999999999">
      <c r="A207" s="1324"/>
      <c r="B207" s="1021"/>
      <c r="C207" s="1021"/>
      <c r="D207" s="1022"/>
      <c r="E207" s="1023"/>
      <c r="F207" s="1021"/>
      <c r="G207" s="1021"/>
      <c r="H207" s="1022"/>
      <c r="I207" s="1023"/>
      <c r="J207" s="1021"/>
      <c r="K207" s="1021"/>
      <c r="L207" s="1021"/>
      <c r="M207" s="1023"/>
      <c r="N207" s="1021"/>
      <c r="O207" s="1021"/>
      <c r="P207" s="1022"/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 ht="17.399999999999999">
      <c r="A208" s="1324"/>
      <c r="B208" s="1021"/>
      <c r="C208" s="1021"/>
      <c r="D208" s="1022"/>
      <c r="E208" s="1023"/>
      <c r="F208" s="1021"/>
      <c r="G208" s="1021"/>
      <c r="H208" s="1022"/>
      <c r="I208" s="1023"/>
      <c r="J208" s="1021"/>
      <c r="K208" s="1021"/>
      <c r="L208" s="1021"/>
      <c r="M208" s="1023"/>
      <c r="N208" s="1021"/>
      <c r="O208" s="1021"/>
      <c r="P208" s="1022"/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:30" s="44" customFormat="1" ht="17.399999999999999">
      <c r="A209" s="1324"/>
      <c r="B209" s="1021"/>
      <c r="C209" s="1021"/>
      <c r="D209" s="1022"/>
      <c r="E209" s="1023"/>
      <c r="F209" s="1021"/>
      <c r="G209" s="1021"/>
      <c r="H209" s="1022"/>
      <c r="I209" s="1023"/>
      <c r="J209" s="1021"/>
      <c r="K209" s="1021"/>
      <c r="L209" s="1021"/>
      <c r="M209" s="1023"/>
      <c r="N209" s="1021"/>
      <c r="O209" s="1021"/>
      <c r="P209" s="1022"/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:30" s="44" customFormat="1" ht="17.399999999999999">
      <c r="A210" s="1324"/>
      <c r="B210" s="1021"/>
      <c r="C210" s="1021"/>
      <c r="D210" s="1022"/>
      <c r="E210" s="1023"/>
      <c r="F210" s="1021"/>
      <c r="G210" s="1021"/>
      <c r="H210" s="1022"/>
      <c r="I210" s="1023"/>
      <c r="J210" s="1021"/>
      <c r="K210" s="1021"/>
      <c r="L210" s="1021"/>
      <c r="M210" s="1023"/>
      <c r="N210" s="1021"/>
      <c r="O210" s="1021"/>
      <c r="P210" s="1022"/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:30" s="44" customFormat="1" ht="17.399999999999999">
      <c r="A211" s="1324"/>
      <c r="B211" s="1021"/>
      <c r="C211" s="1021"/>
      <c r="D211" s="1022"/>
      <c r="E211" s="1023"/>
      <c r="F211" s="1021"/>
      <c r="G211" s="1021"/>
      <c r="H211" s="1022"/>
      <c r="I211" s="1023"/>
      <c r="J211" s="1021"/>
      <c r="K211" s="1021"/>
      <c r="L211" s="1021"/>
      <c r="M211" s="1023"/>
      <c r="N211" s="1021"/>
      <c r="O211" s="1021"/>
      <c r="P211" s="1022"/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:30" s="44" customFormat="1" ht="17.399999999999999">
      <c r="A212" s="1324"/>
      <c r="B212" s="1021"/>
      <c r="C212" s="1021"/>
      <c r="D212" s="1022"/>
      <c r="E212" s="1023"/>
      <c r="F212" s="1021"/>
      <c r="G212" s="1021"/>
      <c r="H212" s="1022"/>
      <c r="I212" s="1023"/>
      <c r="J212" s="1021"/>
      <c r="K212" s="1021"/>
      <c r="L212" s="1021"/>
      <c r="M212" s="1023"/>
      <c r="N212" s="1021"/>
      <c r="O212" s="1021"/>
      <c r="P212" s="1022"/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:30" s="44" customFormat="1" ht="17.399999999999999">
      <c r="A213" s="1324"/>
      <c r="B213" s="1021"/>
      <c r="C213" s="1021"/>
      <c r="D213" s="1022"/>
      <c r="E213" s="1023"/>
      <c r="F213" s="1021"/>
      <c r="G213" s="1021"/>
      <c r="H213" s="1022"/>
      <c r="I213" s="1023"/>
      <c r="J213" s="1021"/>
      <c r="K213" s="1021"/>
      <c r="L213" s="1021"/>
      <c r="M213" s="1023"/>
      <c r="N213" s="1021"/>
      <c r="O213" s="1021"/>
      <c r="P213" s="1022"/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:30" s="44" customFormat="1" ht="17.399999999999999">
      <c r="A214" s="1324"/>
      <c r="B214" s="1021"/>
      <c r="C214" s="1021"/>
      <c r="D214" s="1022"/>
      <c r="E214" s="1023"/>
      <c r="F214" s="1021"/>
      <c r="G214" s="1021"/>
      <c r="H214" s="1022"/>
      <c r="I214" s="1023"/>
      <c r="J214" s="1021"/>
      <c r="K214" s="1021"/>
      <c r="L214" s="1021"/>
      <c r="M214" s="1023"/>
      <c r="N214" s="1021"/>
      <c r="O214" s="1021"/>
      <c r="P214" s="1022"/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:30" s="44" customFormat="1" ht="17.399999999999999">
      <c r="A215" s="1324"/>
      <c r="B215" s="1021"/>
      <c r="C215" s="1021"/>
      <c r="D215" s="1022"/>
      <c r="E215" s="1023"/>
      <c r="F215" s="1021"/>
      <c r="G215" s="1021"/>
      <c r="H215" s="1022"/>
      <c r="I215" s="1023"/>
      <c r="J215" s="1021"/>
      <c r="K215" s="1021"/>
      <c r="L215" s="1021"/>
      <c r="M215" s="1023"/>
      <c r="N215" s="1021"/>
      <c r="O215" s="1021"/>
      <c r="P215" s="1022"/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:30" s="44" customFormat="1" ht="17.399999999999999">
      <c r="A216" s="1324"/>
      <c r="B216" s="1021"/>
      <c r="C216" s="1021"/>
      <c r="D216" s="1022"/>
      <c r="E216" s="1023"/>
      <c r="F216" s="1021"/>
      <c r="G216" s="1021"/>
      <c r="H216" s="1022"/>
      <c r="I216" s="1023"/>
      <c r="J216" s="1021"/>
      <c r="K216" s="1021"/>
      <c r="L216" s="1021"/>
      <c r="M216" s="1023"/>
      <c r="N216" s="1021"/>
      <c r="O216" s="1021"/>
      <c r="P216" s="1022"/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:30" s="44" customFormat="1" ht="17.399999999999999">
      <c r="A217" s="1324"/>
      <c r="B217" s="1021"/>
      <c r="C217" s="1021"/>
      <c r="D217" s="1022"/>
      <c r="E217" s="1023"/>
      <c r="F217" s="1021"/>
      <c r="G217" s="1021"/>
      <c r="H217" s="1022"/>
      <c r="I217" s="1023"/>
      <c r="J217" s="1021"/>
      <c r="K217" s="1021"/>
      <c r="L217" s="1021"/>
      <c r="M217" s="1023"/>
      <c r="N217" s="1021"/>
      <c r="O217" s="1021"/>
      <c r="P217" s="1022"/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:30" s="44" customFormat="1" ht="17.399999999999999">
      <c r="A218" s="1324"/>
      <c r="B218" s="1021"/>
      <c r="C218" s="1021"/>
      <c r="D218" s="1022"/>
      <c r="E218" s="1023"/>
      <c r="F218" s="1021"/>
      <c r="G218" s="1021"/>
      <c r="H218" s="1022"/>
      <c r="I218" s="1023"/>
      <c r="J218" s="1021"/>
      <c r="K218" s="1021"/>
      <c r="L218" s="1021"/>
      <c r="M218" s="1023"/>
      <c r="N218" s="1021"/>
      <c r="O218" s="1021"/>
      <c r="P218" s="1022"/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:30" s="44" customFormat="1" ht="17.399999999999999">
      <c r="A219" s="1324"/>
      <c r="B219" s="1021"/>
      <c r="C219" s="1021"/>
      <c r="D219" s="1022"/>
      <c r="E219" s="1023"/>
      <c r="F219" s="1021"/>
      <c r="G219" s="1021"/>
      <c r="H219" s="1022"/>
      <c r="I219" s="1023"/>
      <c r="J219" s="1021"/>
      <c r="K219" s="1021"/>
      <c r="L219" s="1021"/>
      <c r="M219" s="1023"/>
      <c r="N219" s="1021"/>
      <c r="O219" s="1021"/>
      <c r="P219" s="1022"/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:30" s="44" customFormat="1" ht="17.399999999999999">
      <c r="A220" s="1324"/>
      <c r="B220" s="1021"/>
      <c r="C220" s="1021"/>
      <c r="D220" s="1022"/>
      <c r="E220" s="1023"/>
      <c r="F220" s="1021"/>
      <c r="G220" s="1021"/>
      <c r="H220" s="1022"/>
      <c r="I220" s="1023"/>
      <c r="J220" s="1021"/>
      <c r="K220" s="1021"/>
      <c r="L220" s="1021"/>
      <c r="M220" s="1023"/>
      <c r="N220" s="1021"/>
      <c r="O220" s="1021"/>
      <c r="P220" s="1022"/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:30" s="44" customFormat="1" ht="17.399999999999999">
      <c r="A221" s="1324"/>
      <c r="B221" s="1021"/>
      <c r="C221" s="1021"/>
      <c r="D221" s="1022"/>
      <c r="E221" s="1023"/>
      <c r="F221" s="1021"/>
      <c r="G221" s="1021"/>
      <c r="H221" s="1022"/>
      <c r="I221" s="1023"/>
      <c r="J221" s="1021"/>
      <c r="K221" s="1021"/>
      <c r="L221" s="1021"/>
      <c r="M221" s="1023"/>
      <c r="N221" s="1021"/>
      <c r="O221" s="1021"/>
      <c r="P221" s="1022"/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:30" s="44" customFormat="1" ht="17.399999999999999">
      <c r="A222" s="1324"/>
      <c r="B222" s="1021"/>
      <c r="C222" s="1021"/>
      <c r="D222" s="1022"/>
      <c r="E222" s="1023"/>
      <c r="F222" s="1021"/>
      <c r="G222" s="1021"/>
      <c r="H222" s="1022"/>
      <c r="I222" s="1023"/>
      <c r="J222" s="1021"/>
      <c r="K222" s="1021"/>
      <c r="L222" s="1021"/>
      <c r="M222" s="1023"/>
      <c r="N222" s="1021"/>
      <c r="O222" s="1021"/>
      <c r="P222" s="1022"/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:30" s="44" customFormat="1" ht="17.399999999999999">
      <c r="A223" s="1324"/>
      <c r="B223" s="1021"/>
      <c r="C223" s="1021"/>
      <c r="D223" s="1022"/>
      <c r="E223" s="1023"/>
      <c r="F223" s="1021"/>
      <c r="G223" s="1021"/>
      <c r="H223" s="1022"/>
      <c r="I223" s="1023"/>
      <c r="J223" s="1021"/>
      <c r="K223" s="1021"/>
      <c r="L223" s="1021"/>
      <c r="M223" s="1023"/>
      <c r="N223" s="1021"/>
      <c r="O223" s="1021"/>
      <c r="P223" s="1022"/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:30" s="44" customFormat="1" ht="17.399999999999999">
      <c r="A224" s="1324"/>
      <c r="B224" s="1021"/>
      <c r="C224" s="1021"/>
      <c r="D224" s="1022"/>
      <c r="E224" s="1023"/>
      <c r="F224" s="1021"/>
      <c r="G224" s="1021"/>
      <c r="H224" s="1022"/>
      <c r="I224" s="1023"/>
      <c r="J224" s="1021"/>
      <c r="K224" s="1021"/>
      <c r="L224" s="1021"/>
      <c r="M224" s="1023"/>
      <c r="N224" s="1021"/>
      <c r="O224" s="1021"/>
      <c r="P224" s="1022"/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:30" s="44" customFormat="1" ht="17.399999999999999">
      <c r="A225" s="1324"/>
      <c r="B225" s="1021"/>
      <c r="C225" s="1021"/>
      <c r="D225" s="1022"/>
      <c r="E225" s="1023"/>
      <c r="F225" s="1021"/>
      <c r="G225" s="1021"/>
      <c r="H225" s="1022"/>
      <c r="I225" s="1023"/>
      <c r="J225" s="1021"/>
      <c r="K225" s="1021"/>
      <c r="L225" s="1021"/>
      <c r="M225" s="1023"/>
      <c r="N225" s="1021"/>
      <c r="O225" s="1021"/>
      <c r="P225" s="1022"/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:30" s="44" customFormat="1" ht="17.399999999999999">
      <c r="A226" s="1324"/>
      <c r="B226" s="1021"/>
      <c r="C226" s="1021"/>
      <c r="D226" s="1022"/>
      <c r="E226" s="1023"/>
      <c r="F226" s="1021"/>
      <c r="G226" s="1021"/>
      <c r="H226" s="1022"/>
      <c r="I226" s="1023"/>
      <c r="J226" s="1021"/>
      <c r="K226" s="1021"/>
      <c r="L226" s="1021"/>
      <c r="M226" s="1023"/>
      <c r="N226" s="1021"/>
      <c r="O226" s="1021"/>
      <c r="P226" s="1022"/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:30" s="44" customFormat="1" ht="17.399999999999999">
      <c r="A227" s="1324"/>
      <c r="B227" s="1021"/>
      <c r="C227" s="1021"/>
      <c r="D227" s="1022"/>
      <c r="E227" s="1023"/>
      <c r="F227" s="1021"/>
      <c r="G227" s="1021"/>
      <c r="H227" s="1022"/>
      <c r="I227" s="1023"/>
      <c r="J227" s="1021"/>
      <c r="K227" s="1021"/>
      <c r="L227" s="1021"/>
      <c r="M227" s="1023"/>
      <c r="N227" s="1021"/>
      <c r="O227" s="1021"/>
      <c r="P227" s="1022"/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:30" s="44" customFormat="1" ht="17.399999999999999">
      <c r="A228" s="1324"/>
      <c r="B228" s="1021"/>
      <c r="C228" s="1021"/>
      <c r="D228" s="1022"/>
      <c r="E228" s="1023"/>
      <c r="F228" s="1021"/>
      <c r="G228" s="1021"/>
      <c r="H228" s="1022"/>
      <c r="I228" s="1023"/>
      <c r="J228" s="1021"/>
      <c r="K228" s="1021"/>
      <c r="L228" s="1021"/>
      <c r="M228" s="1023"/>
      <c r="N228" s="1021"/>
      <c r="O228" s="1021"/>
      <c r="P228" s="1022"/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:30" s="44" customFormat="1" ht="17.399999999999999">
      <c r="A229" s="1324"/>
      <c r="B229" s="1021"/>
      <c r="C229" s="1021"/>
      <c r="D229" s="1022"/>
      <c r="E229" s="1023"/>
      <c r="F229" s="1021"/>
      <c r="G229" s="1021"/>
      <c r="H229" s="1022"/>
      <c r="I229" s="1023"/>
      <c r="J229" s="1021"/>
      <c r="K229" s="1021"/>
      <c r="L229" s="1021"/>
      <c r="M229" s="1023"/>
      <c r="N229" s="1021"/>
      <c r="O229" s="1021"/>
      <c r="P229" s="1022"/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:30" s="44" customFormat="1" ht="17.399999999999999">
      <c r="A230" s="1324"/>
      <c r="B230" s="1021"/>
      <c r="C230" s="1021"/>
      <c r="D230" s="1022"/>
      <c r="E230" s="1023"/>
      <c r="F230" s="1021"/>
      <c r="G230" s="1021"/>
      <c r="H230" s="1022"/>
      <c r="I230" s="1023"/>
      <c r="J230" s="1021"/>
      <c r="K230" s="1021"/>
      <c r="L230" s="1021"/>
      <c r="M230" s="1023"/>
      <c r="N230" s="1021"/>
      <c r="O230" s="1021"/>
      <c r="P230" s="1022"/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:30" s="44" customFormat="1" ht="17.399999999999999">
      <c r="A231" s="1324"/>
      <c r="B231" s="1021"/>
      <c r="C231" s="1021"/>
      <c r="D231" s="1022"/>
      <c r="E231" s="1023"/>
      <c r="F231" s="1021"/>
      <c r="G231" s="1021"/>
      <c r="H231" s="1022"/>
      <c r="I231" s="1023"/>
      <c r="J231" s="1021"/>
      <c r="K231" s="1021"/>
      <c r="L231" s="1021"/>
      <c r="M231" s="1023"/>
      <c r="N231" s="1021"/>
      <c r="O231" s="1021"/>
      <c r="P231" s="1022"/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:30" s="44" customFormat="1" ht="17.399999999999999">
      <c r="A232" s="1324"/>
      <c r="B232" s="1021"/>
      <c r="C232" s="1021"/>
      <c r="D232" s="1022"/>
      <c r="E232" s="1023"/>
      <c r="F232" s="1021"/>
      <c r="G232" s="1021"/>
      <c r="H232" s="1022"/>
      <c r="I232" s="1023"/>
      <c r="J232" s="1021"/>
      <c r="K232" s="1021"/>
      <c r="L232" s="1021"/>
      <c r="M232" s="1023"/>
      <c r="N232" s="1021"/>
      <c r="O232" s="1021"/>
      <c r="P232" s="1022"/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:30" s="44" customFormat="1" ht="17.399999999999999">
      <c r="A233" s="1324"/>
      <c r="B233" s="1021"/>
      <c r="C233" s="1021"/>
      <c r="D233" s="1022"/>
      <c r="E233" s="1023"/>
      <c r="F233" s="1021"/>
      <c r="G233" s="1021"/>
      <c r="H233" s="1022"/>
      <c r="I233" s="1023"/>
      <c r="J233" s="1021"/>
      <c r="K233" s="1021"/>
      <c r="L233" s="1021"/>
      <c r="M233" s="1023"/>
      <c r="N233" s="1021"/>
      <c r="O233" s="1021"/>
      <c r="P233" s="1022"/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:30" s="44" customFormat="1" ht="17.399999999999999">
      <c r="A234" s="1324"/>
      <c r="B234" s="1021"/>
      <c r="C234" s="1021"/>
      <c r="D234" s="1022"/>
      <c r="E234" s="1023"/>
      <c r="F234" s="1021"/>
      <c r="G234" s="1021"/>
      <c r="H234" s="1022"/>
      <c r="I234" s="1023"/>
      <c r="J234" s="1021"/>
      <c r="K234" s="1021"/>
      <c r="L234" s="1021"/>
      <c r="M234" s="1023"/>
      <c r="N234" s="1021"/>
      <c r="O234" s="1021"/>
      <c r="P234" s="1022"/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:30" s="44" customFormat="1" ht="17.399999999999999">
      <c r="A235" s="1324"/>
      <c r="B235" s="1021"/>
      <c r="C235" s="1021"/>
      <c r="D235" s="1022"/>
      <c r="E235" s="1023"/>
      <c r="F235" s="1021"/>
      <c r="G235" s="1021"/>
      <c r="H235" s="1022"/>
      <c r="I235" s="1023"/>
      <c r="J235" s="1021"/>
      <c r="K235" s="1021"/>
      <c r="L235" s="1021"/>
      <c r="M235" s="1023"/>
      <c r="N235" s="1021"/>
      <c r="O235" s="1021"/>
      <c r="P235" s="1022"/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1" spans="18:30" s="44" customFormat="1">
      <c r="R251"/>
      <c r="S251"/>
      <c r="T251"/>
      <c r="U251"/>
      <c r="V251"/>
      <c r="W251"/>
      <c r="X251"/>
      <c r="Y251"/>
      <c r="Z251"/>
      <c r="AA251"/>
      <c r="AB251"/>
      <c r="AC251" s="609"/>
      <c r="AD251"/>
    </row>
    <row r="252" spans="18:30" s="44" customFormat="1">
      <c r="R252"/>
      <c r="S252"/>
      <c r="T252"/>
      <c r="U252"/>
      <c r="V252"/>
      <c r="W252"/>
      <c r="X252"/>
      <c r="Y252"/>
      <c r="Z252"/>
      <c r="AA252"/>
      <c r="AB252"/>
      <c r="AC252" s="609"/>
      <c r="AD252"/>
    </row>
    <row r="253" spans="18:30" s="44" customFormat="1">
      <c r="R253"/>
      <c r="S253"/>
      <c r="T253"/>
      <c r="U253"/>
      <c r="V253"/>
      <c r="W253"/>
      <c r="X253"/>
      <c r="Y253"/>
      <c r="Z253"/>
      <c r="AA253"/>
      <c r="AB253"/>
      <c r="AC253" s="609"/>
      <c r="AD253"/>
    </row>
    <row r="254" spans="18:30" s="44" customFormat="1">
      <c r="R254"/>
      <c r="S254"/>
      <c r="T254"/>
      <c r="U254"/>
      <c r="V254"/>
      <c r="W254"/>
      <c r="X254"/>
      <c r="Y254"/>
      <c r="Z254"/>
      <c r="AA254"/>
      <c r="AB254"/>
      <c r="AC254" s="609"/>
      <c r="AD254"/>
    </row>
    <row r="255" spans="18:30" s="44" customFormat="1">
      <c r="R255"/>
      <c r="S255"/>
      <c r="T255"/>
      <c r="U255"/>
      <c r="V255"/>
      <c r="W255"/>
      <c r="X255"/>
      <c r="Y255"/>
      <c r="Z255"/>
      <c r="AA255"/>
      <c r="AB255"/>
      <c r="AC255" s="609"/>
      <c r="AD255"/>
    </row>
    <row r="256" spans="18:30" s="44" customFormat="1">
      <c r="R256"/>
      <c r="S256"/>
      <c r="T256"/>
      <c r="U256"/>
      <c r="V256"/>
      <c r="W256"/>
      <c r="X256"/>
      <c r="Y256"/>
      <c r="Z256"/>
      <c r="AA256"/>
      <c r="AB256"/>
      <c r="AC256" s="609"/>
      <c r="AD256"/>
    </row>
    <row r="257" spans="18:30" s="44" customFormat="1">
      <c r="R257"/>
      <c r="S257"/>
      <c r="T257"/>
      <c r="U257"/>
      <c r="V257"/>
      <c r="W257"/>
      <c r="X257"/>
      <c r="Y257"/>
      <c r="Z257"/>
      <c r="AA257"/>
      <c r="AB257"/>
      <c r="AC257" s="609"/>
      <c r="AD257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63" spans="18:30" s="44" customFormat="1">
      <c r="R263"/>
      <c r="S263"/>
      <c r="T263"/>
      <c r="U263"/>
      <c r="V263"/>
      <c r="W263"/>
      <c r="X263"/>
      <c r="Y263"/>
      <c r="Z263"/>
      <c r="AA263"/>
      <c r="AB263"/>
      <c r="AC263" s="609"/>
      <c r="AD263"/>
    </row>
    <row r="264" spans="18:30" s="44" customFormat="1">
      <c r="R264"/>
      <c r="S264"/>
      <c r="T264"/>
      <c r="U264"/>
      <c r="V264"/>
      <c r="W264"/>
      <c r="X264"/>
      <c r="Y264"/>
      <c r="Z264"/>
      <c r="AA264"/>
      <c r="AB264"/>
      <c r="AC264" s="609"/>
      <c r="AD264"/>
    </row>
    <row r="265" spans="18:30" s="44" customFormat="1">
      <c r="R265"/>
      <c r="S265"/>
      <c r="T265"/>
      <c r="U265"/>
      <c r="V265"/>
      <c r="W265"/>
      <c r="X265"/>
      <c r="Y265"/>
      <c r="Z265"/>
      <c r="AA265"/>
      <c r="AB265"/>
      <c r="AC265" s="609"/>
      <c r="AD265"/>
    </row>
    <row r="266" spans="18:30" s="44" customFormat="1">
      <c r="R266"/>
      <c r="S266"/>
      <c r="T266"/>
      <c r="U266"/>
      <c r="V266"/>
      <c r="W266"/>
      <c r="X266"/>
      <c r="Y266"/>
      <c r="Z266"/>
      <c r="AA266"/>
      <c r="AB266"/>
      <c r="AC266" s="609"/>
      <c r="AD266"/>
    </row>
    <row r="267" spans="18:30" s="44" customFormat="1">
      <c r="R267"/>
      <c r="S267"/>
      <c r="T267"/>
      <c r="U267"/>
      <c r="V267"/>
      <c r="W267"/>
      <c r="X267"/>
      <c r="Y267"/>
      <c r="Z267"/>
      <c r="AA267"/>
      <c r="AB267"/>
      <c r="AC267" s="609"/>
      <c r="AD267"/>
    </row>
    <row r="268" spans="18:30" s="44" customFormat="1">
      <c r="R268"/>
      <c r="S268"/>
      <c r="T268"/>
      <c r="U268"/>
      <c r="V268"/>
      <c r="W268"/>
      <c r="X268"/>
      <c r="Y268"/>
      <c r="Z268"/>
      <c r="AA268"/>
      <c r="AB268"/>
      <c r="AC268" s="609"/>
      <c r="AD268"/>
    </row>
    <row r="269" spans="18:30" s="44" customFormat="1">
      <c r="R269"/>
      <c r="S269"/>
      <c r="T269"/>
      <c r="U269"/>
      <c r="V269"/>
      <c r="W269"/>
      <c r="X269"/>
      <c r="Y269"/>
      <c r="Z269"/>
      <c r="AA269"/>
      <c r="AB269"/>
      <c r="AC269" s="609"/>
      <c r="AD269"/>
    </row>
    <row r="270" spans="18:30" s="44" customFormat="1">
      <c r="R270"/>
      <c r="S270"/>
      <c r="T270"/>
      <c r="U270"/>
      <c r="V270"/>
      <c r="W270"/>
      <c r="X270"/>
      <c r="Y270"/>
      <c r="Z270"/>
      <c r="AA270"/>
      <c r="AB270"/>
      <c r="AC270" s="609"/>
      <c r="AD270"/>
    </row>
    <row r="271" spans="18:30" s="44" customFormat="1">
      <c r="R271"/>
      <c r="S271"/>
      <c r="T271"/>
      <c r="U271"/>
      <c r="V271"/>
      <c r="W271"/>
      <c r="X271"/>
      <c r="Y271"/>
      <c r="Z271"/>
      <c r="AA271"/>
      <c r="AB271"/>
      <c r="AC271" s="609"/>
      <c r="AD271"/>
    </row>
    <row r="272" spans="18:30" s="44" customFormat="1">
      <c r="R272"/>
      <c r="S272"/>
      <c r="T272"/>
      <c r="U272"/>
      <c r="V272"/>
      <c r="W272"/>
      <c r="X272"/>
      <c r="Y272"/>
      <c r="Z272"/>
      <c r="AA272"/>
      <c r="AB272"/>
      <c r="AC272" s="609"/>
      <c r="AD272"/>
    </row>
    <row r="273" spans="18:30" s="44" customFormat="1">
      <c r="R273"/>
      <c r="S273"/>
      <c r="T273"/>
      <c r="U273"/>
      <c r="V273"/>
      <c r="W273"/>
      <c r="X273"/>
      <c r="Y273"/>
      <c r="Z273"/>
      <c r="AA273"/>
      <c r="AB273"/>
      <c r="AC273" s="609"/>
      <c r="AD273"/>
    </row>
    <row r="274" spans="18:30" s="44" customFormat="1">
      <c r="R274"/>
      <c r="S274"/>
      <c r="T274"/>
      <c r="U274"/>
      <c r="V274"/>
      <c r="W274"/>
      <c r="X274"/>
      <c r="Y274"/>
      <c r="Z274"/>
      <c r="AA274"/>
      <c r="AB274"/>
      <c r="AC274" s="609"/>
      <c r="AD274"/>
    </row>
    <row r="275" spans="18:30" s="44" customFormat="1">
      <c r="R275"/>
      <c r="S275"/>
      <c r="T275"/>
      <c r="U275"/>
      <c r="V275"/>
      <c r="W275"/>
      <c r="X275"/>
      <c r="Y275"/>
      <c r="Z275"/>
      <c r="AA275"/>
      <c r="AB275"/>
      <c r="AC275" s="609"/>
      <c r="AD275"/>
    </row>
    <row r="276" spans="18:30" s="44" customFormat="1">
      <c r="R276"/>
      <c r="S276"/>
      <c r="T276"/>
      <c r="U276"/>
      <c r="V276"/>
      <c r="W276"/>
      <c r="X276"/>
      <c r="Y276"/>
      <c r="Z276"/>
      <c r="AA276"/>
      <c r="AB276"/>
      <c r="AC276" s="609"/>
      <c r="AD276"/>
    </row>
    <row r="277" spans="18:30" s="44" customFormat="1">
      <c r="R277"/>
      <c r="S277"/>
      <c r="T277"/>
      <c r="U277"/>
      <c r="V277"/>
      <c r="W277"/>
      <c r="X277"/>
      <c r="Y277"/>
      <c r="Z277"/>
      <c r="AA277"/>
      <c r="AB277"/>
      <c r="AC277" s="609"/>
      <c r="AD277"/>
    </row>
    <row r="278" spans="18:30" s="44" customFormat="1">
      <c r="R278"/>
      <c r="S278"/>
      <c r="T278"/>
      <c r="U278"/>
      <c r="V278"/>
      <c r="W278"/>
      <c r="X278"/>
      <c r="Y278"/>
      <c r="Z278"/>
      <c r="AA278"/>
      <c r="AB278"/>
      <c r="AC278" s="609"/>
      <c r="AD278"/>
    </row>
    <row r="279" spans="18:30" s="44" customFormat="1">
      <c r="R279"/>
      <c r="S279"/>
      <c r="T279"/>
      <c r="U279"/>
      <c r="V279"/>
      <c r="W279"/>
      <c r="X279"/>
      <c r="Y279"/>
      <c r="Z279"/>
      <c r="AA279"/>
      <c r="AB279"/>
      <c r="AC279" s="609"/>
      <c r="AD279"/>
    </row>
    <row r="280" spans="18:30" s="44" customFormat="1">
      <c r="R280"/>
      <c r="S280"/>
      <c r="T280"/>
      <c r="U280"/>
      <c r="V280"/>
      <c r="W280"/>
      <c r="X280"/>
      <c r="Y280"/>
      <c r="Z280"/>
      <c r="AA280"/>
      <c r="AB280"/>
      <c r="AC280" s="609"/>
      <c r="AD280"/>
    </row>
    <row r="281" spans="18:30" s="44" customFormat="1">
      <c r="R281"/>
      <c r="S281"/>
      <c r="T281"/>
      <c r="U281"/>
      <c r="V281"/>
      <c r="W281"/>
      <c r="X281"/>
      <c r="Y281"/>
      <c r="Z281"/>
      <c r="AA281"/>
      <c r="AB281"/>
      <c r="AC281" s="609"/>
      <c r="AD281"/>
    </row>
    <row r="282" spans="18:30" s="44" customFormat="1">
      <c r="R282"/>
      <c r="S282"/>
      <c r="T282"/>
      <c r="U282"/>
      <c r="V282"/>
      <c r="W282"/>
      <c r="X282"/>
      <c r="Y282"/>
      <c r="Z282"/>
      <c r="AA282"/>
      <c r="AB282"/>
      <c r="AC282" s="609"/>
      <c r="AD282"/>
    </row>
    <row r="283" spans="18:30" s="44" customFormat="1">
      <c r="R283"/>
      <c r="S283"/>
      <c r="T283"/>
      <c r="U283"/>
      <c r="V283"/>
      <c r="W283"/>
      <c r="X283"/>
      <c r="Y283"/>
      <c r="Z283"/>
      <c r="AA283"/>
      <c r="AB283"/>
      <c r="AC283" s="609"/>
      <c r="AD283"/>
    </row>
    <row r="284" spans="18:30" s="44" customFormat="1">
      <c r="R284"/>
      <c r="S284"/>
      <c r="T284"/>
      <c r="U284"/>
      <c r="V284"/>
      <c r="W284"/>
      <c r="X284"/>
      <c r="Y284"/>
      <c r="Z284"/>
      <c r="AA284"/>
      <c r="AB284"/>
      <c r="AC284" s="609"/>
      <c r="AD284"/>
    </row>
    <row r="285" spans="18:30" s="44" customFormat="1">
      <c r="R285"/>
      <c r="S285"/>
      <c r="T285"/>
      <c r="U285"/>
      <c r="V285"/>
      <c r="W285"/>
      <c r="X285"/>
      <c r="Y285"/>
      <c r="Z285"/>
      <c r="AA285"/>
      <c r="AB285"/>
      <c r="AC285" s="609"/>
      <c r="AD285"/>
    </row>
    <row r="286" spans="18:30" s="44" customFormat="1">
      <c r="R286"/>
      <c r="S286"/>
      <c r="T286"/>
      <c r="U286"/>
      <c r="V286"/>
      <c r="W286"/>
      <c r="X286"/>
      <c r="Y286"/>
      <c r="Z286"/>
      <c r="AA286"/>
      <c r="AB286"/>
      <c r="AC286" s="609"/>
      <c r="AD286"/>
    </row>
    <row r="287" spans="18:30" s="44" customFormat="1">
      <c r="R287"/>
      <c r="S287"/>
      <c r="T287"/>
      <c r="U287"/>
      <c r="V287"/>
      <c r="W287"/>
      <c r="X287"/>
      <c r="Y287"/>
      <c r="Z287"/>
      <c r="AA287"/>
      <c r="AB287"/>
      <c r="AC287" s="609"/>
      <c r="AD287"/>
    </row>
    <row r="295" spans="18:30" s="44" customFormat="1">
      <c r="R295"/>
      <c r="S295"/>
      <c r="T295"/>
      <c r="U295"/>
      <c r="V295"/>
      <c r="W295"/>
      <c r="X295"/>
      <c r="Y295"/>
      <c r="Z295"/>
      <c r="AA295"/>
      <c r="AB295"/>
      <c r="AC295" s="609"/>
      <c r="AD295"/>
    </row>
    <row r="296" spans="18:30" s="44" customFormat="1">
      <c r="R296"/>
      <c r="S296"/>
      <c r="T296"/>
      <c r="U296"/>
      <c r="V296"/>
      <c r="W296"/>
      <c r="X296"/>
      <c r="Y296"/>
      <c r="Z296"/>
      <c r="AA296"/>
      <c r="AB296"/>
      <c r="AC296" s="609"/>
      <c r="AD296"/>
    </row>
    <row r="297" spans="18:30" s="44" customFormat="1">
      <c r="R297"/>
      <c r="S297"/>
      <c r="T297"/>
      <c r="U297"/>
      <c r="V297"/>
      <c r="W297"/>
      <c r="X297"/>
      <c r="Y297"/>
      <c r="Z297"/>
      <c r="AA297"/>
      <c r="AB297"/>
      <c r="AC297" s="609"/>
      <c r="AD297"/>
    </row>
    <row r="298" spans="18:30" s="44" customFormat="1">
      <c r="R298"/>
      <c r="S298"/>
      <c r="T298"/>
      <c r="U298"/>
      <c r="V298"/>
      <c r="W298"/>
      <c r="X298"/>
      <c r="Y298"/>
      <c r="Z298"/>
      <c r="AA298"/>
      <c r="AB298"/>
      <c r="AC298" s="609"/>
      <c r="AD298"/>
    </row>
    <row r="299" spans="18:30" s="44" customFormat="1">
      <c r="R299"/>
      <c r="S299"/>
      <c r="T299"/>
      <c r="U299"/>
      <c r="V299"/>
      <c r="W299"/>
      <c r="X299"/>
      <c r="Y299"/>
      <c r="Z299"/>
      <c r="AA299"/>
      <c r="AB299"/>
      <c r="AC299" s="609"/>
      <c r="AD299"/>
    </row>
    <row r="300" spans="18:30" s="44" customFormat="1">
      <c r="R300"/>
      <c r="S300"/>
      <c r="T300"/>
      <c r="U300"/>
      <c r="V300"/>
      <c r="W300"/>
      <c r="X300"/>
      <c r="Y300"/>
      <c r="Z300"/>
      <c r="AA300"/>
      <c r="AB300"/>
      <c r="AC300" s="609"/>
      <c r="AD300"/>
    </row>
    <row r="301" spans="18:30" s="44" customFormat="1">
      <c r="R301"/>
      <c r="S301"/>
      <c r="T301"/>
      <c r="U301"/>
      <c r="V301"/>
      <c r="W301"/>
      <c r="X301"/>
      <c r="Y301"/>
      <c r="Z301"/>
      <c r="AA301"/>
      <c r="AB301"/>
      <c r="AC301" s="609"/>
      <c r="AD301"/>
    </row>
    <row r="302" spans="18:30" s="44" customFormat="1">
      <c r="R302"/>
      <c r="S302"/>
      <c r="T302"/>
      <c r="U302"/>
      <c r="V302"/>
      <c r="W302"/>
      <c r="X302"/>
      <c r="Y302"/>
      <c r="Z302"/>
      <c r="AA302"/>
      <c r="AB302"/>
      <c r="AC302" s="609"/>
      <c r="AD302"/>
    </row>
  </sheetData>
  <protectedRanges>
    <protectedRange algorithmName="SHA-512" hashValue="24Yg3M703G5L8OyJWxlkx8c1Gwfrkael5W/l3TUk/Rcz5tR8QOgCx5v0Ebb/UGz+9BDKPJ5wV4hH8uuxvmtGIw==" saltValue="ZSJQ8EEnwGxsiYzxIw6K0Q==" spinCount="100000" sqref="N7:N8 E26:E40 N17:N18 O7:P9 B7:M9 B17:D18 O17:P19 M33:P40 N20:P32 F31:M32 E17:M24 A23:A29 C23:D29 B23:B24 B26:B29 E41:P235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235" name="Range2_5_2_2_2_2_2_2_2_2_2_2_2_2_2_2_2"/>
    <protectedRange algorithmName="SHA-512" hashValue="24Yg3M703G5L8OyJWxlkx8c1Gwfrkael5W/l3TUk/Rcz5tR8QOgCx5v0Ebb/UGz+9BDKPJ5wV4hH8uuxvmtGIw==" saltValue="ZSJQ8EEnwGxsiYzxIw6K0Q==" spinCount="100000" sqref="B30:D235" name="Range1_65_32_2_2_2_2_2_2_2_2_2_2_2_2_2_2"/>
    <protectedRange algorithmName="SHA-512" hashValue="XYWjC+iAz2ErgjMh7TSLHlxfTfK0uVcITDFdCCZFdnsWWbUNnsQqu9AM+0WFXQpYcy9ZvQx2KUXfpLhpOROHkg==" saltValue="47TiGLG0rJVTo3iAJH8T4w==" spinCount="100000" sqref="B21 D21" name="Range2_5_2_2_2_2_2_2_2_3_3_2_2_2_3_3_5_2_3_3_2_3_2_1"/>
    <protectedRange algorithmName="SHA-512" hashValue="24Yg3M703G5L8OyJWxlkx8c1Gwfrkael5W/l3TUk/Rcz5tR8QOgCx5v0Ebb/UGz+9BDKPJ5wV4hH8uuxvmtGIw==" saltValue="ZSJQ8EEnwGxsiYzxIw6K0Q==" spinCount="100000" sqref="B20:D20 B21 D21" name="Range1_65_32_2_2_2_2_2_2_3_3_2_2_3_3_3_5_2_3_3_2_3_2_1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1:P15 E10 M10 I10" name="Range1_65_32_32_30_30_30_30_30_30_30_30_30_30_30_30_30_30_30_30_30_30_30_30_30_30_30_30_30_33_24_24_25_24_24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_4_4"/>
    <protectedRange algorithmName="SHA-512" hashValue="24Yg3M703G5L8OyJWxlkx8c1Gwfrkael5W/l3TUk/Rcz5tR8QOgCx5v0Ebb/UGz+9BDKPJ5wV4hH8uuxvmtGIw==" saltValue="ZSJQ8EEnwGxsiYzxIw6K0Q==" spinCount="100000" sqref="B25 G26:I30 J25:M30 H25" name="Range1_65_32_32_30_30_30_30_30_30_30_30_30_30_30_30_30_30_30_30_30_30_30_30_30_30_30_30_30_30_3"/>
    <protectedRange algorithmName="SHA-512" hashValue="XYWjC+iAz2ErgjMh7TSLHlxfTfK0uVcITDFdCCZFdnsWWbUNnsQqu9AM+0WFXQpYcy9ZvQx2KUXfpLhpOROHkg==" saltValue="47TiGLG0rJVTo3iAJH8T4w==" spinCount="100000" sqref="C21" name="Range2_5_2_2_2_2_2_2_2_3_3_2_2_2_3_3_5_2_3_3_2_3_3_2"/>
    <protectedRange algorithmName="SHA-512" hashValue="24Yg3M703G5L8OyJWxlkx8c1Gwfrkael5W/l3TUk/Rcz5tR8QOgCx5v0Ebb/UGz+9BDKPJ5wV4hH8uuxvmtGIw==" saltValue="ZSJQ8EEnwGxsiYzxIw6K0Q==" spinCount="100000" sqref="C21" name="Range1_65_32_2_2_2_2_2_2_3_3_2_2_3_3_3_5_2_3_3_2_3_3_2"/>
  </protectedRanges>
  <mergeCells count="23">
    <mergeCell ref="A19:A20"/>
    <mergeCell ref="B19:D19"/>
    <mergeCell ref="B25:N3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9 S2:S17">
    <cfRule type="duplicateValues" dxfId="21" priority="53"/>
  </conditionalFormatting>
  <conditionalFormatting sqref="S99:S117 S82:S97 S1 S20 S22:S29 S34:S74 S128:S1048576">
    <cfRule type="duplicateValues" dxfId="20" priority="2"/>
  </conditionalFormatting>
  <pageMargins left="0.7" right="0.7" top="0.75" bottom="0.75" header="0.3" footer="0.3"/>
  <drawing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A945-FBD0-4E6E-9671-07256EC1D3FF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0488-3D7C-4A6B-BCEF-B0E152277862}">
  <dimension ref="A1:AG277"/>
  <sheetViews>
    <sheetView showGridLines="0" topLeftCell="A9" zoomScale="55" zoomScaleNormal="55" workbookViewId="0">
      <selection activeCell="C21" sqref="C21"/>
    </sheetView>
  </sheetViews>
  <sheetFormatPr defaultRowHeight="14.4"/>
  <cols>
    <col min="1" max="1" width="38.33203125" customWidth="1"/>
    <col min="2" max="4" width="11.109375" customWidth="1"/>
    <col min="5" max="5" width="8.6640625" customWidth="1"/>
    <col min="6" max="7" width="16" customWidth="1"/>
    <col min="8" max="8" width="14.88671875" customWidth="1"/>
    <col min="9" max="9" width="6.6640625" customWidth="1"/>
    <col min="10" max="12" width="20.44140625" customWidth="1"/>
    <col min="13" max="13" width="5.44140625" customWidth="1"/>
    <col min="14" max="14" width="18.109375" customWidth="1"/>
    <col min="15" max="15" width="20.6640625" customWidth="1"/>
    <col min="16" max="16" width="13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15.109375" customWidth="1"/>
    <col min="31" max="31" width="9.109375" bestFit="1" customWidth="1"/>
  </cols>
  <sheetData>
    <row r="1" spans="1:33" ht="17.399999999999999">
      <c r="A1" s="1211" t="s">
        <v>717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7.399999999999999">
      <c r="A2" s="762" t="s">
        <v>688</v>
      </c>
      <c r="B2" s="733"/>
      <c r="C2" s="733"/>
      <c r="D2" s="733"/>
      <c r="E2" s="735"/>
      <c r="F2" s="1525" t="s">
        <v>689</v>
      </c>
      <c r="G2" s="1525"/>
      <c r="H2" s="1525"/>
      <c r="I2" s="742"/>
      <c r="J2" s="1525" t="s">
        <v>690</v>
      </c>
      <c r="K2" s="1525"/>
      <c r="L2" s="1525"/>
      <c r="M2" s="735"/>
      <c r="N2" s="1526"/>
      <c r="O2" s="1526"/>
      <c r="P2" s="1526"/>
      <c r="R2" s="105" t="s">
        <v>691</v>
      </c>
      <c r="S2" s="105">
        <v>3331568799</v>
      </c>
      <c r="T2" s="105" t="s">
        <v>351</v>
      </c>
      <c r="U2" s="105">
        <v>24142622</v>
      </c>
      <c r="V2" s="1202" t="s">
        <v>354</v>
      </c>
      <c r="W2" s="1202" t="s">
        <v>362</v>
      </c>
      <c r="X2" s="401">
        <f>8945.352+12990.3+1161.176</f>
        <v>23096.828000000001</v>
      </c>
      <c r="Y2" s="105" t="s">
        <v>426</v>
      </c>
      <c r="Z2" s="1369">
        <v>1</v>
      </c>
      <c r="AA2" s="1369">
        <v>1</v>
      </c>
      <c r="AB2" s="1369" t="s">
        <v>204</v>
      </c>
      <c r="AC2" s="81"/>
      <c r="AD2" s="81"/>
      <c r="AE2" s="1243"/>
      <c r="AF2" s="1243"/>
      <c r="AG2" s="1243"/>
    </row>
    <row r="3" spans="1:33" ht="18.75" customHeight="1">
      <c r="A3" s="1559" t="s">
        <v>414</v>
      </c>
      <c r="B3" s="1529" t="s">
        <v>415</v>
      </c>
      <c r="C3" s="1530"/>
      <c r="D3" s="1531"/>
      <c r="E3" s="734"/>
      <c r="F3" s="1529" t="s">
        <v>415</v>
      </c>
      <c r="G3" s="1530"/>
      <c r="H3" s="1531"/>
      <c r="I3" s="734"/>
      <c r="J3" s="1529" t="s">
        <v>415</v>
      </c>
      <c r="K3" s="1530"/>
      <c r="L3" s="1531"/>
      <c r="M3" s="734"/>
      <c r="N3" s="1529" t="s">
        <v>415</v>
      </c>
      <c r="O3" s="1530"/>
      <c r="P3" s="1531"/>
      <c r="R3" s="1174" t="s">
        <v>718</v>
      </c>
      <c r="S3" s="105">
        <v>3331568800</v>
      </c>
      <c r="T3" s="105" t="s">
        <v>256</v>
      </c>
      <c r="U3" s="105" t="s">
        <v>256</v>
      </c>
      <c r="V3" s="1202" t="s">
        <v>256</v>
      </c>
      <c r="W3" s="105" t="s">
        <v>256</v>
      </c>
      <c r="X3" s="209" t="s">
        <v>256</v>
      </c>
      <c r="Y3" s="105" t="s">
        <v>256</v>
      </c>
      <c r="Z3" s="105" t="s">
        <v>256</v>
      </c>
      <c r="AA3" s="105" t="s">
        <v>256</v>
      </c>
      <c r="AB3" s="105" t="s">
        <v>256</v>
      </c>
      <c r="AC3" s="240"/>
      <c r="AD3" s="81"/>
      <c r="AE3" s="44"/>
      <c r="AF3" s="44"/>
      <c r="AG3" s="44"/>
    </row>
    <row r="4" spans="1:33" ht="30.75" customHeight="1">
      <c r="A4" s="1582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74" t="s">
        <v>718</v>
      </c>
      <c r="S4" s="105">
        <v>3331568801</v>
      </c>
      <c r="T4" s="105" t="s">
        <v>256</v>
      </c>
      <c r="U4" s="105" t="s">
        <v>256</v>
      </c>
      <c r="V4" s="1202" t="s">
        <v>256</v>
      </c>
      <c r="W4" s="105" t="s">
        <v>256</v>
      </c>
      <c r="X4" s="209" t="s">
        <v>256</v>
      </c>
      <c r="Y4" s="105" t="s">
        <v>256</v>
      </c>
      <c r="Z4" s="105" t="s">
        <v>256</v>
      </c>
      <c r="AA4" s="105" t="s">
        <v>256</v>
      </c>
      <c r="AB4" s="105" t="s">
        <v>256</v>
      </c>
      <c r="AC4" s="240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SUMPRODUCT(--ISNUMBER(MATCH(TRIM(W1:W317), {"JABODETABEK","JAWA TENGAH","JAWA TIMUR","LUAR PULAU"}, 0)), --(AC1:AC317=""))</f>
        <v>53</v>
      </c>
      <c r="C5" s="1303" cm="1">
        <f t="array" ref="C5">SUMPRODUCT(--(LOWER(TRIM(AB1:AB343))="masuk"), --(ISNUMBER(MATCH(TRIM(W1:W343), {"JABODETABEK","JAWA TENGAH","JAWA TIMUR","LUAR PULAU"}, 0))), --(LOWER(AC1:AC343)&lt;&gt;"add"))</f>
        <v>42</v>
      </c>
      <c r="D5" s="1304">
        <f>C5+-B5</f>
        <v>-11</v>
      </c>
      <c r="E5" s="734"/>
      <c r="F5" s="1306" cm="1">
        <f t="array" ref="F5">SUMPRODUCT(--(LOWER(AC1:AC343)="add"), --(ISNUMBER(MATCH(W1:W343, {"JABODETABEK","JAWA TENGAH","JAWA TIMUR","LUAR PULAU"}, 0))))</f>
        <v>5</v>
      </c>
      <c r="G5" s="1303" cm="1">
        <f t="array" ref="G5">SUMPRODUCT(--(LOWER(AB1:AB343)="masuk"), --(LOWER(AC1:AC343)="add"))</f>
        <v>5</v>
      </c>
      <c r="H5" s="1304">
        <f>G5+-F5</f>
        <v>0</v>
      </c>
      <c r="I5" s="734"/>
      <c r="J5" s="1306" cm="1">
        <f t="array" ref="J5">SUMPRODUCT(--(ISNUMBER(SEARCH("next day",LOWER(W1:W343)))+ISNUMBER(SEARCH("nextday",LOWER(W1:W343)))&gt; 0))</f>
        <v>3</v>
      </c>
      <c r="K5" s="1303" cm="1">
        <f t="array" ref="K5">SUMPRODUCT(--(LOWER(AB1:AB343)="masuk"), --ISNUMBER(SEARCH("next day", LOWER(W1:W343))))</f>
        <v>0</v>
      </c>
      <c r="L5" s="1304">
        <f>K5+-J5</f>
        <v>-3</v>
      </c>
      <c r="M5" s="734"/>
      <c r="N5" s="1306">
        <f>B5+F5+J5</f>
        <v>61</v>
      </c>
      <c r="O5" s="1303">
        <f>C5+G5+K5</f>
        <v>47</v>
      </c>
      <c r="P5" s="1304">
        <f>D5+H5+L5</f>
        <v>-14</v>
      </c>
      <c r="R5" s="1174" t="s">
        <v>691</v>
      </c>
      <c r="S5" s="105">
        <v>3331569861</v>
      </c>
      <c r="T5" s="105" t="s">
        <v>351</v>
      </c>
      <c r="U5" s="105">
        <v>24142762</v>
      </c>
      <c r="V5" s="1202" t="s">
        <v>354</v>
      </c>
      <c r="W5" s="1202" t="s">
        <v>362</v>
      </c>
      <c r="X5" s="209">
        <v>23988.754000000001</v>
      </c>
      <c r="Y5" s="105" t="s">
        <v>426</v>
      </c>
      <c r="Z5" s="1369">
        <v>1</v>
      </c>
      <c r="AA5" s="1369">
        <v>1</v>
      </c>
      <c r="AB5" s="1369" t="s">
        <v>204</v>
      </c>
      <c r="AC5" s="240"/>
      <c r="AD5" s="81"/>
      <c r="AE5" s="44"/>
      <c r="AF5" s="44"/>
      <c r="AG5" s="44"/>
    </row>
    <row r="6" spans="1:33" ht="17.399999999999999">
      <c r="A6" s="733"/>
      <c r="B6" s="733">
        <f>SUM(B5)</f>
        <v>53</v>
      </c>
      <c r="C6" s="733">
        <f>SUM(C5)</f>
        <v>42</v>
      </c>
      <c r="D6" s="739">
        <f>SUM(D5)</f>
        <v>-11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0</v>
      </c>
      <c r="L6" s="739">
        <f>SUM(L5)</f>
        <v>-3</v>
      </c>
      <c r="M6" s="733"/>
      <c r="N6" s="760">
        <f>SUM(N5:N5)</f>
        <v>61</v>
      </c>
      <c r="O6" s="760">
        <f>SUM(O5:O5)</f>
        <v>47</v>
      </c>
      <c r="P6" s="761">
        <f>SUM(P5:P5)</f>
        <v>-14</v>
      </c>
      <c r="R6" s="1201" t="s">
        <v>694</v>
      </c>
      <c r="S6" s="1227">
        <v>3331569677</v>
      </c>
      <c r="T6" s="1317" t="s">
        <v>424</v>
      </c>
      <c r="U6" s="1227">
        <v>24142713</v>
      </c>
      <c r="V6" s="1227" t="s">
        <v>429</v>
      </c>
      <c r="W6" s="1227" t="s">
        <v>362</v>
      </c>
      <c r="X6" s="1229">
        <f>1881.22+22354.075</f>
        <v>24235.295000000002</v>
      </c>
      <c r="Y6" s="105" t="s">
        <v>426</v>
      </c>
      <c r="Z6" s="1373">
        <v>1</v>
      </c>
      <c r="AA6" s="1373">
        <v>1</v>
      </c>
      <c r="AB6" s="1373" t="s">
        <v>204</v>
      </c>
      <c r="AC6" s="1192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694</v>
      </c>
      <c r="S7" s="1227">
        <v>3331569678</v>
      </c>
      <c r="T7" s="1317" t="s">
        <v>424</v>
      </c>
      <c r="U7" s="1227" t="s">
        <v>256</v>
      </c>
      <c r="V7" s="1227" t="s">
        <v>256</v>
      </c>
      <c r="W7" s="1227" t="s">
        <v>256</v>
      </c>
      <c r="X7" s="1229" t="s">
        <v>256</v>
      </c>
      <c r="Y7" s="105" t="s">
        <v>256</v>
      </c>
      <c r="Z7" s="1373" t="s">
        <v>256</v>
      </c>
      <c r="AA7" s="1373" t="s">
        <v>256</v>
      </c>
      <c r="AB7" s="1373" t="s">
        <v>256</v>
      </c>
      <c r="AC7" s="1192"/>
      <c r="AD7" s="81"/>
      <c r="AE7" s="44"/>
      <c r="AF7" s="44"/>
      <c r="AG7" s="44"/>
    </row>
    <row r="8" spans="1:33" ht="17.399999999999999">
      <c r="A8" s="763" t="str">
        <f>A1</f>
        <v>Plan Delivery 13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1" t="s">
        <v>692</v>
      </c>
      <c r="S8" s="1227">
        <v>3331569781</v>
      </c>
      <c r="T8" s="1317" t="s">
        <v>424</v>
      </c>
      <c r="U8" s="1227">
        <v>24142735</v>
      </c>
      <c r="V8" s="1227" t="s">
        <v>429</v>
      </c>
      <c r="W8" s="1227" t="s">
        <v>362</v>
      </c>
      <c r="X8" s="1229">
        <v>24205.732</v>
      </c>
      <c r="Y8" s="105" t="s">
        <v>426</v>
      </c>
      <c r="Z8" s="1373">
        <v>1</v>
      </c>
      <c r="AA8" s="1373">
        <v>1</v>
      </c>
      <c r="AB8" s="1373" t="s">
        <v>204</v>
      </c>
      <c r="AC8" s="1192"/>
      <c r="AD8" s="81"/>
      <c r="AE8" s="44"/>
      <c r="AF8" s="44"/>
      <c r="AG8" s="44"/>
    </row>
    <row r="9" spans="1:33" ht="18.75" customHeight="1">
      <c r="A9" s="763" t="str">
        <f>A2</f>
        <v>Realz update 14 Nov’25 jam 07.00</v>
      </c>
      <c r="B9" s="825"/>
      <c r="C9" s="825"/>
      <c r="D9" s="825"/>
      <c r="E9" s="734"/>
      <c r="F9" s="1525" t="str">
        <f>F2</f>
        <v>Tgl 13 Nov’25 diatas jam 15.00</v>
      </c>
      <c r="G9" s="1525"/>
      <c r="H9" s="1525"/>
      <c r="I9" s="826"/>
      <c r="J9" s="1525" t="str">
        <f>J2</f>
        <v>Tgl 13 Nov’25</v>
      </c>
      <c r="K9" s="1525"/>
      <c r="L9" s="1525"/>
      <c r="M9" s="734"/>
      <c r="N9" s="1526"/>
      <c r="O9" s="1526"/>
      <c r="P9" s="1526"/>
      <c r="R9" s="1189" t="s">
        <v>691</v>
      </c>
      <c r="S9" s="1224">
        <v>3331569785</v>
      </c>
      <c r="T9" s="1279" t="s">
        <v>424</v>
      </c>
      <c r="U9" s="1224">
        <v>24142736</v>
      </c>
      <c r="V9" s="1224" t="s">
        <v>429</v>
      </c>
      <c r="W9" s="1224" t="s">
        <v>362</v>
      </c>
      <c r="X9" s="1225">
        <v>24508.366000000002</v>
      </c>
      <c r="Y9" s="81" t="s">
        <v>426</v>
      </c>
      <c r="Z9" s="1362">
        <v>1</v>
      </c>
      <c r="AA9" s="1362">
        <v>1</v>
      </c>
      <c r="AB9" s="1362" t="s">
        <v>207</v>
      </c>
      <c r="AC9" s="1192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30"/>
      <c r="D10" s="1531"/>
      <c r="E10" s="734"/>
      <c r="F10" s="1529" t="s">
        <v>415</v>
      </c>
      <c r="G10" s="1530"/>
      <c r="H10" s="1531"/>
      <c r="I10" s="734"/>
      <c r="J10" s="1529" t="s">
        <v>415</v>
      </c>
      <c r="K10" s="1530"/>
      <c r="L10" s="1531"/>
      <c r="M10" s="734"/>
      <c r="N10" s="1529" t="s">
        <v>415</v>
      </c>
      <c r="O10" s="1530"/>
      <c r="P10" s="1531"/>
      <c r="R10" s="1189" t="s">
        <v>691</v>
      </c>
      <c r="S10" s="1224">
        <v>3331569786</v>
      </c>
      <c r="T10" s="1279" t="s">
        <v>424</v>
      </c>
      <c r="U10" s="1224">
        <v>24142737</v>
      </c>
      <c r="V10" s="1224" t="s">
        <v>429</v>
      </c>
      <c r="W10" s="1224" t="s">
        <v>362</v>
      </c>
      <c r="X10" s="1225">
        <v>25114.58</v>
      </c>
      <c r="Y10" s="81" t="s">
        <v>426</v>
      </c>
      <c r="Z10" s="1362">
        <v>1</v>
      </c>
      <c r="AA10" s="1362">
        <v>1</v>
      </c>
      <c r="AB10" s="1362" t="s">
        <v>207</v>
      </c>
      <c r="AC10" s="1192"/>
      <c r="AD10" s="81"/>
      <c r="AE10" s="44"/>
      <c r="AF10" s="44"/>
      <c r="AG10" s="44"/>
    </row>
    <row r="11" spans="1:33" ht="30" customHeight="1">
      <c r="A11" s="1541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691</v>
      </c>
      <c r="S11" s="1224">
        <v>3331569787</v>
      </c>
      <c r="T11" s="1279" t="s">
        <v>424</v>
      </c>
      <c r="U11" s="1224">
        <v>24142738</v>
      </c>
      <c r="V11" s="1224" t="s">
        <v>429</v>
      </c>
      <c r="W11" s="1224" t="s">
        <v>362</v>
      </c>
      <c r="X11" s="1225">
        <v>24819.072</v>
      </c>
      <c r="Y11" s="81" t="s">
        <v>426</v>
      </c>
      <c r="Z11" s="1362">
        <v>1</v>
      </c>
      <c r="AA11" s="1362">
        <v>1</v>
      </c>
      <c r="AB11" s="1362" t="s">
        <v>207</v>
      </c>
      <c r="AC11" s="1192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SUMPRODUCT(--(TRIM(LOWER(W1:W343))="jabodetabek"), --(LOWER(AC1:AC343)&lt;&gt;"add"))</f>
        <v>21</v>
      </c>
      <c r="C12" s="748" cm="1">
        <f t="array" ref="C12">SUMPRODUCT(--(LOWER(AB1:AB343)="masuk"), --(TRIM(LOWER(W1:W343))="jabodetabek"), --(LOWER(AC1:AC343)&lt;&gt;"add"))</f>
        <v>21</v>
      </c>
      <c r="D12" s="973">
        <f>C12+-B12</f>
        <v>0</v>
      </c>
      <c r="E12" s="734"/>
      <c r="F12" s="748" cm="1">
        <f t="array" ref="F12">SUMPRODUCT(--(LOWER(AC1:AC343)="add"), --(TRIM(LOWER(W1:W343))="jabodetabek"))</f>
        <v>4</v>
      </c>
      <c r="G12" s="747" cm="1">
        <f t="array" ref="G12">SUMPRODUCT(--(LOWER(AB1:AB343)="masuk"), --(LOWER(AC1:AC343)="add"), --(TRIM(LOWER(W1:W343))="jabodetabek"))</f>
        <v>4</v>
      </c>
      <c r="H12" s="740">
        <f>G12+-F12</f>
        <v>0</v>
      </c>
      <c r="I12" s="734"/>
      <c r="J12" s="748" cm="1">
        <f t="array" ref="J12">SUMPRODUCT(--(ISNUMBER(SEARCH("jabodetabek next day",LOWER(W1:W343)))+ISNUMBER(SEARCH("jabodetabek nextday",LOWER(W1:W343)))&gt; 0))</f>
        <v>0</v>
      </c>
      <c r="K12" s="747" cm="1">
        <f t="array" ref="K12">SUMPRODUCT(--(LOWER(AB1:AB343)="masuk"), --(LOWER(TRIM(W1:W343))="jabodetabek next day"))</f>
        <v>0</v>
      </c>
      <c r="L12" s="740">
        <f>K12+-J12</f>
        <v>0</v>
      </c>
      <c r="M12" s="734"/>
      <c r="N12" s="748">
        <f t="shared" ref="N12:P16" si="0">B12+F12+J12</f>
        <v>25</v>
      </c>
      <c r="O12" s="747">
        <f t="shared" si="0"/>
        <v>25</v>
      </c>
      <c r="P12" s="740">
        <f t="shared" si="0"/>
        <v>0</v>
      </c>
      <c r="R12" s="1189" t="s">
        <v>692</v>
      </c>
      <c r="S12" s="1224">
        <v>3331569793</v>
      </c>
      <c r="T12" s="1279" t="s">
        <v>424</v>
      </c>
      <c r="U12" s="1224">
        <v>24142739</v>
      </c>
      <c r="V12" s="1224" t="s">
        <v>429</v>
      </c>
      <c r="W12" s="1224" t="s">
        <v>362</v>
      </c>
      <c r="X12" s="1225">
        <v>24248.560000000001</v>
      </c>
      <c r="Y12" s="81" t="s">
        <v>426</v>
      </c>
      <c r="Z12" s="1362">
        <v>1</v>
      </c>
      <c r="AA12" s="1362">
        <v>1</v>
      </c>
      <c r="AB12" s="1362" t="s">
        <v>207</v>
      </c>
      <c r="AC12" s="1192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SUMPRODUCT(--(TRIM(LOWER(W1:W343))="jawa tengah"), --(LOWER(AC1:AC343)&lt;&gt;"add"))</f>
        <v>0</v>
      </c>
      <c r="C13" s="750" cm="1">
        <f t="array" ref="C13">SUMPRODUCT(--(LOWER(AB1:AB343)="masuk"), --(TRIM(LOWER(W1:W343))="jawa tengah"), --(LOWER(AC1:AC343)&lt;&gt;"add"))</f>
        <v>0</v>
      </c>
      <c r="D13" s="846">
        <f>C13+-B13</f>
        <v>0</v>
      </c>
      <c r="E13" s="734"/>
      <c r="F13" s="751" cm="1">
        <f t="array" ref="F13">SUMPRODUCT(--(LOWER(AC1:AC343)="add"), --(TRIM(LOWER(W1:W343))="jawa tengah"))</f>
        <v>0</v>
      </c>
      <c r="G13" s="747" cm="1">
        <f t="array" ref="G13">SUMPRODUCT(--(LOWER(AB1:AB343)="masuk"), --(LOWER(AC1:AC343)="add"), --(TRIM(LOWER(W1:W343))="jawa tengah"))</f>
        <v>0</v>
      </c>
      <c r="H13" s="740">
        <f>G13+-F13</f>
        <v>0</v>
      </c>
      <c r="I13" s="734"/>
      <c r="J13" s="748" cm="1">
        <f t="array" ref="J13">SUMPRODUCT(--((LOWER(TRIM(W1:W343))="jawa tengah next day")+(LOWER(TRIM(W1:W343))="jawa tengah nextday")))</f>
        <v>3</v>
      </c>
      <c r="K13" s="747" cm="1">
        <f t="array" ref="K13">SUMPRODUCT(--(LOWER(AB1:AB343)="masuk"), --(LOWER(TRIM(W1:W343))="jawa tengah next day"))</f>
        <v>0</v>
      </c>
      <c r="L13" s="740">
        <f>K13+-J13</f>
        <v>-3</v>
      </c>
      <c r="M13" s="734"/>
      <c r="N13" s="748">
        <f t="shared" si="0"/>
        <v>3</v>
      </c>
      <c r="O13" s="747">
        <f t="shared" si="0"/>
        <v>0</v>
      </c>
      <c r="P13" s="740">
        <f t="shared" si="0"/>
        <v>-3</v>
      </c>
      <c r="R13" s="1189" t="s">
        <v>691</v>
      </c>
      <c r="S13" s="1224">
        <v>3331569808</v>
      </c>
      <c r="T13" s="1279" t="s">
        <v>424</v>
      </c>
      <c r="U13" s="1224">
        <v>24142748</v>
      </c>
      <c r="V13" s="1224" t="s">
        <v>693</v>
      </c>
      <c r="W13" s="1224" t="s">
        <v>362</v>
      </c>
      <c r="X13" s="1225">
        <v>24943.77</v>
      </c>
      <c r="Y13" s="81" t="s">
        <v>426</v>
      </c>
      <c r="Z13" s="1362">
        <v>1</v>
      </c>
      <c r="AA13" s="1362">
        <v>1</v>
      </c>
      <c r="AB13" s="1362" t="s">
        <v>207</v>
      </c>
      <c r="AC13" s="1192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SUMPRODUCT(--(TRIM(LOWER(W1:W343))="jawa timur"), --(LOWER(AC1:AC343)&lt;&gt;"add"))</f>
        <v>16</v>
      </c>
      <c r="C14" s="750" cm="1">
        <f t="array" ref="C14">SUMPRODUCT(--(LOWER(AB1:AB343)="masuk"), --(TRIM(LOWER(W1:W343))="jawa timur"), --(LOWER(AC1:AC343)&lt;&gt;"add"))</f>
        <v>15</v>
      </c>
      <c r="D14" s="846">
        <f>C14+-B14</f>
        <v>-1</v>
      </c>
      <c r="E14" s="734"/>
      <c r="F14" s="750" cm="1">
        <f t="array" ref="F14">SUMPRODUCT(--(LOWER(AC1:AC343)="add"), --(TRIM(LOWER(W1:W343))="jawa timur"))</f>
        <v>1</v>
      </c>
      <c r="G14" s="747" cm="1">
        <f t="array" ref="G14">SUMPRODUCT(--(LOWER(AB1:AB343)="masuk"), --(LOWER(AC1:AC343)="add"), --(TRIM(LOWER(W1:W343))="jawa timur"))</f>
        <v>1</v>
      </c>
      <c r="H14" s="740">
        <f>G14+-F14</f>
        <v>0</v>
      </c>
      <c r="I14" s="734"/>
      <c r="J14" s="748" cm="1">
        <f t="array" ref="J14">SUMPRODUCT(--((LOWER(TRIM(W1:W343))="jawa timur next day")+(LOWER(TRIM(W1:W343))="jawa timur nextday")))</f>
        <v>0</v>
      </c>
      <c r="K14" s="747" cm="1">
        <f t="array" ref="K14">SUMPRODUCT(--(LOWER(AB1:AB343)="masuk"), --(LOWER(TRIM(W1:W343))="jawa timur next day"))</f>
        <v>0</v>
      </c>
      <c r="L14" s="740">
        <f>K14+-J14</f>
        <v>0</v>
      </c>
      <c r="M14" s="734"/>
      <c r="N14" s="748">
        <f t="shared" si="0"/>
        <v>17</v>
      </c>
      <c r="O14" s="747">
        <f t="shared" si="0"/>
        <v>16</v>
      </c>
      <c r="P14" s="740">
        <f t="shared" si="0"/>
        <v>-1</v>
      </c>
      <c r="R14" s="1201" t="s">
        <v>691</v>
      </c>
      <c r="S14" s="1227">
        <v>3331569809</v>
      </c>
      <c r="T14" s="1317" t="s">
        <v>424</v>
      </c>
      <c r="U14" s="1227">
        <v>24142749</v>
      </c>
      <c r="V14" s="1227" t="s">
        <v>693</v>
      </c>
      <c r="W14" s="1227" t="s">
        <v>362</v>
      </c>
      <c r="X14" s="1229">
        <v>24427.691999999999</v>
      </c>
      <c r="Y14" s="105" t="s">
        <v>426</v>
      </c>
      <c r="Z14" s="1373">
        <v>1</v>
      </c>
      <c r="AA14" s="1373">
        <v>1</v>
      </c>
      <c r="AB14" s="1373" t="s">
        <v>204</v>
      </c>
      <c r="AC14" s="1192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SUMPRODUCT(--(TRIM(LOWER(W1:W343))="luar pulau"), --(LOWER(AC1:AC343)&lt;&gt;"add"))</f>
        <v>16</v>
      </c>
      <c r="C15" s="750" cm="1">
        <f t="array" ref="C15">SUMPRODUCT(--(LOWER(AB1:AB343)="masuk"), --(TRIM(LOWER(W1:W343))="luar pulau"), --(LOWER(AC1:AC343)&lt;&gt;"add"))</f>
        <v>6</v>
      </c>
      <c r="D15" s="846">
        <f>C15+-B15</f>
        <v>-10</v>
      </c>
      <c r="E15" s="734"/>
      <c r="F15" s="748" cm="1">
        <f t="array" ref="F15">SUMPRODUCT(--(LOWER(AC1:AC343)="add"), --(TRIM(LOWER(W1:W343))="luar pulau"))</f>
        <v>0</v>
      </c>
      <c r="G15" s="747" cm="1">
        <f t="array" ref="G15">SUMPRODUCT(--(LOWER(AB1:AB343)="masuk"), --(LOWER(AC1:AC343)="add"), --(TRIM(LOWER(W1:W343))="luar pulau"))</f>
        <v>0</v>
      </c>
      <c r="H15" s="740">
        <f>G15+-F15</f>
        <v>0</v>
      </c>
      <c r="I15" s="734"/>
      <c r="J15" s="748" cm="1">
        <f t="array" ref="J15">SUMPRODUCT(--((LOWER(TRIM(W1:W343))="luar pulau next day")+(LOWER(TRIM(W1:W343))="luar pulau nextday")))</f>
        <v>0</v>
      </c>
      <c r="K15" s="747" cm="1">
        <f t="array" ref="K15">SUMPRODUCT(--(LOWER(AB1:AB343)="masuk"), --(LOWER(TRIM(W1:W343))="luar pulau next day"))</f>
        <v>0</v>
      </c>
      <c r="L15" s="740">
        <f>K15+-J15</f>
        <v>0</v>
      </c>
      <c r="M15" s="734"/>
      <c r="N15" s="748">
        <f t="shared" si="0"/>
        <v>16</v>
      </c>
      <c r="O15" s="747">
        <f t="shared" si="0"/>
        <v>6</v>
      </c>
      <c r="P15" s="740">
        <f t="shared" si="0"/>
        <v>-10</v>
      </c>
      <c r="R15" s="1189" t="s">
        <v>691</v>
      </c>
      <c r="S15" s="1224">
        <v>3331569811</v>
      </c>
      <c r="T15" s="1279" t="s">
        <v>424</v>
      </c>
      <c r="U15" s="1224">
        <v>24142750</v>
      </c>
      <c r="V15" s="1224" t="s">
        <v>693</v>
      </c>
      <c r="W15" s="1224" t="s">
        <v>362</v>
      </c>
      <c r="X15" s="1225">
        <v>23902.151999999998</v>
      </c>
      <c r="Y15" s="81" t="s">
        <v>426</v>
      </c>
      <c r="Z15" s="1362">
        <v>1</v>
      </c>
      <c r="AA15" s="1362">
        <v>1</v>
      </c>
      <c r="AB15" s="1362" t="s">
        <v>207</v>
      </c>
      <c r="AC15" s="1192"/>
      <c r="AD15" s="81"/>
      <c r="AE15" s="44"/>
      <c r="AF15" s="44"/>
      <c r="AG15" s="44"/>
    </row>
    <row r="16" spans="1:33" ht="17.399999999999999">
      <c r="A16" s="827"/>
      <c r="B16" s="733">
        <f>SUM(B12:B15)</f>
        <v>53</v>
      </c>
      <c r="C16" s="733">
        <f>SUM(C12:C15)</f>
        <v>42</v>
      </c>
      <c r="D16" s="739">
        <f>SUM(D12:D15)</f>
        <v>-11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0</v>
      </c>
      <c r="L16" s="739">
        <f>SUM(L12:L15)</f>
        <v>-3</v>
      </c>
      <c r="M16" s="734"/>
      <c r="N16" s="760">
        <f t="shared" si="0"/>
        <v>61</v>
      </c>
      <c r="O16" s="760">
        <f t="shared" si="0"/>
        <v>47</v>
      </c>
      <c r="P16" s="761">
        <f t="shared" si="0"/>
        <v>-14</v>
      </c>
      <c r="R16" s="1189" t="s">
        <v>691</v>
      </c>
      <c r="S16" s="1224">
        <v>3331569813</v>
      </c>
      <c r="T16" s="1279" t="s">
        <v>424</v>
      </c>
      <c r="U16" s="1224">
        <v>24142751</v>
      </c>
      <c r="V16" s="1224" t="s">
        <v>693</v>
      </c>
      <c r="W16" s="1224" t="s">
        <v>362</v>
      </c>
      <c r="X16" s="1225">
        <v>24898.075000000001</v>
      </c>
      <c r="Y16" s="81" t="s">
        <v>426</v>
      </c>
      <c r="Z16" s="1362">
        <v>1</v>
      </c>
      <c r="AA16" s="1362">
        <v>1</v>
      </c>
      <c r="AB16" s="1362" t="s">
        <v>207</v>
      </c>
      <c r="AC16" s="1192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694</v>
      </c>
      <c r="S17" s="1224">
        <v>3331570272</v>
      </c>
      <c r="T17" s="1279" t="s">
        <v>424</v>
      </c>
      <c r="U17" s="1224">
        <v>24142818</v>
      </c>
      <c r="V17" s="1224" t="s">
        <v>429</v>
      </c>
      <c r="W17" s="1224" t="s">
        <v>362</v>
      </c>
      <c r="X17" s="1225">
        <v>24465.87</v>
      </c>
      <c r="Y17" s="81" t="s">
        <v>426</v>
      </c>
      <c r="Z17" s="1362">
        <v>1</v>
      </c>
      <c r="AA17" s="1362">
        <v>1</v>
      </c>
      <c r="AB17" s="1362" t="s">
        <v>207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691</v>
      </c>
      <c r="S18" s="1224">
        <v>3331570275</v>
      </c>
      <c r="T18" s="1279" t="s">
        <v>424</v>
      </c>
      <c r="U18" s="1224">
        <v>24142819</v>
      </c>
      <c r="V18" s="1224" t="s">
        <v>429</v>
      </c>
      <c r="W18" s="1224" t="s">
        <v>362</v>
      </c>
      <c r="X18" s="1225">
        <v>24415.481</v>
      </c>
      <c r="Y18" s="81" t="s">
        <v>426</v>
      </c>
      <c r="Z18" s="1362">
        <v>1</v>
      </c>
      <c r="AA18" s="1362">
        <v>1</v>
      </c>
      <c r="AB18" s="1362" t="s">
        <v>207</v>
      </c>
      <c r="AC18" s="1271"/>
      <c r="AD18" s="81"/>
    </row>
    <row r="19" spans="1:30" s="44" customFormat="1" ht="17.399999999999999">
      <c r="A19" s="1583" t="s">
        <v>434</v>
      </c>
      <c r="B19" s="1529" t="s">
        <v>415</v>
      </c>
      <c r="C19" s="1530"/>
      <c r="D19" s="1531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691</v>
      </c>
      <c r="S19" s="1224">
        <v>3331570276</v>
      </c>
      <c r="T19" s="1279" t="s">
        <v>424</v>
      </c>
      <c r="U19" s="1224">
        <v>24142820</v>
      </c>
      <c r="V19" s="1224" t="s">
        <v>429</v>
      </c>
      <c r="W19" s="1224" t="s">
        <v>362</v>
      </c>
      <c r="X19" s="1225">
        <f>8171.235+13336.708+4330.1</f>
        <v>25838.042999999998</v>
      </c>
      <c r="Y19" s="81" t="s">
        <v>426</v>
      </c>
      <c r="Z19" s="1362">
        <v>1</v>
      </c>
      <c r="AA19" s="1362">
        <v>1</v>
      </c>
      <c r="AB19" s="1362" t="s">
        <v>207</v>
      </c>
      <c r="AC19" s="1271"/>
      <c r="AD19" s="81"/>
    </row>
    <row r="20" spans="1:30" s="44" customFormat="1" ht="17.399999999999999">
      <c r="A20" s="1583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694</v>
      </c>
      <c r="S20" s="1224">
        <v>3331570277</v>
      </c>
      <c r="T20" s="1279" t="s">
        <v>256</v>
      </c>
      <c r="U20" s="1224" t="s">
        <v>256</v>
      </c>
      <c r="V20" s="1224" t="s">
        <v>256</v>
      </c>
      <c r="W20" s="1224" t="s">
        <v>256</v>
      </c>
      <c r="X20" s="1225" t="s">
        <v>256</v>
      </c>
      <c r="Y20" s="81" t="s">
        <v>256</v>
      </c>
      <c r="Z20" s="1362" t="s">
        <v>256</v>
      </c>
      <c r="AA20" s="1362" t="s">
        <v>256</v>
      </c>
      <c r="AB20" s="1362" t="s">
        <v>256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SUMPRODUCT(--((LOWER(TRIM($W$2:$W$339))="ambil sendiri")+(LOWER(TRIM($W$2:$W$339))="cokot sorangan")))</f>
        <v>4</v>
      </c>
      <c r="C21" s="969" cm="1">
        <f t="array" ref="C21">SUMPRODUCT(--(LOWER(AB6:AB419)="masuk"), --((LOWER(TRIM($W$2:$W$415))="cokot sorangan") + (LOWER(TRIM(W6:W419))="ambil sendiri")))</f>
        <v>1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694</v>
      </c>
      <c r="S21" s="1224">
        <v>3331570278</v>
      </c>
      <c r="T21" s="1279" t="s">
        <v>256</v>
      </c>
      <c r="U21" s="1224" t="s">
        <v>256</v>
      </c>
      <c r="V21" s="1224" t="s">
        <v>256</v>
      </c>
      <c r="W21" s="1224" t="s">
        <v>256</v>
      </c>
      <c r="X21" s="1225" t="s">
        <v>256</v>
      </c>
      <c r="Y21" s="81" t="s">
        <v>256</v>
      </c>
      <c r="Z21" s="1362" t="s">
        <v>256</v>
      </c>
      <c r="AA21" s="1362" t="s">
        <v>256</v>
      </c>
      <c r="AB21" s="1362" t="s">
        <v>256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691</v>
      </c>
      <c r="S22" s="1190">
        <v>3331570223</v>
      </c>
      <c r="T22" s="1190" t="s">
        <v>439</v>
      </c>
      <c r="U22" s="1190">
        <v>24142815</v>
      </c>
      <c r="V22" s="1195" t="s">
        <v>440</v>
      </c>
      <c r="W22" s="1190" t="s">
        <v>434</v>
      </c>
      <c r="X22" s="1191">
        <f>8978.55+32599.151</f>
        <v>41577.701000000001</v>
      </c>
      <c r="Y22" s="1190" t="s">
        <v>128</v>
      </c>
      <c r="Z22" s="1195">
        <v>1</v>
      </c>
      <c r="AA22" s="1195">
        <v>1</v>
      </c>
      <c r="AB22" s="1190" t="s">
        <v>207</v>
      </c>
      <c r="AC22" s="1192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691</v>
      </c>
      <c r="S23" s="1190">
        <v>3331570227</v>
      </c>
      <c r="T23" s="1106" t="s">
        <v>256</v>
      </c>
      <c r="U23" s="1106" t="s">
        <v>256</v>
      </c>
      <c r="V23" s="1106" t="s">
        <v>256</v>
      </c>
      <c r="W23" s="1106" t="s">
        <v>256</v>
      </c>
      <c r="X23" s="1191" t="s">
        <v>256</v>
      </c>
      <c r="Y23" s="1106" t="s">
        <v>256</v>
      </c>
      <c r="Z23" s="1106" t="s">
        <v>256</v>
      </c>
      <c r="AA23" s="1106" t="s">
        <v>256</v>
      </c>
      <c r="AB23" s="1106" t="s">
        <v>256</v>
      </c>
      <c r="AC23" s="1192"/>
      <c r="AD23" s="203"/>
    </row>
    <row r="24" spans="1:30" s="44" customFormat="1" ht="17.399999999999999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56" t="s">
        <v>691</v>
      </c>
      <c r="S24" s="1257">
        <v>3331570439</v>
      </c>
      <c r="T24" s="1257" t="s">
        <v>336</v>
      </c>
      <c r="U24" s="1257">
        <v>24142844</v>
      </c>
      <c r="V24" s="1257" t="s">
        <v>529</v>
      </c>
      <c r="W24" s="1202" t="s">
        <v>434</v>
      </c>
      <c r="X24" s="1258">
        <v>36329.519</v>
      </c>
      <c r="Y24" s="1257" t="s">
        <v>128</v>
      </c>
      <c r="Z24" s="1257">
        <v>1</v>
      </c>
      <c r="AA24" s="1257">
        <v>1</v>
      </c>
      <c r="AB24" s="1202" t="s">
        <v>719</v>
      </c>
      <c r="AC24" s="1197"/>
      <c r="AD24" s="203"/>
    </row>
    <row r="25" spans="1:30" s="44" customFormat="1" ht="18.75" customHeight="1">
      <c r="A25" s="1021"/>
      <c r="B25" s="1584" t="s">
        <v>697</v>
      </c>
      <c r="C25" s="1584"/>
      <c r="D25" s="1584"/>
      <c r="E25" s="1584"/>
      <c r="F25" s="1584"/>
      <c r="G25" s="1584"/>
      <c r="H25" s="1584"/>
      <c r="I25" s="1584"/>
      <c r="J25" s="1584"/>
      <c r="K25" s="1584"/>
      <c r="L25" s="1584"/>
      <c r="M25" s="1584"/>
      <c r="N25" s="1584"/>
      <c r="O25" s="1021"/>
      <c r="P25" s="1022"/>
      <c r="R25" s="1189" t="s">
        <v>691</v>
      </c>
      <c r="S25" s="1190">
        <v>3331570445</v>
      </c>
      <c r="T25" s="1195" t="s">
        <v>336</v>
      </c>
      <c r="U25" s="1190">
        <v>24142848</v>
      </c>
      <c r="V25" s="1195" t="s">
        <v>529</v>
      </c>
      <c r="W25" s="1195" t="s">
        <v>434</v>
      </c>
      <c r="X25" s="1191">
        <f>8773.326+19008.873+3031.07+5729.17</f>
        <v>36542.438999999998</v>
      </c>
      <c r="Y25" s="1195" t="s">
        <v>128</v>
      </c>
      <c r="Z25" s="1195">
        <v>1</v>
      </c>
      <c r="AA25" s="1195">
        <v>1</v>
      </c>
      <c r="AB25" s="1190" t="s">
        <v>207</v>
      </c>
      <c r="AC25" s="1192"/>
      <c r="AD25" s="81"/>
    </row>
    <row r="26" spans="1:30" s="44" customFormat="1" ht="18.75" customHeight="1">
      <c r="A26" s="1021"/>
      <c r="B26" s="1584"/>
      <c r="C26" s="1584"/>
      <c r="D26" s="1584"/>
      <c r="E26" s="1584"/>
      <c r="F26" s="1584"/>
      <c r="G26" s="1584"/>
      <c r="H26" s="1584"/>
      <c r="I26" s="1584"/>
      <c r="J26" s="1584"/>
      <c r="K26" s="1584"/>
      <c r="L26" s="1584"/>
      <c r="M26" s="1584"/>
      <c r="N26" s="1584"/>
      <c r="O26" s="1021"/>
      <c r="P26" s="1022"/>
      <c r="R26" s="1189" t="s">
        <v>695</v>
      </c>
      <c r="S26" s="1190">
        <v>3331570447</v>
      </c>
      <c r="T26" s="1106" t="s">
        <v>256</v>
      </c>
      <c r="U26" s="1106" t="s">
        <v>256</v>
      </c>
      <c r="V26" s="1106" t="s">
        <v>256</v>
      </c>
      <c r="W26" s="1106" t="s">
        <v>256</v>
      </c>
      <c r="X26" s="1106" t="s">
        <v>256</v>
      </c>
      <c r="Y26" s="1106" t="s">
        <v>256</v>
      </c>
      <c r="Z26" s="1106" t="s">
        <v>256</v>
      </c>
      <c r="AA26" s="1106" t="s">
        <v>256</v>
      </c>
      <c r="AB26" s="1106" t="s">
        <v>256</v>
      </c>
      <c r="AC26" s="1192"/>
      <c r="AD26" s="81"/>
    </row>
    <row r="27" spans="1:30" s="44" customFormat="1" ht="18.75" customHeight="1">
      <c r="A27" s="1021"/>
      <c r="B27" s="1584"/>
      <c r="C27" s="1584"/>
      <c r="D27" s="1584"/>
      <c r="E27" s="1584"/>
      <c r="F27" s="1584"/>
      <c r="G27" s="1584"/>
      <c r="H27" s="1584"/>
      <c r="I27" s="1584"/>
      <c r="J27" s="1584"/>
      <c r="K27" s="1584"/>
      <c r="L27" s="1584"/>
      <c r="M27" s="1584"/>
      <c r="N27" s="1584"/>
      <c r="O27" s="1021"/>
      <c r="P27" s="1022"/>
      <c r="R27" s="1326" t="s">
        <v>695</v>
      </c>
      <c r="S27" s="81">
        <v>3331570449</v>
      </c>
      <c r="T27" s="1106" t="s">
        <v>256</v>
      </c>
      <c r="U27" s="1106" t="s">
        <v>256</v>
      </c>
      <c r="V27" s="1106" t="s">
        <v>256</v>
      </c>
      <c r="W27" s="1106" t="s">
        <v>256</v>
      </c>
      <c r="X27" s="1106" t="s">
        <v>256</v>
      </c>
      <c r="Y27" s="1106" t="s">
        <v>256</v>
      </c>
      <c r="Z27" s="1106" t="s">
        <v>256</v>
      </c>
      <c r="AA27" s="1106" t="s">
        <v>256</v>
      </c>
      <c r="AB27" s="1106" t="s">
        <v>256</v>
      </c>
      <c r="AC27" s="1192"/>
      <c r="AD27" s="81"/>
    </row>
    <row r="28" spans="1:30" s="44" customFormat="1" ht="18.75" customHeight="1">
      <c r="A28" s="1021"/>
      <c r="B28" s="1584"/>
      <c r="C28" s="1584"/>
      <c r="D28" s="1584"/>
      <c r="E28" s="1584"/>
      <c r="F28" s="1584"/>
      <c r="G28" s="1584"/>
      <c r="H28" s="1584"/>
      <c r="I28" s="1584"/>
      <c r="J28" s="1584"/>
      <c r="K28" s="1584"/>
      <c r="L28" s="1584"/>
      <c r="M28" s="1584"/>
      <c r="N28" s="1584"/>
      <c r="O28" s="1021"/>
      <c r="P28" s="1022"/>
      <c r="R28" s="1189" t="s">
        <v>695</v>
      </c>
      <c r="S28" s="1190">
        <v>3331570450</v>
      </c>
      <c r="T28" s="1106" t="s">
        <v>256</v>
      </c>
      <c r="U28" s="1106" t="s">
        <v>256</v>
      </c>
      <c r="V28" s="1106" t="s">
        <v>256</v>
      </c>
      <c r="W28" s="1106" t="s">
        <v>256</v>
      </c>
      <c r="X28" s="1106" t="s">
        <v>256</v>
      </c>
      <c r="Y28" s="1106" t="s">
        <v>256</v>
      </c>
      <c r="Z28" s="1106" t="s">
        <v>256</v>
      </c>
      <c r="AA28" s="1106" t="s">
        <v>256</v>
      </c>
      <c r="AB28" s="1106" t="s">
        <v>256</v>
      </c>
      <c r="AC28" s="1192"/>
      <c r="AD28" s="81"/>
    </row>
    <row r="29" spans="1:30" s="44" customFormat="1" ht="18.75" customHeight="1">
      <c r="A29" s="1021"/>
      <c r="B29" s="1584"/>
      <c r="C29" s="1584"/>
      <c r="D29" s="1584"/>
      <c r="E29" s="1584"/>
      <c r="F29" s="1584"/>
      <c r="G29" s="1584"/>
      <c r="H29" s="1584"/>
      <c r="I29" s="1584"/>
      <c r="J29" s="1584"/>
      <c r="K29" s="1584"/>
      <c r="L29" s="1584"/>
      <c r="M29" s="1584"/>
      <c r="N29" s="1584"/>
      <c r="O29" s="1021"/>
      <c r="P29" s="1022"/>
      <c r="R29" s="1189" t="s">
        <v>691</v>
      </c>
      <c r="S29" s="1190">
        <v>3331570625</v>
      </c>
      <c r="T29" s="1190" t="s">
        <v>342</v>
      </c>
      <c r="U29" s="1190">
        <v>24142877</v>
      </c>
      <c r="V29" s="1190" t="s">
        <v>444</v>
      </c>
      <c r="W29" s="1190" t="s">
        <v>434</v>
      </c>
      <c r="X29" s="1191">
        <v>26836.056</v>
      </c>
      <c r="Y29" s="1190" t="s">
        <v>200</v>
      </c>
      <c r="Z29" s="1190">
        <v>1</v>
      </c>
      <c r="AA29" s="1190">
        <v>1</v>
      </c>
      <c r="AB29" s="1190" t="s">
        <v>207</v>
      </c>
      <c r="AC29" s="1192"/>
      <c r="AD29" s="81"/>
    </row>
    <row r="30" spans="1:30" s="44" customFormat="1" ht="18.75" customHeight="1">
      <c r="A30" s="1324"/>
      <c r="B30" s="1584"/>
      <c r="C30" s="1584"/>
      <c r="D30" s="1584"/>
      <c r="E30" s="1584"/>
      <c r="F30" s="1584"/>
      <c r="G30" s="1584"/>
      <c r="H30" s="1584"/>
      <c r="I30" s="1584"/>
      <c r="J30" s="1584"/>
      <c r="K30" s="1584"/>
      <c r="L30" s="1584"/>
      <c r="M30" s="1584"/>
      <c r="N30" s="1584"/>
      <c r="O30" s="1021"/>
      <c r="P30" s="1022"/>
      <c r="R30" s="1201" t="s">
        <v>720</v>
      </c>
      <c r="S30" s="1202">
        <v>3331570768</v>
      </c>
      <c r="T30" s="1202" t="s">
        <v>698</v>
      </c>
      <c r="U30" s="1202">
        <v>24142891</v>
      </c>
      <c r="V30" s="1202" t="s">
        <v>561</v>
      </c>
      <c r="W30" s="1202" t="s">
        <v>362</v>
      </c>
      <c r="X30" s="1203">
        <f>22154.765+3918.37</f>
        <v>26073.134999999998</v>
      </c>
      <c r="Y30" s="1202" t="s">
        <v>200</v>
      </c>
      <c r="Z30" s="1202">
        <v>1</v>
      </c>
      <c r="AA30" s="1202">
        <v>1</v>
      </c>
      <c r="AB30" s="1202" t="s">
        <v>204</v>
      </c>
      <c r="AC30" s="1192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720</v>
      </c>
      <c r="S31" s="1202">
        <v>3331570770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202" t="s">
        <v>256</v>
      </c>
      <c r="Z31" s="1202" t="s">
        <v>256</v>
      </c>
      <c r="AA31" s="1202" t="s">
        <v>256</v>
      </c>
      <c r="AB31" s="1202" t="s">
        <v>256</v>
      </c>
      <c r="AC31" s="1192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462" t="s">
        <v>691</v>
      </c>
      <c r="S32" s="1463">
        <v>3331570805</v>
      </c>
      <c r="T32" s="1463" t="s">
        <v>27</v>
      </c>
      <c r="U32" s="1463">
        <v>24142903</v>
      </c>
      <c r="V32" s="1463" t="s">
        <v>289</v>
      </c>
      <c r="W32" s="1463" t="s">
        <v>205</v>
      </c>
      <c r="X32" s="1464">
        <v>25909.256000000001</v>
      </c>
      <c r="Y32" s="1463" t="s">
        <v>200</v>
      </c>
      <c r="Z32" s="1463">
        <v>1</v>
      </c>
      <c r="AA32" s="1463">
        <v>1</v>
      </c>
      <c r="AB32" s="1463" t="s">
        <v>207</v>
      </c>
      <c r="AC32" s="1465"/>
      <c r="AD32" s="1466" t="s">
        <v>721</v>
      </c>
    </row>
    <row r="33" spans="1:30" s="44" customFormat="1" ht="23.25" customHeight="1">
      <c r="A33" s="1324"/>
      <c r="B33" s="1021"/>
      <c r="C33" s="1021"/>
      <c r="D33" s="1022"/>
      <c r="E33" s="1023"/>
      <c r="M33" s="1023"/>
      <c r="N33" s="1021"/>
      <c r="O33" s="1021"/>
      <c r="P33" s="1022"/>
      <c r="R33" s="1201" t="s">
        <v>691</v>
      </c>
      <c r="S33" s="1202">
        <v>3331570836</v>
      </c>
      <c r="T33" s="1202" t="s">
        <v>441</v>
      </c>
      <c r="U33" s="1202">
        <v>24142907</v>
      </c>
      <c r="V33" s="1202" t="s">
        <v>486</v>
      </c>
      <c r="W33" s="1202" t="s">
        <v>205</v>
      </c>
      <c r="X33" s="1203">
        <v>41130.31</v>
      </c>
      <c r="Y33" s="1202" t="s">
        <v>128</v>
      </c>
      <c r="Z33" s="1202">
        <v>1</v>
      </c>
      <c r="AA33" s="1202">
        <v>1</v>
      </c>
      <c r="AB33" s="1202" t="s">
        <v>204</v>
      </c>
      <c r="AC33" s="1454"/>
      <c r="AD33" s="81"/>
    </row>
    <row r="34" spans="1:30" s="44" customFormat="1" ht="37.5" customHeight="1">
      <c r="A34" s="1324"/>
      <c r="B34" s="1021"/>
      <c r="C34" s="1021"/>
      <c r="D34" s="1022"/>
      <c r="E34" s="1023"/>
      <c r="M34" s="1023"/>
      <c r="N34" s="1021"/>
      <c r="O34" s="1021"/>
      <c r="P34" s="1022"/>
      <c r="R34" s="1201" t="s">
        <v>691</v>
      </c>
      <c r="S34" s="1202">
        <v>3331570847</v>
      </c>
      <c r="T34" s="1202" t="s">
        <v>441</v>
      </c>
      <c r="U34" s="1202">
        <v>24142908</v>
      </c>
      <c r="V34" s="1202" t="s">
        <v>486</v>
      </c>
      <c r="W34" s="1202" t="s">
        <v>205</v>
      </c>
      <c r="X34" s="1203">
        <v>35401.14</v>
      </c>
      <c r="Y34" s="1202" t="s">
        <v>128</v>
      </c>
      <c r="Z34" s="1202">
        <v>1</v>
      </c>
      <c r="AA34" s="1202">
        <v>1</v>
      </c>
      <c r="AB34" s="1202" t="s">
        <v>204</v>
      </c>
      <c r="AC34" s="1192"/>
      <c r="AD34" s="81"/>
    </row>
    <row r="35" spans="1:30" s="44" customFormat="1" ht="17.399999999999999">
      <c r="A35" s="1324"/>
      <c r="B35" s="1021"/>
      <c r="C35" s="1021"/>
      <c r="D35" s="1022"/>
      <c r="E35" s="1023"/>
      <c r="M35" s="1023"/>
      <c r="N35" s="1021"/>
      <c r="O35" s="1021"/>
      <c r="P35" s="1022"/>
      <c r="R35" s="1201" t="s">
        <v>691</v>
      </c>
      <c r="S35" s="1202">
        <v>3331570848</v>
      </c>
      <c r="T35" s="1202" t="s">
        <v>27</v>
      </c>
      <c r="U35" s="1202"/>
      <c r="V35" s="1202" t="s">
        <v>486</v>
      </c>
      <c r="W35" s="1202" t="s">
        <v>205</v>
      </c>
      <c r="X35" s="1203">
        <v>21890.560000000001</v>
      </c>
      <c r="Y35" s="1202" t="s">
        <v>200</v>
      </c>
      <c r="Z35" s="1202">
        <v>1</v>
      </c>
      <c r="AA35" s="1202">
        <v>1</v>
      </c>
      <c r="AB35" s="1202" t="s">
        <v>204</v>
      </c>
      <c r="AC35" s="1192"/>
      <c r="AD35" s="81"/>
    </row>
    <row r="36" spans="1:30" s="44" customFormat="1" ht="17.399999999999999">
      <c r="A36" s="1324"/>
      <c r="B36" s="1021"/>
      <c r="C36" s="1021"/>
      <c r="D36" s="1022"/>
      <c r="E36" s="1023"/>
      <c r="M36" s="1023"/>
      <c r="N36" s="1021"/>
      <c r="O36" s="1021"/>
      <c r="P36" s="1022"/>
      <c r="R36" s="1201" t="s">
        <v>691</v>
      </c>
      <c r="S36" s="1202">
        <v>3331570849</v>
      </c>
      <c r="T36" s="1202" t="s">
        <v>27</v>
      </c>
      <c r="U36" s="1202">
        <v>24142909</v>
      </c>
      <c r="V36" s="1202" t="s">
        <v>486</v>
      </c>
      <c r="W36" s="1202" t="s">
        <v>205</v>
      </c>
      <c r="X36" s="1203">
        <f>9235.08+13083.03</f>
        <v>22318.11</v>
      </c>
      <c r="Y36" s="1202" t="s">
        <v>200</v>
      </c>
      <c r="Z36" s="1202">
        <v>1</v>
      </c>
      <c r="AA36" s="1202">
        <v>1</v>
      </c>
      <c r="AB36" s="1202" t="s">
        <v>204</v>
      </c>
      <c r="AC36" s="1192"/>
      <c r="AD36" s="81"/>
    </row>
    <row r="37" spans="1:30" s="44" customFormat="1" ht="17.399999999999999">
      <c r="A37" s="1324"/>
      <c r="B37" s="1021"/>
      <c r="C37" s="1021"/>
      <c r="D37" s="1022"/>
      <c r="E37" s="1023"/>
      <c r="M37" s="1023"/>
      <c r="N37" s="1021"/>
      <c r="O37" s="1021"/>
      <c r="P37" s="1022"/>
      <c r="R37" s="1201" t="s">
        <v>691</v>
      </c>
      <c r="S37" s="1202">
        <v>3331570850</v>
      </c>
      <c r="T37" s="1202" t="s">
        <v>256</v>
      </c>
      <c r="U37" s="1202" t="s">
        <v>256</v>
      </c>
      <c r="V37" s="1202" t="s">
        <v>256</v>
      </c>
      <c r="W37" s="1257" t="s">
        <v>256</v>
      </c>
      <c r="X37" s="1203" t="s">
        <v>256</v>
      </c>
      <c r="Y37" s="1257" t="s">
        <v>256</v>
      </c>
      <c r="Z37" s="1257" t="s">
        <v>256</v>
      </c>
      <c r="AA37" s="1257" t="s">
        <v>256</v>
      </c>
      <c r="AB37" s="1257" t="s">
        <v>256</v>
      </c>
      <c r="AC37" s="1192"/>
      <c r="AD37" s="81"/>
    </row>
    <row r="38" spans="1:30" s="44" customFormat="1" ht="17.399999999999999">
      <c r="A38" s="1324"/>
      <c r="B38" s="1021"/>
      <c r="C38" s="1021"/>
      <c r="D38" s="1022"/>
      <c r="E38" s="1023"/>
      <c r="M38" s="1023"/>
      <c r="N38" s="1021"/>
      <c r="O38" s="1021"/>
      <c r="P38" s="1022"/>
      <c r="R38" s="1201" t="s">
        <v>691</v>
      </c>
      <c r="S38" s="1202">
        <v>3331570851</v>
      </c>
      <c r="T38" s="1202" t="s">
        <v>441</v>
      </c>
      <c r="U38" s="1202">
        <v>24142912</v>
      </c>
      <c r="V38" s="1202" t="s">
        <v>497</v>
      </c>
      <c r="W38" s="1257" t="s">
        <v>205</v>
      </c>
      <c r="X38" s="1203">
        <v>37025.83</v>
      </c>
      <c r="Y38" s="1257" t="s">
        <v>128</v>
      </c>
      <c r="Z38" s="1202">
        <v>1</v>
      </c>
      <c r="AA38" s="1202">
        <v>1</v>
      </c>
      <c r="AB38" s="1202" t="s">
        <v>204</v>
      </c>
      <c r="AC38" s="1192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691</v>
      </c>
      <c r="S39" s="1202">
        <v>3331570852</v>
      </c>
      <c r="T39" s="1261" t="s">
        <v>27</v>
      </c>
      <c r="U39" s="1102">
        <v>24142911</v>
      </c>
      <c r="V39" s="1202" t="s">
        <v>497</v>
      </c>
      <c r="W39" s="1257" t="s">
        <v>205</v>
      </c>
      <c r="X39" s="1203">
        <f>3107.07+14622.21+7781.41</f>
        <v>25510.69</v>
      </c>
      <c r="Y39" s="1102" t="s">
        <v>200</v>
      </c>
      <c r="Z39" s="1202">
        <v>1</v>
      </c>
      <c r="AA39" s="1202">
        <v>1</v>
      </c>
      <c r="AB39" s="1202" t="s">
        <v>204</v>
      </c>
      <c r="AC39" s="1192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720</v>
      </c>
      <c r="S40" s="1202">
        <v>3331570853</v>
      </c>
      <c r="T40" s="1202" t="s">
        <v>256</v>
      </c>
      <c r="U40" s="1202" t="s">
        <v>256</v>
      </c>
      <c r="V40" s="1202" t="s">
        <v>256</v>
      </c>
      <c r="W40" s="1257" t="s">
        <v>256</v>
      </c>
      <c r="X40" s="1257" t="s">
        <v>256</v>
      </c>
      <c r="Y40" s="1257" t="s">
        <v>256</v>
      </c>
      <c r="Z40" s="1257" t="s">
        <v>256</v>
      </c>
      <c r="AA40" s="1257" t="s">
        <v>256</v>
      </c>
      <c r="AB40" s="1257" t="s">
        <v>256</v>
      </c>
      <c r="AC40" s="1192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691</v>
      </c>
      <c r="S41" s="1202">
        <v>3331570854</v>
      </c>
      <c r="T41" s="1202" t="s">
        <v>256</v>
      </c>
      <c r="U41" s="1202" t="s">
        <v>256</v>
      </c>
      <c r="V41" s="1202" t="s">
        <v>256</v>
      </c>
      <c r="W41" s="1257" t="s">
        <v>256</v>
      </c>
      <c r="X41" s="1257" t="s">
        <v>256</v>
      </c>
      <c r="Y41" s="1257" t="s">
        <v>256</v>
      </c>
      <c r="Z41" s="1257" t="s">
        <v>256</v>
      </c>
      <c r="AA41" s="1257" t="s">
        <v>256</v>
      </c>
      <c r="AB41" s="1257" t="s">
        <v>256</v>
      </c>
      <c r="AC41" s="1192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691</v>
      </c>
      <c r="S42" s="1202">
        <v>3331570891</v>
      </c>
      <c r="T42" s="1102" t="s">
        <v>11</v>
      </c>
      <c r="U42" s="1102">
        <v>24142917</v>
      </c>
      <c r="V42" s="1102" t="s">
        <v>173</v>
      </c>
      <c r="W42" s="1102" t="s">
        <v>205</v>
      </c>
      <c r="X42" s="1203">
        <f>26550.855+15138.288</f>
        <v>41689.142999999996</v>
      </c>
      <c r="Y42" s="1257" t="s">
        <v>128</v>
      </c>
      <c r="Z42" s="1202">
        <v>1</v>
      </c>
      <c r="AA42" s="1202">
        <v>1</v>
      </c>
      <c r="AB42" s="1202" t="s">
        <v>204</v>
      </c>
      <c r="AC42" s="1192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691</v>
      </c>
      <c r="S43" s="1202">
        <v>3331570892</v>
      </c>
      <c r="T43" s="1102" t="s">
        <v>256</v>
      </c>
      <c r="U43" s="1102" t="s">
        <v>256</v>
      </c>
      <c r="V43" s="1102" t="s">
        <v>256</v>
      </c>
      <c r="W43" s="1102" t="s">
        <v>256</v>
      </c>
      <c r="X43" s="1203" t="s">
        <v>256</v>
      </c>
      <c r="Y43" s="1102" t="s">
        <v>256</v>
      </c>
      <c r="Z43" s="1102" t="s">
        <v>256</v>
      </c>
      <c r="AA43" s="1102" t="s">
        <v>256</v>
      </c>
      <c r="AB43" s="1102" t="s">
        <v>256</v>
      </c>
      <c r="AC43" s="1192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691</v>
      </c>
      <c r="S44" s="1202">
        <v>3331570896</v>
      </c>
      <c r="T44" s="1102" t="s">
        <v>441</v>
      </c>
      <c r="U44" s="1202">
        <v>24142918</v>
      </c>
      <c r="V44" s="1202" t="s">
        <v>486</v>
      </c>
      <c r="W44" s="1257" t="s">
        <v>205</v>
      </c>
      <c r="X44" s="1203">
        <v>40659.892</v>
      </c>
      <c r="Y44" s="1257" t="s">
        <v>128</v>
      </c>
      <c r="Z44" s="1257">
        <v>1</v>
      </c>
      <c r="AA44" s="1257">
        <v>1</v>
      </c>
      <c r="AB44" s="1257" t="s">
        <v>204</v>
      </c>
      <c r="AC44" s="1192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691</v>
      </c>
      <c r="S45" s="1202">
        <v>3331570901</v>
      </c>
      <c r="T45" s="1102" t="s">
        <v>27</v>
      </c>
      <c r="U45" s="1202">
        <v>24142919</v>
      </c>
      <c r="V45" s="1202" t="s">
        <v>486</v>
      </c>
      <c r="W45" s="1257" t="s">
        <v>205</v>
      </c>
      <c r="X45" s="1203">
        <v>45276.616999999998</v>
      </c>
      <c r="Y45" s="1257" t="s">
        <v>128</v>
      </c>
      <c r="Z45" s="1257">
        <v>1</v>
      </c>
      <c r="AA45" s="1257">
        <v>1</v>
      </c>
      <c r="AB45" s="1257" t="s">
        <v>204</v>
      </c>
      <c r="AC45" s="1192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691</v>
      </c>
      <c r="S46" s="1202">
        <v>3331570903</v>
      </c>
      <c r="T46" s="1202" t="s">
        <v>27</v>
      </c>
      <c r="U46" s="1077">
        <v>24142920</v>
      </c>
      <c r="V46" s="1077" t="s">
        <v>497</v>
      </c>
      <c r="W46" s="1257" t="s">
        <v>205</v>
      </c>
      <c r="X46" s="1203">
        <f>2437.035+22188.987</f>
        <v>24626.022000000001</v>
      </c>
      <c r="Y46" s="1257" t="s">
        <v>200</v>
      </c>
      <c r="Z46" s="1257">
        <v>1</v>
      </c>
      <c r="AA46" s="1257">
        <v>1</v>
      </c>
      <c r="AB46" s="1257" t="s">
        <v>204</v>
      </c>
      <c r="AC46" s="1192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691</v>
      </c>
      <c r="S47" s="1202">
        <v>3331570909</v>
      </c>
      <c r="T47" s="1202" t="s">
        <v>256</v>
      </c>
      <c r="U47" s="1202" t="s">
        <v>256</v>
      </c>
      <c r="V47" s="1202" t="s">
        <v>256</v>
      </c>
      <c r="W47" s="1202" t="s">
        <v>256</v>
      </c>
      <c r="X47" s="1203" t="s">
        <v>256</v>
      </c>
      <c r="Y47" s="1202" t="s">
        <v>256</v>
      </c>
      <c r="Z47" s="1202" t="s">
        <v>256</v>
      </c>
      <c r="AA47" s="1202" t="s">
        <v>256</v>
      </c>
      <c r="AB47" s="1202" t="s">
        <v>256</v>
      </c>
      <c r="AC47" s="1192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691</v>
      </c>
      <c r="S48" s="1202">
        <v>3331570908</v>
      </c>
      <c r="T48" s="1202" t="s">
        <v>27</v>
      </c>
      <c r="U48" s="1077">
        <v>24142921</v>
      </c>
      <c r="V48" s="1077" t="s">
        <v>497</v>
      </c>
      <c r="W48" s="1257" t="s">
        <v>205</v>
      </c>
      <c r="X48" s="1203">
        <v>24198.776999999998</v>
      </c>
      <c r="Y48" s="1257" t="s">
        <v>200</v>
      </c>
      <c r="Z48" s="1257">
        <v>1</v>
      </c>
      <c r="AA48" s="1257">
        <v>1</v>
      </c>
      <c r="AB48" s="1257" t="s">
        <v>204</v>
      </c>
      <c r="AC48" s="1192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74" t="s">
        <v>720</v>
      </c>
      <c r="S49" s="105">
        <v>3331570913</v>
      </c>
      <c r="T49" s="1202" t="s">
        <v>27</v>
      </c>
      <c r="U49" s="105">
        <v>24142922</v>
      </c>
      <c r="V49" s="1077" t="s">
        <v>430</v>
      </c>
      <c r="W49" s="1257" t="s">
        <v>205</v>
      </c>
      <c r="X49" s="209">
        <v>21953.607</v>
      </c>
      <c r="Y49" s="1257" t="s">
        <v>200</v>
      </c>
      <c r="Z49" s="1257">
        <v>1</v>
      </c>
      <c r="AA49" s="1257">
        <v>1</v>
      </c>
      <c r="AB49" s="1257" t="s">
        <v>204</v>
      </c>
      <c r="AC49" s="1192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74" t="s">
        <v>720</v>
      </c>
      <c r="S50" s="105">
        <v>3331570914</v>
      </c>
      <c r="T50" s="1202" t="s">
        <v>27</v>
      </c>
      <c r="U50" s="105">
        <v>24142923</v>
      </c>
      <c r="V50" s="1077" t="s">
        <v>430</v>
      </c>
      <c r="W50" s="1257" t="s">
        <v>205</v>
      </c>
      <c r="X50" s="209">
        <v>23027.471000000001</v>
      </c>
      <c r="Y50" s="1257" t="s">
        <v>200</v>
      </c>
      <c r="Z50" s="1257">
        <v>1</v>
      </c>
      <c r="AA50" s="1257">
        <v>1</v>
      </c>
      <c r="AB50" s="1257" t="s">
        <v>204</v>
      </c>
      <c r="AC50" s="1192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74" t="s">
        <v>720</v>
      </c>
      <c r="S51" s="105">
        <v>3331570916</v>
      </c>
      <c r="T51" s="1202" t="s">
        <v>27</v>
      </c>
      <c r="U51" s="105">
        <v>24142924</v>
      </c>
      <c r="V51" s="1077" t="s">
        <v>430</v>
      </c>
      <c r="W51" s="1257" t="s">
        <v>205</v>
      </c>
      <c r="X51" s="209">
        <v>21174.188999999998</v>
      </c>
      <c r="Y51" s="1257" t="s">
        <v>200</v>
      </c>
      <c r="Z51" s="1257">
        <v>1</v>
      </c>
      <c r="AA51" s="1257">
        <v>1</v>
      </c>
      <c r="AB51" s="1257" t="s">
        <v>204</v>
      </c>
      <c r="AC51" s="1192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26" t="s">
        <v>696</v>
      </c>
      <c r="S52" s="81">
        <v>3331570925</v>
      </c>
      <c r="T52" s="1190" t="s">
        <v>459</v>
      </c>
      <c r="U52" s="81">
        <v>24142925</v>
      </c>
      <c r="V52" s="1190" t="s">
        <v>224</v>
      </c>
      <c r="W52" s="1195" t="s">
        <v>344</v>
      </c>
      <c r="X52" s="191">
        <v>30771.025000000001</v>
      </c>
      <c r="Y52" s="1195" t="s">
        <v>426</v>
      </c>
      <c r="Z52" s="1195">
        <v>1</v>
      </c>
      <c r="AA52" s="1195">
        <v>1</v>
      </c>
      <c r="AB52" s="1195" t="s">
        <v>207</v>
      </c>
      <c r="AC52" s="1192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696</v>
      </c>
      <c r="S53" s="1190">
        <v>3331570931</v>
      </c>
      <c r="T53" s="1190" t="s">
        <v>459</v>
      </c>
      <c r="U53" s="1190">
        <v>24142926</v>
      </c>
      <c r="V53" s="1190" t="s">
        <v>224</v>
      </c>
      <c r="W53" s="1195" t="s">
        <v>344</v>
      </c>
      <c r="X53" s="1191">
        <v>31387.200000000001</v>
      </c>
      <c r="Y53" s="1195" t="s">
        <v>426</v>
      </c>
      <c r="Z53" s="1195">
        <v>1</v>
      </c>
      <c r="AA53" s="1195">
        <v>1</v>
      </c>
      <c r="AB53" s="1195" t="s">
        <v>207</v>
      </c>
      <c r="AC53" s="1192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696</v>
      </c>
      <c r="S54" s="1190">
        <v>3331570934</v>
      </c>
      <c r="T54" s="1190" t="s">
        <v>459</v>
      </c>
      <c r="U54" s="1190">
        <v>24142927</v>
      </c>
      <c r="V54" s="1190" t="s">
        <v>224</v>
      </c>
      <c r="W54" s="1195" t="s">
        <v>344</v>
      </c>
      <c r="X54" s="1191">
        <v>28202.204000000002</v>
      </c>
      <c r="Y54" s="1195" t="s">
        <v>426</v>
      </c>
      <c r="Z54" s="1195">
        <v>1</v>
      </c>
      <c r="AA54" s="1195">
        <v>1</v>
      </c>
      <c r="AB54" s="1195" t="s">
        <v>207</v>
      </c>
      <c r="AC54" s="1192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74" t="s">
        <v>691</v>
      </c>
      <c r="S55" s="105">
        <v>3331570949</v>
      </c>
      <c r="T55" s="1202" t="s">
        <v>27</v>
      </c>
      <c r="U55" s="105">
        <v>24142930</v>
      </c>
      <c r="V55" s="1202" t="s">
        <v>253</v>
      </c>
      <c r="W55" s="1257" t="s">
        <v>205</v>
      </c>
      <c r="X55" s="209">
        <v>22574.603999999999</v>
      </c>
      <c r="Y55" s="1257" t="s">
        <v>200</v>
      </c>
      <c r="Z55" s="1257">
        <v>1</v>
      </c>
      <c r="AA55" s="1257">
        <v>1</v>
      </c>
      <c r="AB55" s="1257" t="s">
        <v>204</v>
      </c>
      <c r="AC55" s="1192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74" t="s">
        <v>691</v>
      </c>
      <c r="S56" s="105">
        <v>3331570952</v>
      </c>
      <c r="T56" s="1202" t="s">
        <v>27</v>
      </c>
      <c r="U56" s="1312">
        <v>24142933</v>
      </c>
      <c r="V56" s="1202" t="s">
        <v>446</v>
      </c>
      <c r="W56" s="1257" t="s">
        <v>205</v>
      </c>
      <c r="X56" s="209">
        <f>4962.598+19254.005</f>
        <v>24216.603000000003</v>
      </c>
      <c r="Y56" s="1257" t="s">
        <v>200</v>
      </c>
      <c r="Z56" s="1257">
        <v>1</v>
      </c>
      <c r="AA56" s="1257">
        <v>1</v>
      </c>
      <c r="AB56" s="1257" t="s">
        <v>204</v>
      </c>
      <c r="AC56" s="1192" t="s">
        <v>422</v>
      </c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1" t="s">
        <v>720</v>
      </c>
      <c r="S57" s="1202">
        <v>3331570953</v>
      </c>
      <c r="T57" s="1077" t="s">
        <v>256</v>
      </c>
      <c r="U57" s="1202" t="s">
        <v>256</v>
      </c>
      <c r="V57" s="1077" t="s">
        <v>256</v>
      </c>
      <c r="W57" s="1257" t="s">
        <v>256</v>
      </c>
      <c r="X57" s="1203" t="s">
        <v>256</v>
      </c>
      <c r="Y57" s="1257" t="s">
        <v>256</v>
      </c>
      <c r="Z57" s="1257" t="s">
        <v>256</v>
      </c>
      <c r="AA57" s="1257" t="s">
        <v>256</v>
      </c>
      <c r="AB57" s="1257" t="s">
        <v>256</v>
      </c>
      <c r="AC57" s="1192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/>
      <c r="S58" s="1190"/>
      <c r="T58" s="1106"/>
      <c r="U58" s="1190"/>
      <c r="V58" s="1106"/>
      <c r="W58" s="1195"/>
      <c r="X58" s="1191"/>
      <c r="Y58" s="1195"/>
      <c r="Z58" s="1195"/>
      <c r="AA58" s="1195"/>
      <c r="AB58" s="1195"/>
      <c r="AC58" s="1192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/>
      <c r="S59" s="1190"/>
      <c r="T59" s="1106"/>
      <c r="U59" s="1106"/>
      <c r="V59" s="1106"/>
      <c r="W59" s="1106"/>
      <c r="X59" s="1193"/>
      <c r="Y59" s="1106"/>
      <c r="Z59" s="1106"/>
      <c r="AA59" s="1106"/>
      <c r="AB59" s="1106"/>
      <c r="AC59" s="1192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89"/>
      <c r="S60" s="1190"/>
      <c r="T60" s="1106"/>
      <c r="U60" s="1190"/>
      <c r="V60" s="1106"/>
      <c r="W60" s="1195"/>
      <c r="X60" s="1191"/>
      <c r="Y60" s="1195"/>
      <c r="Z60" s="1195"/>
      <c r="AA60" s="1195"/>
      <c r="AB60" s="1195"/>
      <c r="AC60" s="1192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94"/>
      <c r="S61" s="1195"/>
      <c r="T61" s="1106"/>
      <c r="U61" s="1106"/>
      <c r="V61" s="1106"/>
      <c r="W61" s="1106"/>
      <c r="X61" s="1196"/>
      <c r="Y61" s="1106"/>
      <c r="Z61" s="1106"/>
      <c r="AA61" s="1106"/>
      <c r="AB61" s="1106"/>
      <c r="AC61" s="1192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94"/>
      <c r="S62" s="1195"/>
      <c r="T62" s="1106"/>
      <c r="U62" s="1195"/>
      <c r="V62" s="1190"/>
      <c r="W62" s="1195"/>
      <c r="X62" s="1196"/>
      <c r="Y62" s="1195"/>
      <c r="Z62" s="1195"/>
      <c r="AA62" s="1195"/>
      <c r="AB62" s="1195"/>
      <c r="AC62" s="1192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/>
      <c r="S63" s="1190"/>
      <c r="T63" s="1106"/>
      <c r="U63" s="1190"/>
      <c r="V63" s="1190"/>
      <c r="W63" s="1195"/>
      <c r="X63" s="1191"/>
      <c r="Y63" s="1195"/>
      <c r="Z63" s="1195"/>
      <c r="AA63" s="1195"/>
      <c r="AB63" s="1195"/>
      <c r="AC63" s="1192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691</v>
      </c>
      <c r="S64" s="1202">
        <v>3331570772</v>
      </c>
      <c r="T64" s="1077" t="s">
        <v>287</v>
      </c>
      <c r="U64" s="1202">
        <v>24142886</v>
      </c>
      <c r="V64" s="1202" t="s">
        <v>366</v>
      </c>
      <c r="W64" s="1257" t="s">
        <v>199</v>
      </c>
      <c r="X64" s="1203">
        <v>25976.877</v>
      </c>
      <c r="Y64" s="1257" t="s">
        <v>200</v>
      </c>
      <c r="Z64" s="1257">
        <v>1</v>
      </c>
      <c r="AA64" s="1257">
        <v>1</v>
      </c>
      <c r="AB64" s="1257" t="s">
        <v>204</v>
      </c>
      <c r="AC64" s="1192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6" t="s">
        <v>691</v>
      </c>
      <c r="S65" s="1257">
        <v>3331570773</v>
      </c>
      <c r="T65" s="1077" t="s">
        <v>11</v>
      </c>
      <c r="U65" s="1257">
        <v>24142887</v>
      </c>
      <c r="V65" s="1202" t="s">
        <v>366</v>
      </c>
      <c r="W65" s="1257" t="s">
        <v>199</v>
      </c>
      <c r="X65" s="1258">
        <v>25803.9</v>
      </c>
      <c r="Y65" s="1257" t="s">
        <v>200</v>
      </c>
      <c r="Z65" s="1257">
        <v>1</v>
      </c>
      <c r="AA65" s="1257">
        <v>1</v>
      </c>
      <c r="AB65" s="1257" t="s">
        <v>204</v>
      </c>
      <c r="AC65" s="1192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6" t="s">
        <v>720</v>
      </c>
      <c r="S66" s="1257">
        <v>3331570769</v>
      </c>
      <c r="T66" s="1077" t="s">
        <v>287</v>
      </c>
      <c r="U66" s="1257">
        <v>24142888</v>
      </c>
      <c r="V66" s="1077" t="s">
        <v>158</v>
      </c>
      <c r="W66" s="1257" t="s">
        <v>199</v>
      </c>
      <c r="X66" s="1258">
        <v>25653</v>
      </c>
      <c r="Y66" s="1257" t="s">
        <v>200</v>
      </c>
      <c r="Z66" s="1257">
        <v>1</v>
      </c>
      <c r="AA66" s="1257">
        <v>1</v>
      </c>
      <c r="AB66" s="1257" t="s">
        <v>204</v>
      </c>
      <c r="AC66" s="1197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720</v>
      </c>
      <c r="S67" s="1202">
        <v>3331570771</v>
      </c>
      <c r="T67" s="1077" t="s">
        <v>34</v>
      </c>
      <c r="U67" s="1202">
        <v>24142889</v>
      </c>
      <c r="V67" s="1077" t="s">
        <v>158</v>
      </c>
      <c r="W67" s="1257" t="s">
        <v>199</v>
      </c>
      <c r="X67" s="1203">
        <v>25837.098000000002</v>
      </c>
      <c r="Y67" s="1257" t="s">
        <v>200</v>
      </c>
      <c r="Z67" s="1257">
        <v>1</v>
      </c>
      <c r="AA67" s="1257">
        <v>1</v>
      </c>
      <c r="AB67" s="1257" t="s">
        <v>204</v>
      </c>
      <c r="AC67" s="1192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720</v>
      </c>
      <c r="S68" s="1202">
        <v>3331570774</v>
      </c>
      <c r="T68" s="1077" t="s">
        <v>11</v>
      </c>
      <c r="U68" s="1202">
        <v>24142890</v>
      </c>
      <c r="V68" s="1077" t="s">
        <v>158</v>
      </c>
      <c r="W68" s="1257" t="s">
        <v>199</v>
      </c>
      <c r="X68" s="1203">
        <v>25578.556</v>
      </c>
      <c r="Y68" s="1257" t="s">
        <v>200</v>
      </c>
      <c r="Z68" s="1257">
        <v>1</v>
      </c>
      <c r="AA68" s="1257">
        <v>1</v>
      </c>
      <c r="AB68" s="1257" t="s">
        <v>204</v>
      </c>
      <c r="AC68" s="1192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691</v>
      </c>
      <c r="S69" s="1202">
        <v>3331570775</v>
      </c>
      <c r="T69" s="1077" t="s">
        <v>287</v>
      </c>
      <c r="U69" s="1202">
        <v>24142892</v>
      </c>
      <c r="V69" s="1077" t="s">
        <v>466</v>
      </c>
      <c r="W69" s="1257" t="s">
        <v>199</v>
      </c>
      <c r="X69" s="1203">
        <v>23911.113000000001</v>
      </c>
      <c r="Y69" s="1257" t="s">
        <v>200</v>
      </c>
      <c r="Z69" s="1257">
        <v>1</v>
      </c>
      <c r="AA69" s="1257">
        <v>1</v>
      </c>
      <c r="AB69" s="1257" t="s">
        <v>204</v>
      </c>
      <c r="AC69" s="1192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691</v>
      </c>
      <c r="S70" s="1202">
        <v>3331570776</v>
      </c>
      <c r="T70" s="1077" t="s">
        <v>34</v>
      </c>
      <c r="U70" s="1202">
        <v>24142893</v>
      </c>
      <c r="V70" s="1077" t="s">
        <v>466</v>
      </c>
      <c r="W70" s="1257" t="s">
        <v>199</v>
      </c>
      <c r="X70" s="1203">
        <f>3762.44+14708.223</f>
        <v>18470.663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691</v>
      </c>
      <c r="S71" s="1202">
        <v>3331570777</v>
      </c>
      <c r="T71" s="1203" t="s">
        <v>256</v>
      </c>
      <c r="U71" s="1203" t="s">
        <v>256</v>
      </c>
      <c r="V71" s="1203" t="s">
        <v>256</v>
      </c>
      <c r="W71" s="1203" t="s">
        <v>256</v>
      </c>
      <c r="X71" s="1203" t="s">
        <v>256</v>
      </c>
      <c r="Y71" s="1203" t="s">
        <v>256</v>
      </c>
      <c r="Z71" s="1203" t="s">
        <v>256</v>
      </c>
      <c r="AA71" s="1203" t="s">
        <v>256</v>
      </c>
      <c r="AB71" s="1203" t="s">
        <v>256</v>
      </c>
      <c r="AC71" s="1192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691</v>
      </c>
      <c r="S72" s="1202">
        <v>3331570779</v>
      </c>
      <c r="T72" s="1077" t="s">
        <v>27</v>
      </c>
      <c r="U72" s="1077">
        <v>24142897</v>
      </c>
      <c r="V72" s="1077" t="s">
        <v>70</v>
      </c>
      <c r="W72" s="1257" t="s">
        <v>199</v>
      </c>
      <c r="X72" s="1203">
        <f>3832.065+21001.099</f>
        <v>24833.163999999997</v>
      </c>
      <c r="Y72" s="1257" t="s">
        <v>200</v>
      </c>
      <c r="Z72" s="1257">
        <v>1</v>
      </c>
      <c r="AA72" s="1257">
        <v>1</v>
      </c>
      <c r="AB72" s="1257" t="s">
        <v>204</v>
      </c>
      <c r="AC72" s="1192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691</v>
      </c>
      <c r="S73" s="1202">
        <v>3331570788</v>
      </c>
      <c r="T73" s="1203" t="s">
        <v>256</v>
      </c>
      <c r="U73" s="1203" t="s">
        <v>256</v>
      </c>
      <c r="V73" s="1203" t="s">
        <v>256</v>
      </c>
      <c r="W73" s="1203" t="s">
        <v>256</v>
      </c>
      <c r="X73" s="1203" t="s">
        <v>256</v>
      </c>
      <c r="Y73" s="1203" t="s">
        <v>256</v>
      </c>
      <c r="Z73" s="1203" t="s">
        <v>256</v>
      </c>
      <c r="AA73" s="1203" t="s">
        <v>256</v>
      </c>
      <c r="AB73" s="1203" t="s">
        <v>256</v>
      </c>
      <c r="AC73" s="1192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691</v>
      </c>
      <c r="S74" s="1202">
        <v>3331570789</v>
      </c>
      <c r="T74" s="1077" t="s">
        <v>27</v>
      </c>
      <c r="U74" s="1202">
        <v>24142898</v>
      </c>
      <c r="V74" s="1202" t="s">
        <v>572</v>
      </c>
      <c r="W74" s="1257" t="s">
        <v>199</v>
      </c>
      <c r="X74" s="1203">
        <v>25980.308000000001</v>
      </c>
      <c r="Y74" s="1257" t="s">
        <v>200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691</v>
      </c>
      <c r="S75" s="1202">
        <v>3331570792</v>
      </c>
      <c r="T75" s="1077" t="s">
        <v>27</v>
      </c>
      <c r="U75" s="1202">
        <v>24142900</v>
      </c>
      <c r="V75" s="1202" t="s">
        <v>572</v>
      </c>
      <c r="W75" s="1257" t="s">
        <v>199</v>
      </c>
      <c r="X75" s="1203">
        <v>25504.289000000001</v>
      </c>
      <c r="Y75" s="1257" t="s">
        <v>200</v>
      </c>
      <c r="Z75" s="1257">
        <v>1</v>
      </c>
      <c r="AA75" s="1257">
        <v>1</v>
      </c>
      <c r="AB75" s="1257" t="s">
        <v>204</v>
      </c>
      <c r="AC75" s="1192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691</v>
      </c>
      <c r="S76" s="1202">
        <v>3331570796</v>
      </c>
      <c r="T76" s="1077" t="s">
        <v>27</v>
      </c>
      <c r="U76" s="1077">
        <v>24142902</v>
      </c>
      <c r="V76" s="1077" t="s">
        <v>675</v>
      </c>
      <c r="W76" s="1257" t="s">
        <v>199</v>
      </c>
      <c r="X76" s="1203">
        <v>20975.688999999998</v>
      </c>
      <c r="Y76" s="1257" t="s">
        <v>200</v>
      </c>
      <c r="Z76" s="1257">
        <v>1</v>
      </c>
      <c r="AA76" s="1257">
        <v>1</v>
      </c>
      <c r="AB76" s="1257" t="s">
        <v>204</v>
      </c>
      <c r="AC76" s="1192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691</v>
      </c>
      <c r="S77" s="1202">
        <v>3331570807</v>
      </c>
      <c r="T77" s="1077" t="s">
        <v>27</v>
      </c>
      <c r="U77" s="1077">
        <v>24142904</v>
      </c>
      <c r="V77" s="1202" t="s">
        <v>572</v>
      </c>
      <c r="W77" s="1257" t="s">
        <v>199</v>
      </c>
      <c r="X77" s="1455">
        <v>25374.385999999999</v>
      </c>
      <c r="Y77" s="1257" t="s">
        <v>200</v>
      </c>
      <c r="Z77" s="1257">
        <v>1</v>
      </c>
      <c r="AA77" s="1257">
        <v>1</v>
      </c>
      <c r="AB77" s="1257" t="s">
        <v>204</v>
      </c>
      <c r="AC77" s="1192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691</v>
      </c>
      <c r="S78" s="1202">
        <v>3331570808</v>
      </c>
      <c r="T78" s="1077" t="s">
        <v>34</v>
      </c>
      <c r="U78" s="1077">
        <v>24142905</v>
      </c>
      <c r="V78" s="1202" t="s">
        <v>572</v>
      </c>
      <c r="W78" s="1257" t="s">
        <v>199</v>
      </c>
      <c r="X78" s="1455">
        <v>26067.202000000001</v>
      </c>
      <c r="Y78" s="1257" t="s">
        <v>200</v>
      </c>
      <c r="Z78" s="1257">
        <v>1</v>
      </c>
      <c r="AA78" s="1257">
        <v>1</v>
      </c>
      <c r="AB78" s="1257" t="s">
        <v>204</v>
      </c>
      <c r="AC78" s="1192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691</v>
      </c>
      <c r="S79" s="1202">
        <v>3331570813</v>
      </c>
      <c r="T79" s="1202" t="s">
        <v>27</v>
      </c>
      <c r="U79" s="1202">
        <v>24142906</v>
      </c>
      <c r="V79" s="1202" t="s">
        <v>676</v>
      </c>
      <c r="W79" s="1202" t="s">
        <v>199</v>
      </c>
      <c r="X79" s="1203">
        <f>7569.144+9699.424+3913.581</f>
        <v>21182.148999999998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691</v>
      </c>
      <c r="S80" s="1202">
        <v>3331570814</v>
      </c>
      <c r="T80" s="1203" t="s">
        <v>256</v>
      </c>
      <c r="U80" s="1203" t="s">
        <v>256</v>
      </c>
      <c r="V80" s="1203" t="s">
        <v>256</v>
      </c>
      <c r="W80" s="1203" t="s">
        <v>256</v>
      </c>
      <c r="X80" s="1203" t="s">
        <v>256</v>
      </c>
      <c r="Y80" s="1203" t="s">
        <v>256</v>
      </c>
      <c r="Z80" s="1203" t="s">
        <v>256</v>
      </c>
      <c r="AA80" s="1203" t="s">
        <v>256</v>
      </c>
      <c r="AB80" s="1203" t="s">
        <v>256</v>
      </c>
      <c r="AC80" s="1192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720</v>
      </c>
      <c r="S81" s="1202">
        <v>3331570815</v>
      </c>
      <c r="T81" s="1203" t="s">
        <v>256</v>
      </c>
      <c r="U81" s="1203" t="s">
        <v>256</v>
      </c>
      <c r="V81" s="1203" t="s">
        <v>256</v>
      </c>
      <c r="W81" s="1203" t="s">
        <v>256</v>
      </c>
      <c r="X81" s="1203" t="s">
        <v>256</v>
      </c>
      <c r="Y81" s="1203" t="s">
        <v>256</v>
      </c>
      <c r="Z81" s="1203" t="s">
        <v>256</v>
      </c>
      <c r="AA81" s="1203" t="s">
        <v>256</v>
      </c>
      <c r="AB81" s="1203" t="s">
        <v>256</v>
      </c>
      <c r="AC81" s="1192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691</v>
      </c>
      <c r="S82" s="105">
        <v>3331570880</v>
      </c>
      <c r="T82" s="1077" t="s">
        <v>11</v>
      </c>
      <c r="U82" s="105">
        <v>24142914</v>
      </c>
      <c r="V82" s="1202" t="s">
        <v>219</v>
      </c>
      <c r="W82" s="1257" t="s">
        <v>199</v>
      </c>
      <c r="X82" s="209">
        <v>26848.523000000001</v>
      </c>
      <c r="Y82" s="1257" t="s">
        <v>200</v>
      </c>
      <c r="Z82" s="1257">
        <v>1</v>
      </c>
      <c r="AA82" s="1257">
        <v>1</v>
      </c>
      <c r="AB82" s="1257" t="s">
        <v>204</v>
      </c>
      <c r="AC82" s="1192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691</v>
      </c>
      <c r="S83" s="105">
        <v>3331570881</v>
      </c>
      <c r="T83" s="105" t="s">
        <v>462</v>
      </c>
      <c r="U83" s="105">
        <v>24142915</v>
      </c>
      <c r="V83" s="1202" t="s">
        <v>219</v>
      </c>
      <c r="W83" s="1257" t="s">
        <v>199</v>
      </c>
      <c r="X83" s="209">
        <v>26023.901000000002</v>
      </c>
      <c r="Y83" s="1257" t="s">
        <v>200</v>
      </c>
      <c r="Z83" s="1257">
        <v>1</v>
      </c>
      <c r="AA83" s="1257">
        <v>1</v>
      </c>
      <c r="AB83" s="1257" t="s">
        <v>204</v>
      </c>
      <c r="AC83" s="1192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720</v>
      </c>
      <c r="S84" s="105">
        <v>3331570885</v>
      </c>
      <c r="T84" s="105" t="s">
        <v>137</v>
      </c>
      <c r="U84" s="105">
        <v>24142916</v>
      </c>
      <c r="V84" s="1202" t="s">
        <v>447</v>
      </c>
      <c r="W84" s="1257" t="s">
        <v>199</v>
      </c>
      <c r="X84" s="209">
        <v>26236.569</v>
      </c>
      <c r="Y84" s="1257" t="s">
        <v>200</v>
      </c>
      <c r="Z84" s="1257">
        <v>1</v>
      </c>
      <c r="AA84" s="1257">
        <v>1</v>
      </c>
      <c r="AB84" s="1257" t="s">
        <v>204</v>
      </c>
      <c r="AC84" s="1192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720</v>
      </c>
      <c r="S85" s="1202">
        <v>3331570778</v>
      </c>
      <c r="T85" s="1077" t="s">
        <v>287</v>
      </c>
      <c r="U85" s="1202">
        <v>24142895</v>
      </c>
      <c r="V85" s="1202" t="s">
        <v>150</v>
      </c>
      <c r="W85" s="1257" t="s">
        <v>199</v>
      </c>
      <c r="X85" s="1203">
        <v>24797.9</v>
      </c>
      <c r="Y85" s="1257" t="s">
        <v>200</v>
      </c>
      <c r="Z85" s="1257">
        <v>1</v>
      </c>
      <c r="AA85" s="1257">
        <v>1</v>
      </c>
      <c r="AB85" s="1257" t="s">
        <v>204</v>
      </c>
      <c r="AC85" s="1192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720</v>
      </c>
      <c r="S86" s="105">
        <v>3331570937</v>
      </c>
      <c r="T86" s="1077" t="s">
        <v>287</v>
      </c>
      <c r="U86" s="105">
        <v>24142928</v>
      </c>
      <c r="V86" s="1202" t="s">
        <v>368</v>
      </c>
      <c r="W86" s="1257" t="s">
        <v>199</v>
      </c>
      <c r="X86" s="209">
        <v>25205.46</v>
      </c>
      <c r="Y86" s="1257" t="s">
        <v>200</v>
      </c>
      <c r="Z86" s="1257">
        <v>1</v>
      </c>
      <c r="AA86" s="1257">
        <v>1</v>
      </c>
      <c r="AB86" s="1257" t="s">
        <v>204</v>
      </c>
      <c r="AC86" s="1192" t="s">
        <v>422</v>
      </c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691</v>
      </c>
      <c r="S87" s="105">
        <v>3331570945</v>
      </c>
      <c r="T87" s="1077" t="s">
        <v>11</v>
      </c>
      <c r="U87" s="105">
        <v>24142929</v>
      </c>
      <c r="V87" s="1202" t="s">
        <v>676</v>
      </c>
      <c r="W87" s="1257" t="s">
        <v>199</v>
      </c>
      <c r="X87" s="209">
        <v>20785.210999999999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 t="s">
        <v>422</v>
      </c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720</v>
      </c>
      <c r="S88" s="105">
        <v>3331570596</v>
      </c>
      <c r="T88" s="105" t="s">
        <v>34</v>
      </c>
      <c r="U88" s="105">
        <v>24142931</v>
      </c>
      <c r="V88" s="1202" t="s">
        <v>368</v>
      </c>
      <c r="W88" s="1257" t="s">
        <v>199</v>
      </c>
      <c r="X88" s="209">
        <f>8123.45+1753.458+6223.529+10004.67</f>
        <v>26105.107</v>
      </c>
      <c r="Y88" s="1257" t="s">
        <v>200</v>
      </c>
      <c r="Z88" s="1257">
        <v>1</v>
      </c>
      <c r="AA88" s="1257">
        <v>1</v>
      </c>
      <c r="AB88" s="1257" t="s">
        <v>204</v>
      </c>
      <c r="AC88" s="1192" t="s">
        <v>422</v>
      </c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720</v>
      </c>
      <c r="S89" s="105">
        <v>3331570602</v>
      </c>
      <c r="T89" s="209" t="s">
        <v>256</v>
      </c>
      <c r="U89" s="209" t="s">
        <v>256</v>
      </c>
      <c r="V89" s="209" t="s">
        <v>256</v>
      </c>
      <c r="W89" s="209" t="s">
        <v>256</v>
      </c>
      <c r="X89" s="209" t="s">
        <v>256</v>
      </c>
      <c r="Y89" s="209" t="s">
        <v>256</v>
      </c>
      <c r="Z89" s="209" t="s">
        <v>256</v>
      </c>
      <c r="AA89" s="209" t="s">
        <v>256</v>
      </c>
      <c r="AB89" s="209" t="s">
        <v>256</v>
      </c>
      <c r="AC89" s="1192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74" t="s">
        <v>720</v>
      </c>
      <c r="S90" s="105">
        <v>3331570613</v>
      </c>
      <c r="T90" s="209" t="s">
        <v>256</v>
      </c>
      <c r="U90" s="209" t="s">
        <v>256</v>
      </c>
      <c r="V90" s="209" t="s">
        <v>256</v>
      </c>
      <c r="W90" s="209" t="s">
        <v>256</v>
      </c>
      <c r="X90" s="209" t="s">
        <v>256</v>
      </c>
      <c r="Y90" s="209" t="s">
        <v>256</v>
      </c>
      <c r="Z90" s="209" t="s">
        <v>256</v>
      </c>
      <c r="AA90" s="209" t="s">
        <v>256</v>
      </c>
      <c r="AB90" s="209" t="s">
        <v>256</v>
      </c>
      <c r="AC90" s="1192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74" t="s">
        <v>720</v>
      </c>
      <c r="S91" s="105">
        <v>3331570948</v>
      </c>
      <c r="T91" s="209" t="s">
        <v>256</v>
      </c>
      <c r="U91" s="209" t="s">
        <v>256</v>
      </c>
      <c r="V91" s="209" t="s">
        <v>256</v>
      </c>
      <c r="W91" s="209" t="s">
        <v>256</v>
      </c>
      <c r="X91" s="209" t="s">
        <v>256</v>
      </c>
      <c r="Y91" s="209" t="s">
        <v>256</v>
      </c>
      <c r="Z91" s="209" t="s">
        <v>256</v>
      </c>
      <c r="AA91" s="209" t="s">
        <v>256</v>
      </c>
      <c r="AB91" s="209" t="s">
        <v>256</v>
      </c>
      <c r="AC91" s="1192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74" t="s">
        <v>691</v>
      </c>
      <c r="S92" s="105">
        <v>3331570950</v>
      </c>
      <c r="T92" s="1077" t="s">
        <v>287</v>
      </c>
      <c r="U92" s="105">
        <v>24142932</v>
      </c>
      <c r="V92" s="1077" t="s">
        <v>675</v>
      </c>
      <c r="W92" s="1257" t="s">
        <v>199</v>
      </c>
      <c r="X92" s="209">
        <f>11217.852+15631.021</f>
        <v>26848.873</v>
      </c>
      <c r="Y92" s="1257" t="s">
        <v>200</v>
      </c>
      <c r="Z92" s="1257">
        <v>1</v>
      </c>
      <c r="AA92" s="1257">
        <v>1</v>
      </c>
      <c r="AB92" s="1257" t="s">
        <v>204</v>
      </c>
      <c r="AC92" s="1192" t="s">
        <v>422</v>
      </c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691</v>
      </c>
      <c r="S93" s="105">
        <v>3331570951</v>
      </c>
      <c r="T93" s="209" t="s">
        <v>256</v>
      </c>
      <c r="U93" s="209" t="s">
        <v>256</v>
      </c>
      <c r="V93" s="209" t="s">
        <v>256</v>
      </c>
      <c r="W93" s="209" t="s">
        <v>256</v>
      </c>
      <c r="X93" s="209" t="s">
        <v>256</v>
      </c>
      <c r="Y93" s="209" t="s">
        <v>256</v>
      </c>
      <c r="Z93" s="209" t="s">
        <v>256</v>
      </c>
      <c r="AA93" s="209" t="s">
        <v>256</v>
      </c>
      <c r="AB93" s="209" t="s">
        <v>256</v>
      </c>
      <c r="AC93" s="1192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720</v>
      </c>
      <c r="S94" s="1202">
        <v>3331570781</v>
      </c>
      <c r="T94" s="1077" t="s">
        <v>287</v>
      </c>
      <c r="U94" s="1202">
        <v>24142896</v>
      </c>
      <c r="V94" s="1202" t="s">
        <v>150</v>
      </c>
      <c r="W94" s="1257" t="s">
        <v>199</v>
      </c>
      <c r="X94" s="1203">
        <v>26080.55</v>
      </c>
      <c r="Y94" s="1257" t="s">
        <v>200</v>
      </c>
      <c r="Z94" s="1257">
        <v>1</v>
      </c>
      <c r="AA94" s="1257">
        <v>1</v>
      </c>
      <c r="AB94" s="1257" t="s">
        <v>204</v>
      </c>
      <c r="AC94" s="1192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720</v>
      </c>
      <c r="S95" s="1202">
        <v>3331570787</v>
      </c>
      <c r="T95" s="1077" t="s">
        <v>287</v>
      </c>
      <c r="U95" s="1202">
        <v>24142899</v>
      </c>
      <c r="V95" s="1202" t="s">
        <v>150</v>
      </c>
      <c r="W95" s="1257" t="s">
        <v>199</v>
      </c>
      <c r="X95" s="1203">
        <v>25490.026999999998</v>
      </c>
      <c r="Y95" s="1257" t="s">
        <v>200</v>
      </c>
      <c r="Z95" s="1257">
        <v>1</v>
      </c>
      <c r="AA95" s="1257">
        <v>1</v>
      </c>
      <c r="AB95" s="1257" t="s">
        <v>204</v>
      </c>
      <c r="AC95" s="1192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720</v>
      </c>
      <c r="S96" s="1202">
        <v>3331570794</v>
      </c>
      <c r="T96" s="1153" t="s">
        <v>11</v>
      </c>
      <c r="U96" s="1077">
        <v>24142894</v>
      </c>
      <c r="V96" s="1202" t="s">
        <v>150</v>
      </c>
      <c r="W96" s="1257" t="s">
        <v>199</v>
      </c>
      <c r="X96" s="1203">
        <v>24600.723999999998</v>
      </c>
      <c r="Y96" s="1257" t="s">
        <v>200</v>
      </c>
      <c r="Z96" s="1257">
        <v>1</v>
      </c>
      <c r="AA96" s="1257">
        <v>1</v>
      </c>
      <c r="AB96" s="1257" t="s">
        <v>204</v>
      </c>
      <c r="AC96" s="1192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326"/>
      <c r="S97" s="81"/>
      <c r="T97" s="81"/>
      <c r="U97" s="81"/>
      <c r="V97" s="1190"/>
      <c r="W97" s="81"/>
      <c r="X97" s="191"/>
      <c r="Y97" s="81"/>
      <c r="Z97" s="81"/>
      <c r="AA97" s="81"/>
      <c r="AB97" s="81"/>
      <c r="AC97" s="1192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326"/>
      <c r="S98" s="81"/>
      <c r="T98" s="81"/>
      <c r="U98" s="81"/>
      <c r="V98" s="1190"/>
      <c r="W98" s="81"/>
      <c r="X98" s="191"/>
      <c r="Y98" s="81"/>
      <c r="Z98" s="81"/>
      <c r="AA98" s="81"/>
      <c r="AB98" s="81"/>
      <c r="AC98" s="1192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326"/>
      <c r="S99" s="81"/>
      <c r="T99" s="81"/>
      <c r="U99" s="81"/>
      <c r="V99" s="1190"/>
      <c r="W99" s="81"/>
      <c r="X99" s="191"/>
      <c r="Y99" s="81"/>
      <c r="Z99" s="81"/>
      <c r="AA99" s="81"/>
      <c r="AB99" s="81"/>
      <c r="AC99" s="1192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26"/>
      <c r="S100" s="81"/>
      <c r="T100" s="81"/>
      <c r="U100" s="81"/>
      <c r="V100" s="1190"/>
      <c r="W100" s="81"/>
      <c r="X100" s="191"/>
      <c r="Y100" s="81"/>
      <c r="Z100" s="81"/>
      <c r="AA100" s="81"/>
      <c r="AB100" s="81"/>
      <c r="AC100" s="1192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90"/>
      <c r="U101" s="1190"/>
      <c r="V101" s="1190"/>
      <c r="W101" s="1190"/>
      <c r="X101" s="1191"/>
      <c r="Y101" s="1190"/>
      <c r="Z101" s="1190"/>
      <c r="AA101" s="1190"/>
      <c r="AB101" s="1190"/>
      <c r="AC101" s="1192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90"/>
      <c r="U102" s="1190"/>
      <c r="V102" s="1190"/>
      <c r="W102" s="1190"/>
      <c r="X102" s="1191"/>
      <c r="Y102" s="1190"/>
      <c r="Z102" s="1190"/>
      <c r="AA102" s="1190"/>
      <c r="AB102" s="1190"/>
      <c r="AC102" s="1192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90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90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90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90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190"/>
      <c r="X109" s="1191"/>
      <c r="Y109" s="1190"/>
      <c r="Z109" s="1190"/>
      <c r="AA109" s="1190"/>
      <c r="AB109" s="1190"/>
      <c r="AC109" s="1192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90"/>
      <c r="U110" s="1190"/>
      <c r="V110" s="1190"/>
      <c r="W110" s="1190"/>
      <c r="X110" s="1191"/>
      <c r="Y110" s="1190"/>
      <c r="Z110" s="1190"/>
      <c r="AA110" s="1190"/>
      <c r="AB110" s="1190"/>
      <c r="AC110" s="1192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90"/>
      <c r="U111" s="1190"/>
      <c r="V111" s="1190"/>
      <c r="W111" s="1190"/>
      <c r="X111" s="1191"/>
      <c r="Y111" s="1190"/>
      <c r="Z111" s="1190"/>
      <c r="AA111" s="1190"/>
      <c r="AB111" s="1190"/>
      <c r="AC111" s="1192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90"/>
      <c r="U112" s="1190"/>
      <c r="V112" s="1190"/>
      <c r="W112" s="1190"/>
      <c r="X112" s="1191"/>
      <c r="Y112" s="1190"/>
      <c r="Z112" s="1190"/>
      <c r="AA112" s="1190"/>
      <c r="AB112" s="1190"/>
      <c r="AC112" s="1192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1"/>
      <c r="Y113" s="1190"/>
      <c r="Z113" s="1190"/>
      <c r="AA113" s="1190"/>
      <c r="AB113" s="1190"/>
      <c r="AC113" s="1192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1"/>
      <c r="Y116" s="1190"/>
      <c r="Z116" s="1190"/>
      <c r="AA116" s="1190"/>
      <c r="AB116" s="1190"/>
      <c r="AC116" s="1192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192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0"/>
      <c r="W120" s="1190"/>
      <c r="X120" s="1191"/>
      <c r="Y120" s="1190"/>
      <c r="Z120" s="1190"/>
      <c r="AA120" s="1190"/>
      <c r="AB120" s="1190"/>
      <c r="AC120" s="1192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190"/>
      <c r="X121" s="1191"/>
      <c r="Y121" s="1190"/>
      <c r="Z121" s="1190"/>
      <c r="AA121" s="1190"/>
      <c r="AB121" s="1190"/>
      <c r="AC121" s="1192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89"/>
      <c r="S122" s="1190"/>
      <c r="T122" s="1190"/>
      <c r="U122" s="1190"/>
      <c r="V122" s="1190"/>
      <c r="W122" s="1190"/>
      <c r="X122" s="1191"/>
      <c r="Y122" s="1190"/>
      <c r="Z122" s="1190"/>
      <c r="AA122" s="1190"/>
      <c r="AB122" s="1190"/>
      <c r="AC122" s="1192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90"/>
      <c r="U123" s="1190"/>
      <c r="V123" s="1190"/>
      <c r="W123" s="1190"/>
      <c r="X123" s="1191"/>
      <c r="Y123" s="1190"/>
      <c r="Z123" s="1190"/>
      <c r="AA123" s="1190"/>
      <c r="AB123" s="1190"/>
      <c r="AC123" s="1192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90"/>
      <c r="U124" s="1190"/>
      <c r="V124" s="1190"/>
      <c r="W124" s="1190"/>
      <c r="X124" s="1191"/>
      <c r="Y124" s="1190"/>
      <c r="Z124" s="1190"/>
      <c r="AA124" s="1190"/>
      <c r="AB124" s="1190"/>
      <c r="AC124" s="1192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89"/>
      <c r="S125" s="1190"/>
      <c r="T125" s="1190"/>
      <c r="U125" s="1190"/>
      <c r="V125" s="1190"/>
      <c r="W125" s="1190"/>
      <c r="X125" s="1191"/>
      <c r="Y125" s="1190"/>
      <c r="Z125" s="1190"/>
      <c r="AA125" s="1190"/>
      <c r="AB125" s="1190"/>
      <c r="AC125" s="1192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1190"/>
      <c r="U126" s="1190"/>
      <c r="V126" s="1190"/>
      <c r="W126" s="1190"/>
      <c r="X126" s="1191"/>
      <c r="Y126" s="1190"/>
      <c r="Z126" s="1190"/>
      <c r="AA126" s="1190"/>
      <c r="AB126" s="1190"/>
      <c r="AC126" s="1192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  <c r="AD127" s="81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190"/>
      <c r="U128" s="1190"/>
      <c r="V128" s="1190"/>
      <c r="W128" s="1190"/>
      <c r="X128" s="1191"/>
      <c r="Y128" s="1190"/>
      <c r="Z128" s="1190"/>
      <c r="AA128" s="1190"/>
      <c r="AB128" s="1190"/>
      <c r="AC128" s="1192"/>
      <c r="AD128" s="81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1"/>
      <c r="Y132" s="1190"/>
      <c r="Z132" s="1190"/>
      <c r="AA132" s="1190"/>
      <c r="AB132" s="1190"/>
      <c r="AC132" s="1192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1"/>
      <c r="Y133" s="1190"/>
      <c r="Z133" s="1190"/>
      <c r="AA133" s="1190"/>
      <c r="AB133" s="1190"/>
      <c r="AC133" s="1192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190"/>
      <c r="U134" s="1190"/>
      <c r="V134" s="1190"/>
      <c r="W134" s="1190"/>
      <c r="X134" s="1191"/>
      <c r="Y134" s="1190"/>
      <c r="Z134" s="1190"/>
      <c r="AA134" s="1190"/>
      <c r="AB134" s="1190"/>
      <c r="AC134" s="1192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89"/>
      <c r="S138" s="1190"/>
      <c r="T138" s="1190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81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89"/>
      <c r="S141" s="1190"/>
      <c r="T141" s="1190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8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89"/>
      <c r="S142" s="1190"/>
      <c r="T142" s="1190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81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89"/>
      <c r="S143" s="1190"/>
      <c r="T143" s="1190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81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89"/>
      <c r="S144" s="1190"/>
      <c r="T144" s="1190"/>
      <c r="U144" s="1190"/>
      <c r="V144" s="1190"/>
      <c r="W144" s="1190"/>
      <c r="X144" s="1191"/>
      <c r="Y144" s="1190"/>
      <c r="Z144" s="1190"/>
      <c r="AA144" s="1190"/>
      <c r="AB144" s="1190"/>
      <c r="AC144" s="1192"/>
      <c r="AD144" s="81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89"/>
      <c r="S147" s="1190"/>
      <c r="T147" s="1190"/>
      <c r="U147" s="1190"/>
      <c r="V147" s="1195"/>
      <c r="W147" s="1190"/>
      <c r="X147" s="1191"/>
      <c r="Y147" s="1190"/>
      <c r="Z147" s="1190"/>
      <c r="AA147" s="1190"/>
      <c r="AB147" s="1190"/>
      <c r="AC147" s="1192"/>
      <c r="AD147" s="81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89"/>
      <c r="S148" s="1190"/>
      <c r="T148" s="1190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89"/>
      <c r="S149" s="1190"/>
      <c r="T149" s="1190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26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190"/>
      <c r="U150" s="1190"/>
      <c r="V150" s="1195"/>
      <c r="W150" s="1190"/>
      <c r="X150" s="1191"/>
      <c r="Y150" s="1190"/>
      <c r="Z150" s="1190"/>
      <c r="AA150" s="1190"/>
      <c r="AB150" s="1190"/>
      <c r="AC150" s="1192"/>
      <c r="AD150" s="81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190"/>
      <c r="U151" s="1190"/>
      <c r="V151" s="1195"/>
      <c r="W151" s="1190"/>
      <c r="X151" s="1191"/>
      <c r="Y151" s="1190"/>
      <c r="Z151" s="1190"/>
      <c r="AA151" s="1190"/>
      <c r="AB151" s="1190"/>
      <c r="AC151" s="1192"/>
      <c r="AD151" s="203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94"/>
      <c r="S152" s="1195"/>
      <c r="T152" s="1195"/>
      <c r="U152" s="1195"/>
      <c r="V152" s="1195"/>
      <c r="W152" s="1195"/>
      <c r="X152" s="1196"/>
      <c r="Y152" s="1195"/>
      <c r="Z152" s="1195"/>
      <c r="AA152" s="1195"/>
      <c r="AB152" s="1195"/>
      <c r="AC152" s="1197"/>
      <c r="AD152" s="203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 ht="17.399999999999999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 ht="17.399999999999999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:30" s="44" customFormat="1" ht="17.399999999999999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:30" s="44" customFormat="1" ht="17.399999999999999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:30" s="44" customFormat="1" ht="17.399999999999999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:30" s="44" customFormat="1" ht="17.399999999999999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:30" s="44" customFormat="1" ht="17.399999999999999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:30" s="44" customFormat="1" ht="17.399999999999999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:30" s="44" customFormat="1" ht="17.399999999999999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:30" s="44" customFormat="1" ht="17.399999999999999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:30" s="44" customFormat="1" ht="17.399999999999999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:30" s="44" customFormat="1" ht="17.399999999999999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:30" s="44" customFormat="1" ht="17.399999999999999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:30" s="44" customFormat="1" ht="17.399999999999999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:30" s="44" customFormat="1" ht="17.399999999999999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:30" s="44" customFormat="1" ht="17.399999999999999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:30" s="44" customFormat="1" ht="17.399999999999999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:30" s="44" customFormat="1" ht="17.399999999999999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:30" s="44" customFormat="1" ht="17.399999999999999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:30" s="44" customFormat="1" ht="17.399999999999999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:30" s="44" customFormat="1" ht="17.399999999999999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:30" s="44" customFormat="1" ht="17.399999999999999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:30" s="44" customFormat="1" ht="17.399999999999999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:30" s="44" customFormat="1" ht="17.399999999999999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:30" s="44" customFormat="1" ht="17.399999999999999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:30" s="44" customFormat="1" ht="17.399999999999999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:30" s="44" customFormat="1" ht="17.399999999999999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:30" s="44" customFormat="1" ht="17.399999999999999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:30" s="44" customFormat="1" ht="17.399999999999999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:30" s="44" customFormat="1" ht="17.399999999999999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:30" s="44" customFormat="1" ht="17.399999999999999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:30" s="44" customFormat="1" ht="17.399999999999999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:30" s="44" customFormat="1" ht="17.399999999999999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:30" s="44" customFormat="1" ht="17.399999999999999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7.399999999999999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7.399999999999999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7.399999999999999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7.399999999999999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7.399999999999999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7.399999999999999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 ht="17.399999999999999">
      <c r="A199" s="1324"/>
      <c r="B199" s="1021"/>
      <c r="C199" s="1021"/>
      <c r="D199" s="1022"/>
      <c r="E199" s="1023"/>
      <c r="F199" s="1021"/>
      <c r="G199" s="1021"/>
      <c r="H199" s="1022"/>
      <c r="I199" s="1023"/>
      <c r="J199" s="1021"/>
      <c r="K199" s="1021"/>
      <c r="L199" s="1021"/>
      <c r="M199" s="1023"/>
      <c r="N199" s="1021"/>
      <c r="O199" s="1021"/>
      <c r="P199" s="1022"/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 ht="17.399999999999999">
      <c r="A200" s="1324"/>
      <c r="B200" s="1021"/>
      <c r="C200" s="1021"/>
      <c r="D200" s="1022"/>
      <c r="E200" s="1023"/>
      <c r="F200" s="1021"/>
      <c r="G200" s="1021"/>
      <c r="H200" s="1022"/>
      <c r="I200" s="1023"/>
      <c r="J200" s="1021"/>
      <c r="K200" s="1021"/>
      <c r="L200" s="1021"/>
      <c r="M200" s="1023"/>
      <c r="N200" s="1021"/>
      <c r="O200" s="1021"/>
      <c r="P200" s="1022"/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 ht="17.399999999999999">
      <c r="A201" s="1324"/>
      <c r="B201" s="1021"/>
      <c r="C201" s="1021"/>
      <c r="D201" s="1022"/>
      <c r="E201" s="1023"/>
      <c r="F201" s="1021"/>
      <c r="G201" s="1021"/>
      <c r="H201" s="1022"/>
      <c r="I201" s="1023"/>
      <c r="J201" s="1021"/>
      <c r="K201" s="1021"/>
      <c r="L201" s="1021"/>
      <c r="M201" s="1023"/>
      <c r="N201" s="1021"/>
      <c r="O201" s="1021"/>
      <c r="P201" s="1022"/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 ht="17.399999999999999">
      <c r="A202" s="1324"/>
      <c r="B202" s="1021"/>
      <c r="C202" s="1021"/>
      <c r="D202" s="1022"/>
      <c r="E202" s="1023"/>
      <c r="F202" s="1021"/>
      <c r="G202" s="1021"/>
      <c r="H202" s="1022"/>
      <c r="I202" s="1023"/>
      <c r="J202" s="1021"/>
      <c r="K202" s="1021"/>
      <c r="L202" s="1021"/>
      <c r="M202" s="1023"/>
      <c r="N202" s="1021"/>
      <c r="O202" s="1021"/>
      <c r="P202" s="1022"/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 ht="17.399999999999999">
      <c r="A203" s="1324"/>
      <c r="B203" s="1021"/>
      <c r="C203" s="1021"/>
      <c r="D203" s="1022"/>
      <c r="E203" s="1023"/>
      <c r="F203" s="1021"/>
      <c r="G203" s="1021"/>
      <c r="H203" s="1022"/>
      <c r="I203" s="1023"/>
      <c r="J203" s="1021"/>
      <c r="K203" s="1021"/>
      <c r="L203" s="1021"/>
      <c r="M203" s="1023"/>
      <c r="N203" s="1021"/>
      <c r="O203" s="1021"/>
      <c r="P203" s="1022"/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 ht="17.399999999999999">
      <c r="A204" s="1324"/>
      <c r="B204" s="1021"/>
      <c r="C204" s="1021"/>
      <c r="D204" s="1022"/>
      <c r="E204" s="1023"/>
      <c r="F204" s="1021"/>
      <c r="G204" s="1021"/>
      <c r="H204" s="1022"/>
      <c r="I204" s="1023"/>
      <c r="J204" s="1021"/>
      <c r="K204" s="1021"/>
      <c r="L204" s="1021"/>
      <c r="M204" s="1023"/>
      <c r="N204" s="1021"/>
      <c r="O204" s="1021"/>
      <c r="P204" s="1022"/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 ht="17.399999999999999">
      <c r="A205" s="1324"/>
      <c r="B205" s="1021"/>
      <c r="C205" s="1021"/>
      <c r="D205" s="1022"/>
      <c r="E205" s="1023"/>
      <c r="F205" s="1021"/>
      <c r="G205" s="1021"/>
      <c r="H205" s="1022"/>
      <c r="I205" s="1023"/>
      <c r="J205" s="1021"/>
      <c r="K205" s="1021"/>
      <c r="L205" s="1021"/>
      <c r="M205" s="1023"/>
      <c r="N205" s="1021"/>
      <c r="O205" s="1021"/>
      <c r="P205" s="1022"/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 ht="17.399999999999999">
      <c r="A206" s="1324"/>
      <c r="B206" s="1021"/>
      <c r="C206" s="1021"/>
      <c r="D206" s="1022"/>
      <c r="E206" s="1023"/>
      <c r="F206" s="1021"/>
      <c r="G206" s="1021"/>
      <c r="H206" s="1022"/>
      <c r="I206" s="1023"/>
      <c r="J206" s="1021"/>
      <c r="K206" s="1021"/>
      <c r="L206" s="1021"/>
      <c r="M206" s="1023"/>
      <c r="N206" s="1021"/>
      <c r="O206" s="1021"/>
      <c r="P206" s="1022"/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 ht="17.399999999999999">
      <c r="A207" s="1324"/>
      <c r="B207" s="1021"/>
      <c r="C207" s="1021"/>
      <c r="D207" s="1022"/>
      <c r="E207" s="1023"/>
      <c r="F207" s="1021"/>
      <c r="G207" s="1021"/>
      <c r="H207" s="1022"/>
      <c r="I207" s="1023"/>
      <c r="J207" s="1021"/>
      <c r="K207" s="1021"/>
      <c r="L207" s="1021"/>
      <c r="M207" s="1023"/>
      <c r="N207" s="1021"/>
      <c r="O207" s="1021"/>
      <c r="P207" s="1022"/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 ht="17.399999999999999">
      <c r="A208" s="1324"/>
      <c r="B208" s="1021"/>
      <c r="C208" s="1021"/>
      <c r="D208" s="1022"/>
      <c r="E208" s="1023"/>
      <c r="F208" s="1021"/>
      <c r="G208" s="1021"/>
      <c r="H208" s="1022"/>
      <c r="I208" s="1023"/>
      <c r="J208" s="1021"/>
      <c r="K208" s="1021"/>
      <c r="L208" s="1021"/>
      <c r="M208" s="1023"/>
      <c r="N208" s="1021"/>
      <c r="O208" s="1021"/>
      <c r="P208" s="1022"/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:30" s="44" customFormat="1" ht="17.399999999999999">
      <c r="A209" s="1324"/>
      <c r="B209" s="1021"/>
      <c r="C209" s="1021"/>
      <c r="D209" s="1022"/>
      <c r="E209" s="1023"/>
      <c r="F209" s="1021"/>
      <c r="G209" s="1021"/>
      <c r="H209" s="1022"/>
      <c r="I209" s="1023"/>
      <c r="J209" s="1021"/>
      <c r="K209" s="1021"/>
      <c r="L209" s="1021"/>
      <c r="M209" s="1023"/>
      <c r="N209" s="1021"/>
      <c r="O209" s="1021"/>
      <c r="P209" s="1022"/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:30" s="44" customFormat="1" ht="17.399999999999999">
      <c r="A210" s="1324"/>
      <c r="B210" s="1021"/>
      <c r="C210" s="1021"/>
      <c r="D210" s="1022"/>
      <c r="E210" s="1023"/>
      <c r="F210" s="1021"/>
      <c r="G210" s="1021"/>
      <c r="H210" s="1022"/>
      <c r="I210" s="1023"/>
      <c r="J210" s="1021"/>
      <c r="K210" s="1021"/>
      <c r="L210" s="1021"/>
      <c r="M210" s="1023"/>
      <c r="N210" s="1021"/>
      <c r="O210" s="1021"/>
      <c r="P210" s="1022"/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:30" s="44" customFormat="1"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:30" s="44" customFormat="1"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:30" s="44" customFormat="1"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:30" s="44" customFormat="1"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8:30" s="44" customFormat="1"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8:30" s="44" customFormat="1"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8:30" s="44" customFormat="1"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8:30" s="44" customFormat="1"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8:30" s="44" customFormat="1"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8:30" s="44" customFormat="1"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8:30" s="44" customFormat="1"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8:30" s="44" customFormat="1"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8:30" s="44" customFormat="1"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8:30" s="44" customFormat="1"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8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8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8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8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8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1" spans="18:30" s="44" customFormat="1">
      <c r="R251"/>
      <c r="S251"/>
      <c r="T251"/>
      <c r="U251"/>
      <c r="V251"/>
      <c r="W251"/>
      <c r="X251"/>
      <c r="Y251"/>
      <c r="Z251"/>
      <c r="AA251"/>
      <c r="AB251"/>
      <c r="AC251" s="609"/>
      <c r="AD251"/>
    </row>
    <row r="252" spans="18:30" s="44" customFormat="1">
      <c r="R252"/>
      <c r="S252"/>
      <c r="T252"/>
      <c r="U252"/>
      <c r="V252"/>
      <c r="W252"/>
      <c r="X252"/>
      <c r="Y252"/>
      <c r="Z252"/>
      <c r="AA252"/>
      <c r="AB252"/>
      <c r="AC252" s="609"/>
      <c r="AD252"/>
    </row>
    <row r="253" spans="18:30" s="44" customFormat="1">
      <c r="R253"/>
      <c r="S253"/>
      <c r="T253"/>
      <c r="U253"/>
      <c r="V253"/>
      <c r="W253"/>
      <c r="X253"/>
      <c r="Y253"/>
      <c r="Z253"/>
      <c r="AA253"/>
      <c r="AB253"/>
      <c r="AC253" s="609"/>
      <c r="AD253"/>
    </row>
    <row r="254" spans="18:30" s="44" customFormat="1">
      <c r="R254"/>
      <c r="S254"/>
      <c r="T254"/>
      <c r="U254"/>
      <c r="V254"/>
      <c r="W254"/>
      <c r="X254"/>
      <c r="Y254"/>
      <c r="Z254"/>
      <c r="AA254"/>
      <c r="AB254"/>
      <c r="AC254" s="609"/>
      <c r="AD254"/>
    </row>
    <row r="255" spans="18:30" s="44" customFormat="1">
      <c r="R255"/>
      <c r="S255"/>
      <c r="T255"/>
      <c r="U255"/>
      <c r="V255"/>
      <c r="W255"/>
      <c r="X255"/>
      <c r="Y255"/>
      <c r="Z255"/>
      <c r="AA255"/>
      <c r="AB255"/>
      <c r="AC255" s="609"/>
      <c r="AD255"/>
    </row>
    <row r="256" spans="18:30" s="44" customFormat="1">
      <c r="R256"/>
      <c r="S256"/>
      <c r="T256"/>
      <c r="U256"/>
      <c r="V256"/>
      <c r="W256"/>
      <c r="X256"/>
      <c r="Y256"/>
      <c r="Z256"/>
      <c r="AA256"/>
      <c r="AB256"/>
      <c r="AC256" s="609"/>
      <c r="AD256"/>
    </row>
    <row r="257" spans="18:30" s="44" customFormat="1">
      <c r="R257"/>
      <c r="S257"/>
      <c r="T257"/>
      <c r="U257"/>
      <c r="V257"/>
      <c r="W257"/>
      <c r="X257"/>
      <c r="Y257"/>
      <c r="Z257"/>
      <c r="AA257"/>
      <c r="AB257"/>
      <c r="AC257" s="609"/>
      <c r="AD257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70" spans="18:30" s="44" customFormat="1">
      <c r="R270"/>
      <c r="S270"/>
      <c r="T270"/>
      <c r="U270"/>
      <c r="V270"/>
      <c r="W270"/>
      <c r="X270"/>
      <c r="Y270"/>
      <c r="Z270"/>
      <c r="AA270"/>
      <c r="AB270"/>
      <c r="AC270" s="609"/>
      <c r="AD270"/>
    </row>
    <row r="271" spans="18:30" s="44" customFormat="1">
      <c r="R271"/>
      <c r="S271"/>
      <c r="T271"/>
      <c r="U271"/>
      <c r="V271"/>
      <c r="W271"/>
      <c r="X271"/>
      <c r="Y271"/>
      <c r="Z271"/>
      <c r="AA271"/>
      <c r="AB271"/>
      <c r="AC271" s="609"/>
      <c r="AD271"/>
    </row>
    <row r="272" spans="18:30" s="44" customFormat="1">
      <c r="R272"/>
      <c r="S272"/>
      <c r="T272"/>
      <c r="U272"/>
      <c r="V272"/>
      <c r="W272"/>
      <c r="X272"/>
      <c r="Y272"/>
      <c r="Z272"/>
      <c r="AA272"/>
      <c r="AB272"/>
      <c r="AC272" s="609"/>
      <c r="AD272"/>
    </row>
    <row r="273" spans="18:30" s="44" customFormat="1">
      <c r="R273"/>
      <c r="S273"/>
      <c r="T273"/>
      <c r="U273"/>
      <c r="V273"/>
      <c r="W273"/>
      <c r="X273"/>
      <c r="Y273"/>
      <c r="Z273"/>
      <c r="AA273"/>
      <c r="AB273"/>
      <c r="AC273" s="609"/>
      <c r="AD273"/>
    </row>
    <row r="274" spans="18:30" s="44" customFormat="1">
      <c r="R274"/>
      <c r="S274"/>
      <c r="T274"/>
      <c r="U274"/>
      <c r="V274"/>
      <c r="W274"/>
      <c r="X274"/>
      <c r="Y274"/>
      <c r="Z274"/>
      <c r="AA274"/>
      <c r="AB274"/>
      <c r="AC274" s="609"/>
      <c r="AD274"/>
    </row>
    <row r="275" spans="18:30" s="44" customFormat="1">
      <c r="R275"/>
      <c r="S275"/>
      <c r="T275"/>
      <c r="U275"/>
      <c r="V275"/>
      <c r="W275"/>
      <c r="X275"/>
      <c r="Y275"/>
      <c r="Z275"/>
      <c r="AA275"/>
      <c r="AB275"/>
      <c r="AC275" s="609"/>
      <c r="AD275"/>
    </row>
    <row r="276" spans="18:30" s="44" customFormat="1">
      <c r="R276"/>
      <c r="S276"/>
      <c r="T276"/>
      <c r="U276"/>
      <c r="V276"/>
      <c r="W276"/>
      <c r="X276"/>
      <c r="Y276"/>
      <c r="Z276"/>
      <c r="AA276"/>
      <c r="AB276"/>
      <c r="AC276" s="609"/>
      <c r="AD276"/>
    </row>
    <row r="277" spans="18:30" s="44" customFormat="1">
      <c r="R277"/>
      <c r="S277"/>
      <c r="T277"/>
      <c r="U277"/>
      <c r="V277"/>
      <c r="W277"/>
      <c r="X277"/>
      <c r="Y277"/>
      <c r="Z277"/>
      <c r="AA277"/>
      <c r="AB277"/>
      <c r="AC277" s="609"/>
      <c r="AD277"/>
    </row>
  </sheetData>
  <protectedRanges>
    <protectedRange algorithmName="SHA-512" hashValue="24Yg3M703G5L8OyJWxlkx8c1Gwfrkael5W/l3TUk/Rcz5tR8QOgCx5v0Ebb/UGz+9BDKPJ5wV4hH8uuxvmtGIw==" saltValue="ZSJQ8EEnwGxsiYzxIw6K0Q==" spinCount="100000" sqref="N7:N8 E26:E38 N17:N18 O7:P9 B7:M9 B17:D18 O17:P19 M33:P38 N20:P32 F31:M32 E17:M24 A23:A29 C23:D29 B23:B24 B26:B29 E39:P210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210" name="Range2_5_2_2_2_2_2_2_2_2_2_2_2_2_2_2_2"/>
    <protectedRange algorithmName="SHA-512" hashValue="24Yg3M703G5L8OyJWxlkx8c1Gwfrkael5W/l3TUk/Rcz5tR8QOgCx5v0Ebb/UGz+9BDKPJ5wV4hH8uuxvmtGIw==" saltValue="ZSJQ8EEnwGxsiYzxIw6K0Q==" spinCount="100000" sqref="B30:D210" name="Range1_65_32_2_2_2_2_2_2_2_2_2_2_2_2_2_2"/>
    <protectedRange algorithmName="SHA-512" hashValue="XYWjC+iAz2ErgjMh7TSLHlxfTfK0uVcITDFdCCZFdnsWWbUNnsQqu9AM+0WFXQpYcy9ZvQx2KUXfpLhpOROHkg==" saltValue="47TiGLG0rJVTo3iAJH8T4w==" spinCount="100000" sqref="B21 D21" name="Range2_5_2_2_2_2_2_2_2_3_3_2_2_2_3_3_5_2_3_3_2_3_2"/>
    <protectedRange algorithmName="SHA-512" hashValue="24Yg3M703G5L8OyJWxlkx8c1Gwfrkael5W/l3TUk/Rcz5tR8QOgCx5v0Ebb/UGz+9BDKPJ5wV4hH8uuxvmtGIw==" saltValue="ZSJQ8EEnwGxsiYzxIw6K0Q==" spinCount="100000" sqref="B20:D20 B21 D21" name="Range1_65_32_2_2_2_2_2_2_3_3_2_2_3_3_3_5_2_3_3_2_3_2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1:P15 E10 M10 I10" name="Range1_65_32_32_30_30_30_30_30_30_30_30_30_30_30_30_30_30_30_30_30_30_30_30_30_30_30_30_30_33_24_24_25_24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_4"/>
    <protectedRange algorithmName="SHA-512" hashValue="24Yg3M703G5L8OyJWxlkx8c1Gwfrkael5W/l3TUk/Rcz5tR8QOgCx5v0Ebb/UGz+9BDKPJ5wV4hH8uuxvmtGIw==" saltValue="ZSJQ8EEnwGxsiYzxIw6K0Q==" spinCount="100000" sqref="B25 G26:I30 J25:M30 H25" name="Range1_65_32_32_30_30_30_30_30_30_30_30_30_30_30_30_30_30_30_30_30_30_30_30_30_30_30_30_30_30_3"/>
    <protectedRange algorithmName="SHA-512" hashValue="XYWjC+iAz2ErgjMh7TSLHlxfTfK0uVcITDFdCCZFdnsWWbUNnsQqu9AM+0WFXQpYcy9ZvQx2KUXfpLhpOROHkg==" saltValue="47TiGLG0rJVTo3iAJH8T4w==" spinCount="100000" sqref="C21" name="Range2_5_2_2_2_2_2_2_2_3_3_2_2_2_3_3_5_2_3_3_2_3_3"/>
    <protectedRange algorithmName="SHA-512" hashValue="24Yg3M703G5L8OyJWxlkx8c1Gwfrkael5W/l3TUk/Rcz5tR8QOgCx5v0Ebb/UGz+9BDKPJ5wV4hH8uuxvmtGIw==" saltValue="ZSJQ8EEnwGxsiYzxIw6K0Q==" spinCount="100000" sqref="C21" name="Range1_65_32_2_2_2_2_2_2_3_3_2_2_3_3_3_5_2_3_3_2_3_3"/>
  </protectedRanges>
  <mergeCells count="23">
    <mergeCell ref="B25:N30"/>
    <mergeCell ref="A3:A4"/>
    <mergeCell ref="B3:D3"/>
    <mergeCell ref="F3:H3"/>
    <mergeCell ref="J3:L3"/>
    <mergeCell ref="A19:A20"/>
    <mergeCell ref="B19:D19"/>
    <mergeCell ref="N3:P3"/>
    <mergeCell ref="N8:P9"/>
    <mergeCell ref="F9:H9"/>
    <mergeCell ref="J9:L9"/>
    <mergeCell ref="A10:A11"/>
    <mergeCell ref="B10:D10"/>
    <mergeCell ref="F10:H10"/>
    <mergeCell ref="J10:L10"/>
    <mergeCell ref="N10:P10"/>
    <mergeCell ref="F8:H8"/>
    <mergeCell ref="J8:L8"/>
    <mergeCell ref="F1:H1"/>
    <mergeCell ref="J1:L1"/>
    <mergeCell ref="N1:P2"/>
    <mergeCell ref="F2:H2"/>
    <mergeCell ref="J2:L2"/>
  </mergeCells>
  <conditionalFormatting sqref="S36 S28 S2:S26">
    <cfRule type="duplicateValues" dxfId="19" priority="1"/>
  </conditionalFormatting>
  <conditionalFormatting sqref="S101:S1048576 S53:S54 S37:S48 S1 S29:S35 S57:S81 S94:S96 S85">
    <cfRule type="duplicateValues" dxfId="18" priority="52"/>
  </conditionalFormatting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FE5E-1F27-4713-8156-832FACB8A863}">
  <dimension ref="A1:AG265"/>
  <sheetViews>
    <sheetView showGridLines="0" topLeftCell="O29" zoomScale="55" zoomScaleNormal="55" workbookViewId="0">
      <selection activeCell="S122" sqref="S122"/>
    </sheetView>
  </sheetViews>
  <sheetFormatPr defaultRowHeight="14.4"/>
  <cols>
    <col min="1" max="1" width="38.33203125" customWidth="1"/>
    <col min="2" max="4" width="11.109375" customWidth="1"/>
    <col min="5" max="5" width="8.6640625" customWidth="1"/>
    <col min="6" max="7" width="16" customWidth="1"/>
    <col min="8" max="8" width="14.88671875" customWidth="1"/>
    <col min="9" max="9" width="6.6640625" customWidth="1"/>
    <col min="10" max="12" width="20.44140625" customWidth="1"/>
    <col min="13" max="13" width="5.44140625" customWidth="1"/>
    <col min="14" max="14" width="18.109375" customWidth="1"/>
    <col min="15" max="15" width="20.6640625" customWidth="1"/>
    <col min="16" max="16" width="13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15.109375" customWidth="1"/>
    <col min="31" max="31" width="9.109375" bestFit="1" customWidth="1"/>
  </cols>
  <sheetData>
    <row r="1" spans="1:33" ht="17.399999999999999">
      <c r="A1" s="1211" t="s">
        <v>722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556</v>
      </c>
    </row>
    <row r="2" spans="1:33" s="1242" customFormat="1" ht="17.399999999999999">
      <c r="A2" s="762" t="s">
        <v>723</v>
      </c>
      <c r="B2" s="733"/>
      <c r="C2" s="733"/>
      <c r="D2" s="733"/>
      <c r="E2" s="735"/>
      <c r="F2" s="1525" t="s">
        <v>724</v>
      </c>
      <c r="G2" s="1525"/>
      <c r="H2" s="1525"/>
      <c r="I2" s="742"/>
      <c r="J2" s="1525" t="s">
        <v>725</v>
      </c>
      <c r="K2" s="1525"/>
      <c r="L2" s="1525"/>
      <c r="M2" s="735"/>
      <c r="N2" s="1526"/>
      <c r="O2" s="1526"/>
      <c r="P2" s="1526"/>
      <c r="R2" s="1201" t="s">
        <v>691</v>
      </c>
      <c r="S2" s="1261">
        <v>3331567952</v>
      </c>
      <c r="T2" s="1209" t="s">
        <v>424</v>
      </c>
      <c r="U2" s="1202">
        <v>24142464</v>
      </c>
      <c r="V2" s="1202" t="s">
        <v>429</v>
      </c>
      <c r="W2" s="1202" t="s">
        <v>362</v>
      </c>
      <c r="X2" s="1267">
        <v>24968.92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 t="e">
        <f>VLOOKUP(Table1921222324252627282930313334353637383940414241434532[[#This Row],[Delivery]],Sheet5!S:AA,9,FALSE)</f>
        <v>#N/A</v>
      </c>
      <c r="AE2" s="1243"/>
      <c r="AF2" s="1243"/>
      <c r="AG2" s="1243"/>
    </row>
    <row r="3" spans="1:33" ht="18.75" customHeight="1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174" t="s">
        <v>718</v>
      </c>
      <c r="S3" s="105">
        <v>3331568791</v>
      </c>
      <c r="T3" s="105" t="s">
        <v>351</v>
      </c>
      <c r="U3" s="105">
        <v>24142620</v>
      </c>
      <c r="V3" s="1202" t="s">
        <v>354</v>
      </c>
      <c r="W3" s="1202" t="s">
        <v>362</v>
      </c>
      <c r="X3" s="209">
        <v>23943.398000000001</v>
      </c>
      <c r="Y3" s="105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30.7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81" t="s">
        <v>691</v>
      </c>
      <c r="S4" s="81">
        <v>3331568799</v>
      </c>
      <c r="T4" s="81" t="s">
        <v>351</v>
      </c>
      <c r="U4" s="81">
        <v>24142622</v>
      </c>
      <c r="V4" s="1190" t="s">
        <v>354</v>
      </c>
      <c r="W4" s="1190" t="s">
        <v>362</v>
      </c>
      <c r="X4" s="384">
        <f>8945.352+12990.3+1161.176</f>
        <v>23096.828000000001</v>
      </c>
      <c r="Y4" s="81" t="s">
        <v>426</v>
      </c>
      <c r="Z4" s="1361">
        <v>1</v>
      </c>
      <c r="AA4" s="1361">
        <v>1</v>
      </c>
      <c r="AB4" s="1361" t="s">
        <v>207</v>
      </c>
      <c r="AC4" s="8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SUMPRODUCT(--ISNUMBER(MATCH(TRIM(W1:W356), {"JABODETABEK","JAWA TENGAH","JAWA TIMUR","LUAR PULAU"}, 0)), --(AC1:AC356=""))</f>
        <v>88</v>
      </c>
      <c r="C5" s="1303" cm="1">
        <f t="array" ref="C5">SUMPRODUCT(--(LOWER(TRIM(AB1:AB382))="masuk"), --(ISNUMBER(MATCH(TRIM(W1:W382), {"JABODETABEK","JAWA TENGAH","JAWA TIMUR","LUAR PULAU"}, 0))), --(LOWER(AC1:AC382)&lt;&gt;"add"))</f>
        <v>73</v>
      </c>
      <c r="D5" s="1304">
        <f>C5+-B5</f>
        <v>-15</v>
      </c>
      <c r="E5" s="734"/>
      <c r="F5" s="1306" cm="1">
        <f t="array" ref="F5">SUMPRODUCT(--(LOWER(AC1:AC382)="add"), --(ISNUMBER(MATCH(W1:W382, {"JABODETABEK","JAWA TENGAH","JAWA TIMUR","LUAR PULAU"}, 0))))</f>
        <v>5</v>
      </c>
      <c r="G5" s="1303" cm="1">
        <f t="array" ref="G5">SUMPRODUCT(--(LOWER(AB1:AB382)="masuk"), --(LOWER(AC1:AC382)="add"))</f>
        <v>5</v>
      </c>
      <c r="H5" s="1304">
        <f>G5+-F5</f>
        <v>0</v>
      </c>
      <c r="I5" s="734"/>
      <c r="J5" s="1306" cm="1">
        <f t="array" ref="J5">SUMPRODUCT(--(ISNUMBER(SEARCH("next day",LOWER(W1:W382)))+ISNUMBER(SEARCH("nextday",LOWER(W1:W382)))&gt; 0))</f>
        <v>3</v>
      </c>
      <c r="K5" s="1303" cm="1">
        <f t="array" ref="K5">SUMPRODUCT(--(LOWER(AB1:AB382)="masuk"), --ISNUMBER(SEARCH("next day", LOWER(W1:W382))))</f>
        <v>3</v>
      </c>
      <c r="L5" s="1304">
        <f>K5+-J5</f>
        <v>0</v>
      </c>
      <c r="M5" s="734"/>
      <c r="N5" s="1306">
        <f>B5+F5+J5</f>
        <v>96</v>
      </c>
      <c r="O5" s="1303">
        <f>C5+G5+K5</f>
        <v>81</v>
      </c>
      <c r="P5" s="1304">
        <f>D5+H5+L5</f>
        <v>-15</v>
      </c>
      <c r="R5" s="1326" t="s">
        <v>718</v>
      </c>
      <c r="S5" s="81">
        <v>3331568800</v>
      </c>
      <c r="T5" s="81" t="s">
        <v>256</v>
      </c>
      <c r="U5" s="81" t="s">
        <v>256</v>
      </c>
      <c r="V5" s="1190" t="s">
        <v>256</v>
      </c>
      <c r="W5" s="81" t="s">
        <v>256</v>
      </c>
      <c r="X5" s="191" t="s">
        <v>256</v>
      </c>
      <c r="Y5" s="81" t="s">
        <v>256</v>
      </c>
      <c r="Z5" s="81" t="s">
        <v>256</v>
      </c>
      <c r="AA5" s="81" t="s">
        <v>256</v>
      </c>
      <c r="AB5" s="81" t="s">
        <v>256</v>
      </c>
      <c r="AC5" s="240"/>
      <c r="AD5" s="81"/>
      <c r="AE5" s="44"/>
      <c r="AF5" s="44"/>
      <c r="AG5" s="44"/>
    </row>
    <row r="6" spans="1:33" ht="17.399999999999999">
      <c r="A6" s="733"/>
      <c r="B6" s="733">
        <f>SUM(B5)</f>
        <v>88</v>
      </c>
      <c r="C6" s="733">
        <f>SUM(C5)</f>
        <v>73</v>
      </c>
      <c r="D6" s="739">
        <f>SUM(D5)</f>
        <v>-15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96</v>
      </c>
      <c r="O6" s="760">
        <f>SUM(O5:O5)</f>
        <v>81</v>
      </c>
      <c r="P6" s="761">
        <f>SUM(P5:P5)</f>
        <v>-15</v>
      </c>
      <c r="R6" s="1326" t="s">
        <v>718</v>
      </c>
      <c r="S6" s="81">
        <v>3331568801</v>
      </c>
      <c r="T6" s="81" t="s">
        <v>256</v>
      </c>
      <c r="U6" s="81" t="s">
        <v>256</v>
      </c>
      <c r="V6" s="1190" t="s">
        <v>256</v>
      </c>
      <c r="W6" s="81" t="s">
        <v>256</v>
      </c>
      <c r="X6" s="191" t="s">
        <v>256</v>
      </c>
      <c r="Y6" s="81" t="s">
        <v>256</v>
      </c>
      <c r="Z6" s="81" t="s">
        <v>256</v>
      </c>
      <c r="AA6" s="81" t="s">
        <v>256</v>
      </c>
      <c r="AB6" s="81" t="s">
        <v>256</v>
      </c>
      <c r="AC6" s="240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26" t="s">
        <v>691</v>
      </c>
      <c r="S7" s="81">
        <v>3331569861</v>
      </c>
      <c r="T7" s="81" t="s">
        <v>351</v>
      </c>
      <c r="U7" s="81">
        <v>24142762</v>
      </c>
      <c r="V7" s="1190" t="s">
        <v>354</v>
      </c>
      <c r="W7" s="1190" t="s">
        <v>362</v>
      </c>
      <c r="X7" s="191">
        <v>23988.754000000001</v>
      </c>
      <c r="Y7" s="81" t="s">
        <v>426</v>
      </c>
      <c r="Z7" s="1361">
        <v>1</v>
      </c>
      <c r="AA7" s="1361">
        <v>1</v>
      </c>
      <c r="AB7" s="1361" t="s">
        <v>207</v>
      </c>
      <c r="AC7" s="240"/>
      <c r="AD7" s="81"/>
      <c r="AE7" s="44"/>
      <c r="AF7" s="44"/>
      <c r="AG7" s="44"/>
    </row>
    <row r="8" spans="1:33" ht="17.399999999999999">
      <c r="A8" s="763" t="str">
        <f>A1</f>
        <v>Plan Delivery 12Nov'2025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2" t="s">
        <v>694</v>
      </c>
      <c r="S8" s="1227">
        <v>3331569670</v>
      </c>
      <c r="T8" s="1317" t="s">
        <v>424</v>
      </c>
      <c r="U8" s="1227">
        <v>24142711</v>
      </c>
      <c r="V8" s="1227" t="s">
        <v>429</v>
      </c>
      <c r="W8" s="1227" t="s">
        <v>362</v>
      </c>
      <c r="X8" s="1229">
        <v>24771.743999999999</v>
      </c>
      <c r="Y8" s="105" t="s">
        <v>426</v>
      </c>
      <c r="Z8" s="1373">
        <v>1</v>
      </c>
      <c r="AA8" s="1373">
        <v>1</v>
      </c>
      <c r="AB8" s="1373" t="s">
        <v>204</v>
      </c>
      <c r="AC8" s="1190"/>
      <c r="AD8" s="1326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5" t="str">
        <f>F2</f>
        <v>Tgl 11 Nov’25 diatas jam 15.00</v>
      </c>
      <c r="G9" s="1525"/>
      <c r="H9" s="1525"/>
      <c r="I9" s="826"/>
      <c r="J9" s="1525" t="str">
        <f>J2</f>
        <v>Tgl 11 Nov’25</v>
      </c>
      <c r="K9" s="1525"/>
      <c r="L9" s="1525"/>
      <c r="M9" s="734"/>
      <c r="N9" s="1526"/>
      <c r="O9" s="1526"/>
      <c r="P9" s="1526"/>
      <c r="R9" s="1201" t="s">
        <v>694</v>
      </c>
      <c r="S9" s="1227">
        <v>3331569672</v>
      </c>
      <c r="T9" s="1317" t="s">
        <v>424</v>
      </c>
      <c r="U9" s="1227">
        <v>24142712</v>
      </c>
      <c r="V9" s="1227" t="s">
        <v>429</v>
      </c>
      <c r="W9" s="1227" t="s">
        <v>362</v>
      </c>
      <c r="X9" s="1229">
        <v>23524.556</v>
      </c>
      <c r="Y9" s="105" t="s">
        <v>426</v>
      </c>
      <c r="Z9" s="1373">
        <v>1</v>
      </c>
      <c r="AA9" s="1373">
        <v>1</v>
      </c>
      <c r="AB9" s="1373" t="s">
        <v>204</v>
      </c>
      <c r="AC9" s="1192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189" t="s">
        <v>694</v>
      </c>
      <c r="S10" s="1224">
        <v>3331569677</v>
      </c>
      <c r="T10" s="1279" t="s">
        <v>424</v>
      </c>
      <c r="U10" s="1224">
        <v>24142713</v>
      </c>
      <c r="V10" s="1224" t="s">
        <v>429</v>
      </c>
      <c r="W10" s="1224" t="s">
        <v>362</v>
      </c>
      <c r="X10" s="1225">
        <f>1881.22+22354.075</f>
        <v>24235.295000000002</v>
      </c>
      <c r="Y10" s="81" t="s">
        <v>426</v>
      </c>
      <c r="Z10" s="1362">
        <v>1</v>
      </c>
      <c r="AA10" s="1362">
        <v>1</v>
      </c>
      <c r="AB10" s="1362" t="s">
        <v>207</v>
      </c>
      <c r="AC10" s="1192"/>
      <c r="AD10" s="81"/>
      <c r="AE10" s="44"/>
      <c r="AF10" s="44"/>
      <c r="AG10" s="44"/>
    </row>
    <row r="11" spans="1:33" ht="30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694</v>
      </c>
      <c r="S11" s="1224">
        <v>3331569678</v>
      </c>
      <c r="T11" s="1279" t="s">
        <v>256</v>
      </c>
      <c r="U11" s="1224" t="s">
        <v>256</v>
      </c>
      <c r="V11" s="1224" t="s">
        <v>256</v>
      </c>
      <c r="W11" s="1224" t="s">
        <v>256</v>
      </c>
      <c r="X11" s="1225" t="s">
        <v>256</v>
      </c>
      <c r="Y11" s="81" t="s">
        <v>256</v>
      </c>
      <c r="Z11" s="1362" t="s">
        <v>256</v>
      </c>
      <c r="AA11" s="1362" t="s">
        <v>256</v>
      </c>
      <c r="AB11" s="1362" t="s">
        <v>256</v>
      </c>
      <c r="AC11" s="1192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SUMPRODUCT(--(TRIM(LOWER(W1:W382))="jabodetabek"), --(LOWER(AC1:AC382)&lt;&gt;"add"))</f>
        <v>35</v>
      </c>
      <c r="C12" s="748" cm="1">
        <f t="array" ref="C12">SUMPRODUCT(--(LOWER(AB1:AB382)="masuk"), --(TRIM(LOWER(W1:W382))="jabodetabek"), --(LOWER(AC1:AC382)&lt;&gt;"add"))</f>
        <v>35</v>
      </c>
      <c r="D12" s="973">
        <f>C12+-B12</f>
        <v>0</v>
      </c>
      <c r="E12" s="734"/>
      <c r="F12" s="748" cm="1">
        <f t="array" ref="F12">SUMPRODUCT(--(LOWER(AC1:AC382)="add"), --(TRIM(LOWER(W1:W382))="jabodetabek"))</f>
        <v>1</v>
      </c>
      <c r="G12" s="747" cm="1">
        <f t="array" ref="G12">SUMPRODUCT(--(LOWER(AB1:AB382)="masuk"), --(LOWER(AC1:AC382)="add"), --(TRIM(LOWER(W1:W382))="jabodetabek"))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day",LOWER(W1:W382)))+ISNUMBER(SEARCH("jabodetabek nextday",LOWER(W1:W382)))&gt; 0))</f>
        <v>2</v>
      </c>
      <c r="K12" s="747" cm="1">
        <f t="array" ref="K12">SUMPRODUCT(--(LOWER(AB1:AB382)="masuk"), --(LOWER(TRIM(W1:W382))="jabodetabek next day"))</f>
        <v>2</v>
      </c>
      <c r="L12" s="740">
        <f>K12+-J12</f>
        <v>0</v>
      </c>
      <c r="M12" s="734"/>
      <c r="N12" s="748">
        <f t="shared" ref="N12:P16" si="0">B12+F12+J12</f>
        <v>38</v>
      </c>
      <c r="O12" s="747">
        <f t="shared" si="0"/>
        <v>38</v>
      </c>
      <c r="P12" s="740">
        <f t="shared" si="0"/>
        <v>0</v>
      </c>
      <c r="R12" s="1189" t="s">
        <v>692</v>
      </c>
      <c r="S12" s="1224">
        <v>3331569781</v>
      </c>
      <c r="T12" s="1279" t="s">
        <v>424</v>
      </c>
      <c r="U12" s="1224">
        <v>24142735</v>
      </c>
      <c r="V12" s="1224" t="s">
        <v>429</v>
      </c>
      <c r="W12" s="1224" t="s">
        <v>362</v>
      </c>
      <c r="X12" s="1225">
        <v>24205.732</v>
      </c>
      <c r="Y12" s="81" t="s">
        <v>426</v>
      </c>
      <c r="Z12" s="1362">
        <v>1</v>
      </c>
      <c r="AA12" s="1362">
        <v>1</v>
      </c>
      <c r="AB12" s="1362" t="s">
        <v>207</v>
      </c>
      <c r="AC12" s="1192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SUMPRODUCT(--(TRIM(LOWER(W1:W382))="jawa tengah"), --(LOWER(AC1:AC382)&lt;&gt;"add"))</f>
        <v>18</v>
      </c>
      <c r="C13" s="750" cm="1">
        <f t="array" ref="C13">SUMPRODUCT(--(LOWER(AB1:AB382)="masuk"), --(TRIM(LOWER(W1:W382))="jawa tengah"), --(LOWER(AC1:AC382)&lt;&gt;"add"))</f>
        <v>18</v>
      </c>
      <c r="D13" s="846">
        <f>C13+-B13</f>
        <v>0</v>
      </c>
      <c r="E13" s="734"/>
      <c r="F13" s="751" cm="1">
        <f t="array" ref="F13">SUMPRODUCT(--(LOWER(AC1:AC382)="add"), --(TRIM(LOWER(W1:W382))="jawa tengah"))</f>
        <v>1</v>
      </c>
      <c r="G13" s="747" cm="1">
        <f t="array" ref="G13">SUMPRODUCT(--(LOWER(AB1:AB382)="masuk"), --(LOWER(AC1:AC382)="add"), --(TRIM(LOWER(W1:W382))="jawa tengah"))</f>
        <v>1</v>
      </c>
      <c r="H13" s="740">
        <f>G13+-F13</f>
        <v>0</v>
      </c>
      <c r="I13" s="734"/>
      <c r="J13" s="748" cm="1">
        <f t="array" ref="J13">SUMPRODUCT(--((LOWER(TRIM(W1:W382))="jawa tengah next day")+(LOWER(TRIM(W1:W382))="jawa tengah nextday")))</f>
        <v>1</v>
      </c>
      <c r="K13" s="747" cm="1">
        <f t="array" ref="K13">SUMPRODUCT(--(LOWER(AB1:AB382)="masuk"), --(LOWER(TRIM(W1:W382))="jawa tengah next day"))</f>
        <v>1</v>
      </c>
      <c r="L13" s="740">
        <f>K13+-J13</f>
        <v>0</v>
      </c>
      <c r="M13" s="734"/>
      <c r="N13" s="748">
        <f t="shared" si="0"/>
        <v>20</v>
      </c>
      <c r="O13" s="747">
        <f t="shared" si="0"/>
        <v>20</v>
      </c>
      <c r="P13" s="740">
        <f t="shared" si="0"/>
        <v>0</v>
      </c>
      <c r="R13" s="1189" t="s">
        <v>691</v>
      </c>
      <c r="S13" s="1224">
        <v>3331569785</v>
      </c>
      <c r="T13" s="1279" t="s">
        <v>424</v>
      </c>
      <c r="U13" s="1224">
        <v>24142736</v>
      </c>
      <c r="V13" s="1224" t="s">
        <v>429</v>
      </c>
      <c r="W13" s="1224" t="s">
        <v>362</v>
      </c>
      <c r="X13" s="1225">
        <v>24508.366000000002</v>
      </c>
      <c r="Y13" s="81" t="s">
        <v>426</v>
      </c>
      <c r="Z13" s="1362">
        <v>1</v>
      </c>
      <c r="AA13" s="1362">
        <v>1</v>
      </c>
      <c r="AB13" s="1362" t="s">
        <v>207</v>
      </c>
      <c r="AC13" s="1192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SUMPRODUCT(--(TRIM(LOWER(W1:W382))="jawa timur"), --(LOWER(AC1:AC382)&lt;&gt;"add"))</f>
        <v>14</v>
      </c>
      <c r="C14" s="750" cm="1">
        <f t="array" ref="C14">SUMPRODUCT(--(LOWER(AB1:AB382)="masuk"), --(TRIM(LOWER(W1:W382))="jawa timur"), --(LOWER(AC1:AC382)&lt;&gt;"add"))</f>
        <v>14</v>
      </c>
      <c r="D14" s="846">
        <f>C14+-B14</f>
        <v>0</v>
      </c>
      <c r="E14" s="734"/>
      <c r="F14" s="750" cm="1">
        <f t="array" ref="F14">SUMPRODUCT(--(LOWER(AC1:AC382)="add"), --(TRIM(LOWER(W1:W382))="jawa timur"))</f>
        <v>3</v>
      </c>
      <c r="G14" s="747" cm="1">
        <f t="array" ref="G14">SUMPRODUCT(--(LOWER(AB1:AB382)="masuk"), --(LOWER(AC1:AC382)="add"), --(TRIM(LOWER(W1:W382))="jawa timur"))</f>
        <v>3</v>
      </c>
      <c r="H14" s="740">
        <f>G14+-F14</f>
        <v>0</v>
      </c>
      <c r="I14" s="734"/>
      <c r="J14" s="748" cm="1">
        <f t="array" ref="J14">SUMPRODUCT(--((LOWER(TRIM(W1:W382))="jawa timur next day")+(LOWER(TRIM(W1:W382))="jawa timur nextday")))</f>
        <v>0</v>
      </c>
      <c r="K14" s="747" cm="1">
        <f t="array" ref="K14">SUMPRODUCT(--(LOWER(AB1:AB382)="masuk"), --(LOWER(TRIM(W1:W382))="jawa timur next day"))</f>
        <v>0</v>
      </c>
      <c r="L14" s="740">
        <f>K14+-J14</f>
        <v>0</v>
      </c>
      <c r="M14" s="734"/>
      <c r="N14" s="748">
        <f t="shared" si="0"/>
        <v>17</v>
      </c>
      <c r="O14" s="747">
        <f t="shared" si="0"/>
        <v>17</v>
      </c>
      <c r="P14" s="740">
        <f t="shared" si="0"/>
        <v>0</v>
      </c>
      <c r="R14" s="1189" t="s">
        <v>691</v>
      </c>
      <c r="S14" s="1224">
        <v>3331569786</v>
      </c>
      <c r="T14" s="1279" t="s">
        <v>424</v>
      </c>
      <c r="U14" s="1224">
        <v>24142737</v>
      </c>
      <c r="V14" s="1224" t="s">
        <v>429</v>
      </c>
      <c r="W14" s="1224" t="s">
        <v>362</v>
      </c>
      <c r="X14" s="1225">
        <v>25114.58</v>
      </c>
      <c r="Y14" s="81" t="s">
        <v>426</v>
      </c>
      <c r="Z14" s="1362">
        <v>1</v>
      </c>
      <c r="AA14" s="1362">
        <v>1</v>
      </c>
      <c r="AB14" s="1362" t="s">
        <v>207</v>
      </c>
      <c r="AC14" s="1192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SUMPRODUCT(--(TRIM(LOWER(W1:W382))="luar pulau"), --(LOWER(AC1:AC382)&lt;&gt;"add"))</f>
        <v>21</v>
      </c>
      <c r="C15" s="750" cm="1">
        <f t="array" ref="C15">SUMPRODUCT(--(LOWER(AB1:AB382)="masuk"), --(TRIM(LOWER(W1:W382))="luar pulau"), --(LOWER(AC1:AC382)&lt;&gt;"add"))</f>
        <v>6</v>
      </c>
      <c r="D15" s="846">
        <f>C15+-B15</f>
        <v>-15</v>
      </c>
      <c r="E15" s="734"/>
      <c r="F15" s="748" cm="1">
        <f t="array" ref="F15">SUMPRODUCT(--(LOWER(AC1:AC382)="add"), --(TRIM(LOWER(W1:W382))="luar pulau"))</f>
        <v>0</v>
      </c>
      <c r="G15" s="747" cm="1">
        <f t="array" ref="G15">SUMPRODUCT(--(LOWER(AB1:AB382)="masuk"), --(LOWER(AC1:AC382)="add"), --(TRIM(LOWER(W1:W382))="luar pulau"))</f>
        <v>0</v>
      </c>
      <c r="H15" s="740">
        <f>G15+-F15</f>
        <v>0</v>
      </c>
      <c r="I15" s="734"/>
      <c r="J15" s="748" cm="1">
        <f t="array" ref="J15">SUMPRODUCT(--((LOWER(TRIM(W1:W382))="luar pulau next day")+(LOWER(TRIM(W1:W382))="luar pulau nextday")))</f>
        <v>0</v>
      </c>
      <c r="K15" s="747" cm="1">
        <f t="array" ref="K15">SUMPRODUCT(--(LOWER(AB1:AB382)="masuk"), --(LOWER(TRIM(W1:W382))="luar pulau next day"))</f>
        <v>0</v>
      </c>
      <c r="L15" s="740">
        <f>K15+-J15</f>
        <v>0</v>
      </c>
      <c r="M15" s="734"/>
      <c r="N15" s="748">
        <f t="shared" si="0"/>
        <v>21</v>
      </c>
      <c r="O15" s="747">
        <f t="shared" si="0"/>
        <v>6</v>
      </c>
      <c r="P15" s="740">
        <f t="shared" si="0"/>
        <v>-15</v>
      </c>
      <c r="R15" s="1189" t="s">
        <v>691</v>
      </c>
      <c r="S15" s="1224">
        <v>3331569787</v>
      </c>
      <c r="T15" s="1279" t="s">
        <v>424</v>
      </c>
      <c r="U15" s="1224">
        <v>24142738</v>
      </c>
      <c r="V15" s="1224" t="s">
        <v>429</v>
      </c>
      <c r="W15" s="1224" t="s">
        <v>362</v>
      </c>
      <c r="X15" s="1225">
        <v>24819.072</v>
      </c>
      <c r="Y15" s="81" t="s">
        <v>426</v>
      </c>
      <c r="Z15" s="1362">
        <v>1</v>
      </c>
      <c r="AA15" s="1362">
        <v>1</v>
      </c>
      <c r="AB15" s="1362" t="s">
        <v>207</v>
      </c>
      <c r="AC15" s="1192"/>
      <c r="AD15" s="81"/>
      <c r="AE15" s="44"/>
      <c r="AF15" s="44"/>
      <c r="AG15" s="44"/>
    </row>
    <row r="16" spans="1:33" ht="17.399999999999999">
      <c r="A16" s="827"/>
      <c r="B16" s="733">
        <f>SUM(B12:B15)</f>
        <v>88</v>
      </c>
      <c r="C16" s="733">
        <f>SUM(C12:C15)</f>
        <v>73</v>
      </c>
      <c r="D16" s="739">
        <f>SUM(D12:D15)</f>
        <v>-15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 t="shared" si="0"/>
        <v>96</v>
      </c>
      <c r="O16" s="760">
        <f t="shared" si="0"/>
        <v>81</v>
      </c>
      <c r="P16" s="761">
        <f t="shared" si="0"/>
        <v>-15</v>
      </c>
      <c r="R16" s="1189" t="s">
        <v>692</v>
      </c>
      <c r="S16" s="1224">
        <v>3331569793</v>
      </c>
      <c r="T16" s="1279" t="s">
        <v>424</v>
      </c>
      <c r="U16" s="1224">
        <v>24142739</v>
      </c>
      <c r="V16" s="1224" t="s">
        <v>429</v>
      </c>
      <c r="W16" s="1224" t="s">
        <v>362</v>
      </c>
      <c r="X16" s="1225">
        <v>24248.560000000001</v>
      </c>
      <c r="Y16" s="81" t="s">
        <v>426</v>
      </c>
      <c r="Z16" s="1362">
        <v>1</v>
      </c>
      <c r="AA16" s="1362">
        <v>1</v>
      </c>
      <c r="AB16" s="1362" t="s">
        <v>207</v>
      </c>
      <c r="AC16" s="1192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691</v>
      </c>
      <c r="S17" s="1227">
        <v>3331569806</v>
      </c>
      <c r="T17" s="1317" t="s">
        <v>424</v>
      </c>
      <c r="U17" s="1227">
        <v>24142747</v>
      </c>
      <c r="V17" s="1227" t="s">
        <v>693</v>
      </c>
      <c r="W17" s="1227" t="s">
        <v>362</v>
      </c>
      <c r="X17" s="1229">
        <v>24763.445</v>
      </c>
      <c r="Y17" s="105" t="s">
        <v>426</v>
      </c>
      <c r="Z17" s="1373">
        <v>1</v>
      </c>
      <c r="AA17" s="1373">
        <v>1</v>
      </c>
      <c r="AB17" s="1373" t="s">
        <v>204</v>
      </c>
      <c r="AC17" s="1192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691</v>
      </c>
      <c r="S18" s="1224">
        <v>3331569808</v>
      </c>
      <c r="T18" s="1279" t="s">
        <v>424</v>
      </c>
      <c r="U18" s="1224">
        <v>24142748</v>
      </c>
      <c r="V18" s="1224" t="s">
        <v>693</v>
      </c>
      <c r="W18" s="1224" t="s">
        <v>362</v>
      </c>
      <c r="X18" s="1225">
        <v>24943.77</v>
      </c>
      <c r="Y18" s="81" t="s">
        <v>426</v>
      </c>
      <c r="Z18" s="1362">
        <v>1</v>
      </c>
      <c r="AA18" s="1362">
        <v>1</v>
      </c>
      <c r="AB18" s="1362" t="s">
        <v>207</v>
      </c>
      <c r="AC18" s="1192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691</v>
      </c>
      <c r="S19" s="1224">
        <v>3331569809</v>
      </c>
      <c r="T19" s="1279" t="s">
        <v>424</v>
      </c>
      <c r="U19" s="1224">
        <v>24142749</v>
      </c>
      <c r="V19" s="1224" t="s">
        <v>693</v>
      </c>
      <c r="W19" s="1224" t="s">
        <v>362</v>
      </c>
      <c r="X19" s="1225">
        <v>24427.691999999999</v>
      </c>
      <c r="Y19" s="81" t="s">
        <v>426</v>
      </c>
      <c r="Z19" s="1362">
        <v>1</v>
      </c>
      <c r="AA19" s="1362">
        <v>1</v>
      </c>
      <c r="AB19" s="1362" t="s">
        <v>207</v>
      </c>
      <c r="AC19" s="1192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691</v>
      </c>
      <c r="S20" s="1224">
        <v>3331569811</v>
      </c>
      <c r="T20" s="1279" t="s">
        <v>424</v>
      </c>
      <c r="U20" s="1224">
        <v>24142750</v>
      </c>
      <c r="V20" s="1224" t="s">
        <v>693</v>
      </c>
      <c r="W20" s="1224" t="s">
        <v>362</v>
      </c>
      <c r="X20" s="1225">
        <v>23902.151999999998</v>
      </c>
      <c r="Y20" s="81" t="s">
        <v>426</v>
      </c>
      <c r="Z20" s="1362">
        <v>1</v>
      </c>
      <c r="AA20" s="1362">
        <v>1</v>
      </c>
      <c r="AB20" s="1362" t="s">
        <v>207</v>
      </c>
      <c r="AC20" s="1192"/>
      <c r="AD20" s="81"/>
    </row>
    <row r="21" spans="1:30" s="44" customFormat="1" ht="18">
      <c r="A21" s="968" t="s">
        <v>427</v>
      </c>
      <c r="B21" s="970" cm="1">
        <f t="array" ref="B21">SUMPRODUCT(--((LOWER(TRIM($W$2:$W$378))="ambil sendiri")+(LOWER(TRIM($W$2:$W$378))="cokot sorangan")))</f>
        <v>5</v>
      </c>
      <c r="C21" s="969" cm="1">
        <f t="array" ref="C21">SUMPRODUCT(--(LOWER(AB6:AB408)="masuk"), --((LOWER(TRIM($W$2:$W$404))="cokot sorangan") + (LOWER(TRIM(W6:W408))="ambil sendiri")))</f>
        <v>1</v>
      </c>
      <c r="D21" s="741">
        <f>C21+-B21</f>
        <v>-4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691</v>
      </c>
      <c r="S21" s="1224">
        <v>3331569813</v>
      </c>
      <c r="T21" s="1279" t="s">
        <v>424</v>
      </c>
      <c r="U21" s="1224">
        <v>24142751</v>
      </c>
      <c r="V21" s="1224" t="s">
        <v>693</v>
      </c>
      <c r="W21" s="1224" t="s">
        <v>362</v>
      </c>
      <c r="X21" s="1225">
        <v>24898.075000000001</v>
      </c>
      <c r="Y21" s="81" t="s">
        <v>426</v>
      </c>
      <c r="Z21" s="1362">
        <v>1</v>
      </c>
      <c r="AA21" s="1362">
        <v>1</v>
      </c>
      <c r="AB21" s="1362" t="s">
        <v>207</v>
      </c>
      <c r="AC21" s="1192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692</v>
      </c>
      <c r="S22" s="1227">
        <v>3331569816</v>
      </c>
      <c r="T22" s="1317" t="s">
        <v>424</v>
      </c>
      <c r="U22" s="1227">
        <v>24142752</v>
      </c>
      <c r="V22" s="1227" t="s">
        <v>693</v>
      </c>
      <c r="W22" s="1227" t="s">
        <v>362</v>
      </c>
      <c r="X22" s="1229">
        <v>24248.560000000001</v>
      </c>
      <c r="Y22" s="105" t="s">
        <v>426</v>
      </c>
      <c r="Z22" s="1373">
        <v>1</v>
      </c>
      <c r="AA22" s="1373">
        <v>1</v>
      </c>
      <c r="AB22" s="1373" t="s">
        <v>204</v>
      </c>
      <c r="AC22" s="1192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694</v>
      </c>
      <c r="S23" s="1224">
        <v>3331570272</v>
      </c>
      <c r="T23" s="1279" t="s">
        <v>424</v>
      </c>
      <c r="U23" s="1224">
        <v>24142818</v>
      </c>
      <c r="V23" s="1224" t="s">
        <v>429</v>
      </c>
      <c r="W23" s="1224" t="s">
        <v>362</v>
      </c>
      <c r="X23" s="1225">
        <v>24465.87</v>
      </c>
      <c r="Y23" s="81" t="s">
        <v>426</v>
      </c>
      <c r="Z23" s="1362">
        <v>1</v>
      </c>
      <c r="AA23" s="1362">
        <v>1</v>
      </c>
      <c r="AB23" s="1362" t="s">
        <v>207</v>
      </c>
      <c r="AC23" s="1271"/>
      <c r="AD23" s="81"/>
    </row>
    <row r="24" spans="1:30" s="44" customFormat="1" ht="17.399999999999999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691</v>
      </c>
      <c r="S24" s="1224">
        <v>3331570275</v>
      </c>
      <c r="T24" s="1279" t="s">
        <v>424</v>
      </c>
      <c r="U24" s="1224">
        <v>24142819</v>
      </c>
      <c r="V24" s="1224" t="s">
        <v>429</v>
      </c>
      <c r="W24" s="1224" t="s">
        <v>362</v>
      </c>
      <c r="X24" s="1225">
        <v>24415.481</v>
      </c>
      <c r="Y24" s="81" t="s">
        <v>426</v>
      </c>
      <c r="Z24" s="1362">
        <v>1</v>
      </c>
      <c r="AA24" s="1362">
        <v>1</v>
      </c>
      <c r="AB24" s="1362" t="s">
        <v>207</v>
      </c>
      <c r="AC24" s="1271"/>
      <c r="AD24" s="81"/>
    </row>
    <row r="25" spans="1:30" s="44" customFormat="1" ht="17.399999999999999">
      <c r="A25" s="1021"/>
      <c r="B25" s="1021"/>
      <c r="C25" s="1021"/>
      <c r="D25" s="1021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691</v>
      </c>
      <c r="S25" s="1224">
        <v>3331570276</v>
      </c>
      <c r="T25" s="1279" t="s">
        <v>424</v>
      </c>
      <c r="U25" s="1224">
        <v>24142820</v>
      </c>
      <c r="V25" s="1224" t="s">
        <v>429</v>
      </c>
      <c r="W25" s="1224" t="s">
        <v>362</v>
      </c>
      <c r="X25" s="1225">
        <f>8171.235+13336.708+4330.1</f>
        <v>25838.042999999998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694</v>
      </c>
      <c r="S26" s="1224">
        <v>3331570277</v>
      </c>
      <c r="T26" s="1279" t="s">
        <v>256</v>
      </c>
      <c r="U26" s="1224" t="s">
        <v>256</v>
      </c>
      <c r="V26" s="1224" t="s">
        <v>256</v>
      </c>
      <c r="W26" s="1224" t="s">
        <v>256</v>
      </c>
      <c r="X26" s="1225" t="s">
        <v>256</v>
      </c>
      <c r="Y26" s="81" t="s">
        <v>256</v>
      </c>
      <c r="Z26" s="1362" t="s">
        <v>256</v>
      </c>
      <c r="AA26" s="1362" t="s">
        <v>256</v>
      </c>
      <c r="AB26" s="1362" t="s">
        <v>256</v>
      </c>
      <c r="AC26" s="1271"/>
      <c r="AD26" s="81"/>
    </row>
    <row r="27" spans="1:30" s="44" customFormat="1" ht="17.399999999999999">
      <c r="A27" s="1021"/>
      <c r="B27" s="1021"/>
      <c r="C27" s="1021"/>
      <c r="D27" s="1021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694</v>
      </c>
      <c r="S27" s="1224">
        <v>3331570278</v>
      </c>
      <c r="T27" s="1279" t="s">
        <v>256</v>
      </c>
      <c r="U27" s="1224" t="s">
        <v>256</v>
      </c>
      <c r="V27" s="1224" t="s">
        <v>256</v>
      </c>
      <c r="W27" s="1224" t="s">
        <v>256</v>
      </c>
      <c r="X27" s="1225" t="s">
        <v>256</v>
      </c>
      <c r="Y27" s="81" t="s">
        <v>256</v>
      </c>
      <c r="Z27" s="1362" t="s">
        <v>256</v>
      </c>
      <c r="AA27" s="1362" t="s">
        <v>256</v>
      </c>
      <c r="AB27" s="1362" t="s">
        <v>256</v>
      </c>
      <c r="AC27" s="1271"/>
      <c r="AD27" s="81"/>
    </row>
    <row r="28" spans="1:30" s="44" customFormat="1" ht="17.399999999999999">
      <c r="A28" s="1021"/>
      <c r="B28" s="1021"/>
      <c r="C28" s="1021"/>
      <c r="D28" s="1021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1" t="s">
        <v>694</v>
      </c>
      <c r="S28" s="1227">
        <v>3331569818</v>
      </c>
      <c r="T28" s="1317" t="s">
        <v>459</v>
      </c>
      <c r="U28" s="1227">
        <v>24142746</v>
      </c>
      <c r="V28" s="1227" t="s">
        <v>224</v>
      </c>
      <c r="W28" s="1264" t="s">
        <v>203</v>
      </c>
      <c r="X28" s="1229">
        <v>28925.067999999999</v>
      </c>
      <c r="Y28" s="105" t="s">
        <v>426</v>
      </c>
      <c r="Z28" s="1373">
        <v>1</v>
      </c>
      <c r="AA28" s="1373">
        <v>1</v>
      </c>
      <c r="AB28" s="1373" t="s">
        <v>204</v>
      </c>
      <c r="AC28" s="1271"/>
      <c r="AD28" s="81"/>
    </row>
    <row r="29" spans="1:30" s="44" customFormat="1" ht="17.399999999999999">
      <c r="A29" s="1021"/>
      <c r="B29" s="1021"/>
      <c r="C29" s="1021"/>
      <c r="D29" s="1021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01" t="s">
        <v>694</v>
      </c>
      <c r="S29" s="1227">
        <v>3331569834</v>
      </c>
      <c r="T29" s="1317" t="s">
        <v>459</v>
      </c>
      <c r="U29" s="1227">
        <v>24142755</v>
      </c>
      <c r="V29" s="1227" t="s">
        <v>224</v>
      </c>
      <c r="W29" s="1264" t="s">
        <v>203</v>
      </c>
      <c r="X29" s="1229">
        <v>27217.481</v>
      </c>
      <c r="Y29" s="105" t="s">
        <v>426</v>
      </c>
      <c r="Z29" s="1373">
        <v>1</v>
      </c>
      <c r="AA29" s="1373">
        <v>1</v>
      </c>
      <c r="AB29" s="1373" t="s">
        <v>204</v>
      </c>
      <c r="AC29" s="1217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1" t="s">
        <v>694</v>
      </c>
      <c r="S30" s="1227">
        <v>3331569839</v>
      </c>
      <c r="T30" s="1317" t="s">
        <v>459</v>
      </c>
      <c r="U30" s="1227">
        <v>24142756</v>
      </c>
      <c r="V30" s="1227" t="s">
        <v>224</v>
      </c>
      <c r="W30" s="1264" t="s">
        <v>203</v>
      </c>
      <c r="X30" s="1229">
        <v>29747.787</v>
      </c>
      <c r="Y30" s="105" t="s">
        <v>426</v>
      </c>
      <c r="Z30" s="1373">
        <v>1</v>
      </c>
      <c r="AA30" s="1373">
        <v>1</v>
      </c>
      <c r="AB30" s="1373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694</v>
      </c>
      <c r="S31" s="1227">
        <v>3331569841</v>
      </c>
      <c r="T31" s="1317" t="s">
        <v>459</v>
      </c>
      <c r="U31" s="1227">
        <v>24142757</v>
      </c>
      <c r="V31" s="1227" t="s">
        <v>224</v>
      </c>
      <c r="W31" s="1264" t="s">
        <v>203</v>
      </c>
      <c r="X31" s="1229">
        <v>30094.195</v>
      </c>
      <c r="Y31" s="105" t="s">
        <v>426</v>
      </c>
      <c r="Z31" s="1373">
        <v>1</v>
      </c>
      <c r="AA31" s="1373">
        <v>1</v>
      </c>
      <c r="AB31" s="1373" t="s">
        <v>204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694</v>
      </c>
      <c r="S32" s="1227">
        <v>3331569847</v>
      </c>
      <c r="T32" s="1317" t="s">
        <v>459</v>
      </c>
      <c r="U32" s="1227">
        <v>24142758</v>
      </c>
      <c r="V32" s="1227" t="s">
        <v>224</v>
      </c>
      <c r="W32" s="1264" t="s">
        <v>203</v>
      </c>
      <c r="X32" s="1229">
        <v>28492.058000000001</v>
      </c>
      <c r="Y32" s="105" t="s">
        <v>426</v>
      </c>
      <c r="Z32" s="1373">
        <v>1</v>
      </c>
      <c r="AA32" s="1373">
        <v>1</v>
      </c>
      <c r="AB32" s="1373" t="s">
        <v>204</v>
      </c>
      <c r="AC32" s="1271"/>
      <c r="AD32" s="81"/>
    </row>
    <row r="33" spans="1:30" s="44" customFormat="1" ht="37.5" customHeight="1">
      <c r="A33" s="1324"/>
      <c r="B33" s="1021"/>
      <c r="C33" s="1021"/>
      <c r="D33" s="1022"/>
      <c r="E33" s="1023"/>
      <c r="F33" s="1592" t="s">
        <v>697</v>
      </c>
      <c r="G33" s="1592"/>
      <c r="H33" s="1592"/>
      <c r="I33" s="1592"/>
      <c r="J33" s="1592"/>
      <c r="K33" s="1592"/>
      <c r="L33" s="1592"/>
      <c r="M33" s="1023"/>
      <c r="N33" s="1021"/>
      <c r="O33" s="1021"/>
      <c r="P33" s="1022"/>
      <c r="R33" s="1201" t="s">
        <v>695</v>
      </c>
      <c r="S33" s="1202">
        <v>3331570045</v>
      </c>
      <c r="T33" s="1077" t="s">
        <v>459</v>
      </c>
      <c r="U33" s="1202">
        <v>24142780</v>
      </c>
      <c r="V33" s="1202" t="s">
        <v>226</v>
      </c>
      <c r="W33" s="1261" t="s">
        <v>203</v>
      </c>
      <c r="X33" s="1203">
        <v>29877.69</v>
      </c>
      <c r="Y33" s="1202" t="s">
        <v>426</v>
      </c>
      <c r="Z33" s="1202">
        <v>1</v>
      </c>
      <c r="AA33" s="1202">
        <v>1</v>
      </c>
      <c r="AB33" s="1373" t="s">
        <v>204</v>
      </c>
      <c r="AC33" s="1192"/>
      <c r="AD33" s="81"/>
    </row>
    <row r="34" spans="1:30" s="44" customFormat="1" ht="37.5" customHeight="1">
      <c r="A34" s="1324"/>
      <c r="B34" s="1021"/>
      <c r="C34" s="1021"/>
      <c r="D34" s="1022"/>
      <c r="E34" s="1023"/>
      <c r="F34" s="1592"/>
      <c r="G34" s="1592"/>
      <c r="H34" s="1592"/>
      <c r="I34" s="1592"/>
      <c r="J34" s="1592"/>
      <c r="K34" s="1592"/>
      <c r="L34" s="1592"/>
      <c r="M34" s="1023"/>
      <c r="N34" s="1021"/>
      <c r="O34" s="1021"/>
      <c r="P34" s="1022"/>
      <c r="R34" s="1201" t="s">
        <v>695</v>
      </c>
      <c r="S34" s="1202">
        <v>3331570050</v>
      </c>
      <c r="T34" s="1077" t="s">
        <v>459</v>
      </c>
      <c r="U34" s="1202">
        <v>24142781</v>
      </c>
      <c r="V34" s="1202" t="s">
        <v>226</v>
      </c>
      <c r="W34" s="1261" t="s">
        <v>203</v>
      </c>
      <c r="X34" s="1203">
        <v>28795.165000000001</v>
      </c>
      <c r="Y34" s="1202" t="s">
        <v>426</v>
      </c>
      <c r="Z34" s="1202">
        <v>1</v>
      </c>
      <c r="AA34" s="1202">
        <v>1</v>
      </c>
      <c r="AB34" s="1373" t="s">
        <v>204</v>
      </c>
      <c r="AC34" s="1192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592"/>
      <c r="G35" s="1592"/>
      <c r="H35" s="1592"/>
      <c r="I35" s="1592"/>
      <c r="J35" s="1592"/>
      <c r="K35" s="1592"/>
      <c r="L35" s="1592"/>
      <c r="M35" s="1023"/>
      <c r="N35" s="1021"/>
      <c r="O35" s="1021"/>
      <c r="P35" s="1022"/>
      <c r="R35" s="1201" t="s">
        <v>695</v>
      </c>
      <c r="S35" s="1202">
        <v>3331570052</v>
      </c>
      <c r="T35" s="1077" t="s">
        <v>459</v>
      </c>
      <c r="U35" s="1202">
        <v>24142782</v>
      </c>
      <c r="V35" s="1202" t="s">
        <v>226</v>
      </c>
      <c r="W35" s="1261" t="s">
        <v>203</v>
      </c>
      <c r="X35" s="1203">
        <v>29617.883999999998</v>
      </c>
      <c r="Y35" s="1202" t="s">
        <v>426</v>
      </c>
      <c r="Z35" s="1202">
        <v>1</v>
      </c>
      <c r="AA35" s="1202">
        <v>1</v>
      </c>
      <c r="AB35" s="1373" t="s">
        <v>204</v>
      </c>
      <c r="AC35" s="1192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592"/>
      <c r="G36" s="1592"/>
      <c r="H36" s="1592"/>
      <c r="I36" s="1592"/>
      <c r="J36" s="1592"/>
      <c r="K36" s="1592"/>
      <c r="L36" s="1592"/>
      <c r="M36" s="1023"/>
      <c r="N36" s="1021"/>
      <c r="O36" s="1021"/>
      <c r="P36" s="1022"/>
      <c r="R36" s="1201" t="s">
        <v>695</v>
      </c>
      <c r="S36" s="1202">
        <v>3331570056</v>
      </c>
      <c r="T36" s="1077" t="s">
        <v>459</v>
      </c>
      <c r="U36" s="1202">
        <v>24142783</v>
      </c>
      <c r="V36" s="1202" t="s">
        <v>226</v>
      </c>
      <c r="W36" s="1261" t="s">
        <v>203</v>
      </c>
      <c r="X36" s="1203">
        <v>29054.971000000001</v>
      </c>
      <c r="Y36" s="1202" t="s">
        <v>426</v>
      </c>
      <c r="Z36" s="1202">
        <v>1</v>
      </c>
      <c r="AA36" s="1202">
        <v>1</v>
      </c>
      <c r="AB36" s="1373" t="s">
        <v>204</v>
      </c>
      <c r="AC36" s="1192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592"/>
      <c r="G37" s="1592"/>
      <c r="H37" s="1592"/>
      <c r="I37" s="1592"/>
      <c r="J37" s="1592"/>
      <c r="K37" s="1592"/>
      <c r="L37" s="1592"/>
      <c r="M37" s="1023"/>
      <c r="N37" s="1021"/>
      <c r="O37" s="1021"/>
      <c r="P37" s="1022"/>
      <c r="R37" s="1201" t="s">
        <v>695</v>
      </c>
      <c r="S37" s="1202">
        <v>3331570059</v>
      </c>
      <c r="T37" s="1077" t="s">
        <v>459</v>
      </c>
      <c r="U37" s="1202">
        <v>24142784</v>
      </c>
      <c r="V37" s="1202" t="s">
        <v>226</v>
      </c>
      <c r="W37" s="1261" t="s">
        <v>203</v>
      </c>
      <c r="X37" s="1203">
        <v>30830.312000000002</v>
      </c>
      <c r="Y37" s="1202" t="s">
        <v>426</v>
      </c>
      <c r="Z37" s="1202">
        <v>1</v>
      </c>
      <c r="AA37" s="1202">
        <v>1</v>
      </c>
      <c r="AB37" s="1373" t="s">
        <v>204</v>
      </c>
      <c r="AC37" s="1192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592"/>
      <c r="G38" s="1592"/>
      <c r="H38" s="1592"/>
      <c r="I38" s="1592"/>
      <c r="J38" s="1592"/>
      <c r="K38" s="1592"/>
      <c r="L38" s="1592"/>
      <c r="M38" s="1023"/>
      <c r="N38" s="1021"/>
      <c r="O38" s="1021"/>
      <c r="P38" s="1022"/>
      <c r="R38" s="1201" t="s">
        <v>695</v>
      </c>
      <c r="S38" s="1202">
        <v>3331570082</v>
      </c>
      <c r="T38" s="1077" t="s">
        <v>459</v>
      </c>
      <c r="U38" s="1202">
        <v>24142795</v>
      </c>
      <c r="V38" s="1202" t="s">
        <v>226</v>
      </c>
      <c r="W38" s="1261" t="s">
        <v>203</v>
      </c>
      <c r="X38" s="1203">
        <v>28708.562999999998</v>
      </c>
      <c r="Y38" s="1202" t="s">
        <v>426</v>
      </c>
      <c r="Z38" s="1202">
        <v>1</v>
      </c>
      <c r="AA38" s="1202">
        <v>1</v>
      </c>
      <c r="AB38" s="1373" t="s">
        <v>204</v>
      </c>
      <c r="AC38" s="1192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691</v>
      </c>
      <c r="S39" s="1202">
        <v>3331570307</v>
      </c>
      <c r="T39" s="1202" t="s">
        <v>342</v>
      </c>
      <c r="U39" s="1202">
        <v>24142829</v>
      </c>
      <c r="V39" s="1202" t="s">
        <v>444</v>
      </c>
      <c r="W39" s="1202" t="s">
        <v>434</v>
      </c>
      <c r="X39" s="1203">
        <v>26362.985000000001</v>
      </c>
      <c r="Y39" s="1202" t="s">
        <v>200</v>
      </c>
      <c r="Z39" s="1202">
        <v>1</v>
      </c>
      <c r="AA39" s="1202">
        <v>1</v>
      </c>
      <c r="AB39" s="1373" t="s">
        <v>204</v>
      </c>
      <c r="AC39" s="1192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694</v>
      </c>
      <c r="S40" s="1202">
        <v>3331570150</v>
      </c>
      <c r="T40" s="1202" t="s">
        <v>441</v>
      </c>
      <c r="U40" s="1202">
        <v>24142800</v>
      </c>
      <c r="V40" s="1202" t="s">
        <v>226</v>
      </c>
      <c r="W40" s="1202" t="s">
        <v>203</v>
      </c>
      <c r="X40" s="1203">
        <v>36088.957000000002</v>
      </c>
      <c r="Y40" s="1202" t="s">
        <v>128</v>
      </c>
      <c r="Z40" s="1202">
        <v>1</v>
      </c>
      <c r="AA40" s="1202">
        <v>1</v>
      </c>
      <c r="AB40" s="1202" t="s">
        <v>204</v>
      </c>
      <c r="AC40" s="1192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695</v>
      </c>
      <c r="S41" s="1202">
        <v>3331570153</v>
      </c>
      <c r="T41" s="1202" t="s">
        <v>11</v>
      </c>
      <c r="U41" s="1202">
        <v>24142801</v>
      </c>
      <c r="V41" s="1202" t="s">
        <v>226</v>
      </c>
      <c r="W41" s="1202" t="s">
        <v>203</v>
      </c>
      <c r="X41" s="1203">
        <v>37429.78</v>
      </c>
      <c r="Y41" s="1202" t="s">
        <v>128</v>
      </c>
      <c r="Z41" s="1202">
        <v>1</v>
      </c>
      <c r="AA41" s="1202">
        <v>1</v>
      </c>
      <c r="AB41" s="1202" t="s">
        <v>204</v>
      </c>
      <c r="AC41" s="1192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1" t="s">
        <v>694</v>
      </c>
      <c r="S42" s="1202">
        <v>3331570154</v>
      </c>
      <c r="T42" s="1077" t="s">
        <v>459</v>
      </c>
      <c r="U42" s="1202">
        <v>24142802</v>
      </c>
      <c r="V42" s="1202" t="s">
        <v>224</v>
      </c>
      <c r="W42" s="1261" t="s">
        <v>203</v>
      </c>
      <c r="X42" s="1203">
        <v>28811.826000000001</v>
      </c>
      <c r="Y42" s="1202" t="s">
        <v>426</v>
      </c>
      <c r="Z42" s="1202">
        <v>1</v>
      </c>
      <c r="AA42" s="1202">
        <v>1</v>
      </c>
      <c r="AB42" s="1202" t="s">
        <v>204</v>
      </c>
      <c r="AC42" s="1192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1" t="s">
        <v>691</v>
      </c>
      <c r="S43" s="1202">
        <v>3331570157</v>
      </c>
      <c r="T43" s="1077" t="s">
        <v>459</v>
      </c>
      <c r="U43" s="1202">
        <v>24142803</v>
      </c>
      <c r="V43" s="1202" t="s">
        <v>224</v>
      </c>
      <c r="W43" s="1261" t="s">
        <v>203</v>
      </c>
      <c r="X43" s="1203">
        <v>30014.01</v>
      </c>
      <c r="Y43" s="1202" t="s">
        <v>426</v>
      </c>
      <c r="Z43" s="1202">
        <v>1</v>
      </c>
      <c r="AA43" s="1202">
        <v>1</v>
      </c>
      <c r="AB43" s="1202" t="s">
        <v>204</v>
      </c>
      <c r="AC43" s="1192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691</v>
      </c>
      <c r="S44" s="1202">
        <v>3331570160</v>
      </c>
      <c r="T44" s="1077" t="s">
        <v>459</v>
      </c>
      <c r="U44" s="1202">
        <v>24142804</v>
      </c>
      <c r="V44" s="1202" t="s">
        <v>224</v>
      </c>
      <c r="W44" s="1261" t="s">
        <v>203</v>
      </c>
      <c r="X44" s="1265">
        <v>29053.577000000001</v>
      </c>
      <c r="Y44" s="1202" t="s">
        <v>426</v>
      </c>
      <c r="Z44" s="1202">
        <v>1</v>
      </c>
      <c r="AA44" s="1202">
        <v>1</v>
      </c>
      <c r="AB44" s="1202" t="s">
        <v>204</v>
      </c>
      <c r="AC44" s="1192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694</v>
      </c>
      <c r="S45" s="1202">
        <v>3331570291</v>
      </c>
      <c r="T45" s="1102" t="s">
        <v>27</v>
      </c>
      <c r="U45" s="1202">
        <v>24142827</v>
      </c>
      <c r="V45" s="1202" t="s">
        <v>435</v>
      </c>
      <c r="W45" s="1202" t="s">
        <v>205</v>
      </c>
      <c r="X45" s="1203">
        <v>24883.41</v>
      </c>
      <c r="Y45" s="1202" t="s">
        <v>200</v>
      </c>
      <c r="Z45" s="1202">
        <v>1</v>
      </c>
      <c r="AA45" s="1202">
        <v>1</v>
      </c>
      <c r="AB45" s="1202" t="s">
        <v>204</v>
      </c>
      <c r="AC45" s="1192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6" t="s">
        <v>691</v>
      </c>
      <c r="S46" s="1257">
        <v>3331570192</v>
      </c>
      <c r="T46" s="1102" t="s">
        <v>441</v>
      </c>
      <c r="U46" s="1257">
        <v>24142811</v>
      </c>
      <c r="V46" s="1202" t="s">
        <v>497</v>
      </c>
      <c r="W46" s="1202" t="s">
        <v>205</v>
      </c>
      <c r="X46" s="1258">
        <v>37624.400000000001</v>
      </c>
      <c r="Y46" s="1257" t="s">
        <v>128</v>
      </c>
      <c r="Z46" s="1257">
        <v>1</v>
      </c>
      <c r="AA46" s="1257">
        <v>1</v>
      </c>
      <c r="AB46" s="1202" t="s">
        <v>204</v>
      </c>
      <c r="AC46" s="1192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6" t="s">
        <v>691</v>
      </c>
      <c r="S47" s="1257">
        <v>3331570195</v>
      </c>
      <c r="T47" s="1077" t="s">
        <v>515</v>
      </c>
      <c r="U47" s="1202">
        <v>24142812</v>
      </c>
      <c r="V47" s="1202" t="s">
        <v>497</v>
      </c>
      <c r="W47" s="1202" t="s">
        <v>205</v>
      </c>
      <c r="X47" s="1203">
        <f>6840.8+36940.32</f>
        <v>43781.120000000003</v>
      </c>
      <c r="Y47" s="1202" t="s">
        <v>128</v>
      </c>
      <c r="Z47" s="1257" t="s">
        <v>256</v>
      </c>
      <c r="AA47" s="1257" t="s">
        <v>256</v>
      </c>
      <c r="AB47" s="1257" t="s">
        <v>204</v>
      </c>
      <c r="AC47" s="1197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691</v>
      </c>
      <c r="S48" s="1202">
        <v>3331570196</v>
      </c>
      <c r="T48" s="1257" t="s">
        <v>256</v>
      </c>
      <c r="U48" s="1257" t="s">
        <v>256</v>
      </c>
      <c r="V48" s="1257" t="s">
        <v>256</v>
      </c>
      <c r="W48" s="1257" t="s">
        <v>256</v>
      </c>
      <c r="X48" s="1257" t="s">
        <v>256</v>
      </c>
      <c r="Y48" s="1257" t="s">
        <v>256</v>
      </c>
      <c r="Z48" s="1257" t="s">
        <v>256</v>
      </c>
      <c r="AA48" s="1257" t="s">
        <v>256</v>
      </c>
      <c r="AB48" s="1202" t="s">
        <v>256</v>
      </c>
      <c r="AC48" s="1192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691</v>
      </c>
      <c r="S49" s="1202">
        <v>3331570238</v>
      </c>
      <c r="T49" s="1202" t="s">
        <v>515</v>
      </c>
      <c r="U49" s="1202">
        <v>24142811</v>
      </c>
      <c r="V49" s="1257" t="s">
        <v>435</v>
      </c>
      <c r="W49" s="1202" t="s">
        <v>205</v>
      </c>
      <c r="X49" s="1203">
        <f>3999.605+32986.044+3634.175</f>
        <v>40619.824000000008</v>
      </c>
      <c r="Y49" s="1202" t="s">
        <v>128</v>
      </c>
      <c r="Z49" s="1257">
        <v>1</v>
      </c>
      <c r="AA49" s="1257">
        <v>1</v>
      </c>
      <c r="AB49" s="1202" t="s">
        <v>204</v>
      </c>
      <c r="AC49" s="1192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694</v>
      </c>
      <c r="S50" s="1202">
        <v>3331570241</v>
      </c>
      <c r="T50" s="1202" t="s">
        <v>256</v>
      </c>
      <c r="U50" s="1202" t="s">
        <v>256</v>
      </c>
      <c r="V50" s="1257" t="s">
        <v>256</v>
      </c>
      <c r="W50" s="1202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02" t="s">
        <v>256</v>
      </c>
      <c r="AC50" s="1192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694</v>
      </c>
      <c r="S51" s="1202">
        <v>3331570244</v>
      </c>
      <c r="T51" s="1202" t="s">
        <v>256</v>
      </c>
      <c r="U51" s="1202" t="s">
        <v>256</v>
      </c>
      <c r="V51" s="1257" t="s">
        <v>256</v>
      </c>
      <c r="W51" s="1202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02" t="s">
        <v>256</v>
      </c>
      <c r="AC51" s="1192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695</v>
      </c>
      <c r="S52" s="1202">
        <v>3331570285</v>
      </c>
      <c r="T52" s="1202" t="s">
        <v>441</v>
      </c>
      <c r="U52" s="1202">
        <v>24142822</v>
      </c>
      <c r="V52" s="1202" t="s">
        <v>226</v>
      </c>
      <c r="W52" s="1261" t="s">
        <v>203</v>
      </c>
      <c r="X52" s="1203">
        <v>35486.65</v>
      </c>
      <c r="Y52" s="1202" t="s">
        <v>128</v>
      </c>
      <c r="Z52" s="1202">
        <v>1</v>
      </c>
      <c r="AA52" s="1202">
        <v>1</v>
      </c>
      <c r="AB52" s="1202" t="s">
        <v>204</v>
      </c>
      <c r="AC52" s="1192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691</v>
      </c>
      <c r="S53" s="1190">
        <v>3331570223</v>
      </c>
      <c r="T53" s="1190" t="s">
        <v>439</v>
      </c>
      <c r="U53" s="1190">
        <v>24142815</v>
      </c>
      <c r="V53" s="1195" t="s">
        <v>440</v>
      </c>
      <c r="W53" s="1190" t="s">
        <v>434</v>
      </c>
      <c r="X53" s="1191">
        <f>8978.55+32599.151</f>
        <v>41577.701000000001</v>
      </c>
      <c r="Y53" s="1190" t="s">
        <v>128</v>
      </c>
      <c r="Z53" s="1195">
        <v>1</v>
      </c>
      <c r="AA53" s="1195">
        <v>1</v>
      </c>
      <c r="AB53" s="1190" t="s">
        <v>207</v>
      </c>
      <c r="AC53" s="1192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691</v>
      </c>
      <c r="S54" s="1190">
        <v>3331570227</v>
      </c>
      <c r="T54" s="1106" t="s">
        <v>256</v>
      </c>
      <c r="U54" s="1106" t="s">
        <v>256</v>
      </c>
      <c r="V54" s="1106" t="s">
        <v>256</v>
      </c>
      <c r="W54" s="1106" t="s">
        <v>256</v>
      </c>
      <c r="X54" s="1191" t="s">
        <v>256</v>
      </c>
      <c r="Y54" s="1106" t="s">
        <v>256</v>
      </c>
      <c r="Z54" s="1106" t="s">
        <v>256</v>
      </c>
      <c r="AA54" s="1106" t="s">
        <v>256</v>
      </c>
      <c r="AB54" s="1106" t="s">
        <v>256</v>
      </c>
      <c r="AC54" s="1192"/>
      <c r="AD54" s="203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94" t="s">
        <v>691</v>
      </c>
      <c r="S55" s="1195">
        <v>3331570439</v>
      </c>
      <c r="T55" s="1195" t="s">
        <v>336</v>
      </c>
      <c r="U55" s="1195">
        <v>24142844</v>
      </c>
      <c r="V55" s="1195" t="s">
        <v>529</v>
      </c>
      <c r="W55" s="1190" t="s">
        <v>434</v>
      </c>
      <c r="X55" s="1196">
        <v>36329.519</v>
      </c>
      <c r="Y55" s="1195" t="s">
        <v>128</v>
      </c>
      <c r="Z55" s="1195">
        <v>1</v>
      </c>
      <c r="AA55" s="1195">
        <v>1</v>
      </c>
      <c r="AB55" s="1190" t="s">
        <v>207</v>
      </c>
      <c r="AC55" s="1197"/>
      <c r="AD55" s="203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691</v>
      </c>
      <c r="S56" s="1190">
        <v>3331570445</v>
      </c>
      <c r="T56" s="1195" t="s">
        <v>336</v>
      </c>
      <c r="U56" s="1190">
        <v>24142848</v>
      </c>
      <c r="V56" s="1195" t="s">
        <v>529</v>
      </c>
      <c r="W56" s="1195" t="s">
        <v>434</v>
      </c>
      <c r="X56" s="1191">
        <f>8773.326+19008.873+3031.07+5729.17</f>
        <v>36542.438999999998</v>
      </c>
      <c r="Y56" s="1195" t="s">
        <v>128</v>
      </c>
      <c r="Z56" s="1195">
        <v>1</v>
      </c>
      <c r="AA56" s="1195">
        <v>1</v>
      </c>
      <c r="AB56" s="1190" t="s">
        <v>207</v>
      </c>
      <c r="AC56" s="1192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695</v>
      </c>
      <c r="S57" s="1190">
        <v>3331570447</v>
      </c>
      <c r="T57" s="1106" t="s">
        <v>256</v>
      </c>
      <c r="U57" s="1106" t="s">
        <v>256</v>
      </c>
      <c r="V57" s="1106" t="s">
        <v>256</v>
      </c>
      <c r="W57" s="1106" t="s">
        <v>256</v>
      </c>
      <c r="X57" s="1106" t="s">
        <v>256</v>
      </c>
      <c r="Y57" s="1106" t="s">
        <v>256</v>
      </c>
      <c r="Z57" s="1106" t="s">
        <v>256</v>
      </c>
      <c r="AA57" s="1106" t="s">
        <v>256</v>
      </c>
      <c r="AB57" s="1106" t="s">
        <v>256</v>
      </c>
      <c r="AC57" s="1192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26" t="s">
        <v>695</v>
      </c>
      <c r="S58" s="81">
        <v>3331570449</v>
      </c>
      <c r="T58" s="1106" t="s">
        <v>256</v>
      </c>
      <c r="U58" s="1106" t="s">
        <v>256</v>
      </c>
      <c r="V58" s="1106" t="s">
        <v>256</v>
      </c>
      <c r="W58" s="1106" t="s">
        <v>256</v>
      </c>
      <c r="X58" s="1106" t="s">
        <v>256</v>
      </c>
      <c r="Y58" s="1106" t="s">
        <v>256</v>
      </c>
      <c r="Z58" s="1106" t="s">
        <v>256</v>
      </c>
      <c r="AA58" s="1106" t="s">
        <v>256</v>
      </c>
      <c r="AB58" s="1106" t="s">
        <v>256</v>
      </c>
      <c r="AC58" s="1192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695</v>
      </c>
      <c r="S59" s="1190">
        <v>3331570450</v>
      </c>
      <c r="T59" s="1106" t="s">
        <v>256</v>
      </c>
      <c r="U59" s="1106" t="s">
        <v>256</v>
      </c>
      <c r="V59" s="1106" t="s">
        <v>256</v>
      </c>
      <c r="W59" s="1106" t="s">
        <v>256</v>
      </c>
      <c r="X59" s="1106" t="s">
        <v>256</v>
      </c>
      <c r="Y59" s="1106" t="s">
        <v>256</v>
      </c>
      <c r="Z59" s="1106" t="s">
        <v>256</v>
      </c>
      <c r="AA59" s="1106" t="s">
        <v>256</v>
      </c>
      <c r="AB59" s="1106" t="s">
        <v>256</v>
      </c>
      <c r="AC59" s="1192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695</v>
      </c>
      <c r="S60" s="1202">
        <v>3331570408</v>
      </c>
      <c r="T60" s="1202" t="s">
        <v>27</v>
      </c>
      <c r="U60" s="1202">
        <v>24142850</v>
      </c>
      <c r="V60" s="1202" t="s">
        <v>413</v>
      </c>
      <c r="W60" s="1257" t="s">
        <v>205</v>
      </c>
      <c r="X60" s="1203">
        <f>13596.09+11581.507</f>
        <v>25177.597000000002</v>
      </c>
      <c r="Y60" s="1257" t="s">
        <v>200</v>
      </c>
      <c r="Z60" s="1257">
        <v>1</v>
      </c>
      <c r="AA60" s="1257">
        <v>1</v>
      </c>
      <c r="AB60" s="1257" t="s">
        <v>204</v>
      </c>
      <c r="AC60" s="1192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6" t="s">
        <v>695</v>
      </c>
      <c r="S61" s="1257">
        <v>3331570478</v>
      </c>
      <c r="T61" s="1202" t="s">
        <v>256</v>
      </c>
      <c r="U61" s="1257" t="s">
        <v>256</v>
      </c>
      <c r="V61" s="1202" t="s">
        <v>256</v>
      </c>
      <c r="W61" s="1257" t="s">
        <v>256</v>
      </c>
      <c r="X61" s="1258" t="s">
        <v>256</v>
      </c>
      <c r="Y61" s="1257" t="s">
        <v>256</v>
      </c>
      <c r="Z61" s="1257" t="s">
        <v>256</v>
      </c>
      <c r="AA61" s="1257" t="s">
        <v>256</v>
      </c>
      <c r="AB61" s="1257" t="s">
        <v>256</v>
      </c>
      <c r="AC61" s="1197"/>
      <c r="AD61" s="203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691</v>
      </c>
      <c r="S62" s="1202">
        <v>3331570520</v>
      </c>
      <c r="T62" s="1202" t="s">
        <v>336</v>
      </c>
      <c r="U62" s="1202">
        <v>24142854</v>
      </c>
      <c r="V62" s="1202" t="s">
        <v>700</v>
      </c>
      <c r="W62" s="1257" t="s">
        <v>205</v>
      </c>
      <c r="X62" s="1203">
        <v>40829.144</v>
      </c>
      <c r="Y62" s="1257" t="s">
        <v>128</v>
      </c>
      <c r="Z62" s="1257">
        <v>1</v>
      </c>
      <c r="AA62" s="1257">
        <v>1</v>
      </c>
      <c r="AB62" s="1257" t="s">
        <v>204</v>
      </c>
      <c r="AC62" s="1192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691</v>
      </c>
      <c r="S63" s="1202">
        <v>3331570527</v>
      </c>
      <c r="T63" s="1202" t="s">
        <v>441</v>
      </c>
      <c r="U63" s="1202">
        <v>24142855</v>
      </c>
      <c r="V63" s="1202" t="s">
        <v>700</v>
      </c>
      <c r="W63" s="1257" t="s">
        <v>205</v>
      </c>
      <c r="X63" s="1203">
        <v>42669.49</v>
      </c>
      <c r="Y63" s="1257" t="s">
        <v>128</v>
      </c>
      <c r="Z63" s="1257">
        <v>1</v>
      </c>
      <c r="AA63" s="1257">
        <v>1</v>
      </c>
      <c r="AB63" s="1257" t="s">
        <v>204</v>
      </c>
      <c r="AC63" s="1192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74" t="s">
        <v>691</v>
      </c>
      <c r="S64" s="105">
        <v>3331570530</v>
      </c>
      <c r="T64" s="1202" t="s">
        <v>441</v>
      </c>
      <c r="U64" s="105">
        <v>24142856</v>
      </c>
      <c r="V64" s="1202" t="s">
        <v>700</v>
      </c>
      <c r="W64" s="1257" t="s">
        <v>205</v>
      </c>
      <c r="X64" s="209">
        <f>7491.073+31125.64</f>
        <v>38616.713000000003</v>
      </c>
      <c r="Y64" s="1257" t="s">
        <v>128</v>
      </c>
      <c r="Z64" s="1257">
        <v>1</v>
      </c>
      <c r="AA64" s="1257">
        <v>1</v>
      </c>
      <c r="AB64" s="1257" t="s">
        <v>204</v>
      </c>
      <c r="AC64" s="1192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695</v>
      </c>
      <c r="S65" s="1202">
        <v>3331570533</v>
      </c>
      <c r="T65" s="1202" t="s">
        <v>256</v>
      </c>
      <c r="U65" s="1202" t="s">
        <v>256</v>
      </c>
      <c r="V65" s="1202" t="s">
        <v>256</v>
      </c>
      <c r="W65" s="1257" t="s">
        <v>256</v>
      </c>
      <c r="X65" s="1203" t="s">
        <v>256</v>
      </c>
      <c r="Y65" s="1257" t="s">
        <v>256</v>
      </c>
      <c r="Z65" s="1257" t="s">
        <v>256</v>
      </c>
      <c r="AA65" s="1257" t="s">
        <v>256</v>
      </c>
      <c r="AB65" s="1257" t="s">
        <v>256</v>
      </c>
      <c r="AC65" s="1192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695</v>
      </c>
      <c r="S66" s="1202">
        <v>3331570576</v>
      </c>
      <c r="T66" s="1202" t="s">
        <v>27</v>
      </c>
      <c r="U66" s="1202">
        <v>24142860</v>
      </c>
      <c r="V66" s="1257" t="s">
        <v>430</v>
      </c>
      <c r="W66" s="1257" t="s">
        <v>205</v>
      </c>
      <c r="X66" s="1203">
        <f>14907.667+12124.312</f>
        <v>27031.978999999999</v>
      </c>
      <c r="Y66" s="1257" t="s">
        <v>200</v>
      </c>
      <c r="Z66" s="1257">
        <v>1</v>
      </c>
      <c r="AA66" s="1257">
        <v>1</v>
      </c>
      <c r="AB66" s="1257" t="s">
        <v>204</v>
      </c>
      <c r="AC66" s="1192"/>
      <c r="AD66" s="1195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695</v>
      </c>
      <c r="S67" s="1202">
        <v>3331570578</v>
      </c>
      <c r="T67" s="1102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2" t="s">
        <v>256</v>
      </c>
      <c r="AC67" s="1192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695</v>
      </c>
      <c r="S68" s="1202">
        <v>3331570580</v>
      </c>
      <c r="T68" s="1202" t="s">
        <v>27</v>
      </c>
      <c r="U68" s="1202">
        <v>24142859</v>
      </c>
      <c r="V68" s="1257" t="s">
        <v>430</v>
      </c>
      <c r="W68" s="1257" t="s">
        <v>205</v>
      </c>
      <c r="X68" s="1203">
        <f>11018.265+14907.667</f>
        <v>25925.932000000001</v>
      </c>
      <c r="Y68" s="1257" t="s">
        <v>200</v>
      </c>
      <c r="Z68" s="1257">
        <v>1</v>
      </c>
      <c r="AA68" s="1257">
        <v>1</v>
      </c>
      <c r="AB68" s="1257" t="s">
        <v>204</v>
      </c>
      <c r="AC68" s="1192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695</v>
      </c>
      <c r="S69" s="1202">
        <v>3331570581</v>
      </c>
      <c r="T69" s="1202" t="s">
        <v>256</v>
      </c>
      <c r="U69" s="1202" t="s">
        <v>256</v>
      </c>
      <c r="V69" s="1202" t="s">
        <v>256</v>
      </c>
      <c r="W69" s="1257" t="s">
        <v>256</v>
      </c>
      <c r="X69" s="1203" t="s">
        <v>256</v>
      </c>
      <c r="Y69" s="1257" t="s">
        <v>256</v>
      </c>
      <c r="Z69" s="1257" t="s">
        <v>256</v>
      </c>
      <c r="AA69" s="1257" t="s">
        <v>256</v>
      </c>
      <c r="AB69" s="1257" t="s">
        <v>256</v>
      </c>
      <c r="AC69" s="1192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691</v>
      </c>
      <c r="S70" s="1202">
        <v>3331570592</v>
      </c>
      <c r="T70" s="1202" t="s">
        <v>27</v>
      </c>
      <c r="U70" s="1202">
        <v>24142866</v>
      </c>
      <c r="V70" s="1202" t="s">
        <v>472</v>
      </c>
      <c r="W70" s="1202" t="s">
        <v>205</v>
      </c>
      <c r="X70" s="1203">
        <v>25738.51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691</v>
      </c>
      <c r="S71" s="1202">
        <v>3331570593</v>
      </c>
      <c r="T71" s="1202" t="s">
        <v>27</v>
      </c>
      <c r="U71" s="1202">
        <v>24142867</v>
      </c>
      <c r="V71" s="1202" t="s">
        <v>472</v>
      </c>
      <c r="W71" s="1202" t="s">
        <v>205</v>
      </c>
      <c r="X71" s="1203">
        <f>6156.72+18384.65</f>
        <v>24541.370000000003</v>
      </c>
      <c r="Y71" s="1257" t="s">
        <v>200</v>
      </c>
      <c r="Z71" s="1257">
        <v>1</v>
      </c>
      <c r="AA71" s="1257">
        <v>1</v>
      </c>
      <c r="AB71" s="1257" t="s">
        <v>204</v>
      </c>
      <c r="AC71" s="1192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691</v>
      </c>
      <c r="S72" s="1202">
        <v>3331570594</v>
      </c>
      <c r="T72" s="1202" t="s">
        <v>256</v>
      </c>
      <c r="U72" s="1202" t="s">
        <v>256</v>
      </c>
      <c r="V72" s="1202" t="s">
        <v>256</v>
      </c>
      <c r="W72" s="1202" t="s">
        <v>256</v>
      </c>
      <c r="X72" s="1203" t="s">
        <v>256</v>
      </c>
      <c r="Y72" s="1202" t="s">
        <v>256</v>
      </c>
      <c r="Z72" s="1202" t="s">
        <v>256</v>
      </c>
      <c r="AA72" s="1202" t="s">
        <v>256</v>
      </c>
      <c r="AB72" s="1202" t="s">
        <v>256</v>
      </c>
      <c r="AC72" s="1192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691</v>
      </c>
      <c r="S73" s="1202">
        <v>3331570597</v>
      </c>
      <c r="T73" s="1202" t="s">
        <v>441</v>
      </c>
      <c r="U73" s="1202">
        <v>24142868</v>
      </c>
      <c r="V73" s="1202" t="s">
        <v>173</v>
      </c>
      <c r="W73" s="1202" t="s">
        <v>205</v>
      </c>
      <c r="X73" s="1203">
        <v>37581.644999999997</v>
      </c>
      <c r="Y73" s="1202" t="s">
        <v>128</v>
      </c>
      <c r="Z73" s="1257">
        <v>1</v>
      </c>
      <c r="AA73" s="1257">
        <v>1</v>
      </c>
      <c r="AB73" s="1257" t="s">
        <v>204</v>
      </c>
      <c r="AC73" s="1192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691</v>
      </c>
      <c r="S74" s="1202">
        <v>3331570603</v>
      </c>
      <c r="T74" s="1202" t="s">
        <v>441</v>
      </c>
      <c r="U74" s="1202">
        <v>24142869</v>
      </c>
      <c r="V74" s="1202" t="s">
        <v>173</v>
      </c>
      <c r="W74" s="1202" t="s">
        <v>205</v>
      </c>
      <c r="X74" s="1203">
        <v>37325.114999999998</v>
      </c>
      <c r="Y74" s="1202" t="s">
        <v>128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691</v>
      </c>
      <c r="S75" s="1202">
        <v>3331570607</v>
      </c>
      <c r="T75" s="1202" t="s">
        <v>441</v>
      </c>
      <c r="U75" s="1202">
        <v>24142871</v>
      </c>
      <c r="V75" s="1202" t="s">
        <v>487</v>
      </c>
      <c r="W75" s="1202" t="s">
        <v>203</v>
      </c>
      <c r="X75" s="1203">
        <v>41888.330999999998</v>
      </c>
      <c r="Y75" s="1202" t="s">
        <v>128</v>
      </c>
      <c r="Z75" s="1257">
        <v>1</v>
      </c>
      <c r="AA75" s="1257">
        <v>1</v>
      </c>
      <c r="AB75" s="1257" t="s">
        <v>204</v>
      </c>
      <c r="AC75" s="1192" t="s">
        <v>726</v>
      </c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691</v>
      </c>
      <c r="S76" s="1202">
        <v>3331570611</v>
      </c>
      <c r="T76" s="1202" t="s">
        <v>27</v>
      </c>
      <c r="U76" s="1202">
        <v>24142872</v>
      </c>
      <c r="V76" s="1202" t="s">
        <v>253</v>
      </c>
      <c r="W76" s="1202" t="s">
        <v>205</v>
      </c>
      <c r="X76" s="1203">
        <v>24156.575000000001</v>
      </c>
      <c r="Y76" s="1202" t="s">
        <v>200</v>
      </c>
      <c r="Z76" s="1202">
        <v>1</v>
      </c>
      <c r="AA76" s="1202">
        <v>1</v>
      </c>
      <c r="AB76" s="1202" t="s">
        <v>204</v>
      </c>
      <c r="AC76" s="1192" t="s">
        <v>726</v>
      </c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691</v>
      </c>
      <c r="S77" s="1202">
        <v>3331570614</v>
      </c>
      <c r="T77" s="1202" t="s">
        <v>27</v>
      </c>
      <c r="U77" s="1202">
        <v>24142873</v>
      </c>
      <c r="V77" s="1202" t="s">
        <v>253</v>
      </c>
      <c r="W77" s="1202" t="s">
        <v>205</v>
      </c>
      <c r="X77" s="1203">
        <v>24883.41</v>
      </c>
      <c r="Y77" s="1202" t="s">
        <v>200</v>
      </c>
      <c r="Z77" s="1202">
        <v>1</v>
      </c>
      <c r="AA77" s="1202">
        <v>1</v>
      </c>
      <c r="AB77" s="1202" t="s">
        <v>204</v>
      </c>
      <c r="AC77" s="1192" t="s">
        <v>726</v>
      </c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720</v>
      </c>
      <c r="S78" s="1202">
        <v>3331570615</v>
      </c>
      <c r="T78" s="1202" t="s">
        <v>441</v>
      </c>
      <c r="U78" s="1202">
        <v>24142874</v>
      </c>
      <c r="V78" s="1202" t="s">
        <v>226</v>
      </c>
      <c r="W78" s="1202" t="s">
        <v>344</v>
      </c>
      <c r="X78" s="1203">
        <v>34889.086000000003</v>
      </c>
      <c r="Y78" s="1202" t="s">
        <v>128</v>
      </c>
      <c r="Z78" s="1202">
        <v>1</v>
      </c>
      <c r="AA78" s="1202">
        <v>1</v>
      </c>
      <c r="AB78" s="1202" t="s">
        <v>204</v>
      </c>
      <c r="AC78" s="1192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695</v>
      </c>
      <c r="S79" s="1202">
        <v>3331570622</v>
      </c>
      <c r="T79" s="1202" t="s">
        <v>27</v>
      </c>
      <c r="U79" s="1202">
        <v>24142875</v>
      </c>
      <c r="V79" s="1202" t="s">
        <v>226</v>
      </c>
      <c r="W79" s="1202" t="s">
        <v>203</v>
      </c>
      <c r="X79" s="1203">
        <v>24125.388999999999</v>
      </c>
      <c r="Y79" s="1202" t="s">
        <v>200</v>
      </c>
      <c r="Z79" s="1202">
        <v>1</v>
      </c>
      <c r="AA79" s="1202">
        <v>1</v>
      </c>
      <c r="AB79" s="1202" t="s">
        <v>204</v>
      </c>
      <c r="AC79" s="1192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89" t="s">
        <v>691</v>
      </c>
      <c r="S80" s="1190">
        <v>3331570625</v>
      </c>
      <c r="T80" s="1190" t="s">
        <v>342</v>
      </c>
      <c r="U80" s="1190">
        <v>24142877</v>
      </c>
      <c r="V80" s="1190" t="s">
        <v>444</v>
      </c>
      <c r="W80" s="1190" t="s">
        <v>434</v>
      </c>
      <c r="X80" s="1191">
        <v>26836.056</v>
      </c>
      <c r="Y80" s="1190" t="s">
        <v>200</v>
      </c>
      <c r="Z80" s="1190">
        <v>1</v>
      </c>
      <c r="AA80" s="1190">
        <v>1</v>
      </c>
      <c r="AB80" s="1190" t="s">
        <v>207</v>
      </c>
      <c r="AC80" s="1192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691</v>
      </c>
      <c r="S81" s="1202">
        <v>3331570646</v>
      </c>
      <c r="T81" s="1202" t="s">
        <v>458</v>
      </c>
      <c r="U81" s="1202">
        <v>24142878</v>
      </c>
      <c r="V81" s="1202" t="s">
        <v>435</v>
      </c>
      <c r="W81" s="1202" t="s">
        <v>205</v>
      </c>
      <c r="X81" s="1203">
        <f>10817.579+23481.549+3591.42+1496.425+1204.182</f>
        <v>40591.154999999999</v>
      </c>
      <c r="Y81" s="1202" t="s">
        <v>128</v>
      </c>
      <c r="Z81" s="1202">
        <v>1</v>
      </c>
      <c r="AA81" s="1202">
        <v>1</v>
      </c>
      <c r="AB81" s="1202" t="s">
        <v>204</v>
      </c>
      <c r="AC81" s="1192" t="s">
        <v>726</v>
      </c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691</v>
      </c>
      <c r="S82" s="1202">
        <v>3331570647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203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192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695</v>
      </c>
      <c r="S83" s="1202">
        <v>3331570648</v>
      </c>
      <c r="T83" s="1202" t="s">
        <v>256</v>
      </c>
      <c r="U83" s="1202" t="s">
        <v>256</v>
      </c>
      <c r="V83" s="1202" t="s">
        <v>256</v>
      </c>
      <c r="W83" s="1202" t="s">
        <v>256</v>
      </c>
      <c r="X83" s="1203" t="s">
        <v>256</v>
      </c>
      <c r="Y83" s="1202" t="s">
        <v>256</v>
      </c>
      <c r="Z83" s="1202" t="s">
        <v>256</v>
      </c>
      <c r="AA83" s="1202" t="s">
        <v>256</v>
      </c>
      <c r="AB83" s="1202" t="s">
        <v>256</v>
      </c>
      <c r="AC83" s="1192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695</v>
      </c>
      <c r="S84" s="1202">
        <v>3331570649</v>
      </c>
      <c r="T84" s="1202" t="s">
        <v>256</v>
      </c>
      <c r="U84" s="1202" t="s">
        <v>256</v>
      </c>
      <c r="V84" s="1202" t="s">
        <v>256</v>
      </c>
      <c r="W84" s="1202" t="s">
        <v>256</v>
      </c>
      <c r="X84" s="1203" t="s">
        <v>256</v>
      </c>
      <c r="Y84" s="1202" t="s">
        <v>256</v>
      </c>
      <c r="Z84" s="1202" t="s">
        <v>256</v>
      </c>
      <c r="AA84" s="1202" t="s">
        <v>256</v>
      </c>
      <c r="AB84" s="1202" t="s">
        <v>256</v>
      </c>
      <c r="AC84" s="1454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695</v>
      </c>
      <c r="S85" s="1202">
        <v>3331570650</v>
      </c>
      <c r="T85" s="1202" t="s">
        <v>256</v>
      </c>
      <c r="U85" s="1202" t="s">
        <v>256</v>
      </c>
      <c r="V85" s="1202" t="s">
        <v>256</v>
      </c>
      <c r="W85" s="1202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2" t="s">
        <v>256</v>
      </c>
      <c r="AC85" s="1192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/>
      <c r="S86" s="1190"/>
      <c r="T86" s="1190"/>
      <c r="U86" s="1190"/>
      <c r="V86" s="1190"/>
      <c r="W86" s="1190"/>
      <c r="X86" s="1191"/>
      <c r="Y86" s="1190"/>
      <c r="Z86" s="1190"/>
      <c r="AA86" s="1190"/>
      <c r="AB86" s="1190"/>
      <c r="AC86" s="1192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549</v>
      </c>
      <c r="S87" s="1202">
        <v>3331570039</v>
      </c>
      <c r="T87" s="1202" t="s">
        <v>11</v>
      </c>
      <c r="U87" s="1202">
        <v>24142770</v>
      </c>
      <c r="V87" s="1202" t="s">
        <v>150</v>
      </c>
      <c r="W87" s="1257" t="s">
        <v>199</v>
      </c>
      <c r="X87" s="1203">
        <v>25527.363000000001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549</v>
      </c>
      <c r="S88" s="1202">
        <v>3331570058</v>
      </c>
      <c r="T88" s="1202" t="s">
        <v>462</v>
      </c>
      <c r="U88" s="1202">
        <v>24142777</v>
      </c>
      <c r="V88" s="1202" t="s">
        <v>572</v>
      </c>
      <c r="W88" s="1257" t="s">
        <v>199</v>
      </c>
      <c r="X88" s="1203">
        <v>25720.794000000002</v>
      </c>
      <c r="Y88" s="1257" t="s">
        <v>200</v>
      </c>
      <c r="Z88" s="1257">
        <v>1</v>
      </c>
      <c r="AA88" s="1257">
        <v>1</v>
      </c>
      <c r="AB88" s="1257" t="s">
        <v>204</v>
      </c>
      <c r="AC88" s="1192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549</v>
      </c>
      <c r="S89" s="1202">
        <v>3331570066</v>
      </c>
      <c r="T89" s="1202" t="s">
        <v>11</v>
      </c>
      <c r="U89" s="1202">
        <v>24142793</v>
      </c>
      <c r="V89" s="1202" t="s">
        <v>366</v>
      </c>
      <c r="W89" s="1257" t="s">
        <v>199</v>
      </c>
      <c r="X89" s="1203">
        <v>25417.687000000002</v>
      </c>
      <c r="Y89" s="1257" t="s">
        <v>200</v>
      </c>
      <c r="Z89" s="1257">
        <v>1</v>
      </c>
      <c r="AA89" s="1257">
        <v>1</v>
      </c>
      <c r="AB89" s="1257" t="s">
        <v>204</v>
      </c>
      <c r="AC89" s="1192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549</v>
      </c>
      <c r="S90" s="1202">
        <v>3331570210</v>
      </c>
      <c r="T90" s="1202" t="s">
        <v>462</v>
      </c>
      <c r="U90" s="1202">
        <v>24142814</v>
      </c>
      <c r="V90" s="1202" t="s">
        <v>132</v>
      </c>
      <c r="W90" s="1257" t="s">
        <v>199</v>
      </c>
      <c r="X90" s="1203">
        <f>10576.209+15451.875</f>
        <v>26028.084000000003</v>
      </c>
      <c r="Y90" s="1257" t="s">
        <v>200</v>
      </c>
      <c r="Z90" s="1257">
        <v>1</v>
      </c>
      <c r="AA90" s="1257">
        <v>1</v>
      </c>
      <c r="AB90" s="1257" t="s">
        <v>204</v>
      </c>
      <c r="AC90" s="1192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549</v>
      </c>
      <c r="S91" s="1202">
        <v>3331570211</v>
      </c>
      <c r="T91" s="1102" t="s">
        <v>256</v>
      </c>
      <c r="U91" s="1102" t="s">
        <v>256</v>
      </c>
      <c r="V91" s="1102" t="s">
        <v>256</v>
      </c>
      <c r="W91" s="1102" t="s">
        <v>256</v>
      </c>
      <c r="X91" s="1203" t="s">
        <v>256</v>
      </c>
      <c r="Y91" s="1102" t="s">
        <v>256</v>
      </c>
      <c r="Z91" s="1102" t="s">
        <v>256</v>
      </c>
      <c r="AA91" s="1102" t="s">
        <v>256</v>
      </c>
      <c r="AB91" s="1102" t="s">
        <v>256</v>
      </c>
      <c r="AC91" s="1192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549</v>
      </c>
      <c r="S92" s="1202">
        <v>3331570290</v>
      </c>
      <c r="T92" s="1202" t="s">
        <v>27</v>
      </c>
      <c r="U92" s="1202">
        <v>24142826</v>
      </c>
      <c r="V92" s="1202" t="s">
        <v>368</v>
      </c>
      <c r="W92" s="1257" t="s">
        <v>199</v>
      </c>
      <c r="X92" s="1203">
        <v>25162.903999999999</v>
      </c>
      <c r="Y92" s="1257" t="s">
        <v>200</v>
      </c>
      <c r="Z92" s="1257">
        <v>1</v>
      </c>
      <c r="AA92" s="1257">
        <v>1</v>
      </c>
      <c r="AB92" s="1257" t="s">
        <v>204</v>
      </c>
      <c r="AC92" s="1192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549</v>
      </c>
      <c r="S93" s="1202">
        <v>3331570297</v>
      </c>
      <c r="T93" s="1202" t="s">
        <v>27</v>
      </c>
      <c r="U93" s="1202">
        <v>24142828</v>
      </c>
      <c r="V93" s="1202" t="s">
        <v>368</v>
      </c>
      <c r="W93" s="1257" t="s">
        <v>199</v>
      </c>
      <c r="X93" s="1203">
        <f>5160.78+17529.55+1688.739</f>
        <v>24379.069</v>
      </c>
      <c r="Y93" s="1257" t="s">
        <v>200</v>
      </c>
      <c r="Z93" s="1257">
        <v>1</v>
      </c>
      <c r="AA93" s="1257">
        <v>1</v>
      </c>
      <c r="AB93" s="1257" t="s">
        <v>204</v>
      </c>
      <c r="AC93" s="1192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549</v>
      </c>
      <c r="S94" s="1202">
        <v>3331570301</v>
      </c>
      <c r="T94" s="1102" t="s">
        <v>256</v>
      </c>
      <c r="U94" s="1102" t="s">
        <v>256</v>
      </c>
      <c r="V94" s="1102" t="s">
        <v>256</v>
      </c>
      <c r="W94" s="1102" t="s">
        <v>256</v>
      </c>
      <c r="X94" s="1203" t="s">
        <v>256</v>
      </c>
      <c r="Y94" s="1102" t="s">
        <v>256</v>
      </c>
      <c r="Z94" s="1102" t="s">
        <v>256</v>
      </c>
      <c r="AA94" s="1102" t="s">
        <v>256</v>
      </c>
      <c r="AB94" s="1102" t="s">
        <v>256</v>
      </c>
      <c r="AC94" s="1192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549</v>
      </c>
      <c r="S95" s="1202">
        <v>3331570303</v>
      </c>
      <c r="T95" s="1102" t="s">
        <v>256</v>
      </c>
      <c r="U95" s="1102" t="s">
        <v>256</v>
      </c>
      <c r="V95" s="1102" t="s">
        <v>256</v>
      </c>
      <c r="W95" s="1102" t="s">
        <v>256</v>
      </c>
      <c r="X95" s="1203" t="s">
        <v>256</v>
      </c>
      <c r="Y95" s="1102" t="s">
        <v>256</v>
      </c>
      <c r="Z95" s="1102" t="s">
        <v>256</v>
      </c>
      <c r="AA95" s="1102" t="s">
        <v>256</v>
      </c>
      <c r="AB95" s="1102" t="s">
        <v>256</v>
      </c>
      <c r="AC95" s="1192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549</v>
      </c>
      <c r="S96" s="1202">
        <v>3331570049</v>
      </c>
      <c r="T96" s="1202" t="s">
        <v>34</v>
      </c>
      <c r="U96" s="1202">
        <v>24142789</v>
      </c>
      <c r="V96" s="1202" t="s">
        <v>150</v>
      </c>
      <c r="W96" s="1257" t="s">
        <v>199</v>
      </c>
      <c r="X96" s="1203">
        <v>26067.202000000001</v>
      </c>
      <c r="Y96" s="1257" t="s">
        <v>200</v>
      </c>
      <c r="Z96" s="1257">
        <v>1</v>
      </c>
      <c r="AA96" s="1257">
        <v>1</v>
      </c>
      <c r="AB96" s="1257" t="s">
        <v>204</v>
      </c>
      <c r="AC96" s="1192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549</v>
      </c>
      <c r="S97" s="1202">
        <v>3331570051</v>
      </c>
      <c r="T97" s="1202" t="s">
        <v>287</v>
      </c>
      <c r="U97" s="1202">
        <v>24142790</v>
      </c>
      <c r="V97" s="1202" t="s">
        <v>150</v>
      </c>
      <c r="W97" s="1257" t="s">
        <v>199</v>
      </c>
      <c r="X97" s="1203">
        <v>25260.11</v>
      </c>
      <c r="Y97" s="1257" t="s">
        <v>200</v>
      </c>
      <c r="Z97" s="1257">
        <v>1</v>
      </c>
      <c r="AA97" s="1257">
        <v>1</v>
      </c>
      <c r="AB97" s="1257" t="s">
        <v>204</v>
      </c>
      <c r="AC97" s="1192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691</v>
      </c>
      <c r="S98" s="1202">
        <v>3331570401</v>
      </c>
      <c r="T98" s="1202" t="s">
        <v>27</v>
      </c>
      <c r="U98" s="1077">
        <v>24142831</v>
      </c>
      <c r="V98" s="1077" t="s">
        <v>572</v>
      </c>
      <c r="W98" s="1257" t="s">
        <v>199</v>
      </c>
      <c r="X98" s="1203">
        <v>25881.648000000001</v>
      </c>
      <c r="Y98" s="1257" t="s">
        <v>200</v>
      </c>
      <c r="Z98" s="1257">
        <v>1</v>
      </c>
      <c r="AA98" s="1257">
        <v>1</v>
      </c>
      <c r="AB98" s="1257" t="s">
        <v>204</v>
      </c>
      <c r="AC98" s="1192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691</v>
      </c>
      <c r="S99" s="1202">
        <v>3331570402</v>
      </c>
      <c r="T99" s="1202" t="s">
        <v>287</v>
      </c>
      <c r="U99" s="1077">
        <v>24142832</v>
      </c>
      <c r="V99" s="1077" t="s">
        <v>572</v>
      </c>
      <c r="W99" s="1257" t="s">
        <v>199</v>
      </c>
      <c r="X99" s="1203">
        <v>26067.202000000001</v>
      </c>
      <c r="Y99" s="1257" t="s">
        <v>200</v>
      </c>
      <c r="Z99" s="1257">
        <v>1</v>
      </c>
      <c r="AA99" s="1257">
        <v>1</v>
      </c>
      <c r="AB99" s="1257" t="s">
        <v>204</v>
      </c>
      <c r="AC99" s="1192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691</v>
      </c>
      <c r="S100" s="105">
        <v>3331570404</v>
      </c>
      <c r="T100" s="1202" t="s">
        <v>34</v>
      </c>
      <c r="U100" s="105">
        <v>24142833</v>
      </c>
      <c r="V100" s="1077" t="s">
        <v>572</v>
      </c>
      <c r="W100" s="1257" t="s">
        <v>199</v>
      </c>
      <c r="X100" s="209">
        <v>26370.309000000001</v>
      </c>
      <c r="Y100" s="1257" t="s">
        <v>200</v>
      </c>
      <c r="Z100" s="1257">
        <v>1</v>
      </c>
      <c r="AA100" s="1257">
        <v>1</v>
      </c>
      <c r="AB100" s="1257" t="s">
        <v>204</v>
      </c>
      <c r="AC100" s="1192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74" t="s">
        <v>695</v>
      </c>
      <c r="S101" s="105">
        <v>3331570394</v>
      </c>
      <c r="T101" s="1202" t="s">
        <v>27</v>
      </c>
      <c r="U101" s="105">
        <v>24142834</v>
      </c>
      <c r="V101" s="1202" t="s">
        <v>366</v>
      </c>
      <c r="W101" s="1257" t="s">
        <v>199</v>
      </c>
      <c r="X101" s="209">
        <v>26630.115000000002</v>
      </c>
      <c r="Y101" s="1257" t="s">
        <v>200</v>
      </c>
      <c r="Z101" s="1257">
        <v>1</v>
      </c>
      <c r="AA101" s="1257">
        <v>1</v>
      </c>
      <c r="AB101" s="1257" t="s">
        <v>204</v>
      </c>
      <c r="AC101" s="1192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74" t="s">
        <v>695</v>
      </c>
      <c r="S102" s="105">
        <v>3331570395</v>
      </c>
      <c r="T102" s="1202" t="s">
        <v>287</v>
      </c>
      <c r="U102" s="105">
        <v>24142835</v>
      </c>
      <c r="V102" s="1202" t="s">
        <v>366</v>
      </c>
      <c r="W102" s="1257" t="s">
        <v>199</v>
      </c>
      <c r="X102" s="209">
        <v>26067.202000000001</v>
      </c>
      <c r="Y102" s="1257" t="s">
        <v>200</v>
      </c>
      <c r="Z102" s="1257">
        <v>1</v>
      </c>
      <c r="AA102" s="1257">
        <v>1</v>
      </c>
      <c r="AB102" s="1257" t="s">
        <v>204</v>
      </c>
      <c r="AC102" s="1192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74" t="s">
        <v>695</v>
      </c>
      <c r="S103" s="105">
        <v>3331570396</v>
      </c>
      <c r="T103" s="1202" t="s">
        <v>27</v>
      </c>
      <c r="U103" s="105">
        <v>24142836</v>
      </c>
      <c r="V103" s="1202" t="s">
        <v>158</v>
      </c>
      <c r="W103" s="1257" t="s">
        <v>199</v>
      </c>
      <c r="X103" s="209">
        <v>25201.182000000001</v>
      </c>
      <c r="Y103" s="1257" t="s">
        <v>200</v>
      </c>
      <c r="Z103" s="1257">
        <v>1</v>
      </c>
      <c r="AA103" s="1257">
        <v>1</v>
      </c>
      <c r="AB103" s="1257" t="s">
        <v>204</v>
      </c>
      <c r="AC103" s="1192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695</v>
      </c>
      <c r="S104" s="1202">
        <v>3331570397</v>
      </c>
      <c r="T104" s="1202" t="s">
        <v>34</v>
      </c>
      <c r="U104" s="1202">
        <v>24142837</v>
      </c>
      <c r="V104" s="1202" t="s">
        <v>158</v>
      </c>
      <c r="W104" s="1257" t="s">
        <v>199</v>
      </c>
      <c r="X104" s="1203">
        <v>26508.1</v>
      </c>
      <c r="Y104" s="1257" t="s">
        <v>200</v>
      </c>
      <c r="Z104" s="1257">
        <v>1</v>
      </c>
      <c r="AA104" s="1257">
        <v>1</v>
      </c>
      <c r="AB104" s="1257" t="s">
        <v>204</v>
      </c>
      <c r="AC104" s="1192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695</v>
      </c>
      <c r="S105" s="1202">
        <v>3331570403</v>
      </c>
      <c r="T105" s="1202" t="s">
        <v>34</v>
      </c>
      <c r="U105" s="1202">
        <v>24142838</v>
      </c>
      <c r="V105" s="1202" t="s">
        <v>158</v>
      </c>
      <c r="W105" s="1257" t="s">
        <v>199</v>
      </c>
      <c r="X105" s="1203">
        <v>25525.238000000001</v>
      </c>
      <c r="Y105" s="1257" t="s">
        <v>200</v>
      </c>
      <c r="Z105" s="1257">
        <v>1</v>
      </c>
      <c r="AA105" s="1257">
        <v>1</v>
      </c>
      <c r="AB105" s="1257" t="s">
        <v>204</v>
      </c>
      <c r="AC105" s="1192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74" t="s">
        <v>695</v>
      </c>
      <c r="S106" s="105">
        <v>3331570406</v>
      </c>
      <c r="T106" s="1202" t="s">
        <v>27</v>
      </c>
      <c r="U106" s="105">
        <v>24142839</v>
      </c>
      <c r="V106" s="1202" t="s">
        <v>150</v>
      </c>
      <c r="W106" s="1257" t="s">
        <v>199</v>
      </c>
      <c r="X106" s="209">
        <v>25063.065999999999</v>
      </c>
      <c r="Y106" s="1257" t="s">
        <v>200</v>
      </c>
      <c r="Z106" s="1257">
        <v>1</v>
      </c>
      <c r="AA106" s="1257">
        <v>1</v>
      </c>
      <c r="AB106" s="1257" t="s">
        <v>204</v>
      </c>
      <c r="AC106" s="1192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74" t="s">
        <v>695</v>
      </c>
      <c r="S107" s="105">
        <v>3331570407</v>
      </c>
      <c r="T107" s="1202" t="s">
        <v>27</v>
      </c>
      <c r="U107" s="105">
        <v>24142840</v>
      </c>
      <c r="V107" s="1202" t="s">
        <v>150</v>
      </c>
      <c r="W107" s="1257" t="s">
        <v>199</v>
      </c>
      <c r="X107" s="209">
        <v>25891.093000000001</v>
      </c>
      <c r="Y107" s="1257" t="s">
        <v>200</v>
      </c>
      <c r="Z107" s="1257">
        <v>1</v>
      </c>
      <c r="AA107" s="1257">
        <v>1</v>
      </c>
      <c r="AB107" s="1257" t="s">
        <v>204</v>
      </c>
      <c r="AC107" s="1192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691</v>
      </c>
      <c r="S108" s="1202">
        <v>3331570412</v>
      </c>
      <c r="T108" s="1077" t="s">
        <v>462</v>
      </c>
      <c r="U108" s="1202">
        <v>24142841</v>
      </c>
      <c r="V108" s="1077" t="s">
        <v>676</v>
      </c>
      <c r="W108" s="1257" t="s">
        <v>199</v>
      </c>
      <c r="X108" s="1203">
        <v>23087.7</v>
      </c>
      <c r="Y108" s="1257" t="s">
        <v>200</v>
      </c>
      <c r="Z108" s="1257">
        <v>1</v>
      </c>
      <c r="AA108" s="1257">
        <v>1</v>
      </c>
      <c r="AB108" s="1257" t="s">
        <v>204</v>
      </c>
      <c r="AC108" s="1192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691</v>
      </c>
      <c r="S109" s="1202">
        <v>3331570416</v>
      </c>
      <c r="T109" s="1077" t="s">
        <v>137</v>
      </c>
      <c r="U109" s="1202">
        <v>24142849</v>
      </c>
      <c r="V109" s="1077" t="s">
        <v>676</v>
      </c>
      <c r="W109" s="1257" t="s">
        <v>199</v>
      </c>
      <c r="X109" s="1203">
        <f>5651.205+16930.98</f>
        <v>22582.184999999998</v>
      </c>
      <c r="Y109" s="1257" t="s">
        <v>200</v>
      </c>
      <c r="Z109" s="1257">
        <v>1</v>
      </c>
      <c r="AA109" s="1257">
        <v>1</v>
      </c>
      <c r="AB109" s="1257" t="s">
        <v>204</v>
      </c>
      <c r="AC109" s="1192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695</v>
      </c>
      <c r="S110" s="1202">
        <v>3331570418</v>
      </c>
      <c r="T110" s="1077" t="s">
        <v>256</v>
      </c>
      <c r="U110" s="1077" t="s">
        <v>256</v>
      </c>
      <c r="V110" s="1077" t="s">
        <v>256</v>
      </c>
      <c r="W110" s="1077" t="s">
        <v>256</v>
      </c>
      <c r="X110" s="1265" t="s">
        <v>256</v>
      </c>
      <c r="Y110" s="1077" t="s">
        <v>256</v>
      </c>
      <c r="Z110" s="1077" t="s">
        <v>256</v>
      </c>
      <c r="AA110" s="1077" t="s">
        <v>256</v>
      </c>
      <c r="AB110" s="1077" t="s">
        <v>256</v>
      </c>
      <c r="AC110" s="1192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695</v>
      </c>
      <c r="S111" s="1202">
        <v>3331570424</v>
      </c>
      <c r="T111" s="1077" t="s">
        <v>287</v>
      </c>
      <c r="U111" s="1202">
        <v>24142842</v>
      </c>
      <c r="V111" s="1077" t="s">
        <v>675</v>
      </c>
      <c r="W111" s="1257" t="s">
        <v>199</v>
      </c>
      <c r="X111" s="1203">
        <f>7999.209+12368.487</f>
        <v>20367.696</v>
      </c>
      <c r="Y111" s="1257" t="s">
        <v>200</v>
      </c>
      <c r="Z111" s="1257">
        <v>1</v>
      </c>
      <c r="AA111" s="1257">
        <v>1</v>
      </c>
      <c r="AB111" s="1257" t="s">
        <v>204</v>
      </c>
      <c r="AC111" s="1192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56" t="s">
        <v>691</v>
      </c>
      <c r="S112" s="1257">
        <v>3331570428</v>
      </c>
      <c r="T112" s="1077" t="s">
        <v>256</v>
      </c>
      <c r="U112" s="1077" t="s">
        <v>256</v>
      </c>
      <c r="V112" s="1077" t="s">
        <v>256</v>
      </c>
      <c r="W112" s="1077" t="s">
        <v>256</v>
      </c>
      <c r="X112" s="1258" t="s">
        <v>256</v>
      </c>
      <c r="Y112" s="1077" t="s">
        <v>256</v>
      </c>
      <c r="Z112" s="1077" t="s">
        <v>256</v>
      </c>
      <c r="AA112" s="1077" t="s">
        <v>256</v>
      </c>
      <c r="AB112" s="1077" t="s">
        <v>256</v>
      </c>
      <c r="AC112" s="1192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56" t="s">
        <v>695</v>
      </c>
      <c r="S113" s="1257">
        <v>3331570422</v>
      </c>
      <c r="T113" s="1077" t="s">
        <v>287</v>
      </c>
      <c r="U113" s="1257">
        <v>24142843</v>
      </c>
      <c r="V113" s="1202" t="s">
        <v>158</v>
      </c>
      <c r="W113" s="1257" t="s">
        <v>199</v>
      </c>
      <c r="X113" s="1258">
        <v>24514.207999999999</v>
      </c>
      <c r="Y113" s="1257" t="s">
        <v>200</v>
      </c>
      <c r="Z113" s="1257">
        <v>1</v>
      </c>
      <c r="AA113" s="1257">
        <v>1</v>
      </c>
      <c r="AB113" s="1257" t="s">
        <v>204</v>
      </c>
      <c r="AC113" s="1192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01" t="s">
        <v>691</v>
      </c>
      <c r="S114" s="1202">
        <v>3331570456</v>
      </c>
      <c r="T114" s="1077" t="s">
        <v>27</v>
      </c>
      <c r="U114" s="1202">
        <v>24142845</v>
      </c>
      <c r="V114" s="1202" t="s">
        <v>243</v>
      </c>
      <c r="W114" s="1257" t="s">
        <v>199</v>
      </c>
      <c r="X114" s="1203">
        <v>25188.816999999999</v>
      </c>
      <c r="Y114" s="1257" t="s">
        <v>200</v>
      </c>
      <c r="Z114" s="1257">
        <v>1</v>
      </c>
      <c r="AA114" s="1257">
        <v>1</v>
      </c>
      <c r="AB114" s="1257" t="s">
        <v>204</v>
      </c>
      <c r="AC114" s="1192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691</v>
      </c>
      <c r="S115" s="1202">
        <v>3331570458</v>
      </c>
      <c r="T115" s="1077" t="s">
        <v>27</v>
      </c>
      <c r="U115" s="1202">
        <v>24142846</v>
      </c>
      <c r="V115" s="1202" t="s">
        <v>243</v>
      </c>
      <c r="W115" s="1257" t="s">
        <v>199</v>
      </c>
      <c r="X115" s="1203">
        <v>25656.142</v>
      </c>
      <c r="Y115" s="1257" t="s">
        <v>200</v>
      </c>
      <c r="Z115" s="1257">
        <v>1</v>
      </c>
      <c r="AA115" s="1257">
        <v>1</v>
      </c>
      <c r="AB115" s="1257" t="s">
        <v>204</v>
      </c>
      <c r="AC115" s="1192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56" t="s">
        <v>691</v>
      </c>
      <c r="S116" s="1257">
        <v>3331570459</v>
      </c>
      <c r="T116" s="1077" t="s">
        <v>11</v>
      </c>
      <c r="U116" s="1257">
        <v>24142847</v>
      </c>
      <c r="V116" s="1202" t="s">
        <v>243</v>
      </c>
      <c r="W116" s="1257" t="s">
        <v>199</v>
      </c>
      <c r="X116" s="1258">
        <v>25889.805</v>
      </c>
      <c r="Y116" s="1257" t="s">
        <v>200</v>
      </c>
      <c r="Z116" s="1257">
        <v>1</v>
      </c>
      <c r="AA116" s="1257">
        <v>1</v>
      </c>
      <c r="AB116" s="1257" t="s">
        <v>204</v>
      </c>
      <c r="AC116" s="1192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56" t="s">
        <v>691</v>
      </c>
      <c r="S117" s="1257">
        <v>3331570506</v>
      </c>
      <c r="T117" s="1077" t="s">
        <v>287</v>
      </c>
      <c r="U117" s="1257">
        <v>24142851</v>
      </c>
      <c r="V117" s="1077" t="s">
        <v>675</v>
      </c>
      <c r="W117" s="1257" t="s">
        <v>199</v>
      </c>
      <c r="X117" s="1258">
        <v>22318.11</v>
      </c>
      <c r="Y117" s="1257" t="s">
        <v>200</v>
      </c>
      <c r="Z117" s="1257">
        <v>1</v>
      </c>
      <c r="AA117" s="1257">
        <v>1</v>
      </c>
      <c r="AB117" s="1257" t="s">
        <v>204</v>
      </c>
      <c r="AC117" s="1197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01" t="s">
        <v>691</v>
      </c>
      <c r="S118" s="1202">
        <v>3331570507</v>
      </c>
      <c r="T118" s="1077" t="s">
        <v>287</v>
      </c>
      <c r="U118" s="1202">
        <v>24142852</v>
      </c>
      <c r="V118" s="1077" t="s">
        <v>675</v>
      </c>
      <c r="W118" s="1257" t="s">
        <v>199</v>
      </c>
      <c r="X118" s="1203">
        <v>21457.98</v>
      </c>
      <c r="Y118" s="1257" t="s">
        <v>200</v>
      </c>
      <c r="Z118" s="1257">
        <v>1</v>
      </c>
      <c r="AA118" s="1257">
        <v>1</v>
      </c>
      <c r="AB118" s="1257" t="s">
        <v>204</v>
      </c>
      <c r="AC118" s="1192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01" t="s">
        <v>691</v>
      </c>
      <c r="S119" s="1202">
        <v>3331570510</v>
      </c>
      <c r="T119" s="1077" t="s">
        <v>11</v>
      </c>
      <c r="U119" s="1202">
        <v>24142853</v>
      </c>
      <c r="V119" s="1077" t="s">
        <v>675</v>
      </c>
      <c r="W119" s="1257" t="s">
        <v>199</v>
      </c>
      <c r="X119" s="1203">
        <v>21805.05</v>
      </c>
      <c r="Y119" s="1257" t="s">
        <v>200</v>
      </c>
      <c r="Z119" s="1257">
        <v>1</v>
      </c>
      <c r="AA119" s="1257">
        <v>1</v>
      </c>
      <c r="AB119" s="1257" t="s">
        <v>204</v>
      </c>
      <c r="AC119" s="1192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01" t="s">
        <v>691</v>
      </c>
      <c r="S120" s="1202">
        <v>3331570545</v>
      </c>
      <c r="T120" s="1077" t="s">
        <v>287</v>
      </c>
      <c r="U120" s="1202">
        <v>24142857</v>
      </c>
      <c r="V120" s="1077" t="s">
        <v>572</v>
      </c>
      <c r="W120" s="1257" t="s">
        <v>199</v>
      </c>
      <c r="X120" s="1203">
        <v>26803.319</v>
      </c>
      <c r="Y120" s="1257" t="s">
        <v>200</v>
      </c>
      <c r="Z120" s="1257">
        <v>1</v>
      </c>
      <c r="AA120" s="1257">
        <v>1</v>
      </c>
      <c r="AB120" s="1257" t="s">
        <v>204</v>
      </c>
      <c r="AC120" s="1192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01" t="s">
        <v>691</v>
      </c>
      <c r="S121" s="1202">
        <v>3331570551</v>
      </c>
      <c r="T121" s="1077" t="s">
        <v>287</v>
      </c>
      <c r="U121" s="1202">
        <v>24142858</v>
      </c>
      <c r="V121" s="1077" t="s">
        <v>572</v>
      </c>
      <c r="W121" s="1257" t="s">
        <v>199</v>
      </c>
      <c r="X121" s="1203">
        <v>26413.61</v>
      </c>
      <c r="Y121" s="1257" t="s">
        <v>200</v>
      </c>
      <c r="Z121" s="1257">
        <v>1</v>
      </c>
      <c r="AA121" s="1257">
        <v>1</v>
      </c>
      <c r="AB121" s="1257" t="s">
        <v>204</v>
      </c>
      <c r="AC121" s="1192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01" t="s">
        <v>691</v>
      </c>
      <c r="S122" s="1202">
        <v>3331570567</v>
      </c>
      <c r="T122" s="1077" t="s">
        <v>287</v>
      </c>
      <c r="U122" s="1202">
        <v>24142861</v>
      </c>
      <c r="V122" s="1077" t="s">
        <v>676</v>
      </c>
      <c r="W122" s="1257" t="s">
        <v>199</v>
      </c>
      <c r="X122" s="1203">
        <f>5676.858+20784.48</f>
        <v>26461.338</v>
      </c>
      <c r="Y122" s="1257" t="s">
        <v>200</v>
      </c>
      <c r="Z122" s="1257">
        <v>1</v>
      </c>
      <c r="AA122" s="1257">
        <v>1</v>
      </c>
      <c r="AB122" s="1257" t="s">
        <v>204</v>
      </c>
      <c r="AC122" s="1192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01" t="s">
        <v>691</v>
      </c>
      <c r="S123" s="1202">
        <v>3331570569</v>
      </c>
      <c r="T123" s="1077" t="s">
        <v>256</v>
      </c>
      <c r="U123" s="1077" t="s">
        <v>256</v>
      </c>
      <c r="V123" s="1077" t="s">
        <v>256</v>
      </c>
      <c r="W123" s="1077" t="s">
        <v>256</v>
      </c>
      <c r="X123" s="1203" t="s">
        <v>256</v>
      </c>
      <c r="Y123" s="1077" t="s">
        <v>256</v>
      </c>
      <c r="Z123" s="1077" t="s">
        <v>256</v>
      </c>
      <c r="AA123" s="1077" t="s">
        <v>256</v>
      </c>
      <c r="AB123" s="1077" t="s">
        <v>256</v>
      </c>
      <c r="AC123" s="1192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01" t="s">
        <v>695</v>
      </c>
      <c r="S124" s="1202">
        <v>3331570584</v>
      </c>
      <c r="T124" s="1077" t="s">
        <v>287</v>
      </c>
      <c r="U124" s="1202">
        <v>24142862</v>
      </c>
      <c r="V124" s="1202" t="s">
        <v>368</v>
      </c>
      <c r="W124" s="1257" t="s">
        <v>199</v>
      </c>
      <c r="X124" s="1203">
        <v>25097.687999999998</v>
      </c>
      <c r="Y124" s="1257" t="s">
        <v>200</v>
      </c>
      <c r="Z124" s="1257">
        <v>1</v>
      </c>
      <c r="AA124" s="1257">
        <v>1</v>
      </c>
      <c r="AB124" s="1257" t="s">
        <v>204</v>
      </c>
      <c r="AC124" s="1192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01" t="s">
        <v>695</v>
      </c>
      <c r="S125" s="1202">
        <v>3331570586</v>
      </c>
      <c r="T125" s="1202" t="s">
        <v>34</v>
      </c>
      <c r="U125" s="1202">
        <v>24142863</v>
      </c>
      <c r="V125" s="1202" t="s">
        <v>368</v>
      </c>
      <c r="W125" s="1257" t="s">
        <v>199</v>
      </c>
      <c r="X125" s="1203">
        <v>25054.43</v>
      </c>
      <c r="Y125" s="1257" t="s">
        <v>200</v>
      </c>
      <c r="Z125" s="1257">
        <v>1</v>
      </c>
      <c r="AA125" s="1257">
        <v>1</v>
      </c>
      <c r="AB125" s="1257" t="s">
        <v>204</v>
      </c>
      <c r="AC125" s="1192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01" t="s">
        <v>691</v>
      </c>
      <c r="S126" s="1202">
        <v>3331570585</v>
      </c>
      <c r="T126" s="1077" t="s">
        <v>11</v>
      </c>
      <c r="U126" s="1202">
        <v>24142864</v>
      </c>
      <c r="V126" s="1202" t="s">
        <v>219</v>
      </c>
      <c r="W126" s="1257" t="s">
        <v>199</v>
      </c>
      <c r="X126" s="1203">
        <v>24685.731</v>
      </c>
      <c r="Y126" s="1257" t="s">
        <v>200</v>
      </c>
      <c r="Z126" s="1257">
        <v>1</v>
      </c>
      <c r="AA126" s="1257">
        <v>1</v>
      </c>
      <c r="AB126" s="1257" t="s">
        <v>204</v>
      </c>
      <c r="AC126" s="1192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01" t="s">
        <v>691</v>
      </c>
      <c r="S127" s="1202">
        <v>3331570587</v>
      </c>
      <c r="T127" s="1202" t="s">
        <v>34</v>
      </c>
      <c r="U127" s="1202">
        <v>24142865</v>
      </c>
      <c r="V127" s="1202" t="s">
        <v>219</v>
      </c>
      <c r="W127" s="1257" t="s">
        <v>199</v>
      </c>
      <c r="X127" s="1203">
        <f>6516.069+20772.139</f>
        <v>27288.207999999999</v>
      </c>
      <c r="Y127" s="1257" t="s">
        <v>200</v>
      </c>
      <c r="Z127" s="1257">
        <v>1</v>
      </c>
      <c r="AA127" s="1257">
        <v>1</v>
      </c>
      <c r="AB127" s="1257" t="s">
        <v>204</v>
      </c>
      <c r="AC127" s="1192"/>
      <c r="AD127" s="81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01" t="s">
        <v>695</v>
      </c>
      <c r="S128" s="1202">
        <v>3331570590</v>
      </c>
      <c r="T128" s="1077" t="s">
        <v>256</v>
      </c>
      <c r="U128" s="1077" t="s">
        <v>256</v>
      </c>
      <c r="V128" s="1077" t="s">
        <v>256</v>
      </c>
      <c r="W128" s="1077" t="s">
        <v>256</v>
      </c>
      <c r="X128" s="1203" t="s">
        <v>256</v>
      </c>
      <c r="Y128" s="1077" t="s">
        <v>256</v>
      </c>
      <c r="Z128" s="1077" t="s">
        <v>256</v>
      </c>
      <c r="AA128" s="1077" t="s">
        <v>256</v>
      </c>
      <c r="AB128" s="1077" t="s">
        <v>256</v>
      </c>
      <c r="AC128" s="1192"/>
      <c r="AD128" s="81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01" t="s">
        <v>695</v>
      </c>
      <c r="S129" s="1202">
        <v>3331570591</v>
      </c>
      <c r="T129" s="1202" t="s">
        <v>34</v>
      </c>
      <c r="U129" s="1202">
        <v>24142876</v>
      </c>
      <c r="V129" s="1202" t="s">
        <v>368</v>
      </c>
      <c r="W129" s="1257" t="s">
        <v>199</v>
      </c>
      <c r="X129" s="1203">
        <f>3140.225+21634.03</f>
        <v>24774.254999999997</v>
      </c>
      <c r="Y129" s="1257" t="s">
        <v>200</v>
      </c>
      <c r="Z129" s="1257">
        <v>1</v>
      </c>
      <c r="AA129" s="1257">
        <v>1</v>
      </c>
      <c r="AB129" s="1257" t="s">
        <v>204</v>
      </c>
      <c r="AC129" s="1192" t="s">
        <v>422</v>
      </c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01" t="s">
        <v>695</v>
      </c>
      <c r="S130" s="1202">
        <v>3331570595</v>
      </c>
      <c r="T130" s="1077" t="s">
        <v>256</v>
      </c>
      <c r="U130" s="1077" t="s">
        <v>256</v>
      </c>
      <c r="V130" s="1077" t="s">
        <v>256</v>
      </c>
      <c r="W130" s="1077" t="s">
        <v>256</v>
      </c>
      <c r="X130" s="1203" t="s">
        <v>256</v>
      </c>
      <c r="Y130" s="1077" t="s">
        <v>256</v>
      </c>
      <c r="Z130" s="1077" t="s">
        <v>256</v>
      </c>
      <c r="AA130" s="1077" t="s">
        <v>256</v>
      </c>
      <c r="AB130" s="1077" t="s">
        <v>256</v>
      </c>
      <c r="AC130" s="1192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01" t="s">
        <v>695</v>
      </c>
      <c r="S131" s="1202">
        <v>3331570660</v>
      </c>
      <c r="T131" s="1202" t="s">
        <v>34</v>
      </c>
      <c r="U131" s="1077">
        <v>24142881</v>
      </c>
      <c r="V131" s="1077" t="s">
        <v>366</v>
      </c>
      <c r="W131" s="1257" t="s">
        <v>340</v>
      </c>
      <c r="X131" s="1455">
        <f>15588.36+10665.612</f>
        <v>26253.972000000002</v>
      </c>
      <c r="Y131" s="1257" t="s">
        <v>200</v>
      </c>
      <c r="Z131" s="1257">
        <v>1</v>
      </c>
      <c r="AA131" s="1257">
        <v>1</v>
      </c>
      <c r="AB131" s="1257" t="s">
        <v>204</v>
      </c>
      <c r="AC131" s="1192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01" t="s">
        <v>691</v>
      </c>
      <c r="S132" s="1202">
        <v>3331570661</v>
      </c>
      <c r="T132" s="1077" t="s">
        <v>256</v>
      </c>
      <c r="U132" s="1077" t="s">
        <v>256</v>
      </c>
      <c r="V132" s="1077" t="s">
        <v>256</v>
      </c>
      <c r="W132" s="1077" t="s">
        <v>256</v>
      </c>
      <c r="X132" s="1455" t="s">
        <v>256</v>
      </c>
      <c r="Y132" s="1077" t="s">
        <v>256</v>
      </c>
      <c r="Z132" s="1077" t="s">
        <v>256</v>
      </c>
      <c r="AA132" s="1077" t="s">
        <v>256</v>
      </c>
      <c r="AB132" s="1077" t="s">
        <v>256</v>
      </c>
      <c r="AC132" s="1192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01" t="s">
        <v>695</v>
      </c>
      <c r="S133" s="1202">
        <v>3331570671</v>
      </c>
      <c r="T133" s="1077" t="s">
        <v>27</v>
      </c>
      <c r="U133" s="1077">
        <v>24142882</v>
      </c>
      <c r="V133" s="1077" t="s">
        <v>366</v>
      </c>
      <c r="W133" s="1257" t="s">
        <v>340</v>
      </c>
      <c r="X133" s="1455">
        <f>14278.158+11864.474</f>
        <v>26142.631999999998</v>
      </c>
      <c r="Y133" s="1257" t="s">
        <v>200</v>
      </c>
      <c r="Z133" s="1257">
        <v>1</v>
      </c>
      <c r="AA133" s="1257">
        <v>1</v>
      </c>
      <c r="AB133" s="1257" t="s">
        <v>204</v>
      </c>
      <c r="AC133" s="1192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01" t="s">
        <v>691</v>
      </c>
      <c r="S134" s="1202">
        <v>3331570673</v>
      </c>
      <c r="T134" s="1077" t="s">
        <v>256</v>
      </c>
      <c r="U134" s="1077" t="s">
        <v>256</v>
      </c>
      <c r="V134" s="1077" t="s">
        <v>256</v>
      </c>
      <c r="W134" s="1077" t="s">
        <v>256</v>
      </c>
      <c r="X134" s="1203" t="s">
        <v>256</v>
      </c>
      <c r="Y134" s="1077" t="s">
        <v>256</v>
      </c>
      <c r="Z134" s="1077" t="s">
        <v>256</v>
      </c>
      <c r="AA134" s="1077" t="s">
        <v>256</v>
      </c>
      <c r="AB134" s="1077" t="s">
        <v>256</v>
      </c>
      <c r="AC134" s="1192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89"/>
      <c r="S138" s="1190"/>
      <c r="T138" s="1190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81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89"/>
      <c r="S141" s="1190"/>
      <c r="T141" s="1190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8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89"/>
      <c r="S142" s="1190"/>
      <c r="T142" s="1190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81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89"/>
      <c r="S143" s="1190"/>
      <c r="T143" s="1190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81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89"/>
      <c r="S144" s="1190"/>
      <c r="T144" s="1190"/>
      <c r="U144" s="1190"/>
      <c r="V144" s="1190"/>
      <c r="W144" s="1190"/>
      <c r="X144" s="1191"/>
      <c r="Y144" s="1190"/>
      <c r="Z144" s="1190"/>
      <c r="AA144" s="1190"/>
      <c r="AB144" s="1190"/>
      <c r="AC144" s="1192"/>
      <c r="AD144" s="81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89"/>
      <c r="S145" s="1190"/>
      <c r="T145" s="1190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89"/>
      <c r="S147" s="1190"/>
      <c r="T147" s="1190"/>
      <c r="U147" s="1190"/>
      <c r="V147" s="1190"/>
      <c r="W147" s="1190"/>
      <c r="X147" s="1191"/>
      <c r="Y147" s="1190"/>
      <c r="Z147" s="1190"/>
      <c r="AA147" s="1190"/>
      <c r="AB147" s="1190"/>
      <c r="AC147" s="1192"/>
      <c r="AD147" s="81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89"/>
      <c r="S148" s="1190"/>
      <c r="T148" s="1190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89"/>
      <c r="S149" s="1190"/>
      <c r="T149" s="1190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81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190"/>
      <c r="U150" s="1190"/>
      <c r="V150" s="1190"/>
      <c r="W150" s="1190"/>
      <c r="X150" s="1191"/>
      <c r="Y150" s="1190"/>
      <c r="Z150" s="1190"/>
      <c r="AA150" s="1190"/>
      <c r="AB150" s="1190"/>
      <c r="AC150" s="1192"/>
      <c r="AD150" s="81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190"/>
      <c r="U151" s="1190"/>
      <c r="V151" s="1190"/>
      <c r="W151" s="1190"/>
      <c r="X151" s="1191"/>
      <c r="Y151" s="1190"/>
      <c r="Z151" s="1190"/>
      <c r="AA151" s="1190"/>
      <c r="AB151" s="1190"/>
      <c r="AC151" s="1192"/>
      <c r="AD151" s="81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89"/>
      <c r="S152" s="1190"/>
      <c r="T152" s="1190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81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189"/>
      <c r="S153" s="1190"/>
      <c r="T153" s="1190"/>
      <c r="U153" s="1190"/>
      <c r="V153" s="1190"/>
      <c r="W153" s="1190"/>
      <c r="X153" s="1191"/>
      <c r="Y153" s="1190"/>
      <c r="Z153" s="1190"/>
      <c r="AA153" s="1190"/>
      <c r="AB153" s="1190"/>
      <c r="AC153" s="1192"/>
      <c r="AD153" s="81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189"/>
      <c r="S154" s="1190"/>
      <c r="T154" s="1190"/>
      <c r="U154" s="1190"/>
      <c r="V154" s="1190"/>
      <c r="W154" s="1190"/>
      <c r="X154" s="1191"/>
      <c r="Y154" s="1190"/>
      <c r="Z154" s="1190"/>
      <c r="AA154" s="1190"/>
      <c r="AB154" s="1190"/>
      <c r="AC154" s="1192"/>
      <c r="AD154" s="81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189"/>
      <c r="S155" s="1190"/>
      <c r="T155" s="1190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81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89"/>
      <c r="S156" s="1190"/>
      <c r="T156" s="1190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81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189"/>
      <c r="S157" s="1190"/>
      <c r="T157" s="1190"/>
      <c r="U157" s="1190"/>
      <c r="V157" s="1190"/>
      <c r="W157" s="1190"/>
      <c r="X157" s="1191"/>
      <c r="Y157" s="1190"/>
      <c r="Z157" s="1190"/>
      <c r="AA157" s="1190"/>
      <c r="AB157" s="1190"/>
      <c r="AC157" s="1192"/>
      <c r="AD157" s="81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189"/>
      <c r="S158" s="1190"/>
      <c r="T158" s="1190"/>
      <c r="U158" s="1190"/>
      <c r="V158" s="1190"/>
      <c r="W158" s="1190"/>
      <c r="X158" s="1191"/>
      <c r="Y158" s="1190"/>
      <c r="Z158" s="1190"/>
      <c r="AA158" s="1190"/>
      <c r="AB158" s="1190"/>
      <c r="AC158" s="1192"/>
      <c r="AD158" s="81"/>
    </row>
    <row r="159" spans="1:30" s="44" customFormat="1" ht="17.399999999999999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 s="1189"/>
      <c r="S159" s="1190"/>
      <c r="T159" s="1190"/>
      <c r="U159" s="1190"/>
      <c r="V159" s="1190"/>
      <c r="W159" s="1190"/>
      <c r="X159" s="1191"/>
      <c r="Y159" s="1190"/>
      <c r="Z159" s="1190"/>
      <c r="AA159" s="1190"/>
      <c r="AB159" s="1190"/>
      <c r="AC159" s="1192"/>
      <c r="AD159" s="81"/>
    </row>
    <row r="160" spans="1:30" s="44" customFormat="1" ht="17.399999999999999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 s="1189"/>
      <c r="S160" s="1190"/>
      <c r="T160" s="1190"/>
      <c r="U160" s="1190"/>
      <c r="V160" s="1190"/>
      <c r="W160" s="1190"/>
      <c r="X160" s="1191"/>
      <c r="Y160" s="1190"/>
      <c r="Z160" s="1190"/>
      <c r="AA160" s="1190"/>
      <c r="AB160" s="1190"/>
      <c r="AC160" s="1192"/>
      <c r="AD160" s="81"/>
    </row>
    <row r="161" spans="1:30" s="44" customFormat="1" ht="17.399999999999999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 s="1189"/>
      <c r="S161" s="1190"/>
      <c r="T161" s="1190"/>
      <c r="U161" s="1190"/>
      <c r="V161" s="1190"/>
      <c r="W161" s="1190"/>
      <c r="X161" s="1191"/>
      <c r="Y161" s="1190"/>
      <c r="Z161" s="1190"/>
      <c r="AA161" s="1190"/>
      <c r="AB161" s="1190"/>
      <c r="AC161" s="1192"/>
      <c r="AD161" s="81"/>
    </row>
    <row r="162" spans="1:30" s="44" customFormat="1" ht="17.399999999999999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 s="1189"/>
      <c r="S162" s="1190"/>
      <c r="T162" s="1190"/>
      <c r="U162" s="1190"/>
      <c r="V162" s="1190"/>
      <c r="W162" s="1190"/>
      <c r="X162" s="1191"/>
      <c r="Y162" s="1190"/>
      <c r="Z162" s="1190"/>
      <c r="AA162" s="1190"/>
      <c r="AB162" s="1190"/>
      <c r="AC162" s="1192"/>
      <c r="AD162" s="81"/>
    </row>
    <row r="163" spans="1:30" s="44" customFormat="1" ht="17.399999999999999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 s="1189"/>
      <c r="S163" s="1190"/>
      <c r="T163" s="1190"/>
      <c r="U163" s="1190"/>
      <c r="V163" s="1190"/>
      <c r="W163" s="1190"/>
      <c r="X163" s="1191"/>
      <c r="Y163" s="1190"/>
      <c r="Z163" s="1190"/>
      <c r="AA163" s="1190"/>
      <c r="AB163" s="1190"/>
      <c r="AC163" s="1192"/>
      <c r="AD163" s="81"/>
    </row>
    <row r="164" spans="1:30" s="44" customFormat="1" ht="17.399999999999999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 s="1189"/>
      <c r="S164" s="1190"/>
      <c r="T164" s="1190"/>
      <c r="U164" s="1190"/>
      <c r="V164" s="1190"/>
      <c r="W164" s="1190"/>
      <c r="X164" s="1191"/>
      <c r="Y164" s="1190"/>
      <c r="Z164" s="1190"/>
      <c r="AA164" s="1190"/>
      <c r="AB164" s="1190"/>
      <c r="AC164" s="1192"/>
      <c r="AD164" s="81"/>
    </row>
    <row r="165" spans="1:30" s="44" customFormat="1" ht="17.399999999999999">
      <c r="A165" s="1324"/>
      <c r="B165" s="1021"/>
      <c r="C165" s="1021"/>
      <c r="D165" s="1022"/>
      <c r="E165" s="1023"/>
      <c r="F165" s="1021"/>
      <c r="G165" s="1021"/>
      <c r="H165" s="1022"/>
      <c r="I165" s="1023"/>
      <c r="J165" s="1021"/>
      <c r="K165" s="1021"/>
      <c r="L165" s="1021"/>
      <c r="M165" s="1023"/>
      <c r="N165" s="1021"/>
      <c r="O165" s="1021"/>
      <c r="P165" s="1022"/>
      <c r="R165" s="1189"/>
      <c r="S165" s="1190"/>
      <c r="T165" s="1190"/>
      <c r="U165" s="1190"/>
      <c r="V165" s="1190"/>
      <c r="W165" s="1190"/>
      <c r="X165" s="1191"/>
      <c r="Y165" s="1190"/>
      <c r="Z165" s="1190"/>
      <c r="AA165" s="1190"/>
      <c r="AB165" s="1190"/>
      <c r="AC165" s="1192"/>
      <c r="AD165" s="81"/>
    </row>
    <row r="166" spans="1:30" s="44" customFormat="1" ht="17.399999999999999">
      <c r="A166" s="1324"/>
      <c r="B166" s="1021"/>
      <c r="C166" s="1021"/>
      <c r="D166" s="1022"/>
      <c r="E166" s="1023"/>
      <c r="F166" s="1021"/>
      <c r="G166" s="1021"/>
      <c r="H166" s="1022"/>
      <c r="I166" s="1023"/>
      <c r="J166" s="1021"/>
      <c r="K166" s="1021"/>
      <c r="L166" s="1021"/>
      <c r="M166" s="1023"/>
      <c r="N166" s="1021"/>
      <c r="O166" s="1021"/>
      <c r="P166" s="1022"/>
      <c r="R166" s="1189"/>
      <c r="S166" s="1190"/>
      <c r="T166" s="1190"/>
      <c r="U166" s="1190"/>
      <c r="V166" s="1190"/>
      <c r="W166" s="1190"/>
      <c r="X166" s="1191"/>
      <c r="Y166" s="1190"/>
      <c r="Z166" s="1190"/>
      <c r="AA166" s="1190"/>
      <c r="AB166" s="1190"/>
      <c r="AC166" s="1192"/>
      <c r="AD166" s="81"/>
    </row>
    <row r="167" spans="1:30" s="44" customFormat="1" ht="17.399999999999999">
      <c r="A167" s="1324"/>
      <c r="B167" s="1021"/>
      <c r="C167" s="1021"/>
      <c r="D167" s="1022"/>
      <c r="E167" s="1023"/>
      <c r="F167" s="1021"/>
      <c r="G167" s="1021"/>
      <c r="H167" s="1022"/>
      <c r="I167" s="1023"/>
      <c r="J167" s="1021"/>
      <c r="K167" s="1021"/>
      <c r="L167" s="1021"/>
      <c r="M167" s="1023"/>
      <c r="N167" s="1021"/>
      <c r="O167" s="1021"/>
      <c r="P167" s="1022"/>
      <c r="R167" s="1189"/>
      <c r="S167" s="1190"/>
      <c r="T167" s="1190"/>
      <c r="U167" s="1190"/>
      <c r="V167" s="1190"/>
      <c r="W167" s="1190"/>
      <c r="X167" s="1191"/>
      <c r="Y167" s="1190"/>
      <c r="Z167" s="1190"/>
      <c r="AA167" s="1190"/>
      <c r="AB167" s="1190"/>
      <c r="AC167" s="1192"/>
      <c r="AD167" s="81"/>
    </row>
    <row r="168" spans="1:30" s="44" customFormat="1" ht="17.399999999999999">
      <c r="A168" s="1324"/>
      <c r="B168" s="1021"/>
      <c r="C168" s="1021"/>
      <c r="D168" s="1022"/>
      <c r="E168" s="1023"/>
      <c r="F168" s="1021"/>
      <c r="G168" s="1021"/>
      <c r="H168" s="1022"/>
      <c r="I168" s="1023"/>
      <c r="J168" s="1021"/>
      <c r="K168" s="1021"/>
      <c r="L168" s="1021"/>
      <c r="M168" s="1023"/>
      <c r="N168" s="1021"/>
      <c r="O168" s="1021"/>
      <c r="P168" s="1022"/>
      <c r="R168" s="1189"/>
      <c r="S168" s="1190"/>
      <c r="T168" s="1190"/>
      <c r="U168" s="1190"/>
      <c r="V168" s="1190"/>
      <c r="W168" s="1190"/>
      <c r="X168" s="1191"/>
      <c r="Y168" s="1190"/>
      <c r="Z168" s="1190"/>
      <c r="AA168" s="1190"/>
      <c r="AB168" s="1190"/>
      <c r="AC168" s="1192"/>
      <c r="AD168" s="81"/>
    </row>
    <row r="169" spans="1:30" s="44" customFormat="1" ht="17.399999999999999">
      <c r="A169" s="1324"/>
      <c r="B169" s="1021"/>
      <c r="C169" s="1021"/>
      <c r="D169" s="1022"/>
      <c r="E169" s="1023"/>
      <c r="F169" s="1021"/>
      <c r="G169" s="1021"/>
      <c r="H169" s="1022"/>
      <c r="I169" s="1023"/>
      <c r="J169" s="1021"/>
      <c r="K169" s="1021"/>
      <c r="L169" s="1021"/>
      <c r="M169" s="1023"/>
      <c r="N169" s="1021"/>
      <c r="O169" s="1021"/>
      <c r="P169" s="1022"/>
      <c r="R169" s="1189"/>
      <c r="S169" s="1190"/>
      <c r="T169" s="1190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81"/>
    </row>
    <row r="170" spans="1:30" s="44" customFormat="1" ht="17.399999999999999">
      <c r="A170" s="1324"/>
      <c r="B170" s="1021"/>
      <c r="C170" s="1021"/>
      <c r="D170" s="1022"/>
      <c r="E170" s="1023"/>
      <c r="F170" s="1021"/>
      <c r="G170" s="1021"/>
      <c r="H170" s="1022"/>
      <c r="I170" s="1023"/>
      <c r="J170" s="1021"/>
      <c r="K170" s="1021"/>
      <c r="L170" s="1021"/>
      <c r="M170" s="1023"/>
      <c r="N170" s="1021"/>
      <c r="O170" s="1021"/>
      <c r="P170" s="1022"/>
      <c r="R170" s="1189"/>
      <c r="S170" s="1190"/>
      <c r="T170" s="1190"/>
      <c r="U170" s="1190"/>
      <c r="V170" s="1190"/>
      <c r="W170" s="1190"/>
      <c r="X170" s="1191"/>
      <c r="Y170" s="1190"/>
      <c r="Z170" s="1190"/>
      <c r="AA170" s="1190"/>
      <c r="AB170" s="1190"/>
      <c r="AC170" s="1192"/>
      <c r="AD170" s="81"/>
    </row>
    <row r="171" spans="1:30" s="44" customFormat="1" ht="17.399999999999999">
      <c r="A171" s="1324"/>
      <c r="B171" s="1021"/>
      <c r="C171" s="1021"/>
      <c r="D171" s="1022"/>
      <c r="E171" s="1023"/>
      <c r="F171" s="1021"/>
      <c r="G171" s="1021"/>
      <c r="H171" s="1022"/>
      <c r="I171" s="1023"/>
      <c r="J171" s="1021"/>
      <c r="K171" s="1021"/>
      <c r="L171" s="1021"/>
      <c r="M171" s="1023"/>
      <c r="N171" s="1021"/>
      <c r="O171" s="1021"/>
      <c r="P171" s="1022"/>
      <c r="R171" s="1189"/>
      <c r="S171" s="1190"/>
      <c r="T171" s="1190"/>
      <c r="U171" s="1190"/>
      <c r="V171" s="1190"/>
      <c r="W171" s="1190"/>
      <c r="X171" s="1191"/>
      <c r="Y171" s="1190"/>
      <c r="Z171" s="1190"/>
      <c r="AA171" s="1190"/>
      <c r="AB171" s="1190"/>
      <c r="AC171" s="1192"/>
      <c r="AD171" s="81"/>
    </row>
    <row r="172" spans="1:30" s="44" customFormat="1" ht="17.399999999999999">
      <c r="A172" s="1324"/>
      <c r="B172" s="1021"/>
      <c r="C172" s="1021"/>
      <c r="D172" s="1022"/>
      <c r="E172" s="1023"/>
      <c r="F172" s="1021"/>
      <c r="G172" s="1021"/>
      <c r="H172" s="1022"/>
      <c r="I172" s="1023"/>
      <c r="J172" s="1021"/>
      <c r="K172" s="1021"/>
      <c r="L172" s="1021"/>
      <c r="M172" s="1023"/>
      <c r="N172" s="1021"/>
      <c r="O172" s="1021"/>
      <c r="P172" s="1022"/>
      <c r="R172" s="1189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81"/>
    </row>
    <row r="173" spans="1:30" s="44" customFormat="1" ht="17.399999999999999">
      <c r="A173" s="1324"/>
      <c r="B173" s="1021"/>
      <c r="C173" s="1021"/>
      <c r="D173" s="1022"/>
      <c r="E173" s="1023"/>
      <c r="F173" s="1021"/>
      <c r="G173" s="1021"/>
      <c r="H173" s="1022"/>
      <c r="I173" s="1023"/>
      <c r="J173" s="1021"/>
      <c r="K173" s="1021"/>
      <c r="L173" s="1021"/>
      <c r="M173" s="1023"/>
      <c r="N173" s="1021"/>
      <c r="O173" s="1021"/>
      <c r="P173" s="1022"/>
      <c r="R173" s="1189"/>
      <c r="S173" s="1190"/>
      <c r="T173" s="1190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81"/>
    </row>
    <row r="174" spans="1:30" s="44" customFormat="1" ht="17.399999999999999">
      <c r="A174" s="1324"/>
      <c r="B174" s="1021"/>
      <c r="C174" s="1021"/>
      <c r="D174" s="1022"/>
      <c r="E174" s="1023"/>
      <c r="F174" s="1021"/>
      <c r="G174" s="1021"/>
      <c r="H174" s="1022"/>
      <c r="I174" s="1023"/>
      <c r="J174" s="1021"/>
      <c r="K174" s="1021"/>
      <c r="L174" s="1021"/>
      <c r="M174" s="1023"/>
      <c r="N174" s="1021"/>
      <c r="O174" s="1021"/>
      <c r="P174" s="1022"/>
      <c r="R174" s="1189"/>
      <c r="S174" s="1190"/>
      <c r="T174" s="1190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81"/>
    </row>
    <row r="175" spans="1:30" s="44" customFormat="1" ht="17.399999999999999">
      <c r="A175" s="1324"/>
      <c r="B175" s="1021"/>
      <c r="C175" s="1021"/>
      <c r="D175" s="1022"/>
      <c r="E175" s="1023"/>
      <c r="F175" s="1021"/>
      <c r="G175" s="1021"/>
      <c r="H175" s="1022"/>
      <c r="I175" s="1023"/>
      <c r="J175" s="1021"/>
      <c r="K175" s="1021"/>
      <c r="L175" s="1021"/>
      <c r="M175" s="1023"/>
      <c r="N175" s="1021"/>
      <c r="O175" s="1021"/>
      <c r="P175" s="1022"/>
      <c r="R175" s="1189"/>
      <c r="S175" s="1190"/>
      <c r="T175" s="1190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81"/>
    </row>
    <row r="176" spans="1:30" s="44" customFormat="1" ht="17.399999999999999">
      <c r="A176" s="1324"/>
      <c r="B176" s="1021"/>
      <c r="C176" s="1021"/>
      <c r="D176" s="1022"/>
      <c r="E176" s="1023"/>
      <c r="F176" s="1021"/>
      <c r="G176" s="1021"/>
      <c r="H176" s="1022"/>
      <c r="I176" s="1023"/>
      <c r="J176" s="1021"/>
      <c r="K176" s="1021"/>
      <c r="L176" s="1021"/>
      <c r="M176" s="1023"/>
      <c r="N176" s="1021"/>
      <c r="O176" s="1021"/>
      <c r="P176" s="1022"/>
      <c r="R176" s="1189"/>
      <c r="S176" s="1190"/>
      <c r="T176" s="1190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81"/>
    </row>
    <row r="177" spans="1:30" s="44" customFormat="1" ht="17.399999999999999">
      <c r="A177" s="1324"/>
      <c r="B177" s="1021"/>
      <c r="C177" s="1021"/>
      <c r="D177" s="1022"/>
      <c r="E177" s="1023"/>
      <c r="F177" s="1021"/>
      <c r="G177" s="1021"/>
      <c r="H177" s="1022"/>
      <c r="I177" s="1023"/>
      <c r="J177" s="1021"/>
      <c r="K177" s="1021"/>
      <c r="L177" s="1021"/>
      <c r="M177" s="1023"/>
      <c r="N177" s="1021"/>
      <c r="O177" s="1021"/>
      <c r="P177" s="1022"/>
      <c r="R177" s="1189"/>
      <c r="S177" s="1190"/>
      <c r="T177" s="1190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81"/>
    </row>
    <row r="178" spans="1:30" s="44" customFormat="1" ht="17.399999999999999">
      <c r="A178" s="1324"/>
      <c r="B178" s="1021"/>
      <c r="C178" s="1021"/>
      <c r="D178" s="1022"/>
      <c r="E178" s="1023"/>
      <c r="F178" s="1021"/>
      <c r="G178" s="1021"/>
      <c r="H178" s="1022"/>
      <c r="I178" s="1023"/>
      <c r="J178" s="1021"/>
      <c r="K178" s="1021"/>
      <c r="L178" s="1021"/>
      <c r="M178" s="1023"/>
      <c r="N178" s="1021"/>
      <c r="O178" s="1021"/>
      <c r="P178" s="1022"/>
      <c r="R178" s="1189"/>
      <c r="S178" s="1190"/>
      <c r="T178" s="1190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81"/>
    </row>
    <row r="179" spans="1:30" s="44" customFormat="1" ht="17.399999999999999">
      <c r="A179" s="1324"/>
      <c r="B179" s="1021"/>
      <c r="C179" s="1021"/>
      <c r="D179" s="1022"/>
      <c r="E179" s="1023"/>
      <c r="F179" s="1021"/>
      <c r="G179" s="1021"/>
      <c r="H179" s="1022"/>
      <c r="I179" s="1023"/>
      <c r="J179" s="1021"/>
      <c r="K179" s="1021"/>
      <c r="L179" s="1021"/>
      <c r="M179" s="1023"/>
      <c r="N179" s="1021"/>
      <c r="O179" s="1021"/>
      <c r="P179" s="1022"/>
      <c r="R179" s="1189"/>
      <c r="S179" s="1190"/>
      <c r="T179" s="1190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81"/>
    </row>
    <row r="180" spans="1:30" s="44" customFormat="1" ht="17.399999999999999">
      <c r="A180" s="1324"/>
      <c r="B180" s="1021"/>
      <c r="C180" s="1021"/>
      <c r="D180" s="1022"/>
      <c r="E180" s="1023"/>
      <c r="F180" s="1021"/>
      <c r="G180" s="1021"/>
      <c r="H180" s="1022"/>
      <c r="I180" s="1023"/>
      <c r="J180" s="1021"/>
      <c r="K180" s="1021"/>
      <c r="L180" s="1021"/>
      <c r="M180" s="1023"/>
      <c r="N180" s="1021"/>
      <c r="O180" s="1021"/>
      <c r="P180" s="1022"/>
      <c r="R180" s="1189"/>
      <c r="S180" s="1190"/>
      <c r="T180" s="1190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81"/>
    </row>
    <row r="181" spans="1:30" s="44" customFormat="1" ht="17.399999999999999">
      <c r="A181" s="1324"/>
      <c r="B181" s="1021"/>
      <c r="C181" s="1021"/>
      <c r="D181" s="1022"/>
      <c r="E181" s="1023"/>
      <c r="F181" s="1021"/>
      <c r="G181" s="1021"/>
      <c r="H181" s="1022"/>
      <c r="I181" s="1023"/>
      <c r="J181" s="1021"/>
      <c r="K181" s="1021"/>
      <c r="L181" s="1021"/>
      <c r="M181" s="1023"/>
      <c r="N181" s="1021"/>
      <c r="O181" s="1021"/>
      <c r="P181" s="1022"/>
      <c r="R181" s="1189"/>
      <c r="S181" s="1190"/>
      <c r="T181" s="1190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81"/>
    </row>
    <row r="182" spans="1:30" s="44" customFormat="1" ht="17.399999999999999">
      <c r="A182" s="1324"/>
      <c r="B182" s="1021"/>
      <c r="C182" s="1021"/>
      <c r="D182" s="1022"/>
      <c r="E182" s="1023"/>
      <c r="F182" s="1021"/>
      <c r="G182" s="1021"/>
      <c r="H182" s="1022"/>
      <c r="I182" s="1023"/>
      <c r="J182" s="1021"/>
      <c r="K182" s="1021"/>
      <c r="L182" s="1021"/>
      <c r="M182" s="1023"/>
      <c r="N182" s="1021"/>
      <c r="O182" s="1021"/>
      <c r="P182" s="1022"/>
      <c r="R182" s="1189"/>
      <c r="S182" s="1190"/>
      <c r="T182" s="1190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81"/>
    </row>
    <row r="183" spans="1:30" s="44" customFormat="1" ht="17.399999999999999">
      <c r="A183" s="1324"/>
      <c r="B183" s="1021"/>
      <c r="C183" s="1021"/>
      <c r="D183" s="1022"/>
      <c r="E183" s="1023"/>
      <c r="F183" s="1021"/>
      <c r="G183" s="1021"/>
      <c r="H183" s="1022"/>
      <c r="I183" s="1023"/>
      <c r="J183" s="1021"/>
      <c r="K183" s="1021"/>
      <c r="L183" s="1021"/>
      <c r="M183" s="1023"/>
      <c r="N183" s="1021"/>
      <c r="O183" s="1021"/>
      <c r="P183" s="1022"/>
      <c r="R183" s="1189"/>
      <c r="S183" s="1190"/>
      <c r="T183" s="1190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81"/>
    </row>
    <row r="184" spans="1:30" s="44" customFormat="1" ht="17.399999999999999">
      <c r="A184" s="1324"/>
      <c r="B184" s="1021"/>
      <c r="C184" s="1021"/>
      <c r="D184" s="1022"/>
      <c r="E184" s="1023"/>
      <c r="F184" s="1021"/>
      <c r="G184" s="1021"/>
      <c r="H184" s="1022"/>
      <c r="I184" s="1023"/>
      <c r="J184" s="1021"/>
      <c r="K184" s="1021"/>
      <c r="L184" s="1021"/>
      <c r="M184" s="1023"/>
      <c r="N184" s="1021"/>
      <c r="O184" s="1021"/>
      <c r="P184" s="1022"/>
      <c r="R184" s="1189"/>
      <c r="S184" s="1190"/>
      <c r="T184" s="1190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81"/>
    </row>
    <row r="185" spans="1:30" s="44" customFormat="1" ht="17.399999999999999">
      <c r="A185" s="1324"/>
      <c r="B185" s="1021"/>
      <c r="C185" s="1021"/>
      <c r="D185" s="1022"/>
      <c r="E185" s="1023"/>
      <c r="F185" s="1021"/>
      <c r="G185" s="1021"/>
      <c r="H185" s="1022"/>
      <c r="I185" s="1023"/>
      <c r="J185" s="1021"/>
      <c r="K185" s="1021"/>
      <c r="L185" s="1021"/>
      <c r="M185" s="1023"/>
      <c r="N185" s="1021"/>
      <c r="O185" s="1021"/>
      <c r="P185" s="1022"/>
      <c r="R185" s="1189"/>
      <c r="S185" s="1190"/>
      <c r="T185" s="1190"/>
      <c r="U185" s="1190"/>
      <c r="V185" s="1190"/>
      <c r="W185" s="1190"/>
      <c r="X185" s="1191"/>
      <c r="Y185" s="1190"/>
      <c r="Z185" s="1190"/>
      <c r="AA185" s="1190"/>
      <c r="AB185" s="1190"/>
      <c r="AC185" s="1192"/>
      <c r="AD185" s="81"/>
    </row>
    <row r="186" spans="1:30" s="44" customFormat="1" ht="17.399999999999999">
      <c r="A186" s="1324"/>
      <c r="B186" s="1021"/>
      <c r="C186" s="1021"/>
      <c r="D186" s="1022"/>
      <c r="E186" s="1023"/>
      <c r="F186" s="1021"/>
      <c r="G186" s="1021"/>
      <c r="H186" s="1022"/>
      <c r="I186" s="1023"/>
      <c r="J186" s="1021"/>
      <c r="K186" s="1021"/>
      <c r="L186" s="1021"/>
      <c r="M186" s="1023"/>
      <c r="N186" s="1021"/>
      <c r="O186" s="1021"/>
      <c r="P186" s="1022"/>
      <c r="R186" s="1189"/>
      <c r="S186" s="1190"/>
      <c r="T186" s="1190"/>
      <c r="U186" s="1190"/>
      <c r="V186" s="1195"/>
      <c r="W186" s="1190"/>
      <c r="X186" s="1191"/>
      <c r="Y186" s="1190"/>
      <c r="Z186" s="1190"/>
      <c r="AA186" s="1190"/>
      <c r="AB186" s="1190"/>
      <c r="AC186" s="1192"/>
      <c r="AD186" s="81"/>
    </row>
    <row r="187" spans="1:30" s="44" customFormat="1" ht="17.399999999999999">
      <c r="A187" s="1324"/>
      <c r="B187" s="1021"/>
      <c r="C187" s="1021"/>
      <c r="D187" s="1022"/>
      <c r="E187" s="1023"/>
      <c r="F187" s="1021"/>
      <c r="G187" s="1021"/>
      <c r="H187" s="1022"/>
      <c r="I187" s="1023"/>
      <c r="J187" s="1021"/>
      <c r="K187" s="1021"/>
      <c r="L187" s="1021"/>
      <c r="M187" s="1023"/>
      <c r="N187" s="1021"/>
      <c r="O187" s="1021"/>
      <c r="P187" s="1022"/>
      <c r="R187" s="1189"/>
      <c r="S187" s="1190"/>
      <c r="T187" s="1190"/>
      <c r="U187" s="1190"/>
      <c r="V187" s="1190"/>
      <c r="W187" s="1190"/>
      <c r="X187" s="1191"/>
      <c r="Y187" s="1190"/>
      <c r="Z187" s="1190"/>
      <c r="AA187" s="1190"/>
      <c r="AB187" s="1190"/>
      <c r="AC187" s="1192"/>
      <c r="AD187" s="81"/>
    </row>
    <row r="188" spans="1:30" s="44" customFormat="1" ht="17.399999999999999">
      <c r="A188" s="1324"/>
      <c r="B188" s="1021"/>
      <c r="C188" s="1021"/>
      <c r="D188" s="1022"/>
      <c r="E188" s="1023"/>
      <c r="F188" s="1021"/>
      <c r="G188" s="1021"/>
      <c r="H188" s="1022"/>
      <c r="I188" s="1023"/>
      <c r="J188" s="1021"/>
      <c r="K188" s="1021"/>
      <c r="L188" s="1021"/>
      <c r="M188" s="1023"/>
      <c r="N188" s="1021"/>
      <c r="O188" s="1021"/>
      <c r="P188" s="1022"/>
      <c r="R188" s="1189"/>
      <c r="S188" s="1190"/>
      <c r="T188" s="1190"/>
      <c r="U188" s="1190"/>
      <c r="V188" s="1190"/>
      <c r="W188" s="1190"/>
      <c r="X188" s="1191"/>
      <c r="Y188" s="1190"/>
      <c r="Z188" s="1190"/>
      <c r="AA188" s="1190"/>
      <c r="AB188" s="1190"/>
      <c r="AC188" s="1192"/>
      <c r="AD188" s="26"/>
    </row>
    <row r="189" spans="1:30" s="44" customFormat="1" ht="17.399999999999999">
      <c r="A189" s="1324"/>
      <c r="B189" s="1021"/>
      <c r="C189" s="1021"/>
      <c r="D189" s="1022"/>
      <c r="E189" s="1023"/>
      <c r="F189" s="1021"/>
      <c r="G189" s="1021"/>
      <c r="H189" s="1022"/>
      <c r="I189" s="1023"/>
      <c r="J189" s="1021"/>
      <c r="K189" s="1021"/>
      <c r="L189" s="1021"/>
      <c r="M189" s="1023"/>
      <c r="N189" s="1021"/>
      <c r="O189" s="1021"/>
      <c r="P189" s="1022"/>
      <c r="R189" s="1189"/>
      <c r="S189" s="1190"/>
      <c r="T189" s="1190"/>
      <c r="U189" s="1190"/>
      <c r="V189" s="1195"/>
      <c r="W189" s="1190"/>
      <c r="X189" s="1191"/>
      <c r="Y189" s="1190"/>
      <c r="Z189" s="1190"/>
      <c r="AA189" s="1190"/>
      <c r="AB189" s="1190"/>
      <c r="AC189" s="1192"/>
      <c r="AD189" s="81"/>
    </row>
    <row r="190" spans="1:30" s="44" customFormat="1" ht="17.399999999999999">
      <c r="A190" s="1324"/>
      <c r="B190" s="1021"/>
      <c r="C190" s="1021"/>
      <c r="D190" s="1022"/>
      <c r="E190" s="1023"/>
      <c r="F190" s="1021"/>
      <c r="G190" s="1021"/>
      <c r="H190" s="1022"/>
      <c r="I190" s="1023"/>
      <c r="J190" s="1021"/>
      <c r="K190" s="1021"/>
      <c r="L190" s="1021"/>
      <c r="M190" s="1023"/>
      <c r="N190" s="1021"/>
      <c r="O190" s="1021"/>
      <c r="P190" s="1022"/>
      <c r="R190" s="1189"/>
      <c r="S190" s="1190"/>
      <c r="T190" s="1190"/>
      <c r="U190" s="1190"/>
      <c r="V190" s="1195"/>
      <c r="W190" s="1190"/>
      <c r="X190" s="1191"/>
      <c r="Y190" s="1190"/>
      <c r="Z190" s="1190"/>
      <c r="AA190" s="1190"/>
      <c r="AB190" s="1190"/>
      <c r="AC190" s="1192"/>
      <c r="AD190" s="203"/>
    </row>
    <row r="191" spans="1:30" s="44" customFormat="1" ht="17.399999999999999">
      <c r="A191" s="1324"/>
      <c r="B191" s="1021"/>
      <c r="C191" s="1021"/>
      <c r="D191" s="1022"/>
      <c r="E191" s="1023"/>
      <c r="F191" s="1021"/>
      <c r="G191" s="1021"/>
      <c r="H191" s="1022"/>
      <c r="I191" s="1023"/>
      <c r="J191" s="1021"/>
      <c r="K191" s="1021"/>
      <c r="L191" s="1021"/>
      <c r="M191" s="1023"/>
      <c r="N191" s="1021"/>
      <c r="O191" s="1021"/>
      <c r="P191" s="1022"/>
      <c r="R191" s="1194"/>
      <c r="S191" s="1195"/>
      <c r="T191" s="1195"/>
      <c r="U191" s="1195"/>
      <c r="V191" s="1195"/>
      <c r="W191" s="1195"/>
      <c r="X191" s="1196"/>
      <c r="Y191" s="1195"/>
      <c r="Z191" s="1195"/>
      <c r="AA191" s="1195"/>
      <c r="AB191" s="1195"/>
      <c r="AC191" s="1197"/>
      <c r="AD191" s="203"/>
    </row>
    <row r="192" spans="1:30" s="44" customFormat="1" ht="17.399999999999999">
      <c r="A192" s="1324"/>
      <c r="B192" s="1021"/>
      <c r="C192" s="1021"/>
      <c r="D192" s="1022"/>
      <c r="E192" s="1023"/>
      <c r="F192" s="1021"/>
      <c r="G192" s="1021"/>
      <c r="H192" s="1022"/>
      <c r="I192" s="1023"/>
      <c r="J192" s="1021"/>
      <c r="K192" s="1021"/>
      <c r="L192" s="1021"/>
      <c r="M192" s="1023"/>
      <c r="N192" s="1021"/>
      <c r="O192" s="1021"/>
      <c r="P192" s="1022"/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:30" s="44" customFormat="1" ht="17.399999999999999">
      <c r="A193" s="1324"/>
      <c r="B193" s="1021"/>
      <c r="C193" s="1021"/>
      <c r="D193" s="1022"/>
      <c r="E193" s="1023"/>
      <c r="F193" s="1021"/>
      <c r="G193" s="1021"/>
      <c r="H193" s="1022"/>
      <c r="I193" s="1023"/>
      <c r="J193" s="1021"/>
      <c r="K193" s="1021"/>
      <c r="L193" s="1021"/>
      <c r="M193" s="1023"/>
      <c r="N193" s="1021"/>
      <c r="O193" s="1021"/>
      <c r="P193" s="1022"/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:30" s="44" customFormat="1" ht="17.399999999999999">
      <c r="A194" s="1324"/>
      <c r="B194" s="1021"/>
      <c r="C194" s="1021"/>
      <c r="D194" s="1022"/>
      <c r="E194" s="1023"/>
      <c r="F194" s="1021"/>
      <c r="G194" s="1021"/>
      <c r="H194" s="1022"/>
      <c r="I194" s="1023"/>
      <c r="J194" s="1021"/>
      <c r="K194" s="1021"/>
      <c r="L194" s="1021"/>
      <c r="M194" s="1023"/>
      <c r="N194" s="1021"/>
      <c r="O194" s="1021"/>
      <c r="P194" s="1022"/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:30" s="44" customFormat="1" ht="17.399999999999999">
      <c r="A195" s="1324"/>
      <c r="B195" s="1021"/>
      <c r="C195" s="1021"/>
      <c r="D195" s="1022"/>
      <c r="E195" s="1023"/>
      <c r="F195" s="1021"/>
      <c r="G195" s="1021"/>
      <c r="H195" s="1022"/>
      <c r="I195" s="1023"/>
      <c r="J195" s="1021"/>
      <c r="K195" s="1021"/>
      <c r="L195" s="1021"/>
      <c r="M195" s="1023"/>
      <c r="N195" s="1021"/>
      <c r="O195" s="1021"/>
      <c r="P195" s="1022"/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:30" s="44" customFormat="1" ht="17.399999999999999">
      <c r="A196" s="1324"/>
      <c r="B196" s="1021"/>
      <c r="C196" s="1021"/>
      <c r="D196" s="1022"/>
      <c r="E196" s="1023"/>
      <c r="F196" s="1021"/>
      <c r="G196" s="1021"/>
      <c r="H196" s="1022"/>
      <c r="I196" s="1023"/>
      <c r="J196" s="1021"/>
      <c r="K196" s="1021"/>
      <c r="L196" s="1021"/>
      <c r="M196" s="1023"/>
      <c r="N196" s="1021"/>
      <c r="O196" s="1021"/>
      <c r="P196" s="1022"/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:30" s="44" customFormat="1" ht="17.399999999999999">
      <c r="A197" s="1324"/>
      <c r="B197" s="1021"/>
      <c r="C197" s="1021"/>
      <c r="D197" s="1022"/>
      <c r="E197" s="1023"/>
      <c r="F197" s="1021"/>
      <c r="G197" s="1021"/>
      <c r="H197" s="1022"/>
      <c r="I197" s="1023"/>
      <c r="J197" s="1021"/>
      <c r="K197" s="1021"/>
      <c r="L197" s="1021"/>
      <c r="M197" s="1023"/>
      <c r="N197" s="1021"/>
      <c r="O197" s="1021"/>
      <c r="P197" s="1022"/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:30" s="44" customFormat="1" ht="17.399999999999999">
      <c r="A198" s="1324"/>
      <c r="B198" s="1021"/>
      <c r="C198" s="1021"/>
      <c r="D198" s="1022"/>
      <c r="E198" s="1023"/>
      <c r="F198" s="1021"/>
      <c r="G198" s="1021"/>
      <c r="H198" s="1022"/>
      <c r="I198" s="1023"/>
      <c r="J198" s="1021"/>
      <c r="K198" s="1021"/>
      <c r="L198" s="1021"/>
      <c r="M198" s="1023"/>
      <c r="N198" s="1021"/>
      <c r="O198" s="1021"/>
      <c r="P198" s="1022"/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:30" s="44" customFormat="1"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:30" s="44" customFormat="1"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8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8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8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  <row r="214" spans="18:30" s="44" customFormat="1">
      <c r="R214"/>
      <c r="S214"/>
      <c r="T214"/>
      <c r="U214"/>
      <c r="V214"/>
      <c r="W214"/>
      <c r="X214"/>
      <c r="Y214"/>
      <c r="Z214"/>
      <c r="AA214"/>
      <c r="AB214"/>
      <c r="AC214" s="609"/>
      <c r="AD214"/>
    </row>
    <row r="215" spans="18:30" s="44" customFormat="1">
      <c r="R215"/>
      <c r="S215"/>
      <c r="T215"/>
      <c r="U215"/>
      <c r="V215"/>
      <c r="W215"/>
      <c r="X215"/>
      <c r="Y215"/>
      <c r="Z215"/>
      <c r="AA215"/>
      <c r="AB215"/>
      <c r="AC215" s="609"/>
      <c r="AD215"/>
    </row>
    <row r="216" spans="18:30" s="44" customFormat="1">
      <c r="R216"/>
      <c r="S216"/>
      <c r="T216"/>
      <c r="U216"/>
      <c r="V216"/>
      <c r="W216"/>
      <c r="X216"/>
      <c r="Y216"/>
      <c r="Z216"/>
      <c r="AA216"/>
      <c r="AB216"/>
      <c r="AC216" s="609"/>
      <c r="AD216"/>
    </row>
    <row r="217" spans="18:30" s="44" customFormat="1">
      <c r="R217"/>
      <c r="S217"/>
      <c r="T217"/>
      <c r="U217"/>
      <c r="V217"/>
      <c r="W217"/>
      <c r="X217"/>
      <c r="Y217"/>
      <c r="Z217"/>
      <c r="AA217"/>
      <c r="AB217"/>
      <c r="AC217" s="609"/>
      <c r="AD217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  <row r="226" spans="18:30" s="44" customFormat="1">
      <c r="R226"/>
      <c r="S226"/>
      <c r="T226"/>
      <c r="U226"/>
      <c r="V226"/>
      <c r="W226"/>
      <c r="X226"/>
      <c r="Y226"/>
      <c r="Z226"/>
      <c r="AA226"/>
      <c r="AB226"/>
      <c r="AC226" s="609"/>
      <c r="AD226"/>
    </row>
    <row r="227" spans="18:30" s="44" customFormat="1">
      <c r="R227"/>
      <c r="S227"/>
      <c r="T227"/>
      <c r="U227"/>
      <c r="V227"/>
      <c r="W227"/>
      <c r="X227"/>
      <c r="Y227"/>
      <c r="Z227"/>
      <c r="AA227"/>
      <c r="AB227"/>
      <c r="AC227" s="609"/>
      <c r="AD227"/>
    </row>
    <row r="228" spans="18:30" s="44" customFormat="1">
      <c r="R228"/>
      <c r="S228"/>
      <c r="T228"/>
      <c r="U228"/>
      <c r="V228"/>
      <c r="W228"/>
      <c r="X228"/>
      <c r="Y228"/>
      <c r="Z228"/>
      <c r="AA228"/>
      <c r="AB228"/>
      <c r="AC228" s="609"/>
      <c r="AD228"/>
    </row>
    <row r="229" spans="18:30" s="44" customFormat="1">
      <c r="R229"/>
      <c r="S229"/>
      <c r="T229"/>
      <c r="U229"/>
      <c r="V229"/>
      <c r="W229"/>
      <c r="X229"/>
      <c r="Y229"/>
      <c r="Z229"/>
      <c r="AA229"/>
      <c r="AB229"/>
      <c r="AC229" s="609"/>
      <c r="AD229"/>
    </row>
    <row r="230" spans="18:30" s="44" customFormat="1">
      <c r="R230"/>
      <c r="S230"/>
      <c r="T230"/>
      <c r="U230"/>
      <c r="V230"/>
      <c r="W230"/>
      <c r="X230"/>
      <c r="Y230"/>
      <c r="Z230"/>
      <c r="AA230"/>
      <c r="AB230"/>
      <c r="AC230" s="609"/>
      <c r="AD230"/>
    </row>
    <row r="231" spans="18:30" s="44" customFormat="1">
      <c r="R231"/>
      <c r="S231"/>
      <c r="T231"/>
      <c r="U231"/>
      <c r="V231"/>
      <c r="W231"/>
      <c r="X231"/>
      <c r="Y231"/>
      <c r="Z231"/>
      <c r="AA231"/>
      <c r="AB231"/>
      <c r="AC231" s="609"/>
      <c r="AD231"/>
    </row>
    <row r="232" spans="18:30" s="44" customFormat="1">
      <c r="R232"/>
      <c r="S232"/>
      <c r="T232"/>
      <c r="U232"/>
      <c r="V232"/>
      <c r="W232"/>
      <c r="X232"/>
      <c r="Y232"/>
      <c r="Z232"/>
      <c r="AA232"/>
      <c r="AB232"/>
      <c r="AC232" s="609"/>
      <c r="AD232"/>
    </row>
    <row r="233" spans="18:30" s="44" customFormat="1">
      <c r="R233"/>
      <c r="S233"/>
      <c r="T233"/>
      <c r="U233"/>
      <c r="V233"/>
      <c r="W233"/>
      <c r="X233"/>
      <c r="Y233"/>
      <c r="Z233"/>
      <c r="AA233"/>
      <c r="AB233"/>
      <c r="AC233" s="609"/>
      <c r="AD233"/>
    </row>
    <row r="234" spans="18:30" s="44" customFormat="1">
      <c r="R234"/>
      <c r="S234"/>
      <c r="T234"/>
      <c r="U234"/>
      <c r="V234"/>
      <c r="W234"/>
      <c r="X234"/>
      <c r="Y234"/>
      <c r="Z234"/>
      <c r="AA234"/>
      <c r="AB234"/>
      <c r="AC234" s="609"/>
      <c r="AD234"/>
    </row>
    <row r="235" spans="18:30" s="44" customFormat="1">
      <c r="R235"/>
      <c r="S235"/>
      <c r="T235"/>
      <c r="U235"/>
      <c r="V235"/>
      <c r="W235"/>
      <c r="X235"/>
      <c r="Y235"/>
      <c r="Z235"/>
      <c r="AA235"/>
      <c r="AB235"/>
      <c r="AC235" s="609"/>
      <c r="AD235"/>
    </row>
    <row r="236" spans="18:30" s="44" customFormat="1">
      <c r="R236"/>
      <c r="S236"/>
      <c r="T236"/>
      <c r="U236"/>
      <c r="V236"/>
      <c r="W236"/>
      <c r="X236"/>
      <c r="Y236"/>
      <c r="Z236"/>
      <c r="AA236"/>
      <c r="AB236"/>
      <c r="AC236" s="609"/>
      <c r="AD236"/>
    </row>
    <row r="237" spans="18:30" s="44" customFormat="1">
      <c r="R237"/>
      <c r="S237"/>
      <c r="T237"/>
      <c r="U237"/>
      <c r="V237"/>
      <c r="W237"/>
      <c r="X237"/>
      <c r="Y237"/>
      <c r="Z237"/>
      <c r="AA237"/>
      <c r="AB237"/>
      <c r="AC237" s="609"/>
      <c r="AD237"/>
    </row>
    <row r="238" spans="18:30" s="44" customFormat="1">
      <c r="R238"/>
      <c r="S238"/>
      <c r="T238"/>
      <c r="U238"/>
      <c r="V238"/>
      <c r="W238"/>
      <c r="X238"/>
      <c r="Y238"/>
      <c r="Z238"/>
      <c r="AA238"/>
      <c r="AB238"/>
      <c r="AC238" s="609"/>
      <c r="AD238"/>
    </row>
    <row r="239" spans="18:30" s="44" customFormat="1">
      <c r="R239"/>
      <c r="S239"/>
      <c r="T239"/>
      <c r="U239"/>
      <c r="V239"/>
      <c r="W239"/>
      <c r="X239"/>
      <c r="Y239"/>
      <c r="Z239"/>
      <c r="AA239"/>
      <c r="AB239"/>
      <c r="AC239" s="609"/>
      <c r="AD239"/>
    </row>
    <row r="240" spans="18:30" s="44" customFormat="1">
      <c r="R240"/>
      <c r="S240"/>
      <c r="T240"/>
      <c r="U240"/>
      <c r="V240"/>
      <c r="W240"/>
      <c r="X240"/>
      <c r="Y240"/>
      <c r="Z240"/>
      <c r="AA240"/>
      <c r="AB240"/>
      <c r="AC240" s="609"/>
      <c r="AD240"/>
    </row>
    <row r="241" spans="18:30" s="44" customFormat="1">
      <c r="R241"/>
      <c r="S241"/>
      <c r="T241"/>
      <c r="U241"/>
      <c r="V241"/>
      <c r="W241"/>
      <c r="X241"/>
      <c r="Y241"/>
      <c r="Z241"/>
      <c r="AA241"/>
      <c r="AB241"/>
      <c r="AC241" s="609"/>
      <c r="AD241"/>
    </row>
    <row r="242" spans="18:30" s="44" customFormat="1">
      <c r="R242"/>
      <c r="S242"/>
      <c r="T242"/>
      <c r="U242"/>
      <c r="V242"/>
      <c r="W242"/>
      <c r="X242"/>
      <c r="Y242"/>
      <c r="Z242"/>
      <c r="AA242"/>
      <c r="AB242"/>
      <c r="AC242" s="609"/>
      <c r="AD242"/>
    </row>
    <row r="243" spans="18:30" s="44" customFormat="1">
      <c r="R243"/>
      <c r="S243"/>
      <c r="T243"/>
      <c r="U243"/>
      <c r="V243"/>
      <c r="W243"/>
      <c r="X243"/>
      <c r="Y243"/>
      <c r="Z243"/>
      <c r="AA243"/>
      <c r="AB243"/>
      <c r="AC243" s="609"/>
      <c r="AD243"/>
    </row>
    <row r="244" spans="18:30" s="44" customFormat="1">
      <c r="R244"/>
      <c r="S244"/>
      <c r="T244"/>
      <c r="U244"/>
      <c r="V244"/>
      <c r="W244"/>
      <c r="X244"/>
      <c r="Y244"/>
      <c r="Z244"/>
      <c r="AA244"/>
      <c r="AB244"/>
      <c r="AC244" s="609"/>
      <c r="AD244"/>
    </row>
    <row r="245" spans="18:30" s="44" customFormat="1">
      <c r="R245"/>
      <c r="S245"/>
      <c r="T245"/>
      <c r="U245"/>
      <c r="V245"/>
      <c r="W245"/>
      <c r="X245"/>
      <c r="Y245"/>
      <c r="Z245"/>
      <c r="AA245"/>
      <c r="AB245"/>
      <c r="AC245" s="609"/>
      <c r="AD245"/>
    </row>
    <row r="246" spans="18:30" s="44" customFormat="1">
      <c r="R246"/>
      <c r="S246"/>
      <c r="T246"/>
      <c r="U246"/>
      <c r="V246"/>
      <c r="W246"/>
      <c r="X246"/>
      <c r="Y246"/>
      <c r="Z246"/>
      <c r="AA246"/>
      <c r="AB246"/>
      <c r="AC246" s="609"/>
      <c r="AD246"/>
    </row>
    <row r="247" spans="18:30" s="44" customFormat="1">
      <c r="R247"/>
      <c r="S247"/>
      <c r="T247"/>
      <c r="U247"/>
      <c r="V247"/>
      <c r="W247"/>
      <c r="X247"/>
      <c r="Y247"/>
      <c r="Z247"/>
      <c r="AA247"/>
      <c r="AB247"/>
      <c r="AC247" s="609"/>
      <c r="AD247"/>
    </row>
    <row r="248" spans="18:30" s="44" customFormat="1">
      <c r="R248"/>
      <c r="S248"/>
      <c r="T248"/>
      <c r="U248"/>
      <c r="V248"/>
      <c r="W248"/>
      <c r="X248"/>
      <c r="Y248"/>
      <c r="Z248"/>
      <c r="AA248"/>
      <c r="AB248"/>
      <c r="AC248" s="609"/>
      <c r="AD248"/>
    </row>
    <row r="249" spans="18:30" s="44" customFormat="1">
      <c r="R249"/>
      <c r="S249"/>
      <c r="T249"/>
      <c r="U249"/>
      <c r="V249"/>
      <c r="W249"/>
      <c r="X249"/>
      <c r="Y249"/>
      <c r="Z249"/>
      <c r="AA249"/>
      <c r="AB249"/>
      <c r="AC249" s="609"/>
      <c r="AD249"/>
    </row>
    <row r="250" spans="18:30" s="44" customFormat="1">
      <c r="R250"/>
      <c r="S250"/>
      <c r="T250"/>
      <c r="U250"/>
      <c r="V250"/>
      <c r="W250"/>
      <c r="X250"/>
      <c r="Y250"/>
      <c r="Z250"/>
      <c r="AA250"/>
      <c r="AB250"/>
      <c r="AC250" s="609"/>
      <c r="AD250"/>
    </row>
    <row r="258" spans="18:30" s="44" customFormat="1">
      <c r="R258"/>
      <c r="S258"/>
      <c r="T258"/>
      <c r="U258"/>
      <c r="V258"/>
      <c r="W258"/>
      <c r="X258"/>
      <c r="Y258"/>
      <c r="Z258"/>
      <c r="AA258"/>
      <c r="AB258"/>
      <c r="AC258" s="609"/>
      <c r="AD258"/>
    </row>
    <row r="259" spans="18:30" s="44" customFormat="1">
      <c r="R259"/>
      <c r="S259"/>
      <c r="T259"/>
      <c r="U259"/>
      <c r="V259"/>
      <c r="W259"/>
      <c r="X259"/>
      <c r="Y259"/>
      <c r="Z259"/>
      <c r="AA259"/>
      <c r="AB259"/>
      <c r="AC259" s="609"/>
      <c r="AD259"/>
    </row>
    <row r="260" spans="18:30" s="44" customFormat="1">
      <c r="R260"/>
      <c r="S260"/>
      <c r="T260"/>
      <c r="U260"/>
      <c r="V260"/>
      <c r="W260"/>
      <c r="X260"/>
      <c r="Y260"/>
      <c r="Z260"/>
      <c r="AA260"/>
      <c r="AB260"/>
      <c r="AC260" s="609"/>
      <c r="AD260"/>
    </row>
    <row r="261" spans="18:30" s="44" customFormat="1">
      <c r="R261"/>
      <c r="S261"/>
      <c r="T261"/>
      <c r="U261"/>
      <c r="V261"/>
      <c r="W261"/>
      <c r="X261"/>
      <c r="Y261"/>
      <c r="Z261"/>
      <c r="AA261"/>
      <c r="AB261"/>
      <c r="AC261" s="609"/>
      <c r="AD261"/>
    </row>
    <row r="262" spans="18:30" s="44" customFormat="1">
      <c r="R262"/>
      <c r="S262"/>
      <c r="T262"/>
      <c r="U262"/>
      <c r="V262"/>
      <c r="W262"/>
      <c r="X262"/>
      <c r="Y262"/>
      <c r="Z262"/>
      <c r="AA262"/>
      <c r="AB262"/>
      <c r="AC262" s="609"/>
      <c r="AD262"/>
    </row>
    <row r="263" spans="18:30" s="44" customFormat="1">
      <c r="R263"/>
      <c r="S263"/>
      <c r="T263"/>
      <c r="U263"/>
      <c r="V263"/>
      <c r="W263"/>
      <c r="X263"/>
      <c r="Y263"/>
      <c r="Z263"/>
      <c r="AA263"/>
      <c r="AB263"/>
      <c r="AC263" s="609"/>
      <c r="AD263"/>
    </row>
    <row r="264" spans="18:30" s="44" customFormat="1">
      <c r="R264"/>
      <c r="S264"/>
      <c r="T264"/>
      <c r="U264"/>
      <c r="V264"/>
      <c r="W264"/>
      <c r="X264"/>
      <c r="Y264"/>
      <c r="Z264"/>
      <c r="AA264"/>
      <c r="AB264"/>
      <c r="AC264" s="609"/>
      <c r="AD264"/>
    </row>
    <row r="265" spans="18:30" s="44" customFormat="1">
      <c r="R265"/>
      <c r="S265"/>
      <c r="T265"/>
      <c r="U265"/>
      <c r="V265"/>
      <c r="W265"/>
      <c r="X265"/>
      <c r="Y265"/>
      <c r="Z265"/>
      <c r="AA265"/>
      <c r="AB265"/>
      <c r="AC265" s="609"/>
      <c r="AD265"/>
    </row>
  </sheetData>
  <protectedRanges>
    <protectedRange algorithmName="SHA-512" hashValue="24Yg3M703G5L8OyJWxlkx8c1Gwfrkael5W/l3TUk/Rcz5tR8QOgCx5v0Ebb/UGz+9BDKPJ5wV4hH8uuxvmtGIw==" saltValue="ZSJQ8EEnwGxsiYzxIw6K0Q==" spinCount="100000" sqref="N7:N8 A23:D29 N17:N18 O7:P9 B7:M9 B17:D18 E17:M19 O17:P19 E20:P32 E39:P198 E33:E38 M33:P3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198" name="Range2_5_2_2_2_2_2_2_2_2_2_2_2_2_2_2_2"/>
    <protectedRange algorithmName="SHA-512" hashValue="24Yg3M703G5L8OyJWxlkx8c1Gwfrkael5W/l3TUk/Rcz5tR8QOgCx5v0Ebb/UGz+9BDKPJ5wV4hH8uuxvmtGIw==" saltValue="ZSJQ8EEnwGxsiYzxIw6K0Q==" spinCount="100000" sqref="B30:D198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_3_3_2_3"/>
    <protectedRange algorithmName="SHA-512" hashValue="24Yg3M703G5L8OyJWxlkx8c1Gwfrkael5W/l3TUk/Rcz5tR8QOgCx5v0Ebb/UGz+9BDKPJ5wV4hH8uuxvmtGIw==" saltValue="ZSJQ8EEnwGxsiYzxIw6K0Q==" spinCount="100000" sqref="B19:D21" name="Range1_65_32_2_2_2_2_2_2_3_3_2_2_3_3_3_5_2_3_3_2_3"/>
    <protectedRange algorithmName="SHA-512" hashValue="24Yg3M703G5L8OyJWxlkx8c1Gwfrkael5W/l3TUk/Rcz5tR8QOgCx5v0Ebb/UGz+9BDKPJ5wV4hH8uuxvmtGIw==" saltValue="ZSJQ8EEnwGxsiYzxIw6K0Q==" spinCount="100000" sqref="B16:P16" name="Range1_65_32_32_30_30_30_30_30_30_30_30_30_30_30_30_30_30_30_30_30_30_30_30_30_30_30_30_30_30_1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_24_25"/>
    <protectedRange algorithmName="SHA-512" hashValue="24Yg3M703G5L8OyJWxlkx8c1Gwfrkael5W/l3TUk/Rcz5tR8QOgCx5v0Ebb/UGz+9BDKPJ5wV4hH8uuxvmtGIw==" saltValue="ZSJQ8EEnwGxsiYzxIw6K0Q==" spinCount="100000" sqref="B6:P6 E4:E5" name="Range1_65_32_32_30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_3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_5"/>
    <protectedRange algorithmName="SHA-512" hashValue="24Yg3M703G5L8OyJWxlkx8c1Gwfrkael5W/l3TUk/Rcz5tR8QOgCx5v0Ebb/UGz+9BDKPJ5wV4hH8uuxvmtGIw==" saltValue="ZSJQ8EEnwGxsiYzxIw6K0Q==" spinCount="100000" sqref="F33:G33 F34:H38 I33:L38" name="Range1_65_32_32_30_30_30_30_30_30_30_30_30_30_30_30_30_30_30_30_30_30_30_30_30_30_30_30_30_30_3"/>
  </protectedRanges>
  <mergeCells count="23">
    <mergeCell ref="F1:H1"/>
    <mergeCell ref="J1:L1"/>
    <mergeCell ref="N1:P2"/>
    <mergeCell ref="F2:H2"/>
    <mergeCell ref="J2:L2"/>
    <mergeCell ref="F33:L38"/>
    <mergeCell ref="F8:H8"/>
    <mergeCell ref="J8:L8"/>
    <mergeCell ref="N8:P9"/>
    <mergeCell ref="F9:H9"/>
    <mergeCell ref="J9:L9"/>
    <mergeCell ref="F10:H10"/>
    <mergeCell ref="J10:L10"/>
    <mergeCell ref="N10:P10"/>
    <mergeCell ref="A19:A20"/>
    <mergeCell ref="B19:D19"/>
    <mergeCell ref="N3:P3"/>
    <mergeCell ref="J3:L3"/>
    <mergeCell ref="F3:H3"/>
    <mergeCell ref="B3:D3"/>
    <mergeCell ref="A3:A4"/>
    <mergeCell ref="A10:A11"/>
    <mergeCell ref="B10:D10"/>
  </mergeCells>
  <conditionalFormatting sqref="S87 S59:S61 S2:S57">
    <cfRule type="duplicateValues" dxfId="17" priority="2"/>
  </conditionalFormatting>
  <conditionalFormatting sqref="S104:S105 S62:S63 S88:S99 S1 S65:S86 S108:S1048576">
    <cfRule type="duplicateValues" dxfId="16" priority="50"/>
  </conditionalFormatting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AA856-D29B-4060-BB75-DA06BCD005D4}">
  <dimension ref="A1:AG213"/>
  <sheetViews>
    <sheetView showGridLines="0" topLeftCell="A19" zoomScale="55" zoomScaleNormal="55" workbookViewId="0">
      <selection activeCell="B9" sqref="B9"/>
    </sheetView>
  </sheetViews>
  <sheetFormatPr defaultRowHeight="14.4"/>
  <cols>
    <col min="1" max="1" width="43" bestFit="1" customWidth="1"/>
    <col min="2" max="4" width="11.109375" customWidth="1"/>
    <col min="5" max="5" width="10.6640625" customWidth="1"/>
    <col min="6" max="8" width="16" customWidth="1"/>
    <col min="9" max="9" width="9" customWidth="1"/>
    <col min="10" max="12" width="20.44140625" customWidth="1"/>
    <col min="13" max="13" width="8.5546875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727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723</v>
      </c>
      <c r="B2" s="733"/>
      <c r="C2" s="733"/>
      <c r="D2" s="733"/>
      <c r="E2" s="735"/>
      <c r="F2" s="1525" t="s">
        <v>724</v>
      </c>
      <c r="G2" s="1525"/>
      <c r="H2" s="1525"/>
      <c r="I2" s="742"/>
      <c r="J2" s="1525" t="s">
        <v>725</v>
      </c>
      <c r="K2" s="1525"/>
      <c r="L2" s="1525"/>
      <c r="M2" s="735"/>
      <c r="N2" s="1526"/>
      <c r="O2" s="1526"/>
      <c r="P2" s="1526"/>
      <c r="R2" s="1189" t="s">
        <v>691</v>
      </c>
      <c r="S2" s="1293">
        <v>3331567952</v>
      </c>
      <c r="T2" s="1217" t="s">
        <v>424</v>
      </c>
      <c r="U2" s="1190">
        <v>24142464</v>
      </c>
      <c r="V2" s="1190" t="s">
        <v>429</v>
      </c>
      <c r="W2" s="1190" t="s">
        <v>362</v>
      </c>
      <c r="X2" s="1295">
        <v>24968.92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174" t="s">
        <v>718</v>
      </c>
      <c r="S3" s="105">
        <v>3331568788</v>
      </c>
      <c r="T3" s="105" t="s">
        <v>351</v>
      </c>
      <c r="U3" s="105">
        <v>24142619</v>
      </c>
      <c r="V3" s="1202" t="s">
        <v>354</v>
      </c>
      <c r="W3" s="1202" t="s">
        <v>362</v>
      </c>
      <c r="X3" s="209">
        <v>24595.005000000001</v>
      </c>
      <c r="Y3" s="105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26" t="s">
        <v>718</v>
      </c>
      <c r="S4" s="81">
        <v>3331568791</v>
      </c>
      <c r="T4" s="81" t="s">
        <v>351</v>
      </c>
      <c r="U4" s="81">
        <v>24142620</v>
      </c>
      <c r="V4" s="1190" t="s">
        <v>354</v>
      </c>
      <c r="W4" s="1190" t="s">
        <v>362</v>
      </c>
      <c r="X4" s="191">
        <v>23943.398000000001</v>
      </c>
      <c r="Y4" s="81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SUMPRODUCT(--ISNUMBER(MATCH(TRIM(W1:W273), {"JABODETABEK","JAWA TENGAH","JAWA TIMUR","LUAR PULAU"}, 0)), --(AC1:AC273=""))</f>
        <v>43</v>
      </c>
      <c r="C5" s="1303" cm="1">
        <f t="array" ref="C5">SUMPRODUCT(--(LOWER(TRIM(AB1:AB299))="masuk"), --(ISNUMBER(MATCH(TRIM(W1:W299), {"JABODETABEK","JAWA TENGAH","JAWA TIMUR","LUAR PULAU"}, 0))), --(LOWER(AC1:AC299)&lt;&gt;"add"))</f>
        <v>26</v>
      </c>
      <c r="D5" s="1304">
        <f>C5+-B5</f>
        <v>-17</v>
      </c>
      <c r="E5" s="734"/>
      <c r="F5" s="1306" cm="1">
        <f t="array" ref="F5">SUMPRODUCT(--(LOWER(AC1:AC299)="add"), --(ISNUMBER(MATCH(W1:W299, {"JABODETABEK","JAWA TENGAH","JAWA TIMUR","LUAR PULAU"}, 0))))</f>
        <v>4</v>
      </c>
      <c r="G5" s="1303" cm="1">
        <f t="array" ref="G5">SUMPRODUCT(--(LOWER(AB1:AB299)="masuk"), --(LOWER(AC1:AC299)="add"))</f>
        <v>0</v>
      </c>
      <c r="H5" s="1304">
        <f>G5+-F5</f>
        <v>-4</v>
      </c>
      <c r="I5" s="734"/>
      <c r="J5" s="1306" cm="1">
        <f t="array" ref="J5">SUMPRODUCT(--(ISNUMBER(SEARCH("next day",LOWER(W1:W299)))+ISNUMBER(SEARCH("nextday",LOWER(W1:W299)))&gt; 0))</f>
        <v>33</v>
      </c>
      <c r="K5" s="1303" cm="1">
        <f t="array" ref="K5">SUMPRODUCT(--(LOWER(AB1:AB299)="masuk"), --ISNUMBER(SEARCH("next day", LOWER(W1:W299))))</f>
        <v>2</v>
      </c>
      <c r="L5" s="1304">
        <f>K5+-J5</f>
        <v>-31</v>
      </c>
      <c r="M5" s="734"/>
      <c r="N5" s="1306">
        <f>B5+F5+J5</f>
        <v>80</v>
      </c>
      <c r="O5" s="1303">
        <f>C5+G5+K5</f>
        <v>28</v>
      </c>
      <c r="P5" s="1304">
        <f>D5+H5+L5</f>
        <v>-52</v>
      </c>
      <c r="R5" s="105" t="s">
        <v>718</v>
      </c>
      <c r="S5" s="105">
        <v>3331568793</v>
      </c>
      <c r="T5" s="105" t="s">
        <v>351</v>
      </c>
      <c r="U5" s="105">
        <v>24142621</v>
      </c>
      <c r="V5" s="1202" t="s">
        <v>354</v>
      </c>
      <c r="W5" s="1202" t="s">
        <v>362</v>
      </c>
      <c r="X5" s="401">
        <v>25225.45</v>
      </c>
      <c r="Y5" s="105" t="s">
        <v>426</v>
      </c>
      <c r="Z5" s="1369">
        <v>1</v>
      </c>
      <c r="AA5" s="1369">
        <v>1</v>
      </c>
      <c r="AB5" s="1369" t="s">
        <v>204</v>
      </c>
      <c r="AC5" s="81"/>
      <c r="AD5" s="81"/>
      <c r="AE5" s="44"/>
      <c r="AF5" s="44"/>
      <c r="AG5" s="44"/>
    </row>
    <row r="6" spans="1:33" ht="17.399999999999999">
      <c r="A6" s="733"/>
      <c r="B6" s="733">
        <f>SUM(B5)</f>
        <v>43</v>
      </c>
      <c r="C6" s="733">
        <f>SUM(C5)</f>
        <v>26</v>
      </c>
      <c r="D6" s="739">
        <f>SUM(D5)</f>
        <v>-17</v>
      </c>
      <c r="E6" s="734"/>
      <c r="F6" s="733">
        <f>SUM(F5)</f>
        <v>4</v>
      </c>
      <c r="G6" s="733">
        <f>SUM(G5)</f>
        <v>0</v>
      </c>
      <c r="H6" s="739">
        <f>SUM(H5)</f>
        <v>-4</v>
      </c>
      <c r="I6" s="733"/>
      <c r="J6" s="733">
        <f>SUM(J5)</f>
        <v>33</v>
      </c>
      <c r="K6" s="733">
        <f>SUM(K5)</f>
        <v>2</v>
      </c>
      <c r="L6" s="739">
        <f>SUM(L5)</f>
        <v>-31</v>
      </c>
      <c r="M6" s="733"/>
      <c r="N6" s="760">
        <f>SUM(N5:N5)</f>
        <v>80</v>
      </c>
      <c r="O6" s="760">
        <f>SUM(O5:O5)</f>
        <v>28</v>
      </c>
      <c r="P6" s="761">
        <f>SUM(P5:P5)</f>
        <v>-52</v>
      </c>
      <c r="R6" s="81" t="s">
        <v>691</v>
      </c>
      <c r="S6" s="81">
        <v>3331568799</v>
      </c>
      <c r="T6" s="81" t="s">
        <v>351</v>
      </c>
      <c r="U6" s="81">
        <v>24142622</v>
      </c>
      <c r="V6" s="1190" t="s">
        <v>354</v>
      </c>
      <c r="W6" s="1190" t="s">
        <v>362</v>
      </c>
      <c r="X6" s="384">
        <f>8945.352+12990.3+1161.176</f>
        <v>23096.828000000001</v>
      </c>
      <c r="Y6" s="81" t="s">
        <v>426</v>
      </c>
      <c r="Z6" s="1361">
        <v>1</v>
      </c>
      <c r="AA6" s="1361">
        <v>1</v>
      </c>
      <c r="AB6" s="1361" t="s">
        <v>207</v>
      </c>
      <c r="AC6" s="8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Q7">
        <f>52+28</f>
        <v>80</v>
      </c>
      <c r="R7" s="1326" t="s">
        <v>718</v>
      </c>
      <c r="S7" s="81">
        <v>3331568800</v>
      </c>
      <c r="T7" s="81" t="s">
        <v>256</v>
      </c>
      <c r="U7" s="81" t="s">
        <v>256</v>
      </c>
      <c r="V7" s="1190" t="s">
        <v>256</v>
      </c>
      <c r="W7" s="81" t="s">
        <v>256</v>
      </c>
      <c r="X7" s="191" t="s">
        <v>256</v>
      </c>
      <c r="Y7" s="81" t="s">
        <v>256</v>
      </c>
      <c r="Z7" s="81" t="s">
        <v>256</v>
      </c>
      <c r="AA7" s="81" t="s">
        <v>256</v>
      </c>
      <c r="AB7" s="81" t="s">
        <v>256</v>
      </c>
      <c r="AC7" s="240"/>
      <c r="AD7" s="81"/>
      <c r="AE7" s="44"/>
      <c r="AF7" s="44"/>
      <c r="AG7" s="44"/>
    </row>
    <row r="8" spans="1:33" ht="17.399999999999999">
      <c r="A8" s="763" t="str">
        <f>A1</f>
        <v>Plan Delivery 11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26" t="s">
        <v>718</v>
      </c>
      <c r="S8" s="81">
        <v>3331568801</v>
      </c>
      <c r="T8" s="81" t="s">
        <v>256</v>
      </c>
      <c r="U8" s="81" t="s">
        <v>256</v>
      </c>
      <c r="V8" s="1190" t="s">
        <v>256</v>
      </c>
      <c r="W8" s="81" t="s">
        <v>256</v>
      </c>
      <c r="X8" s="191" t="s">
        <v>256</v>
      </c>
      <c r="Y8" s="81" t="s">
        <v>256</v>
      </c>
      <c r="Z8" s="81" t="s">
        <v>256</v>
      </c>
      <c r="AA8" s="81" t="s">
        <v>256</v>
      </c>
      <c r="AB8" s="81" t="s">
        <v>256</v>
      </c>
      <c r="AC8" s="240"/>
      <c r="AD8" s="81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5" t="str">
        <f>F2</f>
        <v>Tgl 11 Nov’25 diatas jam 15.00</v>
      </c>
      <c r="G9" s="1525"/>
      <c r="H9" s="1525"/>
      <c r="I9" s="826"/>
      <c r="J9" s="1525" t="str">
        <f>J2</f>
        <v>Tgl 11 Nov’25</v>
      </c>
      <c r="K9" s="1525"/>
      <c r="L9" s="1525"/>
      <c r="M9" s="734"/>
      <c r="N9" s="1526"/>
      <c r="O9" s="1526"/>
      <c r="P9" s="1526"/>
      <c r="R9" s="1326" t="s">
        <v>691</v>
      </c>
      <c r="S9" s="81">
        <v>3331569861</v>
      </c>
      <c r="T9" s="81" t="s">
        <v>351</v>
      </c>
      <c r="U9" s="81">
        <v>24142762</v>
      </c>
      <c r="V9" s="1190" t="s">
        <v>354</v>
      </c>
      <c r="W9" s="1224" t="s">
        <v>703</v>
      </c>
      <c r="X9" s="191">
        <v>23988.754000000001</v>
      </c>
      <c r="Y9" s="81" t="s">
        <v>426</v>
      </c>
      <c r="Z9" s="1361">
        <v>1</v>
      </c>
      <c r="AA9" s="1361">
        <v>1</v>
      </c>
      <c r="AB9" s="1361" t="s">
        <v>207</v>
      </c>
      <c r="AC9" s="240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190" t="s">
        <v>694</v>
      </c>
      <c r="S10" s="1224">
        <v>3331569670</v>
      </c>
      <c r="T10" s="1279" t="s">
        <v>424</v>
      </c>
      <c r="U10" s="1224">
        <v>24142711</v>
      </c>
      <c r="V10" s="1224" t="s">
        <v>429</v>
      </c>
      <c r="W10" s="1224" t="s">
        <v>703</v>
      </c>
      <c r="X10" s="1225">
        <v>24771.743999999999</v>
      </c>
      <c r="Y10" s="81" t="s">
        <v>426</v>
      </c>
      <c r="Z10" s="1362">
        <v>1</v>
      </c>
      <c r="AA10" s="1362">
        <v>1</v>
      </c>
      <c r="AB10" s="1362" t="s">
        <v>207</v>
      </c>
      <c r="AC10" s="1217"/>
      <c r="AD10" s="1326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694</v>
      </c>
      <c r="S11" s="1224">
        <v>3331569672</v>
      </c>
      <c r="T11" s="1279" t="s">
        <v>424</v>
      </c>
      <c r="U11" s="1224">
        <v>24142712</v>
      </c>
      <c r="V11" s="1224" t="s">
        <v>429</v>
      </c>
      <c r="W11" s="1224" t="s">
        <v>703</v>
      </c>
      <c r="X11" s="1225">
        <v>23524.556</v>
      </c>
      <c r="Y11" s="81" t="s">
        <v>426</v>
      </c>
      <c r="Z11" s="1362">
        <v>1</v>
      </c>
      <c r="AA11" s="1362">
        <v>1</v>
      </c>
      <c r="AB11" s="1362" t="s">
        <v>207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SUMPRODUCT(--(TRIM(LOWER(W1:W299))="jabodetabek"), --(LOWER(AC1:AC299)&lt;&gt;"add"))</f>
        <v>21</v>
      </c>
      <c r="C12" s="748" cm="1">
        <f t="array" ref="C12">SUMPRODUCT(--(LOWER(AB1:AB299)="masuk"), --(TRIM(LOWER(W1:W299))="jabodetabek"), --(LOWER(AC1:AC299)&lt;&gt;"add"))</f>
        <v>17</v>
      </c>
      <c r="D12" s="973">
        <f>C12+-B12</f>
        <v>-4</v>
      </c>
      <c r="E12" s="734"/>
      <c r="F12" s="748" cm="1">
        <f t="array" ref="F12">SUMPRODUCT(--(LOWER(AC1:AC299)="add"), --(TRIM(LOWER(W1:W299))="jabodetabek"))</f>
        <v>2</v>
      </c>
      <c r="G12" s="747" cm="1">
        <f t="array" ref="G12">SUMPRODUCT(--(LOWER(AB1:AB299)="masuk"), --(LOWER(AC1:AC299)="add"), --(TRIM(LOWER(W1:W299))="jabodetabek"))</f>
        <v>0</v>
      </c>
      <c r="H12" s="740">
        <f>G12+-F12</f>
        <v>-2</v>
      </c>
      <c r="I12" s="734"/>
      <c r="J12" s="748" cm="1">
        <f t="array" ref="J12">SUMPRODUCT(--(ISNUMBER(SEARCH("jabodetabek next day",LOWER(W1:W299)))+ISNUMBER(SEARCH("jabodetabek nextday",LOWER(W1:W299)))&gt; 0))</f>
        <v>4</v>
      </c>
      <c r="K12" s="747" cm="1">
        <f t="array" ref="K12">SUMPRODUCT(--(LOWER(AB1:AB299)="masuk"), --(LOWER(TRIM(W1:W299))="jabodetabek next day"))</f>
        <v>2</v>
      </c>
      <c r="L12" s="740">
        <f>K12+-J12</f>
        <v>-2</v>
      </c>
      <c r="M12" s="734"/>
      <c r="N12" s="748">
        <f t="shared" ref="N12:P16" si="0">B12+F12+J12</f>
        <v>27</v>
      </c>
      <c r="O12" s="747">
        <f t="shared" si="0"/>
        <v>19</v>
      </c>
      <c r="P12" s="740">
        <f t="shared" si="0"/>
        <v>-8</v>
      </c>
      <c r="R12" s="1189" t="s">
        <v>694</v>
      </c>
      <c r="S12" s="1224">
        <v>3331569677</v>
      </c>
      <c r="T12" s="1279" t="s">
        <v>424</v>
      </c>
      <c r="U12" s="1224">
        <v>24142713</v>
      </c>
      <c r="V12" s="1224" t="s">
        <v>429</v>
      </c>
      <c r="W12" s="1224" t="s">
        <v>703</v>
      </c>
      <c r="X12" s="1225">
        <f>1881.22+22354.075</f>
        <v>24235.295000000002</v>
      </c>
      <c r="Y12" s="81" t="s">
        <v>426</v>
      </c>
      <c r="Z12" s="1362">
        <v>1</v>
      </c>
      <c r="AA12" s="1362">
        <v>1</v>
      </c>
      <c r="AB12" s="1362" t="s">
        <v>207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SUMPRODUCT(--(TRIM(LOWER(W1:W299))="jawa tengah"), --(LOWER(AC1:AC299)&lt;&gt;"add"))</f>
        <v>12</v>
      </c>
      <c r="C13" s="750" cm="1">
        <f t="array" ref="C13">SUMPRODUCT(--(LOWER(AB1:AB299)="masuk"), --(TRIM(LOWER(W1:W299))="jawa tengah"), --(LOWER(AC1:AC299)&lt;&gt;"add"))</f>
        <v>5</v>
      </c>
      <c r="D13" s="846">
        <f>C13+-B13</f>
        <v>-7</v>
      </c>
      <c r="E13" s="734"/>
      <c r="F13" s="751" cm="1">
        <f t="array" ref="F13">SUMPRODUCT(--(LOWER(AC1:AC299)="add"), --(TRIM(LOWER(W1:W299))="jawa tengah"))</f>
        <v>0</v>
      </c>
      <c r="G13" s="747" cm="1">
        <f t="array" ref="G13">SUMPRODUCT(--(LOWER(AB1:AB299)="masuk"), --(LOWER(AC1:AC299)="add"), --(TRIM(LOWER(W1:W299))="jawa tengah"))</f>
        <v>0</v>
      </c>
      <c r="H13" s="740">
        <f>G13+-F13</f>
        <v>0</v>
      </c>
      <c r="I13" s="734"/>
      <c r="J13" s="748" cm="1">
        <f t="array" ref="J13">SUMPRODUCT(--((LOWER(TRIM(W1:W299))="jawa tengah next day")+(LOWER(TRIM(W1:W299))="jawa tengah nextday")))</f>
        <v>11</v>
      </c>
      <c r="K13" s="747" cm="1">
        <f t="array" ref="K13">SUMPRODUCT(--(LOWER(AB1:AB299)="masuk"), --(LOWER(TRIM(W1:W299))="jawa tengah next day"))</f>
        <v>0</v>
      </c>
      <c r="L13" s="740">
        <f>K13+-J13</f>
        <v>-11</v>
      </c>
      <c r="M13" s="734"/>
      <c r="N13" s="748">
        <f t="shared" si="0"/>
        <v>23</v>
      </c>
      <c r="O13" s="747">
        <f t="shared" si="0"/>
        <v>5</v>
      </c>
      <c r="P13" s="740">
        <f t="shared" si="0"/>
        <v>-18</v>
      </c>
      <c r="R13" s="1189" t="s">
        <v>694</v>
      </c>
      <c r="S13" s="1224">
        <v>3331569678</v>
      </c>
      <c r="T13" s="1279" t="s">
        <v>256</v>
      </c>
      <c r="U13" s="1224" t="s">
        <v>256</v>
      </c>
      <c r="V13" s="1224" t="s">
        <v>256</v>
      </c>
      <c r="W13" s="1224" t="s">
        <v>256</v>
      </c>
      <c r="X13" s="1225" t="s">
        <v>256</v>
      </c>
      <c r="Y13" s="81" t="s">
        <v>256</v>
      </c>
      <c r="Z13" s="1362" t="s">
        <v>256</v>
      </c>
      <c r="AA13" s="1362" t="s">
        <v>256</v>
      </c>
      <c r="AB13" s="1362" t="s">
        <v>256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SUMPRODUCT(--(TRIM(LOWER(W1:W299))="jawa timur"), --(LOWER(AC1:AC299)&lt;&gt;"add"))</f>
        <v>4</v>
      </c>
      <c r="C14" s="750" cm="1">
        <f t="array" ref="C14">SUMPRODUCT(--(LOWER(AB1:AB299)="masuk"), --(TRIM(LOWER(W1:W299))="jawa timur"), --(LOWER(AC1:AC299)&lt;&gt;"add"))</f>
        <v>1</v>
      </c>
      <c r="D14" s="846">
        <f>C14+-B14</f>
        <v>-3</v>
      </c>
      <c r="E14" s="734"/>
      <c r="F14" s="750" cm="1">
        <f t="array" ref="F14">SUMPRODUCT(--(LOWER(AC1:AC299)="add"), --(TRIM(LOWER(W1:W299))="jawa timur"))</f>
        <v>2</v>
      </c>
      <c r="G14" s="747" cm="1">
        <f t="array" ref="G14">SUMPRODUCT(--(LOWER(AB1:AB299)="masuk"), --(LOWER(AC1:AC299)="add"), --(TRIM(LOWER(W1:W299))="jawa timur"))</f>
        <v>0</v>
      </c>
      <c r="H14" s="740">
        <f>G14+-F14</f>
        <v>-2</v>
      </c>
      <c r="I14" s="734"/>
      <c r="J14" s="748" cm="1">
        <f t="array" ref="J14">SUMPRODUCT(--((LOWER(TRIM(W1:W299))="jawa timur next day")+(LOWER(TRIM(W1:W299))="jawa timur nextday")))</f>
        <v>0</v>
      </c>
      <c r="K14" s="747" cm="1">
        <f t="array" ref="K14">SUMPRODUCT(--(LOWER(AB1:AB299)="masuk"), --(LOWER(TRIM(W1:W299))="jawa timur next day"))</f>
        <v>0</v>
      </c>
      <c r="L14" s="740">
        <f>K14+-J14</f>
        <v>0</v>
      </c>
      <c r="M14" s="734"/>
      <c r="N14" s="748">
        <f t="shared" si="0"/>
        <v>6</v>
      </c>
      <c r="O14" s="747">
        <f t="shared" si="0"/>
        <v>1</v>
      </c>
      <c r="P14" s="740">
        <f t="shared" si="0"/>
        <v>-5</v>
      </c>
      <c r="R14" s="1189" t="s">
        <v>692</v>
      </c>
      <c r="S14" s="1224">
        <v>3331569781</v>
      </c>
      <c r="T14" s="1279" t="s">
        <v>424</v>
      </c>
      <c r="U14" s="1224">
        <v>24142735</v>
      </c>
      <c r="V14" s="1224" t="s">
        <v>429</v>
      </c>
      <c r="W14" s="1224" t="s">
        <v>703</v>
      </c>
      <c r="X14" s="1225">
        <v>24205.732</v>
      </c>
      <c r="Y14" s="81" t="s">
        <v>426</v>
      </c>
      <c r="Z14" s="1362">
        <v>1</v>
      </c>
      <c r="AA14" s="1362">
        <v>1</v>
      </c>
      <c r="AB14" s="1362" t="s">
        <v>207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SUMPRODUCT(--(TRIM(LOWER(W1:W299))="luar pulau"), --(LOWER(AC1:AC299)&lt;&gt;"add"))</f>
        <v>6</v>
      </c>
      <c r="C15" s="750" cm="1">
        <f t="array" ref="C15">SUMPRODUCT(--(LOWER(AB1:AB299)="masuk"), --(TRIM(LOWER(W1:W299))="luar pulau"), --(LOWER(AC1:AC299)&lt;&gt;"add"))</f>
        <v>3</v>
      </c>
      <c r="D15" s="846">
        <f>C15+-B15</f>
        <v>-3</v>
      </c>
      <c r="E15" s="734"/>
      <c r="F15" s="748" cm="1">
        <f t="array" ref="F15">SUMPRODUCT(--(LOWER(AC1:AC299)="add"), --(TRIM(LOWER(W1:W299))="luar pulau"))</f>
        <v>0</v>
      </c>
      <c r="G15" s="747" cm="1">
        <f t="array" ref="G15">SUMPRODUCT(--(LOWER(AB1:AB299)="masuk"), --(LOWER(AC1:AC299)="add"), --(TRIM(LOWER(W1:W299))="luar pulau"))</f>
        <v>0</v>
      </c>
      <c r="H15" s="740">
        <f>G15+-F15</f>
        <v>0</v>
      </c>
      <c r="I15" s="734"/>
      <c r="J15" s="748" cm="1">
        <f t="array" ref="J15">SUMPRODUCT(--((LOWER(TRIM(W1:W299))="luar pulau next day")+(LOWER(TRIM(W1:W299))="luar pulau nextday")))</f>
        <v>18</v>
      </c>
      <c r="K15" s="747" cm="1">
        <f t="array" ref="K15">SUMPRODUCT(--(LOWER(AB1:AB299)="masuk"), --(LOWER(TRIM(W1:W299))="luar pulau next day"))</f>
        <v>0</v>
      </c>
      <c r="L15" s="740">
        <f>K15+-J15</f>
        <v>-18</v>
      </c>
      <c r="M15" s="734"/>
      <c r="N15" s="748">
        <f t="shared" si="0"/>
        <v>24</v>
      </c>
      <c r="O15" s="747">
        <f t="shared" si="0"/>
        <v>3</v>
      </c>
      <c r="P15" s="740">
        <f t="shared" si="0"/>
        <v>-21</v>
      </c>
      <c r="R15" s="1189" t="s">
        <v>691</v>
      </c>
      <c r="S15" s="1224">
        <v>3331569785</v>
      </c>
      <c r="T15" s="1279" t="s">
        <v>424</v>
      </c>
      <c r="U15" s="1224">
        <v>24142736</v>
      </c>
      <c r="V15" s="1224" t="s">
        <v>429</v>
      </c>
      <c r="W15" s="1224" t="s">
        <v>703</v>
      </c>
      <c r="X15" s="1225">
        <v>24508.366000000002</v>
      </c>
      <c r="Y15" s="81" t="s">
        <v>426</v>
      </c>
      <c r="Z15" s="1362">
        <v>1</v>
      </c>
      <c r="AA15" s="1362">
        <v>1</v>
      </c>
      <c r="AB15" s="1362" t="s">
        <v>207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43</v>
      </c>
      <c r="C16" s="733">
        <f>SUM(C12:C15)</f>
        <v>26</v>
      </c>
      <c r="D16" s="739">
        <f>SUM(D12:D15)</f>
        <v>-17</v>
      </c>
      <c r="E16" s="734"/>
      <c r="F16" s="733">
        <f>SUM(F12:F15)</f>
        <v>4</v>
      </c>
      <c r="G16" s="733">
        <f>SUM(G12:G15)</f>
        <v>0</v>
      </c>
      <c r="H16" s="739">
        <f>SUM(H12:H15)</f>
        <v>-4</v>
      </c>
      <c r="I16" s="734"/>
      <c r="J16" s="733">
        <f>SUM(J12:J15)</f>
        <v>33</v>
      </c>
      <c r="K16" s="733">
        <f>SUM(K12:K15)</f>
        <v>2</v>
      </c>
      <c r="L16" s="739">
        <f>SUM(L12:L15)</f>
        <v>-31</v>
      </c>
      <c r="M16" s="734"/>
      <c r="N16" s="760">
        <f t="shared" si="0"/>
        <v>80</v>
      </c>
      <c r="O16" s="760">
        <f t="shared" si="0"/>
        <v>28</v>
      </c>
      <c r="P16" s="761">
        <f t="shared" si="0"/>
        <v>-52</v>
      </c>
      <c r="R16" s="1189" t="s">
        <v>691</v>
      </c>
      <c r="S16" s="1224">
        <v>3331569786</v>
      </c>
      <c r="T16" s="1279" t="s">
        <v>424</v>
      </c>
      <c r="U16" s="1224">
        <v>24142737</v>
      </c>
      <c r="V16" s="1224" t="s">
        <v>429</v>
      </c>
      <c r="W16" s="1224" t="s">
        <v>703</v>
      </c>
      <c r="X16" s="1225">
        <v>25114.58</v>
      </c>
      <c r="Y16" s="81" t="s">
        <v>426</v>
      </c>
      <c r="Z16" s="1362">
        <v>1</v>
      </c>
      <c r="AA16" s="1362">
        <v>1</v>
      </c>
      <c r="AB16" s="1362" t="s">
        <v>207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691</v>
      </c>
      <c r="S17" s="1224">
        <v>3331569787</v>
      </c>
      <c r="T17" s="1279" t="s">
        <v>424</v>
      </c>
      <c r="U17" s="1224">
        <v>24142738</v>
      </c>
      <c r="V17" s="1224" t="s">
        <v>429</v>
      </c>
      <c r="W17" s="1224" t="s">
        <v>703</v>
      </c>
      <c r="X17" s="1225">
        <v>24819.072</v>
      </c>
      <c r="Y17" s="81" t="s">
        <v>426</v>
      </c>
      <c r="Z17" s="1362">
        <v>1</v>
      </c>
      <c r="AA17" s="1362">
        <v>1</v>
      </c>
      <c r="AB17" s="1362" t="s">
        <v>207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692</v>
      </c>
      <c r="S18" s="1224">
        <v>3331569793</v>
      </c>
      <c r="T18" s="1279" t="s">
        <v>424</v>
      </c>
      <c r="U18" s="1224">
        <v>24142739</v>
      </c>
      <c r="V18" s="1224" t="s">
        <v>429</v>
      </c>
      <c r="W18" s="1224" t="s">
        <v>703</v>
      </c>
      <c r="X18" s="1225">
        <v>24248.560000000001</v>
      </c>
      <c r="Y18" s="81" t="s">
        <v>426</v>
      </c>
      <c r="Z18" s="1362">
        <v>1</v>
      </c>
      <c r="AA18" s="1362">
        <v>1</v>
      </c>
      <c r="AB18" s="1362" t="s">
        <v>207</v>
      </c>
      <c r="AC18" s="1271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691</v>
      </c>
      <c r="S19" s="1224">
        <v>3331569806</v>
      </c>
      <c r="T19" s="1279" t="s">
        <v>424</v>
      </c>
      <c r="U19" s="1224">
        <v>24142747</v>
      </c>
      <c r="V19" s="1224" t="s">
        <v>693</v>
      </c>
      <c r="W19" s="1224" t="s">
        <v>703</v>
      </c>
      <c r="X19" s="1225">
        <v>24763.445</v>
      </c>
      <c r="Y19" s="81" t="s">
        <v>426</v>
      </c>
      <c r="Z19" s="1362">
        <v>1</v>
      </c>
      <c r="AA19" s="1362">
        <v>1</v>
      </c>
      <c r="AB19" s="1362" t="s">
        <v>207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691</v>
      </c>
      <c r="S20" s="1224">
        <v>3331569808</v>
      </c>
      <c r="T20" s="1279" t="s">
        <v>424</v>
      </c>
      <c r="U20" s="1224">
        <v>24142748</v>
      </c>
      <c r="V20" s="1224" t="s">
        <v>693</v>
      </c>
      <c r="W20" s="1224" t="s">
        <v>703</v>
      </c>
      <c r="X20" s="1225">
        <v>24943.77</v>
      </c>
      <c r="Y20" s="81" t="s">
        <v>426</v>
      </c>
      <c r="Z20" s="1362">
        <v>1</v>
      </c>
      <c r="AA20" s="1362">
        <v>1</v>
      </c>
      <c r="AB20" s="1362" t="s">
        <v>207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SUMPRODUCT(--((LOWER(TRIM($W$2:$W$295))="ambil sendiri")+(LOWER(TRIM($W$2:$W$295))="cokot sorangan")))</f>
        <v>2</v>
      </c>
      <c r="C21" s="969" cm="1">
        <f t="array" ref="C21">SUMPRODUCT(--(LOWER(AB6:AB325)="masuk"), --((LOWER(TRIM($W$2:$W$321))="cokot sorangan") + (LOWER(TRIM(W6:W325))="ambil sendiri")))</f>
        <v>0</v>
      </c>
      <c r="D21" s="741">
        <f>C21+-B21</f>
        <v>-2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691</v>
      </c>
      <c r="S21" s="1224">
        <v>3331569809</v>
      </c>
      <c r="T21" s="1279" t="s">
        <v>424</v>
      </c>
      <c r="U21" s="1224">
        <v>24142749</v>
      </c>
      <c r="V21" s="1224" t="s">
        <v>693</v>
      </c>
      <c r="W21" s="1224" t="s">
        <v>703</v>
      </c>
      <c r="X21" s="1225">
        <v>24427.691999999999</v>
      </c>
      <c r="Y21" s="81" t="s">
        <v>426</v>
      </c>
      <c r="Z21" s="1362">
        <v>1</v>
      </c>
      <c r="AA21" s="1362">
        <v>1</v>
      </c>
      <c r="AB21" s="1362" t="s">
        <v>207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691</v>
      </c>
      <c r="S22" s="1224">
        <v>3331569811</v>
      </c>
      <c r="T22" s="1279" t="s">
        <v>424</v>
      </c>
      <c r="U22" s="1224">
        <v>24142750</v>
      </c>
      <c r="V22" s="1224" t="s">
        <v>693</v>
      </c>
      <c r="W22" s="1224" t="s">
        <v>703</v>
      </c>
      <c r="X22" s="1225">
        <v>23902.151999999998</v>
      </c>
      <c r="Y22" s="81" t="s">
        <v>426</v>
      </c>
      <c r="Z22" s="1362">
        <v>1</v>
      </c>
      <c r="AA22" s="1362">
        <v>1</v>
      </c>
      <c r="AB22" s="1362" t="s">
        <v>207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691</v>
      </c>
      <c r="S23" s="1224">
        <v>3331569813</v>
      </c>
      <c r="T23" s="1279" t="s">
        <v>424</v>
      </c>
      <c r="U23" s="1224">
        <v>24142751</v>
      </c>
      <c r="V23" s="1224" t="s">
        <v>693</v>
      </c>
      <c r="W23" s="1224" t="s">
        <v>703</v>
      </c>
      <c r="X23" s="1225">
        <v>24898.075000000001</v>
      </c>
      <c r="Y23" s="81" t="s">
        <v>426</v>
      </c>
      <c r="Z23" s="1362">
        <v>1</v>
      </c>
      <c r="AA23" s="1362">
        <v>1</v>
      </c>
      <c r="AB23" s="1362" t="s">
        <v>207</v>
      </c>
      <c r="AC23" s="1271"/>
      <c r="AD23" s="81"/>
    </row>
    <row r="24" spans="1:30" s="44" customFormat="1" ht="17.399999999999999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692</v>
      </c>
      <c r="S24" s="1224">
        <v>3331569816</v>
      </c>
      <c r="T24" s="1279" t="s">
        <v>424</v>
      </c>
      <c r="U24" s="1224">
        <v>24142752</v>
      </c>
      <c r="V24" s="1224" t="s">
        <v>693</v>
      </c>
      <c r="W24" s="1224" t="s">
        <v>703</v>
      </c>
      <c r="X24" s="1225">
        <v>24248.560000000001</v>
      </c>
      <c r="Y24" s="81" t="s">
        <v>426</v>
      </c>
      <c r="Z24" s="1362">
        <v>1</v>
      </c>
      <c r="AA24" s="1362">
        <v>1</v>
      </c>
      <c r="AB24" s="1362" t="s">
        <v>207</v>
      </c>
      <c r="AC24" s="1271"/>
      <c r="AD24" s="81"/>
    </row>
    <row r="25" spans="1:30" s="44" customFormat="1" ht="17.399999999999999">
      <c r="A25" s="1021"/>
      <c r="B25" s="1021"/>
      <c r="C25" s="1021"/>
      <c r="D25" s="1021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694</v>
      </c>
      <c r="S25" s="1224">
        <v>3331570272</v>
      </c>
      <c r="T25" s="1279" t="s">
        <v>424</v>
      </c>
      <c r="U25" s="1224">
        <v>24142818</v>
      </c>
      <c r="V25" s="1224" t="s">
        <v>429</v>
      </c>
      <c r="W25" s="1224" t="s">
        <v>703</v>
      </c>
      <c r="X25" s="1225">
        <v>24465.87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691</v>
      </c>
      <c r="S26" s="1224">
        <v>3331570275</v>
      </c>
      <c r="T26" s="1279" t="s">
        <v>424</v>
      </c>
      <c r="U26" s="1224">
        <v>24142819</v>
      </c>
      <c r="V26" s="1224" t="s">
        <v>429</v>
      </c>
      <c r="W26" s="1224" t="s">
        <v>703</v>
      </c>
      <c r="X26" s="1225">
        <v>24415.481</v>
      </c>
      <c r="Y26" s="81" t="s">
        <v>426</v>
      </c>
      <c r="Z26" s="1362">
        <v>1</v>
      </c>
      <c r="AA26" s="1362">
        <v>1</v>
      </c>
      <c r="AB26" s="1362" t="s">
        <v>207</v>
      </c>
      <c r="AC26" s="1271"/>
      <c r="AD26" s="81"/>
    </row>
    <row r="27" spans="1:30" s="44" customFormat="1" ht="17.399999999999999">
      <c r="A27" s="1021"/>
      <c r="B27" s="1021"/>
      <c r="C27" s="1021"/>
      <c r="D27" s="1021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691</v>
      </c>
      <c r="S27" s="1224">
        <v>3331570276</v>
      </c>
      <c r="T27" s="1279" t="s">
        <v>424</v>
      </c>
      <c r="U27" s="1224">
        <v>24142820</v>
      </c>
      <c r="V27" s="1224" t="s">
        <v>429</v>
      </c>
      <c r="W27" s="1224" t="s">
        <v>703</v>
      </c>
      <c r="X27" s="1225">
        <f>8171.235+13336.708+4330.1</f>
        <v>25838.042999999998</v>
      </c>
      <c r="Y27" s="81" t="s">
        <v>426</v>
      </c>
      <c r="Z27" s="1362">
        <v>1</v>
      </c>
      <c r="AA27" s="1362">
        <v>1</v>
      </c>
      <c r="AB27" s="1362" t="s">
        <v>207</v>
      </c>
      <c r="AC27" s="1271"/>
      <c r="AD27" s="81"/>
    </row>
    <row r="28" spans="1:30" s="44" customFormat="1" ht="17.399999999999999">
      <c r="A28" s="1021"/>
      <c r="B28" s="1021"/>
      <c r="C28" s="1021"/>
      <c r="D28" s="1021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694</v>
      </c>
      <c r="S28" s="1224">
        <v>3331570277</v>
      </c>
      <c r="T28" s="1279" t="s">
        <v>256</v>
      </c>
      <c r="U28" s="1224" t="s">
        <v>256</v>
      </c>
      <c r="V28" s="1224" t="s">
        <v>256</v>
      </c>
      <c r="W28" s="1224" t="s">
        <v>256</v>
      </c>
      <c r="X28" s="1225" t="s">
        <v>256</v>
      </c>
      <c r="Y28" s="81" t="s">
        <v>256</v>
      </c>
      <c r="Z28" s="1362" t="s">
        <v>256</v>
      </c>
      <c r="AA28" s="1362" t="s">
        <v>256</v>
      </c>
      <c r="AB28" s="1362" t="s">
        <v>256</v>
      </c>
      <c r="AC28" s="1271"/>
      <c r="AD28" s="81"/>
    </row>
    <row r="29" spans="1:30" s="44" customFormat="1" ht="17.399999999999999">
      <c r="A29" s="1021"/>
      <c r="B29" s="1021"/>
      <c r="C29" s="1021"/>
      <c r="D29" s="1021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694</v>
      </c>
      <c r="S29" s="1224">
        <v>3331570278</v>
      </c>
      <c r="T29" s="1279" t="s">
        <v>256</v>
      </c>
      <c r="U29" s="1224" t="s">
        <v>256</v>
      </c>
      <c r="V29" s="1224" t="s">
        <v>256</v>
      </c>
      <c r="W29" s="1224" t="s">
        <v>256</v>
      </c>
      <c r="X29" s="1225" t="s">
        <v>256</v>
      </c>
      <c r="Y29" s="81" t="s">
        <v>256</v>
      </c>
      <c r="Z29" s="1362" t="s">
        <v>256</v>
      </c>
      <c r="AA29" s="1362" t="s">
        <v>256</v>
      </c>
      <c r="AB29" s="1362" t="s">
        <v>256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694</v>
      </c>
      <c r="S30" s="1224">
        <v>3331569818</v>
      </c>
      <c r="T30" s="1279" t="s">
        <v>459</v>
      </c>
      <c r="U30" s="1224">
        <v>24142746</v>
      </c>
      <c r="V30" s="1224" t="s">
        <v>224</v>
      </c>
      <c r="W30" s="1294" t="s">
        <v>203</v>
      </c>
      <c r="X30" s="1225">
        <v>28925.067999999999</v>
      </c>
      <c r="Y30" s="81" t="s">
        <v>426</v>
      </c>
      <c r="Z30" s="1362">
        <v>1</v>
      </c>
      <c r="AA30" s="1362">
        <v>1</v>
      </c>
      <c r="AB30" s="1362" t="s">
        <v>207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694</v>
      </c>
      <c r="S31" s="1224">
        <v>3331569834</v>
      </c>
      <c r="T31" s="1279" t="s">
        <v>459</v>
      </c>
      <c r="U31" s="1224">
        <v>24142755</v>
      </c>
      <c r="V31" s="1224" t="s">
        <v>224</v>
      </c>
      <c r="W31" s="1294" t="s">
        <v>203</v>
      </c>
      <c r="X31" s="1225">
        <v>27217.481</v>
      </c>
      <c r="Y31" s="81" t="s">
        <v>426</v>
      </c>
      <c r="Z31" s="1362">
        <v>1</v>
      </c>
      <c r="AA31" s="1362">
        <v>1</v>
      </c>
      <c r="AB31" s="1362" t="s">
        <v>207</v>
      </c>
      <c r="AC31" s="1217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89" t="s">
        <v>694</v>
      </c>
      <c r="S32" s="1224">
        <v>3331569839</v>
      </c>
      <c r="T32" s="1279" t="s">
        <v>459</v>
      </c>
      <c r="U32" s="1224">
        <v>24142756</v>
      </c>
      <c r="V32" s="1224" t="s">
        <v>224</v>
      </c>
      <c r="W32" s="1294" t="s">
        <v>203</v>
      </c>
      <c r="X32" s="1225">
        <v>29747.787</v>
      </c>
      <c r="Y32" s="81" t="s">
        <v>426</v>
      </c>
      <c r="Z32" s="1362">
        <v>1</v>
      </c>
      <c r="AA32" s="1362">
        <v>1</v>
      </c>
      <c r="AB32" s="1362" t="s">
        <v>207</v>
      </c>
      <c r="AC32" s="1271"/>
      <c r="AD32" s="81"/>
    </row>
    <row r="33" spans="1:30" s="44" customFormat="1" ht="16.5" customHeight="1">
      <c r="A33" s="1324"/>
      <c r="B33" s="1021"/>
      <c r="C33" s="1021"/>
      <c r="D33" s="1022"/>
      <c r="E33" s="1023"/>
      <c r="F33" s="1592" t="s">
        <v>697</v>
      </c>
      <c r="G33" s="1592"/>
      <c r="H33" s="1592"/>
      <c r="I33" s="1592"/>
      <c r="J33" s="1592"/>
      <c r="K33" s="1592"/>
      <c r="L33" s="1592"/>
      <c r="M33" s="1023"/>
      <c r="N33" s="1021"/>
      <c r="O33" s="1021"/>
      <c r="P33" s="1022"/>
      <c r="R33" s="1189" t="s">
        <v>694</v>
      </c>
      <c r="S33" s="1224">
        <v>3331569841</v>
      </c>
      <c r="T33" s="1279" t="s">
        <v>459</v>
      </c>
      <c r="U33" s="1224">
        <v>24142757</v>
      </c>
      <c r="V33" s="1224" t="s">
        <v>224</v>
      </c>
      <c r="W33" s="1294" t="s">
        <v>203</v>
      </c>
      <c r="X33" s="1225">
        <v>30094.195</v>
      </c>
      <c r="Y33" s="81" t="s">
        <v>426</v>
      </c>
      <c r="Z33" s="1362">
        <v>1</v>
      </c>
      <c r="AA33" s="1362">
        <v>1</v>
      </c>
      <c r="AB33" s="1362" t="s">
        <v>207</v>
      </c>
      <c r="AC33" s="1271"/>
      <c r="AD33" s="81"/>
    </row>
    <row r="34" spans="1:30" s="44" customFormat="1" ht="37.5" customHeight="1">
      <c r="A34" s="1324"/>
      <c r="B34" s="1021"/>
      <c r="C34" s="1021"/>
      <c r="D34" s="1022"/>
      <c r="E34" s="1023"/>
      <c r="F34" s="1592"/>
      <c r="G34" s="1592"/>
      <c r="H34" s="1592"/>
      <c r="I34" s="1592"/>
      <c r="J34" s="1592"/>
      <c r="K34" s="1592"/>
      <c r="L34" s="1592"/>
      <c r="M34" s="1023"/>
      <c r="N34" s="1021"/>
      <c r="O34" s="1021"/>
      <c r="P34" s="1022"/>
      <c r="R34" s="1189" t="s">
        <v>694</v>
      </c>
      <c r="S34" s="1224">
        <v>3331569847</v>
      </c>
      <c r="T34" s="1279" t="s">
        <v>459</v>
      </c>
      <c r="U34" s="1224">
        <v>24142758</v>
      </c>
      <c r="V34" s="1224" t="s">
        <v>224</v>
      </c>
      <c r="W34" s="1294" t="s">
        <v>203</v>
      </c>
      <c r="X34" s="1225">
        <v>28492.058000000001</v>
      </c>
      <c r="Y34" s="81" t="s">
        <v>426</v>
      </c>
      <c r="Z34" s="1362">
        <v>1</v>
      </c>
      <c r="AA34" s="1362">
        <v>1</v>
      </c>
      <c r="AB34" s="1362" t="s">
        <v>207</v>
      </c>
      <c r="AC34" s="1271"/>
      <c r="AD34" s="81"/>
    </row>
    <row r="35" spans="1:30" s="44" customFormat="1" ht="37.5" customHeight="1">
      <c r="A35" s="1324"/>
      <c r="B35" s="1021"/>
      <c r="C35" s="1021"/>
      <c r="D35" s="1022"/>
      <c r="E35" s="1023"/>
      <c r="F35" s="1592"/>
      <c r="G35" s="1592"/>
      <c r="H35" s="1592"/>
      <c r="I35" s="1592"/>
      <c r="J35" s="1592"/>
      <c r="K35" s="1592"/>
      <c r="L35" s="1592"/>
      <c r="M35" s="1023"/>
      <c r="N35" s="1021"/>
      <c r="O35" s="1021"/>
      <c r="P35" s="1022"/>
      <c r="R35" s="1201" t="s">
        <v>694</v>
      </c>
      <c r="S35" s="1202">
        <v>3331570036</v>
      </c>
      <c r="T35" s="1202" t="s">
        <v>441</v>
      </c>
      <c r="U35" s="1202">
        <v>24142774</v>
      </c>
      <c r="V35" s="1202" t="s">
        <v>226</v>
      </c>
      <c r="W35" s="1264" t="s">
        <v>203</v>
      </c>
      <c r="X35" s="1203">
        <f>31033.726+2121.749</f>
        <v>33155.474999999999</v>
      </c>
      <c r="Y35" s="1202" t="s">
        <v>128</v>
      </c>
      <c r="Z35" s="1202">
        <v>1</v>
      </c>
      <c r="AA35" s="1202">
        <v>1</v>
      </c>
      <c r="AB35" s="1373" t="s">
        <v>204</v>
      </c>
      <c r="AC35" s="1192"/>
      <c r="AD35" s="81"/>
    </row>
    <row r="36" spans="1:30" s="44" customFormat="1" ht="37.5" customHeight="1">
      <c r="A36" s="1324"/>
      <c r="B36" s="1021"/>
      <c r="C36" s="1021"/>
      <c r="D36" s="1022"/>
      <c r="E36" s="1023"/>
      <c r="F36" s="1592"/>
      <c r="G36" s="1592"/>
      <c r="H36" s="1592"/>
      <c r="I36" s="1592"/>
      <c r="J36" s="1592"/>
      <c r="K36" s="1592"/>
      <c r="L36" s="1592"/>
      <c r="M36" s="1023"/>
      <c r="N36" s="1021"/>
      <c r="O36" s="1021"/>
      <c r="P36" s="1022"/>
      <c r="R36" s="1201" t="s">
        <v>694</v>
      </c>
      <c r="S36" s="1202">
        <v>3331570037</v>
      </c>
      <c r="T36" s="1202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2" t="s">
        <v>256</v>
      </c>
      <c r="AA36" s="1202" t="s">
        <v>256</v>
      </c>
      <c r="AB36" s="1202" t="s">
        <v>256</v>
      </c>
      <c r="AC36" s="1192"/>
      <c r="AD36" s="81"/>
    </row>
    <row r="37" spans="1:30" s="44" customFormat="1" ht="37.5" customHeight="1">
      <c r="A37" s="1324"/>
      <c r="B37" s="1021"/>
      <c r="C37" s="1021"/>
      <c r="D37" s="1022"/>
      <c r="E37" s="1023"/>
      <c r="F37" s="1592"/>
      <c r="G37" s="1592"/>
      <c r="H37" s="1592"/>
      <c r="I37" s="1592"/>
      <c r="J37" s="1592"/>
      <c r="K37" s="1592"/>
      <c r="L37" s="1592"/>
      <c r="M37" s="1023"/>
      <c r="N37" s="1021"/>
      <c r="O37" s="1021"/>
      <c r="P37" s="1022"/>
      <c r="R37" s="1189" t="s">
        <v>695</v>
      </c>
      <c r="S37" s="1190">
        <v>3331570045</v>
      </c>
      <c r="T37" s="1106" t="s">
        <v>459</v>
      </c>
      <c r="U37" s="1190">
        <v>24142780</v>
      </c>
      <c r="V37" s="1190" t="s">
        <v>226</v>
      </c>
      <c r="W37" s="1190" t="s">
        <v>344</v>
      </c>
      <c r="X37" s="1191">
        <v>29877.69</v>
      </c>
      <c r="Y37" s="1190" t="s">
        <v>426</v>
      </c>
      <c r="Z37" s="1190">
        <v>1</v>
      </c>
      <c r="AA37" s="1190">
        <v>1</v>
      </c>
      <c r="AB37" s="1362" t="s">
        <v>207</v>
      </c>
      <c r="AC37" s="1192"/>
      <c r="AD37" s="81"/>
    </row>
    <row r="38" spans="1:30" s="44" customFormat="1" ht="37.5" customHeight="1">
      <c r="A38" s="1324"/>
      <c r="B38" s="1021"/>
      <c r="C38" s="1021"/>
      <c r="D38" s="1022"/>
      <c r="E38" s="1023"/>
      <c r="F38" s="1592"/>
      <c r="G38" s="1592"/>
      <c r="H38" s="1592"/>
      <c r="I38" s="1592"/>
      <c r="J38" s="1592"/>
      <c r="K38" s="1592"/>
      <c r="L38" s="1592"/>
      <c r="M38" s="1023"/>
      <c r="N38" s="1021"/>
      <c r="O38" s="1021"/>
      <c r="P38" s="1022"/>
      <c r="R38" s="1189" t="s">
        <v>695</v>
      </c>
      <c r="S38" s="1190">
        <v>3331570050</v>
      </c>
      <c r="T38" s="1106" t="s">
        <v>459</v>
      </c>
      <c r="U38" s="1190">
        <v>24142781</v>
      </c>
      <c r="V38" s="1190" t="s">
        <v>226</v>
      </c>
      <c r="W38" s="1190" t="s">
        <v>344</v>
      </c>
      <c r="X38" s="1191">
        <v>28795.165000000001</v>
      </c>
      <c r="Y38" s="1190" t="s">
        <v>426</v>
      </c>
      <c r="Z38" s="1190">
        <v>1</v>
      </c>
      <c r="AA38" s="1190">
        <v>1</v>
      </c>
      <c r="AB38" s="1362" t="s">
        <v>207</v>
      </c>
      <c r="AC38" s="1192"/>
      <c r="AD38" s="26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695</v>
      </c>
      <c r="S39" s="1190">
        <v>3331570052</v>
      </c>
      <c r="T39" s="1106" t="s">
        <v>459</v>
      </c>
      <c r="U39" s="1190">
        <v>24142782</v>
      </c>
      <c r="V39" s="1190" t="s">
        <v>226</v>
      </c>
      <c r="W39" s="1190" t="s">
        <v>344</v>
      </c>
      <c r="X39" s="1191">
        <v>29617.883999999998</v>
      </c>
      <c r="Y39" s="1190" t="s">
        <v>426</v>
      </c>
      <c r="Z39" s="1190">
        <v>1</v>
      </c>
      <c r="AA39" s="1190">
        <v>1</v>
      </c>
      <c r="AB39" s="1362" t="s">
        <v>207</v>
      </c>
      <c r="AC39" s="1192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89" t="s">
        <v>695</v>
      </c>
      <c r="S40" s="1190">
        <v>3331570056</v>
      </c>
      <c r="T40" s="1106" t="s">
        <v>459</v>
      </c>
      <c r="U40" s="1190">
        <v>24142783</v>
      </c>
      <c r="V40" s="1190" t="s">
        <v>226</v>
      </c>
      <c r="W40" s="1190" t="s">
        <v>344</v>
      </c>
      <c r="X40" s="1191">
        <v>29054.971000000001</v>
      </c>
      <c r="Y40" s="1190" t="s">
        <v>426</v>
      </c>
      <c r="Z40" s="1190">
        <v>1</v>
      </c>
      <c r="AA40" s="1190">
        <v>1</v>
      </c>
      <c r="AB40" s="1362" t="s">
        <v>207</v>
      </c>
      <c r="AC40" s="1192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89" t="s">
        <v>695</v>
      </c>
      <c r="S41" s="1190">
        <v>3331570059</v>
      </c>
      <c r="T41" s="1106" t="s">
        <v>459</v>
      </c>
      <c r="U41" s="1190">
        <v>24142784</v>
      </c>
      <c r="V41" s="1190" t="s">
        <v>226</v>
      </c>
      <c r="W41" s="1190" t="s">
        <v>344</v>
      </c>
      <c r="X41" s="1191">
        <v>30830.312000000002</v>
      </c>
      <c r="Y41" s="1190" t="s">
        <v>426</v>
      </c>
      <c r="Z41" s="1190">
        <v>1</v>
      </c>
      <c r="AA41" s="1190">
        <v>1</v>
      </c>
      <c r="AB41" s="1362" t="s">
        <v>207</v>
      </c>
      <c r="AC41" s="1192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89" t="s">
        <v>695</v>
      </c>
      <c r="S42" s="1190">
        <v>3331570082</v>
      </c>
      <c r="T42" s="1106" t="s">
        <v>459</v>
      </c>
      <c r="U42" s="1190">
        <v>24142795</v>
      </c>
      <c r="V42" s="1190" t="s">
        <v>226</v>
      </c>
      <c r="W42" s="1190" t="s">
        <v>344</v>
      </c>
      <c r="X42" s="1191">
        <v>28708.562999999998</v>
      </c>
      <c r="Y42" s="1190" t="s">
        <v>426</v>
      </c>
      <c r="Z42" s="1190">
        <v>1</v>
      </c>
      <c r="AA42" s="1190">
        <v>1</v>
      </c>
      <c r="AB42" s="1362" t="s">
        <v>207</v>
      </c>
      <c r="AC42" s="1192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89" t="s">
        <v>691</v>
      </c>
      <c r="S43" s="1190">
        <v>3331570307</v>
      </c>
      <c r="T43" s="1190" t="s">
        <v>342</v>
      </c>
      <c r="U43" s="1190">
        <v>24142829</v>
      </c>
      <c r="V43" s="1190" t="s">
        <v>444</v>
      </c>
      <c r="W43" s="1190" t="s">
        <v>434</v>
      </c>
      <c r="X43" s="1191">
        <v>26362.985000000001</v>
      </c>
      <c r="Y43" s="1190" t="s">
        <v>200</v>
      </c>
      <c r="Z43" s="1190">
        <v>1</v>
      </c>
      <c r="AA43" s="1190">
        <v>1</v>
      </c>
      <c r="AB43" s="1362" t="s">
        <v>207</v>
      </c>
      <c r="AC43" s="1192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1" t="s">
        <v>694</v>
      </c>
      <c r="S44" s="1202">
        <v>3331570068</v>
      </c>
      <c r="T44" s="1077" t="s">
        <v>698</v>
      </c>
      <c r="U44" s="1202">
        <v>24142794</v>
      </c>
      <c r="V44" s="1202" t="s">
        <v>561</v>
      </c>
      <c r="W44" s="1202" t="s">
        <v>362</v>
      </c>
      <c r="X44" s="1203">
        <f>12748.788+12504.329</f>
        <v>25253.116999999998</v>
      </c>
      <c r="Y44" s="1202" t="s">
        <v>200</v>
      </c>
      <c r="Z44" s="1202">
        <v>1</v>
      </c>
      <c r="AA44" s="1202">
        <v>1</v>
      </c>
      <c r="AB44" s="1373" t="s">
        <v>204</v>
      </c>
      <c r="AC44" s="1192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1" t="s">
        <v>694</v>
      </c>
      <c r="S45" s="1202">
        <v>3331570071</v>
      </c>
      <c r="T45" s="1077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2" t="s">
        <v>256</v>
      </c>
      <c r="AC45" s="1192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1" t="s">
        <v>691</v>
      </c>
      <c r="S46" s="1202">
        <v>3331570104</v>
      </c>
      <c r="T46" s="1102" t="s">
        <v>27</v>
      </c>
      <c r="U46" s="1202">
        <v>24142796</v>
      </c>
      <c r="V46" s="1202" t="s">
        <v>446</v>
      </c>
      <c r="W46" s="1202" t="s">
        <v>205</v>
      </c>
      <c r="X46" s="1203">
        <v>26448.996999999999</v>
      </c>
      <c r="Y46" s="1202" t="s">
        <v>200</v>
      </c>
      <c r="Z46" s="1202">
        <v>1</v>
      </c>
      <c r="AA46" s="1202">
        <v>1</v>
      </c>
      <c r="AB46" s="1373" t="s">
        <v>204</v>
      </c>
      <c r="AC46" s="1192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1" t="s">
        <v>694</v>
      </c>
      <c r="S47" s="1202">
        <v>3331570112</v>
      </c>
      <c r="T47" s="1077" t="s">
        <v>458</v>
      </c>
      <c r="U47" s="1202">
        <v>24142798</v>
      </c>
      <c r="V47" s="1202" t="s">
        <v>226</v>
      </c>
      <c r="W47" s="1202" t="s">
        <v>203</v>
      </c>
      <c r="X47" s="1203">
        <v>35743.18</v>
      </c>
      <c r="Y47" s="1202" t="s">
        <v>128</v>
      </c>
      <c r="Z47" s="1202">
        <v>1</v>
      </c>
      <c r="AA47" s="1202">
        <v>1</v>
      </c>
      <c r="AB47" s="1202" t="s">
        <v>204</v>
      </c>
      <c r="AC47" s="1192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1" t="s">
        <v>694</v>
      </c>
      <c r="S48" s="1202">
        <v>3331570139</v>
      </c>
      <c r="T48" s="1202" t="s">
        <v>441</v>
      </c>
      <c r="U48" s="1202">
        <v>24142799</v>
      </c>
      <c r="V48" s="1202" t="s">
        <v>226</v>
      </c>
      <c r="W48" s="1202" t="s">
        <v>203</v>
      </c>
      <c r="X48" s="1203">
        <v>35903.802000000003</v>
      </c>
      <c r="Y48" s="1202" t="s">
        <v>128</v>
      </c>
      <c r="Z48" s="1202">
        <v>1</v>
      </c>
      <c r="AA48" s="1202">
        <v>1</v>
      </c>
      <c r="AB48" s="1202" t="s">
        <v>207</v>
      </c>
      <c r="AC48" s="1192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89" t="s">
        <v>694</v>
      </c>
      <c r="S49" s="1190">
        <v>3331570150</v>
      </c>
      <c r="T49" s="1190" t="s">
        <v>441</v>
      </c>
      <c r="U49" s="1190">
        <v>24142800</v>
      </c>
      <c r="V49" s="1190" t="s">
        <v>226</v>
      </c>
      <c r="W49" s="1190" t="s">
        <v>203</v>
      </c>
      <c r="X49" s="1191">
        <v>36088.957000000002</v>
      </c>
      <c r="Y49" s="1190" t="s">
        <v>128</v>
      </c>
      <c r="Z49" s="1190">
        <v>1</v>
      </c>
      <c r="AA49" s="1190">
        <v>1</v>
      </c>
      <c r="AB49" s="1190" t="s">
        <v>207</v>
      </c>
      <c r="AC49" s="1192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695</v>
      </c>
      <c r="S50" s="1190">
        <v>3331570153</v>
      </c>
      <c r="T50" s="1190" t="s">
        <v>11</v>
      </c>
      <c r="U50" s="1190">
        <v>24142801</v>
      </c>
      <c r="V50" s="1190" t="s">
        <v>226</v>
      </c>
      <c r="W50" s="1190" t="s">
        <v>344</v>
      </c>
      <c r="X50" s="1191">
        <v>37429.78</v>
      </c>
      <c r="Y50" s="1190" t="s">
        <v>128</v>
      </c>
      <c r="Z50" s="1190">
        <v>1</v>
      </c>
      <c r="AA50" s="1190">
        <v>1</v>
      </c>
      <c r="AB50" s="1190" t="s">
        <v>207</v>
      </c>
      <c r="AC50" s="1192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694</v>
      </c>
      <c r="S51" s="1190">
        <v>3331570154</v>
      </c>
      <c r="T51" s="1106" t="s">
        <v>459</v>
      </c>
      <c r="U51" s="1190">
        <v>24142802</v>
      </c>
      <c r="V51" s="1190" t="s">
        <v>224</v>
      </c>
      <c r="W51" s="1190" t="s">
        <v>344</v>
      </c>
      <c r="X51" s="1191">
        <v>28811.826000000001</v>
      </c>
      <c r="Y51" s="1190" t="s">
        <v>426</v>
      </c>
      <c r="Z51" s="1190">
        <v>1</v>
      </c>
      <c r="AA51" s="1190">
        <v>1</v>
      </c>
      <c r="AB51" s="1190" t="s">
        <v>207</v>
      </c>
      <c r="AC51" s="1192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 t="s">
        <v>691</v>
      </c>
      <c r="S52" s="1190">
        <v>3331570157</v>
      </c>
      <c r="T52" s="1106" t="s">
        <v>459</v>
      </c>
      <c r="U52" s="1190">
        <v>24142803</v>
      </c>
      <c r="V52" s="1190" t="s">
        <v>224</v>
      </c>
      <c r="W52" s="1190" t="s">
        <v>344</v>
      </c>
      <c r="X52" s="1191">
        <v>30014.01</v>
      </c>
      <c r="Y52" s="1190" t="s">
        <v>426</v>
      </c>
      <c r="Z52" s="1190">
        <v>1</v>
      </c>
      <c r="AA52" s="1190">
        <v>1</v>
      </c>
      <c r="AB52" s="1190" t="s">
        <v>207</v>
      </c>
      <c r="AC52" s="1192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691</v>
      </c>
      <c r="S53" s="1190">
        <v>3331570160</v>
      </c>
      <c r="T53" s="1106" t="s">
        <v>459</v>
      </c>
      <c r="U53" s="1190">
        <v>24142804</v>
      </c>
      <c r="V53" s="1190" t="s">
        <v>224</v>
      </c>
      <c r="W53" s="1190" t="s">
        <v>344</v>
      </c>
      <c r="X53" s="1193">
        <v>29053.577000000001</v>
      </c>
      <c r="Y53" s="1190" t="s">
        <v>426</v>
      </c>
      <c r="Z53" s="1190">
        <v>1</v>
      </c>
      <c r="AA53" s="1190">
        <v>1</v>
      </c>
      <c r="AB53" s="1190" t="s">
        <v>207</v>
      </c>
      <c r="AC53" s="1192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691</v>
      </c>
      <c r="S54" s="1202">
        <v>3331570162</v>
      </c>
      <c r="T54" s="1102" t="s">
        <v>27</v>
      </c>
      <c r="U54" s="1202">
        <v>24142807</v>
      </c>
      <c r="V54" s="1202" t="s">
        <v>224</v>
      </c>
      <c r="W54" s="1202" t="s">
        <v>203</v>
      </c>
      <c r="X54" s="1203">
        <v>25738.51</v>
      </c>
      <c r="Y54" s="1202" t="s">
        <v>200</v>
      </c>
      <c r="Z54" s="1202">
        <v>1</v>
      </c>
      <c r="AA54" s="1202">
        <v>1</v>
      </c>
      <c r="AB54" s="1202" t="s">
        <v>204</v>
      </c>
      <c r="AC54" s="1192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6" t="s">
        <v>691</v>
      </c>
      <c r="S55" s="1257">
        <v>3331570164</v>
      </c>
      <c r="T55" s="1102" t="s">
        <v>27</v>
      </c>
      <c r="U55" s="1257">
        <v>24142808</v>
      </c>
      <c r="V55" s="1202" t="s">
        <v>224</v>
      </c>
      <c r="W55" s="1202" t="s">
        <v>203</v>
      </c>
      <c r="X55" s="1258">
        <v>25738.51</v>
      </c>
      <c r="Y55" s="1202" t="s">
        <v>200</v>
      </c>
      <c r="Z55" s="1202">
        <v>1</v>
      </c>
      <c r="AA55" s="1202">
        <v>1</v>
      </c>
      <c r="AB55" s="1202" t="s">
        <v>204</v>
      </c>
      <c r="AC55" s="1192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6" t="s">
        <v>691</v>
      </c>
      <c r="S56" s="1257">
        <v>3331570166</v>
      </c>
      <c r="T56" s="1102" t="s">
        <v>27</v>
      </c>
      <c r="U56" s="1257">
        <v>24142809</v>
      </c>
      <c r="V56" s="1202" t="s">
        <v>224</v>
      </c>
      <c r="W56" s="1202" t="s">
        <v>203</v>
      </c>
      <c r="X56" s="1258">
        <v>24100.473999999998</v>
      </c>
      <c r="Y56" s="1202" t="s">
        <v>200</v>
      </c>
      <c r="Z56" s="1202">
        <v>1</v>
      </c>
      <c r="AA56" s="1202">
        <v>1</v>
      </c>
      <c r="AB56" s="1202" t="s">
        <v>204</v>
      </c>
      <c r="AC56" s="1192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1" t="s">
        <v>691</v>
      </c>
      <c r="S57" s="1202">
        <v>3331570170</v>
      </c>
      <c r="T57" s="1102" t="s">
        <v>27</v>
      </c>
      <c r="U57" s="1202">
        <v>24142810</v>
      </c>
      <c r="V57" s="1202" t="s">
        <v>497</v>
      </c>
      <c r="W57" s="1202" t="s">
        <v>205</v>
      </c>
      <c r="X57" s="1203">
        <f>2736.32+24768.726</f>
        <v>27505.045999999998</v>
      </c>
      <c r="Y57" s="1257" t="s">
        <v>200</v>
      </c>
      <c r="Z57" s="1202">
        <v>1</v>
      </c>
      <c r="AA57" s="1202">
        <v>1</v>
      </c>
      <c r="AB57" s="1202" t="s">
        <v>207</v>
      </c>
      <c r="AC57" s="1192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1" t="s">
        <v>691</v>
      </c>
      <c r="S58" s="1202">
        <v>3331570185</v>
      </c>
      <c r="T58" s="1102" t="s">
        <v>256</v>
      </c>
      <c r="U58" s="1202" t="s">
        <v>256</v>
      </c>
      <c r="V58" s="1202" t="s">
        <v>256</v>
      </c>
      <c r="W58" s="1202" t="s">
        <v>256</v>
      </c>
      <c r="X58" s="1203" t="s">
        <v>256</v>
      </c>
      <c r="Y58" s="1257" t="s">
        <v>256</v>
      </c>
      <c r="Z58" s="1202" t="s">
        <v>256</v>
      </c>
      <c r="AA58" s="1202" t="s">
        <v>256</v>
      </c>
      <c r="AB58" s="1202" t="s">
        <v>256</v>
      </c>
      <c r="AC58" s="1192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694</v>
      </c>
      <c r="S59" s="1190">
        <v>3331570291</v>
      </c>
      <c r="T59" s="1111" t="s">
        <v>27</v>
      </c>
      <c r="U59" s="1190">
        <v>24142827</v>
      </c>
      <c r="V59" s="1190" t="s">
        <v>435</v>
      </c>
      <c r="W59" s="1190" t="s">
        <v>205</v>
      </c>
      <c r="X59" s="1191">
        <v>24883.41</v>
      </c>
      <c r="Y59" s="1190" t="s">
        <v>200</v>
      </c>
      <c r="Z59" s="1190">
        <v>1</v>
      </c>
      <c r="AA59" s="1190">
        <v>1</v>
      </c>
      <c r="AB59" s="1190" t="s">
        <v>207</v>
      </c>
      <c r="AC59" s="1192" t="s">
        <v>422</v>
      </c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94" t="s">
        <v>691</v>
      </c>
      <c r="S60" s="1195">
        <v>3331570192</v>
      </c>
      <c r="T60" s="1111" t="s">
        <v>441</v>
      </c>
      <c r="U60" s="1195">
        <v>24142811</v>
      </c>
      <c r="V60" s="1190" t="s">
        <v>497</v>
      </c>
      <c r="W60" s="1190" t="s">
        <v>205</v>
      </c>
      <c r="X60" s="1196">
        <v>37624.400000000001</v>
      </c>
      <c r="Y60" s="1195" t="s">
        <v>128</v>
      </c>
      <c r="Z60" s="1195">
        <v>1</v>
      </c>
      <c r="AA60" s="1195">
        <v>1</v>
      </c>
      <c r="AB60" s="1190" t="s">
        <v>207</v>
      </c>
      <c r="AC60" s="1192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94" t="s">
        <v>691</v>
      </c>
      <c r="S61" s="1195">
        <v>3331570195</v>
      </c>
      <c r="T61" s="1106" t="s">
        <v>256</v>
      </c>
      <c r="U61" s="1195" t="s">
        <v>256</v>
      </c>
      <c r="V61" s="1195" t="s">
        <v>256</v>
      </c>
      <c r="W61" s="1195" t="s">
        <v>256</v>
      </c>
      <c r="X61" s="1196" t="s">
        <v>256</v>
      </c>
      <c r="Y61" s="1195" t="s">
        <v>256</v>
      </c>
      <c r="Z61" s="1195" t="s">
        <v>256</v>
      </c>
      <c r="AA61" s="1195" t="s">
        <v>256</v>
      </c>
      <c r="AB61" s="1195" t="s">
        <v>256</v>
      </c>
      <c r="AC61" s="1197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89" t="s">
        <v>691</v>
      </c>
      <c r="S62" s="1190">
        <v>3331570196</v>
      </c>
      <c r="T62" s="1111" t="s">
        <v>441</v>
      </c>
      <c r="U62" s="1190">
        <v>24142812</v>
      </c>
      <c r="V62" s="1190" t="s">
        <v>497</v>
      </c>
      <c r="W62" s="1190" t="s">
        <v>205</v>
      </c>
      <c r="X62" s="1191">
        <f>6840.8+36940.32</f>
        <v>43781.120000000003</v>
      </c>
      <c r="Y62" s="1190" t="s">
        <v>128</v>
      </c>
      <c r="Z62" s="1195">
        <v>1</v>
      </c>
      <c r="AA62" s="1195">
        <v>1</v>
      </c>
      <c r="AB62" s="1190" t="s">
        <v>207</v>
      </c>
      <c r="AC62" s="1192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691</v>
      </c>
      <c r="S63" s="1190">
        <v>3331570238</v>
      </c>
      <c r="T63" s="1190" t="s">
        <v>441</v>
      </c>
      <c r="U63" s="1190">
        <v>24142811</v>
      </c>
      <c r="V63" s="1195" t="s">
        <v>435</v>
      </c>
      <c r="W63" s="1190" t="s">
        <v>205</v>
      </c>
      <c r="X63" s="1191">
        <f>3999.605+32986.044+3634.175</f>
        <v>40619.824000000008</v>
      </c>
      <c r="Y63" s="1190" t="s">
        <v>128</v>
      </c>
      <c r="Z63" s="1195">
        <v>1</v>
      </c>
      <c r="AA63" s="1195">
        <v>1</v>
      </c>
      <c r="AB63" s="1190" t="s">
        <v>207</v>
      </c>
      <c r="AC63" s="1192" t="s">
        <v>422</v>
      </c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89" t="s">
        <v>694</v>
      </c>
      <c r="S64" s="1190">
        <v>3331570241</v>
      </c>
      <c r="T64" s="1190" t="s">
        <v>256</v>
      </c>
      <c r="U64" s="1190" t="s">
        <v>256</v>
      </c>
      <c r="V64" s="1195" t="s">
        <v>256</v>
      </c>
      <c r="W64" s="1190" t="s">
        <v>256</v>
      </c>
      <c r="X64" s="1191" t="s">
        <v>256</v>
      </c>
      <c r="Y64" s="1190" t="s">
        <v>256</v>
      </c>
      <c r="Z64" s="1190" t="s">
        <v>256</v>
      </c>
      <c r="AA64" s="1190" t="s">
        <v>256</v>
      </c>
      <c r="AB64" s="1190" t="s">
        <v>256</v>
      </c>
      <c r="AC64" s="1192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694</v>
      </c>
      <c r="S65" s="1190">
        <v>3331570244</v>
      </c>
      <c r="T65" s="1190" t="s">
        <v>256</v>
      </c>
      <c r="U65" s="1190" t="s">
        <v>256</v>
      </c>
      <c r="V65" s="1195" t="s">
        <v>256</v>
      </c>
      <c r="W65" s="1190" t="s">
        <v>256</v>
      </c>
      <c r="X65" s="1191" t="s">
        <v>256</v>
      </c>
      <c r="Y65" s="1190" t="s">
        <v>256</v>
      </c>
      <c r="Z65" s="1190" t="s">
        <v>256</v>
      </c>
      <c r="AA65" s="1190" t="s">
        <v>256</v>
      </c>
      <c r="AB65" s="1190" t="s">
        <v>256</v>
      </c>
      <c r="AC65" s="1192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89" t="s">
        <v>695</v>
      </c>
      <c r="S66" s="1190">
        <v>3331570285</v>
      </c>
      <c r="T66" s="1190" t="s">
        <v>441</v>
      </c>
      <c r="U66" s="1190"/>
      <c r="V66" s="1190" t="s">
        <v>226</v>
      </c>
      <c r="W66" s="1190" t="s">
        <v>344</v>
      </c>
      <c r="X66" s="1191">
        <v>35486.65</v>
      </c>
      <c r="Y66" s="1190" t="s">
        <v>128</v>
      </c>
      <c r="Z66" s="1190">
        <v>1</v>
      </c>
      <c r="AA66" s="1190">
        <v>1</v>
      </c>
      <c r="AB66" s="1190" t="s">
        <v>207</v>
      </c>
      <c r="AC66" s="1192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89" t="s">
        <v>691</v>
      </c>
      <c r="S67" s="1190">
        <v>3331570223</v>
      </c>
      <c r="T67" s="1190" t="s">
        <v>439</v>
      </c>
      <c r="U67" s="1190">
        <v>24142815</v>
      </c>
      <c r="V67" s="1195" t="s">
        <v>440</v>
      </c>
      <c r="W67" s="1190" t="s">
        <v>434</v>
      </c>
      <c r="X67" s="1191">
        <f>8978.55+32599.151</f>
        <v>41577.701000000001</v>
      </c>
      <c r="Y67" s="1190" t="s">
        <v>128</v>
      </c>
      <c r="Z67" s="1195">
        <v>1</v>
      </c>
      <c r="AA67" s="1195">
        <v>1</v>
      </c>
      <c r="AB67" s="1190" t="s">
        <v>207</v>
      </c>
      <c r="AC67" s="1192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89" t="s">
        <v>691</v>
      </c>
      <c r="S68" s="1190">
        <v>3331570227</v>
      </c>
      <c r="T68" s="1106" t="s">
        <v>256</v>
      </c>
      <c r="U68" s="1106" t="s">
        <v>256</v>
      </c>
      <c r="V68" s="1106" t="s">
        <v>256</v>
      </c>
      <c r="W68" s="1106" t="s">
        <v>256</v>
      </c>
      <c r="X68" s="1191" t="s">
        <v>256</v>
      </c>
      <c r="Y68" s="1106" t="s">
        <v>256</v>
      </c>
      <c r="Z68" s="1106" t="s">
        <v>256</v>
      </c>
      <c r="AA68" s="1106" t="s">
        <v>256</v>
      </c>
      <c r="AB68" s="1106" t="s">
        <v>256</v>
      </c>
      <c r="AC68" s="1192"/>
      <c r="AD68" s="203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6" t="s">
        <v>694</v>
      </c>
      <c r="S69" s="1257">
        <v>3331570038</v>
      </c>
      <c r="T69" s="1257" t="s">
        <v>27</v>
      </c>
      <c r="U69" s="1257">
        <v>24142767</v>
      </c>
      <c r="V69" s="1257" t="s">
        <v>158</v>
      </c>
      <c r="W69" s="1257" t="s">
        <v>199</v>
      </c>
      <c r="X69" s="1258">
        <v>25516.184000000001</v>
      </c>
      <c r="Y69" s="1257" t="s">
        <v>200</v>
      </c>
      <c r="Z69" s="1257">
        <v>1</v>
      </c>
      <c r="AA69" s="1257">
        <v>1</v>
      </c>
      <c r="AB69" s="1257" t="s">
        <v>204</v>
      </c>
      <c r="AC69" s="1197"/>
      <c r="AD69" s="203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694</v>
      </c>
      <c r="S70" s="1202">
        <v>3331570041</v>
      </c>
      <c r="T70" s="1202" t="s">
        <v>27</v>
      </c>
      <c r="U70" s="1202">
        <v>24142768</v>
      </c>
      <c r="V70" s="1257" t="s">
        <v>158</v>
      </c>
      <c r="W70" s="1257" t="s">
        <v>199</v>
      </c>
      <c r="X70" s="1203">
        <v>26166.06</v>
      </c>
      <c r="Y70" s="1257" t="s">
        <v>200</v>
      </c>
      <c r="Z70" s="1257">
        <v>1</v>
      </c>
      <c r="AA70" s="1257">
        <v>1</v>
      </c>
      <c r="AB70" s="1257" t="s">
        <v>204</v>
      </c>
      <c r="AC70" s="1192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694</v>
      </c>
      <c r="S71" s="1202">
        <v>3331570044</v>
      </c>
      <c r="T71" s="1202" t="s">
        <v>34</v>
      </c>
      <c r="U71" s="1202">
        <v>24142769</v>
      </c>
      <c r="V71" s="1257" t="s">
        <v>158</v>
      </c>
      <c r="W71" s="1257" t="s">
        <v>199</v>
      </c>
      <c r="X71" s="1203">
        <v>25781.768</v>
      </c>
      <c r="Y71" s="1257" t="s">
        <v>200</v>
      </c>
      <c r="Z71" s="1257">
        <v>1</v>
      </c>
      <c r="AA71" s="1257">
        <v>1</v>
      </c>
      <c r="AB71" s="1257" t="s">
        <v>204</v>
      </c>
      <c r="AC71" s="1192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189" t="s">
        <v>694</v>
      </c>
      <c r="S72" s="1190">
        <v>3331570039</v>
      </c>
      <c r="T72" s="1190" t="s">
        <v>11</v>
      </c>
      <c r="U72" s="1190">
        <v>24142770</v>
      </c>
      <c r="V72" s="1190" t="s">
        <v>150</v>
      </c>
      <c r="W72" s="1195" t="s">
        <v>199</v>
      </c>
      <c r="X72" s="1191">
        <v>25527.363000000001</v>
      </c>
      <c r="Y72" s="1195" t="s">
        <v>200</v>
      </c>
      <c r="Z72" s="1195">
        <v>1</v>
      </c>
      <c r="AA72" s="1195">
        <v>1</v>
      </c>
      <c r="AB72" s="1195" t="s">
        <v>207</v>
      </c>
      <c r="AC72" s="1192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694</v>
      </c>
      <c r="S73" s="1202">
        <v>3331570040</v>
      </c>
      <c r="T73" s="1202" t="s">
        <v>34</v>
      </c>
      <c r="U73" s="1202">
        <v>24142771</v>
      </c>
      <c r="V73" s="1202" t="s">
        <v>150</v>
      </c>
      <c r="W73" s="1257" t="s">
        <v>199</v>
      </c>
      <c r="X73" s="1203">
        <v>25222.12</v>
      </c>
      <c r="Y73" s="1257" t="s">
        <v>200</v>
      </c>
      <c r="Z73" s="1257">
        <v>1</v>
      </c>
      <c r="AA73" s="1257">
        <v>1</v>
      </c>
      <c r="AB73" s="1257" t="s">
        <v>204</v>
      </c>
      <c r="AC73" s="1192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694</v>
      </c>
      <c r="S74" s="1202">
        <v>3331570042</v>
      </c>
      <c r="T74" s="1202" t="s">
        <v>27</v>
      </c>
      <c r="U74" s="1202">
        <v>24142772</v>
      </c>
      <c r="V74" s="1202" t="s">
        <v>150</v>
      </c>
      <c r="W74" s="1257" t="s">
        <v>199</v>
      </c>
      <c r="X74" s="1203">
        <v>25457.768</v>
      </c>
      <c r="Y74" s="1257" t="s">
        <v>200</v>
      </c>
      <c r="Z74" s="1257">
        <v>1</v>
      </c>
      <c r="AA74" s="1257">
        <v>1</v>
      </c>
      <c r="AB74" s="1257" t="s">
        <v>204</v>
      </c>
      <c r="AC74" s="1192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56" t="s">
        <v>694</v>
      </c>
      <c r="S75" s="1257">
        <v>3331570043</v>
      </c>
      <c r="T75" s="1202" t="s">
        <v>27</v>
      </c>
      <c r="U75" s="1257">
        <v>24142773</v>
      </c>
      <c r="V75" s="1202" t="s">
        <v>150</v>
      </c>
      <c r="W75" s="1257" t="s">
        <v>199</v>
      </c>
      <c r="X75" s="1258">
        <v>24984.677</v>
      </c>
      <c r="Y75" s="1257" t="s">
        <v>200</v>
      </c>
      <c r="Z75" s="1257">
        <v>1</v>
      </c>
      <c r="AA75" s="1257">
        <v>1</v>
      </c>
      <c r="AB75" s="1257" t="s">
        <v>204</v>
      </c>
      <c r="AC75" s="1197"/>
      <c r="AD75" s="203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694</v>
      </c>
      <c r="S76" s="1202">
        <v>3331570055</v>
      </c>
      <c r="T76" s="1202" t="s">
        <v>34</v>
      </c>
      <c r="U76" s="1202">
        <v>24142775</v>
      </c>
      <c r="V76" s="1202" t="s">
        <v>572</v>
      </c>
      <c r="W76" s="1257" t="s">
        <v>199</v>
      </c>
      <c r="X76" s="1203">
        <v>26240.469000000001</v>
      </c>
      <c r="Y76" s="1257" t="s">
        <v>200</v>
      </c>
      <c r="Z76" s="1257">
        <v>1</v>
      </c>
      <c r="AA76" s="1257">
        <v>1</v>
      </c>
      <c r="AB76" s="1257" t="s">
        <v>204</v>
      </c>
      <c r="AC76" s="1192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691</v>
      </c>
      <c r="S77" s="1202">
        <v>3331570057</v>
      </c>
      <c r="T77" s="1202" t="s">
        <v>27</v>
      </c>
      <c r="U77" s="1202">
        <v>24142776</v>
      </c>
      <c r="V77" s="1202" t="s">
        <v>572</v>
      </c>
      <c r="W77" s="1257" t="s">
        <v>199</v>
      </c>
      <c r="X77" s="1203">
        <v>25850.697</v>
      </c>
      <c r="Y77" s="1257" t="s">
        <v>200</v>
      </c>
      <c r="Z77" s="1257">
        <v>1</v>
      </c>
      <c r="AA77" s="1257">
        <v>1</v>
      </c>
      <c r="AB77" s="1257" t="s">
        <v>204</v>
      </c>
      <c r="AC77" s="1192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89" t="s">
        <v>691</v>
      </c>
      <c r="S78" s="1190">
        <v>3331570058</v>
      </c>
      <c r="T78" s="1190" t="s">
        <v>462</v>
      </c>
      <c r="U78" s="1190">
        <v>24142777</v>
      </c>
      <c r="V78" s="1190" t="s">
        <v>572</v>
      </c>
      <c r="W78" s="1195" t="s">
        <v>199</v>
      </c>
      <c r="X78" s="1191">
        <v>25720.794000000002</v>
      </c>
      <c r="Y78" s="1195" t="s">
        <v>200</v>
      </c>
      <c r="Z78" s="1195">
        <v>1</v>
      </c>
      <c r="AA78" s="1195">
        <v>1</v>
      </c>
      <c r="AB78" s="1195" t="s">
        <v>207</v>
      </c>
      <c r="AC78" s="1192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691</v>
      </c>
      <c r="S79" s="1202">
        <v>3331570060</v>
      </c>
      <c r="T79" s="1202" t="s">
        <v>287</v>
      </c>
      <c r="U79" s="1202">
        <v>24142778</v>
      </c>
      <c r="V79" s="1202" t="s">
        <v>572</v>
      </c>
      <c r="W79" s="1257" t="s">
        <v>199</v>
      </c>
      <c r="X79" s="1203">
        <v>25287.784</v>
      </c>
      <c r="Y79" s="1257" t="s">
        <v>200</v>
      </c>
      <c r="Z79" s="1257">
        <v>1</v>
      </c>
      <c r="AA79" s="1257">
        <v>1</v>
      </c>
      <c r="AB79" s="1257" t="s">
        <v>204</v>
      </c>
      <c r="AC79" s="1192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694</v>
      </c>
      <c r="S80" s="1202">
        <v>3331570053</v>
      </c>
      <c r="T80" s="1202" t="s">
        <v>27</v>
      </c>
      <c r="U80" s="1202">
        <v>24142779</v>
      </c>
      <c r="V80" s="1257" t="s">
        <v>158</v>
      </c>
      <c r="W80" s="1257" t="s">
        <v>199</v>
      </c>
      <c r="X80" s="1203">
        <f>3505.91+22318.11</f>
        <v>25824.02</v>
      </c>
      <c r="Y80" s="1257" t="s">
        <v>200</v>
      </c>
      <c r="Z80" s="1257">
        <v>1</v>
      </c>
      <c r="AA80" s="1257">
        <v>1</v>
      </c>
      <c r="AB80" s="1257" t="s">
        <v>204</v>
      </c>
      <c r="AC80" s="1192"/>
      <c r="AD80" s="26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694</v>
      </c>
      <c r="S81" s="1202">
        <v>3331570054</v>
      </c>
      <c r="T81" s="1102" t="s">
        <v>256</v>
      </c>
      <c r="U81" s="1202" t="s">
        <v>256</v>
      </c>
      <c r="V81" s="1202" t="s">
        <v>256</v>
      </c>
      <c r="W81" s="1202" t="s">
        <v>256</v>
      </c>
      <c r="X81" s="1203" t="s">
        <v>256</v>
      </c>
      <c r="Y81" s="1202" t="s">
        <v>256</v>
      </c>
      <c r="Z81" s="1202" t="s">
        <v>256</v>
      </c>
      <c r="AA81" s="1202" t="s">
        <v>256</v>
      </c>
      <c r="AB81" s="1202" t="s">
        <v>256</v>
      </c>
      <c r="AC81" s="1192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694</v>
      </c>
      <c r="S82" s="1202">
        <v>3331570061</v>
      </c>
      <c r="T82" s="1202" t="s">
        <v>27</v>
      </c>
      <c r="U82" s="1202">
        <v>24142785</v>
      </c>
      <c r="V82" s="1202" t="s">
        <v>243</v>
      </c>
      <c r="W82" s="1257" t="s">
        <v>199</v>
      </c>
      <c r="X82" s="1203">
        <v>24711.353999999999</v>
      </c>
      <c r="Y82" s="1257" t="s">
        <v>200</v>
      </c>
      <c r="Z82" s="1257">
        <v>1</v>
      </c>
      <c r="AA82" s="1257">
        <v>1</v>
      </c>
      <c r="AB82" s="1257" t="s">
        <v>204</v>
      </c>
      <c r="AC82" s="1192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694</v>
      </c>
      <c r="S83" s="1202">
        <v>3331570062</v>
      </c>
      <c r="T83" s="1202" t="s">
        <v>34</v>
      </c>
      <c r="U83" s="1202">
        <v>24142786</v>
      </c>
      <c r="V83" s="1202" t="s">
        <v>243</v>
      </c>
      <c r="W83" s="1257" t="s">
        <v>199</v>
      </c>
      <c r="X83" s="1203">
        <v>24156.072</v>
      </c>
      <c r="Y83" s="1257" t="s">
        <v>200</v>
      </c>
      <c r="Z83" s="1257">
        <v>1</v>
      </c>
      <c r="AA83" s="1257">
        <v>1</v>
      </c>
      <c r="AB83" s="1257" t="s">
        <v>204</v>
      </c>
      <c r="AC83" s="1192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694</v>
      </c>
      <c r="S84" s="1202">
        <v>3331570063</v>
      </c>
      <c r="T84" s="1202" t="s">
        <v>287</v>
      </c>
      <c r="U84" s="1202">
        <v>24142791</v>
      </c>
      <c r="V84" s="1202" t="s">
        <v>243</v>
      </c>
      <c r="W84" s="1257" t="s">
        <v>199</v>
      </c>
      <c r="X84" s="1203">
        <v>26840.080000000002</v>
      </c>
      <c r="Y84" s="1257" t="s">
        <v>200</v>
      </c>
      <c r="Z84" s="1257">
        <v>1</v>
      </c>
      <c r="AA84" s="1257">
        <v>1</v>
      </c>
      <c r="AB84" s="1257" t="s">
        <v>204</v>
      </c>
      <c r="AC84" s="1192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694</v>
      </c>
      <c r="S85" s="1202">
        <v>3331570064</v>
      </c>
      <c r="T85" s="1202" t="s">
        <v>27</v>
      </c>
      <c r="U85" s="1202">
        <v>24142792</v>
      </c>
      <c r="V85" s="1202" t="s">
        <v>366</v>
      </c>
      <c r="W85" s="1257" t="s">
        <v>199</v>
      </c>
      <c r="X85" s="1203">
        <v>25677.774000000001</v>
      </c>
      <c r="Y85" s="1257" t="s">
        <v>200</v>
      </c>
      <c r="Z85" s="1257">
        <v>1</v>
      </c>
      <c r="AA85" s="1257">
        <v>1</v>
      </c>
      <c r="AB85" s="1257" t="s">
        <v>204</v>
      </c>
      <c r="AC85" s="1192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 t="s">
        <v>694</v>
      </c>
      <c r="S86" s="1190">
        <v>3331570066</v>
      </c>
      <c r="T86" s="1190" t="s">
        <v>11</v>
      </c>
      <c r="U86" s="1190">
        <v>24142793</v>
      </c>
      <c r="V86" s="1190" t="s">
        <v>366</v>
      </c>
      <c r="W86" s="1195" t="s">
        <v>199</v>
      </c>
      <c r="X86" s="1191">
        <v>25417.687000000002</v>
      </c>
      <c r="Y86" s="1195" t="s">
        <v>200</v>
      </c>
      <c r="Z86" s="1195">
        <v>1</v>
      </c>
      <c r="AA86" s="1195">
        <v>1</v>
      </c>
      <c r="AB86" s="1195" t="s">
        <v>207</v>
      </c>
      <c r="AC86" s="1192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694</v>
      </c>
      <c r="S87" s="1202">
        <v>3331570097</v>
      </c>
      <c r="T87" s="1202" t="s">
        <v>34</v>
      </c>
      <c r="U87" s="1202">
        <v>24142797</v>
      </c>
      <c r="V87" s="1202" t="s">
        <v>368</v>
      </c>
      <c r="W87" s="1257" t="s">
        <v>199</v>
      </c>
      <c r="X87" s="1203">
        <f>21369.068+5160.78</f>
        <v>26529.847999999998</v>
      </c>
      <c r="Y87" s="1257" t="s">
        <v>200</v>
      </c>
      <c r="Z87" s="1257">
        <v>1</v>
      </c>
      <c r="AA87" s="1257">
        <v>1</v>
      </c>
      <c r="AB87" s="1257" t="s">
        <v>204</v>
      </c>
      <c r="AC87" s="1192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694</v>
      </c>
      <c r="S88" s="1202">
        <v>3331570099</v>
      </c>
      <c r="T88" s="1102" t="s">
        <v>256</v>
      </c>
      <c r="U88" s="1102" t="s">
        <v>256</v>
      </c>
      <c r="V88" s="1102" t="s">
        <v>256</v>
      </c>
      <c r="W88" s="1102" t="s">
        <v>256</v>
      </c>
      <c r="X88" s="1203" t="s">
        <v>256</v>
      </c>
      <c r="Y88" s="1102" t="s">
        <v>256</v>
      </c>
      <c r="Z88" s="1102" t="s">
        <v>256</v>
      </c>
      <c r="AA88" s="1102" t="s">
        <v>256</v>
      </c>
      <c r="AB88" s="1102" t="s">
        <v>256</v>
      </c>
      <c r="AC88" s="1192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691</v>
      </c>
      <c r="S89" s="1202">
        <v>3331570206</v>
      </c>
      <c r="T89" s="1202" t="s">
        <v>287</v>
      </c>
      <c r="U89" s="1202">
        <v>24142813</v>
      </c>
      <c r="V89" s="1077" t="s">
        <v>676</v>
      </c>
      <c r="W89" s="1257" t="s">
        <v>199</v>
      </c>
      <c r="X89" s="1203">
        <f>14424.259+12080.979</f>
        <v>26505.237999999998</v>
      </c>
      <c r="Y89" s="1257" t="s">
        <v>200</v>
      </c>
      <c r="Z89" s="1257">
        <v>1</v>
      </c>
      <c r="AA89" s="1257">
        <v>1</v>
      </c>
      <c r="AB89" s="1257" t="s">
        <v>204</v>
      </c>
      <c r="AC89" s="1192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694</v>
      </c>
      <c r="S90" s="1202">
        <v>3331570209</v>
      </c>
      <c r="T90" s="1102" t="s">
        <v>256</v>
      </c>
      <c r="U90" s="1102" t="s">
        <v>256</v>
      </c>
      <c r="V90" s="1102" t="s">
        <v>256</v>
      </c>
      <c r="W90" s="1102" t="s">
        <v>256</v>
      </c>
      <c r="X90" s="1203" t="s">
        <v>256</v>
      </c>
      <c r="Y90" s="1102" t="s">
        <v>256</v>
      </c>
      <c r="Z90" s="1102" t="s">
        <v>256</v>
      </c>
      <c r="AA90" s="1102" t="s">
        <v>256</v>
      </c>
      <c r="AB90" s="1102" t="s">
        <v>256</v>
      </c>
      <c r="AC90" s="1192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 t="s">
        <v>694</v>
      </c>
      <c r="S91" s="1190">
        <v>3331570210</v>
      </c>
      <c r="T91" s="1190" t="s">
        <v>462</v>
      </c>
      <c r="U91" s="1190">
        <v>24142814</v>
      </c>
      <c r="V91" s="1190" t="s">
        <v>132</v>
      </c>
      <c r="W91" s="1195" t="s">
        <v>199</v>
      </c>
      <c r="X91" s="1191">
        <f>10576.209+15451.875</f>
        <v>26028.084000000003</v>
      </c>
      <c r="Y91" s="1195" t="s">
        <v>200</v>
      </c>
      <c r="Z91" s="1195">
        <v>1</v>
      </c>
      <c r="AA91" s="1195">
        <v>1</v>
      </c>
      <c r="AB91" s="1195" t="s">
        <v>207</v>
      </c>
      <c r="AC91" s="1192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89" t="s">
        <v>694</v>
      </c>
      <c r="S92" s="1190">
        <v>3331570211</v>
      </c>
      <c r="T92" s="1111" t="s">
        <v>256</v>
      </c>
      <c r="U92" s="1111" t="s">
        <v>256</v>
      </c>
      <c r="V92" s="1111" t="s">
        <v>256</v>
      </c>
      <c r="W92" s="1111" t="s">
        <v>256</v>
      </c>
      <c r="X92" s="1191" t="s">
        <v>256</v>
      </c>
      <c r="Y92" s="1111" t="s">
        <v>256</v>
      </c>
      <c r="Z92" s="1111" t="s">
        <v>256</v>
      </c>
      <c r="AA92" s="1111" t="s">
        <v>256</v>
      </c>
      <c r="AB92" s="1111" t="s">
        <v>256</v>
      </c>
      <c r="AC92" s="1192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694</v>
      </c>
      <c r="S93" s="1202">
        <v>3331570228</v>
      </c>
      <c r="T93" s="1202" t="s">
        <v>27</v>
      </c>
      <c r="U93" s="1202">
        <v>24142816</v>
      </c>
      <c r="V93" s="1202" t="s">
        <v>464</v>
      </c>
      <c r="W93" s="1257" t="s">
        <v>199</v>
      </c>
      <c r="X93" s="1203">
        <f>3627.427+3802.68+7725.937+3527.036</f>
        <v>18683.080000000002</v>
      </c>
      <c r="Y93" s="1257" t="s">
        <v>200</v>
      </c>
      <c r="Z93" s="1257">
        <v>1</v>
      </c>
      <c r="AA93" s="1257">
        <v>1</v>
      </c>
      <c r="AB93" s="1257" t="s">
        <v>204</v>
      </c>
      <c r="AC93" s="1192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694</v>
      </c>
      <c r="S94" s="1202">
        <v>3331570231</v>
      </c>
      <c r="T94" s="1102" t="s">
        <v>256</v>
      </c>
      <c r="U94" s="1102" t="s">
        <v>256</v>
      </c>
      <c r="V94" s="1102" t="s">
        <v>256</v>
      </c>
      <c r="W94" s="1102" t="s">
        <v>256</v>
      </c>
      <c r="X94" s="1203" t="s">
        <v>256</v>
      </c>
      <c r="Y94" s="1102" t="s">
        <v>256</v>
      </c>
      <c r="Z94" s="1102" t="s">
        <v>256</v>
      </c>
      <c r="AA94" s="1102" t="s">
        <v>256</v>
      </c>
      <c r="AB94" s="1102" t="s">
        <v>256</v>
      </c>
      <c r="AC94" s="1192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694</v>
      </c>
      <c r="S95" s="1202">
        <v>3331570232</v>
      </c>
      <c r="T95" s="1102" t="s">
        <v>256</v>
      </c>
      <c r="U95" s="1102" t="s">
        <v>256</v>
      </c>
      <c r="V95" s="1102" t="s">
        <v>256</v>
      </c>
      <c r="W95" s="1102" t="s">
        <v>256</v>
      </c>
      <c r="X95" s="1203" t="s">
        <v>256</v>
      </c>
      <c r="Y95" s="1102" t="s">
        <v>256</v>
      </c>
      <c r="Z95" s="1102" t="s">
        <v>256</v>
      </c>
      <c r="AA95" s="1102" t="s">
        <v>256</v>
      </c>
      <c r="AB95" s="1102" t="s">
        <v>256</v>
      </c>
      <c r="AC95" s="1192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694</v>
      </c>
      <c r="S96" s="1202">
        <v>3331570233</v>
      </c>
      <c r="T96" s="1102" t="s">
        <v>256</v>
      </c>
      <c r="U96" s="1102" t="s">
        <v>256</v>
      </c>
      <c r="V96" s="1102" t="s">
        <v>256</v>
      </c>
      <c r="W96" s="1102" t="s">
        <v>256</v>
      </c>
      <c r="X96" s="1203" t="s">
        <v>256</v>
      </c>
      <c r="Y96" s="1102" t="s">
        <v>256</v>
      </c>
      <c r="Z96" s="1102" t="s">
        <v>256</v>
      </c>
      <c r="AA96" s="1102" t="s">
        <v>256</v>
      </c>
      <c r="AB96" s="1102" t="s">
        <v>256</v>
      </c>
      <c r="AC96" s="1192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 t="s">
        <v>691</v>
      </c>
      <c r="S97" s="1190">
        <v>3331570290</v>
      </c>
      <c r="T97" s="1190" t="s">
        <v>27</v>
      </c>
      <c r="U97" s="1190">
        <v>24142826</v>
      </c>
      <c r="V97" s="1190" t="s">
        <v>368</v>
      </c>
      <c r="W97" s="1195" t="s">
        <v>199</v>
      </c>
      <c r="X97" s="1191">
        <v>25162.903999999999</v>
      </c>
      <c r="Y97" s="1195" t="s">
        <v>200</v>
      </c>
      <c r="Z97" s="1195">
        <v>1</v>
      </c>
      <c r="AA97" s="1195">
        <v>1</v>
      </c>
      <c r="AB97" s="1195" t="s">
        <v>207</v>
      </c>
      <c r="AC97" s="1192" t="s">
        <v>422</v>
      </c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89" t="s">
        <v>691</v>
      </c>
      <c r="S98" s="1190">
        <v>3331570297</v>
      </c>
      <c r="T98" s="1190" t="s">
        <v>27</v>
      </c>
      <c r="U98" s="1190">
        <v>24142828</v>
      </c>
      <c r="V98" s="1190" t="s">
        <v>368</v>
      </c>
      <c r="W98" s="1195" t="s">
        <v>199</v>
      </c>
      <c r="X98" s="1191">
        <f>5160.78+17529.55+1688.739</f>
        <v>24379.069</v>
      </c>
      <c r="Y98" s="1195" t="s">
        <v>200</v>
      </c>
      <c r="Z98" s="1195">
        <v>1</v>
      </c>
      <c r="AA98" s="1195">
        <v>1</v>
      </c>
      <c r="AB98" s="1195" t="s">
        <v>207</v>
      </c>
      <c r="AC98" s="1192" t="s">
        <v>422</v>
      </c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 t="s">
        <v>694</v>
      </c>
      <c r="S99" s="1190">
        <v>3331570301</v>
      </c>
      <c r="T99" s="1111" t="s">
        <v>256</v>
      </c>
      <c r="U99" s="1111" t="s">
        <v>256</v>
      </c>
      <c r="V99" s="1111" t="s">
        <v>256</v>
      </c>
      <c r="W99" s="1111" t="s">
        <v>256</v>
      </c>
      <c r="X99" s="1191" t="s">
        <v>256</v>
      </c>
      <c r="Y99" s="1111" t="s">
        <v>256</v>
      </c>
      <c r="Z99" s="1111" t="s">
        <v>256</v>
      </c>
      <c r="AA99" s="1111" t="s">
        <v>256</v>
      </c>
      <c r="AB99" s="1111" t="s">
        <v>256</v>
      </c>
      <c r="AC99" s="1192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 t="s">
        <v>694</v>
      </c>
      <c r="S100" s="1190">
        <v>3331570303</v>
      </c>
      <c r="T100" s="1111" t="s">
        <v>256</v>
      </c>
      <c r="U100" s="1111" t="s">
        <v>256</v>
      </c>
      <c r="V100" s="1111" t="s">
        <v>256</v>
      </c>
      <c r="W100" s="1111" t="s">
        <v>256</v>
      </c>
      <c r="X100" s="1191" t="s">
        <v>256</v>
      </c>
      <c r="Y100" s="1111" t="s">
        <v>256</v>
      </c>
      <c r="Z100" s="1111" t="s">
        <v>256</v>
      </c>
      <c r="AA100" s="1111" t="s">
        <v>256</v>
      </c>
      <c r="AB100" s="1111" t="s">
        <v>256</v>
      </c>
      <c r="AC100" s="1192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694</v>
      </c>
      <c r="S101" s="1202">
        <v>3331570047</v>
      </c>
      <c r="T101" s="1202" t="s">
        <v>27</v>
      </c>
      <c r="U101" s="1202">
        <v>24142787</v>
      </c>
      <c r="V101" s="1202" t="s">
        <v>150</v>
      </c>
      <c r="W101" s="1257" t="s">
        <v>340</v>
      </c>
      <c r="X101" s="1203">
        <v>24377.893</v>
      </c>
      <c r="Y101" s="1257" t="s">
        <v>200</v>
      </c>
      <c r="Z101" s="1257">
        <v>1</v>
      </c>
      <c r="AA101" s="1257">
        <v>1</v>
      </c>
      <c r="AB101" s="1257" t="s">
        <v>204</v>
      </c>
      <c r="AC101" s="1192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694</v>
      </c>
      <c r="S102" s="1202">
        <v>3331570048</v>
      </c>
      <c r="T102" s="1202" t="s">
        <v>27</v>
      </c>
      <c r="U102" s="1202">
        <v>24142788</v>
      </c>
      <c r="V102" s="1202" t="s">
        <v>150</v>
      </c>
      <c r="W102" s="1257" t="s">
        <v>340</v>
      </c>
      <c r="X102" s="1203">
        <v>24722.45</v>
      </c>
      <c r="Y102" s="1257" t="s">
        <v>200</v>
      </c>
      <c r="Z102" s="1257">
        <v>1</v>
      </c>
      <c r="AA102" s="1257">
        <v>1</v>
      </c>
      <c r="AB102" s="1257" t="s">
        <v>204</v>
      </c>
      <c r="AC102" s="1192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 t="s">
        <v>694</v>
      </c>
      <c r="S103" s="1190">
        <v>3331570049</v>
      </c>
      <c r="T103" s="1190" t="s">
        <v>34</v>
      </c>
      <c r="U103" s="1190">
        <v>24142789</v>
      </c>
      <c r="V103" s="1190" t="s">
        <v>150</v>
      </c>
      <c r="W103" s="1195" t="s">
        <v>340</v>
      </c>
      <c r="X103" s="1191">
        <v>26067.202000000001</v>
      </c>
      <c r="Y103" s="1195" t="s">
        <v>200</v>
      </c>
      <c r="Z103" s="1195">
        <v>1</v>
      </c>
      <c r="AA103" s="1195">
        <v>1</v>
      </c>
      <c r="AB103" s="1195" t="s">
        <v>207</v>
      </c>
      <c r="AC103" s="1192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 t="s">
        <v>691</v>
      </c>
      <c r="S104" s="1190">
        <v>3331570051</v>
      </c>
      <c r="T104" s="1190" t="s">
        <v>287</v>
      </c>
      <c r="U104" s="1190">
        <v>24142790</v>
      </c>
      <c r="V104" s="1190" t="s">
        <v>150</v>
      </c>
      <c r="W104" s="1195" t="s">
        <v>340</v>
      </c>
      <c r="X104" s="1191">
        <v>25260.11</v>
      </c>
      <c r="Y104" s="1195" t="s">
        <v>200</v>
      </c>
      <c r="Z104" s="1195">
        <v>1</v>
      </c>
      <c r="AA104" s="1195">
        <v>1</v>
      </c>
      <c r="AB104" s="1195" t="s">
        <v>207</v>
      </c>
      <c r="AC104" s="1192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06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06"/>
      <c r="U107" s="1190"/>
      <c r="V107" s="1190"/>
      <c r="W107" s="1190"/>
      <c r="X107" s="1193"/>
      <c r="Y107" s="1190"/>
      <c r="Z107" s="1190"/>
      <c r="AA107" s="1190"/>
      <c r="AB107" s="1190"/>
      <c r="AC107" s="1192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11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94"/>
      <c r="S109" s="1195"/>
      <c r="T109" s="1111"/>
      <c r="U109" s="1195"/>
      <c r="V109" s="1190"/>
      <c r="W109" s="1190"/>
      <c r="X109" s="1196"/>
      <c r="Y109" s="1195"/>
      <c r="Z109" s="1195"/>
      <c r="AA109" s="1195"/>
      <c r="AB109" s="1195"/>
      <c r="AC109" s="1192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94"/>
      <c r="S110" s="1195"/>
      <c r="T110" s="1111"/>
      <c r="U110" s="1195"/>
      <c r="V110" s="1190"/>
      <c r="W110" s="1190"/>
      <c r="X110" s="1196"/>
      <c r="Y110" s="1195"/>
      <c r="Z110" s="1195"/>
      <c r="AA110" s="1195"/>
      <c r="AB110" s="1195"/>
      <c r="AC110" s="1192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11"/>
      <c r="U111" s="1190"/>
      <c r="V111" s="1190"/>
      <c r="W111" s="1190"/>
      <c r="X111" s="1191"/>
      <c r="Y111" s="1195"/>
      <c r="Z111" s="1190"/>
      <c r="AA111" s="1190"/>
      <c r="AB111" s="1190"/>
      <c r="AC111" s="1192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11"/>
      <c r="U112" s="1190"/>
      <c r="V112" s="1190"/>
      <c r="W112" s="1190"/>
      <c r="X112" s="1191"/>
      <c r="Y112" s="1195"/>
      <c r="Z112" s="1190"/>
      <c r="AA112" s="1190"/>
      <c r="AB112" s="1190"/>
      <c r="AC112" s="1192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94"/>
      <c r="S113" s="1195"/>
      <c r="T113" s="1111"/>
      <c r="U113" s="1195"/>
      <c r="V113" s="1195"/>
      <c r="W113" s="1190"/>
      <c r="X113" s="1196"/>
      <c r="Y113" s="1195"/>
      <c r="Z113" s="1195"/>
      <c r="AA113" s="1195"/>
      <c r="AB113" s="1190"/>
      <c r="AC113" s="1192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4"/>
      <c r="S114" s="1195"/>
      <c r="T114" s="1106"/>
      <c r="U114" s="1195"/>
      <c r="V114" s="1195"/>
      <c r="W114" s="1195"/>
      <c r="X114" s="1196"/>
      <c r="Y114" s="1195"/>
      <c r="Z114" s="1195"/>
      <c r="AA114" s="1195"/>
      <c r="AB114" s="1195"/>
      <c r="AC114" s="1197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5"/>
      <c r="W116" s="1190"/>
      <c r="X116" s="1191"/>
      <c r="Y116" s="1190"/>
      <c r="Z116" s="1190"/>
      <c r="AA116" s="1190"/>
      <c r="AB116" s="1190"/>
      <c r="AC116" s="1192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5"/>
      <c r="W117" s="1190"/>
      <c r="X117" s="1191"/>
      <c r="Y117" s="1190"/>
      <c r="Z117" s="1190"/>
      <c r="AA117" s="1190"/>
      <c r="AB117" s="1190"/>
      <c r="AC117" s="1192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90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192"/>
      <c r="AD119" s="26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5"/>
      <c r="W120" s="1190"/>
      <c r="X120" s="1191"/>
      <c r="Y120" s="1190"/>
      <c r="Z120" s="1190"/>
      <c r="AA120" s="1190"/>
      <c r="AB120" s="1190"/>
      <c r="AC120" s="1192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5"/>
      <c r="W121" s="1190"/>
      <c r="X121" s="1191"/>
      <c r="Y121" s="1190"/>
      <c r="Z121" s="1190"/>
      <c r="AA121" s="1190"/>
      <c r="AB121" s="1190"/>
      <c r="AC121" s="1192"/>
      <c r="AD121" s="203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4"/>
      <c r="S122" s="1195"/>
      <c r="T122" s="1195"/>
      <c r="U122" s="1195"/>
      <c r="V122" s="1195"/>
      <c r="W122" s="1195"/>
      <c r="X122" s="1196"/>
      <c r="Y122" s="1195"/>
      <c r="Z122" s="1195"/>
      <c r="AA122" s="1195"/>
      <c r="AB122" s="1195"/>
      <c r="AC122" s="1197"/>
      <c r="AD122" s="203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/>
      <c r="S123"/>
      <c r="T123"/>
      <c r="U123"/>
      <c r="V123"/>
      <c r="W123"/>
      <c r="X123"/>
      <c r="Y123"/>
      <c r="Z123"/>
      <c r="AA123"/>
      <c r="AB123"/>
      <c r="AC123" s="609"/>
      <c r="AD123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/>
      <c r="S124"/>
      <c r="T124"/>
      <c r="U124"/>
      <c r="V124"/>
      <c r="W124"/>
      <c r="X124"/>
      <c r="Y124"/>
      <c r="Z124"/>
      <c r="AA124"/>
      <c r="AB124"/>
      <c r="AC124" s="609"/>
      <c r="AD124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/>
      <c r="S125"/>
      <c r="T125"/>
      <c r="U125"/>
      <c r="V125"/>
      <c r="W125"/>
      <c r="X125"/>
      <c r="Y125"/>
      <c r="Z125"/>
      <c r="AA125"/>
      <c r="AB125"/>
      <c r="AC125" s="609"/>
      <c r="AD125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/>
      <c r="S126"/>
      <c r="T126"/>
      <c r="U126"/>
      <c r="V126"/>
      <c r="W126"/>
      <c r="X126"/>
      <c r="Y126"/>
      <c r="Z126"/>
      <c r="AA126"/>
      <c r="AB126"/>
      <c r="AC126" s="609"/>
      <c r="AD1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/>
      <c r="S127"/>
      <c r="T127"/>
      <c r="U127"/>
      <c r="V127"/>
      <c r="W127"/>
      <c r="X127"/>
      <c r="Y127"/>
      <c r="Z127"/>
      <c r="AA127"/>
      <c r="AB127"/>
      <c r="AC127" s="609"/>
      <c r="AD127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/>
      <c r="S128"/>
      <c r="T128"/>
      <c r="U128"/>
      <c r="V128"/>
      <c r="W128"/>
      <c r="X128"/>
      <c r="Y128"/>
      <c r="Z128"/>
      <c r="AA128"/>
      <c r="AB128"/>
      <c r="AC128" s="609"/>
      <c r="AD128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/>
      <c r="S129"/>
      <c r="T129"/>
      <c r="U129"/>
      <c r="V129"/>
      <c r="W129"/>
      <c r="X129"/>
      <c r="Y129"/>
      <c r="Z129"/>
      <c r="AA129"/>
      <c r="AB129"/>
      <c r="AC129" s="609"/>
      <c r="AD129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/>
      <c r="S130"/>
      <c r="T130"/>
      <c r="U130"/>
      <c r="V130"/>
      <c r="W130"/>
      <c r="X130"/>
      <c r="Y130"/>
      <c r="Z130"/>
      <c r="AA130"/>
      <c r="AB130"/>
      <c r="AC130" s="609"/>
      <c r="AD130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/>
      <c r="S131"/>
      <c r="T131"/>
      <c r="U131"/>
      <c r="V131"/>
      <c r="W131"/>
      <c r="X131"/>
      <c r="Y131"/>
      <c r="Z131"/>
      <c r="AA131"/>
      <c r="AB131"/>
      <c r="AC131" s="609"/>
      <c r="AD13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/>
      <c r="S132"/>
      <c r="T132"/>
      <c r="U132"/>
      <c r="V132"/>
      <c r="W132"/>
      <c r="X132"/>
      <c r="Y132"/>
      <c r="Z132"/>
      <c r="AA132"/>
      <c r="AB132"/>
      <c r="AC132" s="609"/>
      <c r="AD132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/>
      <c r="S133"/>
      <c r="T133"/>
      <c r="U133"/>
      <c r="V133"/>
      <c r="W133"/>
      <c r="X133"/>
      <c r="Y133"/>
      <c r="Z133"/>
      <c r="AA133"/>
      <c r="AB133"/>
      <c r="AC133" s="609"/>
      <c r="AD133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/>
      <c r="S134"/>
      <c r="T134"/>
      <c r="U134"/>
      <c r="V134"/>
      <c r="W134"/>
      <c r="X134"/>
      <c r="Y134"/>
      <c r="Z134"/>
      <c r="AA134"/>
      <c r="AB134"/>
      <c r="AC134" s="609"/>
      <c r="AD134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8:30" s="44" customFormat="1"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8:30" s="44" customFormat="1"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8:30" s="44" customFormat="1"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8:30" s="44" customFormat="1"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8:30" s="44" customFormat="1"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8:30" s="44" customFormat="1"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8:30" s="44" customFormat="1"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8:30" s="44" customFormat="1"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8:30" s="44" customFormat="1"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8:30" s="44" customFormat="1"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8:30" s="44" customFormat="1"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8:30" s="44" customFormat="1"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8:30" s="44" customFormat="1"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8:30" s="44" customFormat="1"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8:30" s="44" customFormat="1"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8:30" s="44" customFormat="1"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8:30" s="44" customFormat="1"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8:30" s="44" customFormat="1"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8:30" s="44" customFormat="1"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8:30" s="44" customFormat="1"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8:30" s="44" customFormat="1"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8:30" s="44" customFormat="1"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8:30" s="44" customFormat="1"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8:30" s="44" customFormat="1"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8:30" s="44" customFormat="1"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8:30" s="44" customFormat="1"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8:30" s="44" customFormat="1"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8:30" s="44" customFormat="1"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8:30" s="44" customFormat="1"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8:30" s="44" customFormat="1"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8:30" s="44" customFormat="1"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8:30" s="44" customFormat="1"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8:30" s="44" customFormat="1"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8:30" s="44" customFormat="1"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8:30" s="44" customFormat="1"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8:30" s="44" customFormat="1"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8:30" s="44" customFormat="1"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8:30" s="44" customFormat="1"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1" spans="18:30" s="44" customFormat="1">
      <c r="R211"/>
      <c r="S211"/>
      <c r="T211"/>
      <c r="U211"/>
      <c r="V211"/>
      <c r="W211"/>
      <c r="X211"/>
      <c r="Y211"/>
      <c r="Z211"/>
      <c r="AA211"/>
      <c r="AB211"/>
      <c r="AC211" s="609"/>
      <c r="AD211"/>
    </row>
    <row r="212" spans="18:30" s="44" customFormat="1">
      <c r="R212"/>
      <c r="S212"/>
      <c r="T212"/>
      <c r="U212"/>
      <c r="V212"/>
      <c r="W212"/>
      <c r="X212"/>
      <c r="Y212"/>
      <c r="Z212"/>
      <c r="AA212"/>
      <c r="AB212"/>
      <c r="AC212" s="609"/>
      <c r="AD212"/>
    </row>
    <row r="213" spans="18:30" s="44" customFormat="1">
      <c r="R213"/>
      <c r="S213"/>
      <c r="T213"/>
      <c r="U213"/>
      <c r="V213"/>
      <c r="W213"/>
      <c r="X213"/>
      <c r="Y213"/>
      <c r="Z213"/>
      <c r="AA213"/>
      <c r="AB213"/>
      <c r="AC213" s="609"/>
      <c r="AD213"/>
    </row>
  </sheetData>
  <protectedRanges>
    <protectedRange algorithmName="SHA-512" hashValue="24Yg3M703G5L8OyJWxlkx8c1Gwfrkael5W/l3TUk/Rcz5tR8QOgCx5v0Ebb/UGz+9BDKPJ5wV4hH8uuxvmtGIw==" saltValue="ZSJQ8EEnwGxsiYzxIw6K0Q==" spinCount="100000" sqref="N6:N8 A23:D29 N16:N18 O6:P9 B6:M9 E4:E5 B16:D18 E16:M19 O16:P19 F20:H32 F33:G33 F44:P59 F34:H43 E20:E59 I20:P43 E60:P146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30:D146" name="Range2_5_2_2_2_2_2_2_2_2_2_2_2_2_2_2_2"/>
    <protectedRange algorithmName="SHA-512" hashValue="24Yg3M703G5L8OyJWxlkx8c1Gwfrkael5W/l3TUk/Rcz5tR8QOgCx5v0Ebb/UGz+9BDKPJ5wV4hH8uuxvmtGIw==" saltValue="ZSJQ8EEnwGxsiYzxIw6K0Q==" spinCount="100000" sqref="B30:D146" name="Range1_65_32_2_2_2_2_2_2_2_2_2_2_2_2_2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_4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_24"/>
    <protectedRange algorithmName="SHA-512" hashValue="XYWjC+iAz2ErgjMh7TSLHlxfTfK0uVcITDFdCCZFdnsWWbUNnsQqu9AM+0WFXQpYcy9ZvQx2KUXfpLhpOROHkg==" saltValue="47TiGLG0rJVTo3iAJH8T4w==" spinCount="100000" sqref="B21:D21" name="Range2_5_2_2_2_2_2_2_2_3_3_2_2_2_3_3_5_2_3_3_2"/>
    <protectedRange algorithmName="SHA-512" hashValue="24Yg3M703G5L8OyJWxlkx8c1Gwfrkael5W/l3TUk/Rcz5tR8QOgCx5v0Ebb/UGz+9BDKPJ5wV4hH8uuxvmtGIw==" saltValue="ZSJQ8EEnwGxsiYzxIw6K0Q==" spinCount="100000" sqref="B19:D21" name="Range1_65_32_2_2_2_2_2_2_3_3_2_2_3_3_3_5_2_3_3_2"/>
  </protectedRanges>
  <mergeCells count="23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N8:P9"/>
    <mergeCell ref="F9:H9"/>
    <mergeCell ref="J9:L9"/>
    <mergeCell ref="A10:A11"/>
    <mergeCell ref="B10:D10"/>
    <mergeCell ref="F10:H10"/>
    <mergeCell ref="J10:L10"/>
    <mergeCell ref="N10:P10"/>
    <mergeCell ref="A19:A20"/>
    <mergeCell ref="B19:D19"/>
    <mergeCell ref="F33:L38"/>
    <mergeCell ref="F8:H8"/>
    <mergeCell ref="J8:L8"/>
  </mergeCells>
  <conditionalFormatting sqref="S2:S75">
    <cfRule type="duplicateValues" dxfId="15" priority="49"/>
  </conditionalFormatting>
  <conditionalFormatting sqref="S76:S1048576 S1">
    <cfRule type="duplicateValues" dxfId="14" priority="46"/>
  </conditionalFormatting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CDB-5DD1-4F2C-AAA9-2BA9636F1F83}">
  <dimension ref="A1:AG225"/>
  <sheetViews>
    <sheetView showGridLines="0" topLeftCell="J1" zoomScale="55" zoomScaleNormal="55" workbookViewId="0">
      <selection activeCell="V37" sqref="V37"/>
    </sheetView>
  </sheetViews>
  <sheetFormatPr defaultRowHeight="14.4"/>
  <cols>
    <col min="1" max="1" width="43" bestFit="1" customWidth="1"/>
    <col min="2" max="4" width="11.109375" customWidth="1"/>
    <col min="5" max="5" width="15" bestFit="1" customWidth="1"/>
    <col min="6" max="8" width="16" customWidth="1"/>
    <col min="9" max="9" width="15" bestFit="1" customWidth="1"/>
    <col min="10" max="12" width="20.44140625" customWidth="1"/>
    <col min="13" max="13" width="1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727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723</v>
      </c>
      <c r="B2" s="733"/>
      <c r="C2" s="733"/>
      <c r="D2" s="733"/>
      <c r="E2" s="735"/>
      <c r="F2" s="1525" t="s">
        <v>724</v>
      </c>
      <c r="G2" s="1525"/>
      <c r="H2" s="1525"/>
      <c r="I2" s="742"/>
      <c r="J2" s="1525" t="s">
        <v>725</v>
      </c>
      <c r="K2" s="1525"/>
      <c r="L2" s="1525"/>
      <c r="M2" s="735"/>
      <c r="N2" s="1526"/>
      <c r="O2" s="1526"/>
      <c r="P2" s="1526"/>
      <c r="R2" s="1189" t="s">
        <v>691</v>
      </c>
      <c r="S2" s="1293">
        <v>3331567952</v>
      </c>
      <c r="T2" s="1217" t="s">
        <v>424</v>
      </c>
      <c r="U2" s="1190">
        <v>24142464</v>
      </c>
      <c r="V2" s="1190" t="s">
        <v>429</v>
      </c>
      <c r="W2" s="1190" t="s">
        <v>362</v>
      </c>
      <c r="X2" s="1295">
        <v>24968.92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201" t="s">
        <v>691</v>
      </c>
      <c r="S3" s="1202">
        <v>3331568436</v>
      </c>
      <c r="T3" s="1202" t="s">
        <v>424</v>
      </c>
      <c r="U3" s="1202">
        <v>24142545</v>
      </c>
      <c r="V3" s="1202" t="s">
        <v>429</v>
      </c>
      <c r="W3" s="1202" t="s">
        <v>362</v>
      </c>
      <c r="X3" s="1203">
        <v>23794.667000000001</v>
      </c>
      <c r="Y3" s="1202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691</v>
      </c>
      <c r="S4" s="1202">
        <v>3331568438</v>
      </c>
      <c r="T4" s="1202" t="s">
        <v>424</v>
      </c>
      <c r="U4" s="1202">
        <v>24142546</v>
      </c>
      <c r="V4" s="1202" t="s">
        <v>429</v>
      </c>
      <c r="W4" s="1202" t="s">
        <v>362</v>
      </c>
      <c r="X4" s="1203">
        <v>24169.652999999998</v>
      </c>
      <c r="Y4" s="1202" t="s">
        <v>426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SUMPRODUCT(--ISNUMBER(MATCH(TRIM(W1:W285), {"JABODETABEK","JAWA TENGAH","JAWA TIMUR","LUAR PULAU"}, 0)), --(AC1:AC285=""))</f>
        <v>44</v>
      </c>
      <c r="C5" s="1303" cm="1">
        <f t="array" ref="C5">SUMPRODUCT(--(LOWER(TRIM(AB1:AB311))="masuk"), --(ISNUMBER(MATCH(TRIM(W1:W311), {"JABODETABEK","JAWA TENGAH","JAWA TIMUR","LUAR PULAU"}, 0))), --(LOWER(AC1:AC311)&lt;&gt;"add"))</f>
        <v>39</v>
      </c>
      <c r="D5" s="1304">
        <f>C5+-B5</f>
        <v>-5</v>
      </c>
      <c r="E5" s="734"/>
      <c r="F5" s="1306" cm="1">
        <f t="array" ref="F5">SUMPRODUCT(--(LOWER(AC1:AC311)="add"), --(ISNUMBER(MATCH(W1:W311, {"JABODETABEK","JAWA TENGAH","JAWA TIMUR","LUAR PULAU"}, 0))))</f>
        <v>3</v>
      </c>
      <c r="G5" s="1303" cm="1">
        <f t="array" ref="G5">SUMPRODUCT(--(LOWER(AB1:AB311)="masuk"), --(LOWER(AC1:AC311)="add"))</f>
        <v>3</v>
      </c>
      <c r="H5" s="1304">
        <f>G5+-F5</f>
        <v>0</v>
      </c>
      <c r="I5" s="734"/>
      <c r="J5" s="1306" cm="1">
        <f t="array" ref="J5">SUMPRODUCT(--(ISNUMBER(SEARCH("next day",LOWER(W1:W311)))+ISNUMBER(SEARCH("nextday",LOWER(W1:W311)))&gt; 0))</f>
        <v>38</v>
      </c>
      <c r="K5" s="1303" cm="1">
        <f t="array" ref="K5">SUMPRODUCT(--(LOWER(AB1:AB311)="masuk"), --ISNUMBER(SEARCH("next day", LOWER(W1:W311))))</f>
        <v>18</v>
      </c>
      <c r="L5" s="1304">
        <f>K5+-J5</f>
        <v>-20</v>
      </c>
      <c r="M5" s="734"/>
      <c r="N5" s="1306">
        <f>B5+F5+J5</f>
        <v>85</v>
      </c>
      <c r="O5" s="1303">
        <f>C5+G5+K5</f>
        <v>60</v>
      </c>
      <c r="P5" s="1304">
        <f>D5+H5+L5</f>
        <v>-25</v>
      </c>
      <c r="R5" s="1201" t="s">
        <v>691</v>
      </c>
      <c r="S5" s="1202">
        <v>3331568439</v>
      </c>
      <c r="T5" s="1202" t="s">
        <v>424</v>
      </c>
      <c r="U5" s="1202">
        <v>24142547</v>
      </c>
      <c r="V5" s="1202" t="s">
        <v>429</v>
      </c>
      <c r="W5" s="1202" t="s">
        <v>362</v>
      </c>
      <c r="X5" s="1203">
        <v>25016.202000000001</v>
      </c>
      <c r="Y5" s="1202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44</v>
      </c>
      <c r="C6" s="733">
        <f>SUM(C5)</f>
        <v>39</v>
      </c>
      <c r="D6" s="739">
        <f>SUM(D5)</f>
        <v>-5</v>
      </c>
      <c r="E6" s="734"/>
      <c r="F6" s="733">
        <f>SUM(F5)</f>
        <v>3</v>
      </c>
      <c r="G6" s="733">
        <f>SUM(G5)</f>
        <v>3</v>
      </c>
      <c r="H6" s="739">
        <f>SUM(H5)</f>
        <v>0</v>
      </c>
      <c r="I6" s="733"/>
      <c r="J6" s="733">
        <f>SUM(J5)</f>
        <v>38</v>
      </c>
      <c r="K6" s="733">
        <f>SUM(K5)</f>
        <v>18</v>
      </c>
      <c r="L6" s="739">
        <f>SUM(L5)</f>
        <v>-20</v>
      </c>
      <c r="M6" s="733"/>
      <c r="N6" s="760">
        <f>SUM(N5:N5)</f>
        <v>85</v>
      </c>
      <c r="O6" s="760">
        <f>SUM(O5:O5)</f>
        <v>60</v>
      </c>
      <c r="P6" s="761">
        <f>SUM(P5:P5)</f>
        <v>-25</v>
      </c>
      <c r="R6" s="1252" t="s">
        <v>691</v>
      </c>
      <c r="S6" s="1209">
        <v>3331568441</v>
      </c>
      <c r="T6" s="1202" t="s">
        <v>424</v>
      </c>
      <c r="U6" s="1209">
        <v>24142548</v>
      </c>
      <c r="V6" s="1202" t="s">
        <v>429</v>
      </c>
      <c r="W6" s="1202" t="s">
        <v>362</v>
      </c>
      <c r="X6" s="1203">
        <v>24176.695</v>
      </c>
      <c r="Y6" s="1202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691</v>
      </c>
      <c r="S7" s="1202">
        <v>3331568443</v>
      </c>
      <c r="T7" s="1202" t="s">
        <v>424</v>
      </c>
      <c r="U7" s="1202">
        <v>24142549</v>
      </c>
      <c r="V7" s="1202" t="s">
        <v>429</v>
      </c>
      <c r="W7" s="1202" t="s">
        <v>362</v>
      </c>
      <c r="X7" s="1203">
        <v>24591.669000000002</v>
      </c>
      <c r="Y7" s="1202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Delivery 11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1" t="s">
        <v>728</v>
      </c>
      <c r="S8" s="1202">
        <v>3331568456</v>
      </c>
      <c r="T8" s="1202" t="s">
        <v>424</v>
      </c>
      <c r="U8" s="1202">
        <v>24142552</v>
      </c>
      <c r="V8" s="1202" t="s">
        <v>429</v>
      </c>
      <c r="W8" s="1202" t="s">
        <v>362</v>
      </c>
      <c r="X8" s="1203">
        <v>24421.763999999999</v>
      </c>
      <c r="Y8" s="1202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 customHeight="1">
      <c r="A9" s="763" t="str">
        <f>A2</f>
        <v>Realz update 12 Nov’25 jam 07.00</v>
      </c>
      <c r="B9" s="825"/>
      <c r="C9" s="825"/>
      <c r="D9" s="825"/>
      <c r="E9" s="734"/>
      <c r="F9" s="1525" t="str">
        <f>F2</f>
        <v>Tgl 11 Nov’25 diatas jam 15.00</v>
      </c>
      <c r="G9" s="1525"/>
      <c r="H9" s="1525"/>
      <c r="I9" s="826"/>
      <c r="J9" s="1525" t="str">
        <f>J2</f>
        <v>Tgl 11 Nov’25</v>
      </c>
      <c r="K9" s="1525"/>
      <c r="L9" s="1525"/>
      <c r="M9" s="734"/>
      <c r="N9" s="1526"/>
      <c r="O9" s="1526"/>
      <c r="P9" s="1526"/>
      <c r="R9" s="1201" t="s">
        <v>728</v>
      </c>
      <c r="S9" s="1202">
        <v>3331568460</v>
      </c>
      <c r="T9" s="1202" t="s">
        <v>424</v>
      </c>
      <c r="U9" s="1202">
        <v>24142553</v>
      </c>
      <c r="V9" s="1202" t="s">
        <v>429</v>
      </c>
      <c r="W9" s="1202" t="s">
        <v>362</v>
      </c>
      <c r="X9" s="1203">
        <v>23815.55</v>
      </c>
      <c r="Y9" s="1202" t="s">
        <v>426</v>
      </c>
      <c r="Z9" s="1369">
        <v>1</v>
      </c>
      <c r="AA9" s="1369">
        <v>1</v>
      </c>
      <c r="AB9" s="1369" t="s">
        <v>204</v>
      </c>
      <c r="AC9" s="1271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201" t="s">
        <v>728</v>
      </c>
      <c r="S10" s="1202">
        <v>3331568463</v>
      </c>
      <c r="T10" s="1202" t="s">
        <v>424</v>
      </c>
      <c r="U10" s="1202">
        <v>24142554</v>
      </c>
      <c r="V10" s="1202" t="s">
        <v>429</v>
      </c>
      <c r="W10" s="1202" t="s">
        <v>362</v>
      </c>
      <c r="X10" s="1203">
        <f>18277.763+4763.11</f>
        <v>23040.873</v>
      </c>
      <c r="Y10" s="1202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691</v>
      </c>
      <c r="S11" s="1202">
        <v>3331568464</v>
      </c>
      <c r="T11" s="1261" t="s">
        <v>256</v>
      </c>
      <c r="U11" s="1202" t="s">
        <v>256</v>
      </c>
      <c r="V11" s="1202" t="s">
        <v>256</v>
      </c>
      <c r="W11" s="1209" t="s">
        <v>256</v>
      </c>
      <c r="X11" s="1203" t="s">
        <v>256</v>
      </c>
      <c r="Y11" s="1202" t="s">
        <v>256</v>
      </c>
      <c r="Z11" s="1209" t="s">
        <v>256</v>
      </c>
      <c r="AA11" s="1209" t="s">
        <v>256</v>
      </c>
      <c r="AB11" s="1208" t="s">
        <v>256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SUMPRODUCT(--(TRIM(LOWER(W1:W311))="jabodetabek"), --(LOWER(AC1:AC311)&lt;&gt;"add"))</f>
        <v>22</v>
      </c>
      <c r="C12" s="748" cm="1">
        <f t="array" ref="C12">SUMPRODUCT(--(LOWER(AB1:AB311)="masuk"), --(TRIM(LOWER(W1:W311))="jabodetabek"), --(LOWER(AC1:AC311)&lt;&gt;"add"))</f>
        <v>22</v>
      </c>
      <c r="D12" s="973">
        <f>C12+-B12</f>
        <v>0</v>
      </c>
      <c r="E12" s="734"/>
      <c r="F12" s="748" cm="1">
        <f t="array" ref="F12">SUMPRODUCT(--(LOWER(AC1:AC311)="add"), --(TRIM(LOWER(W1:W311))="jabodetabek"))</f>
        <v>0</v>
      </c>
      <c r="G12" s="747" cm="1">
        <f t="array" ref="G12">SUMPRODUCT(--(LOWER(AB1:AB311)="masuk"), --(LOWER(AC1:AC311)="add"), --(TRIM(LOWER(W1:W311))="jabodetabek"))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day",LOWER(W1:W311)))+ISNUMBER(SEARCH("jabodetabek nextday",LOWER(W1:W311)))&gt; 0))</f>
        <v>7</v>
      </c>
      <c r="K12" s="747" cm="1">
        <f t="array" ref="K12">SUMPRODUCT(--(LOWER(AB1:AB311)="masuk"), --(LOWER(TRIM(W1:W311))="jabodetabek next day"))</f>
        <v>7</v>
      </c>
      <c r="L12" s="740">
        <f>K12+-J12</f>
        <v>0</v>
      </c>
      <c r="M12" s="734"/>
      <c r="N12" s="748">
        <f t="shared" ref="N12:P16" si="0">B12+F12+J12</f>
        <v>29</v>
      </c>
      <c r="O12" s="747">
        <f t="shared" si="0"/>
        <v>29</v>
      </c>
      <c r="P12" s="740">
        <f t="shared" si="0"/>
        <v>0</v>
      </c>
      <c r="R12" s="1174" t="s">
        <v>718</v>
      </c>
      <c r="S12" s="105">
        <v>3331568677</v>
      </c>
      <c r="T12" s="1261" t="s">
        <v>424</v>
      </c>
      <c r="U12" s="105">
        <v>24142589</v>
      </c>
      <c r="V12" s="1202" t="s">
        <v>429</v>
      </c>
      <c r="W12" s="105" t="s">
        <v>362</v>
      </c>
      <c r="X12" s="209">
        <v>24513.705000000002</v>
      </c>
      <c r="Y12" s="105" t="s">
        <v>426</v>
      </c>
      <c r="Z12" s="1369">
        <v>1</v>
      </c>
      <c r="AA12" s="1369">
        <v>1</v>
      </c>
      <c r="AB12" s="1369" t="s">
        <v>204</v>
      </c>
      <c r="AC12" s="240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SUMPRODUCT(--(TRIM(LOWER(W1:W311))="jawa tengah"), --(LOWER(AC1:AC311)&lt;&gt;"add"))</f>
        <v>5</v>
      </c>
      <c r="C13" s="750" cm="1">
        <f t="array" ref="C13">SUMPRODUCT(--(LOWER(AB1:AB311)="masuk"), --(TRIM(LOWER(W1:W311))="jawa tengah"), --(LOWER(AC1:AC311)&lt;&gt;"add"))</f>
        <v>5</v>
      </c>
      <c r="D13" s="846">
        <f>C13+-B13</f>
        <v>0</v>
      </c>
      <c r="E13" s="734"/>
      <c r="F13" s="751" cm="1">
        <f t="array" ref="F13">SUMPRODUCT(--(LOWER(AC1:AC311)="add"), --(TRIM(LOWER(W1:W311))="jawa tengah"))</f>
        <v>1</v>
      </c>
      <c r="G13" s="747" cm="1">
        <f t="array" ref="G13">SUMPRODUCT(--(LOWER(AB1:AB311)="masuk"), --(LOWER(AC1:AC311)="add"), --(TRIM(LOWER(W1:W311))="jawa tengah"))</f>
        <v>1</v>
      </c>
      <c r="H13" s="740">
        <f>G13+-F13</f>
        <v>0</v>
      </c>
      <c r="I13" s="734"/>
      <c r="J13" s="748" cm="1">
        <f t="array" ref="J13">SUMPRODUCT(--((LOWER(TRIM(W1:W311))="jawa tengah next day")+(LOWER(TRIM(W1:W311))="jawa tengah nextday")))</f>
        <v>15</v>
      </c>
      <c r="K13" s="747" cm="1">
        <f t="array" ref="K13">SUMPRODUCT(--(LOWER(AB1:AB311)="masuk"), --(LOWER(TRIM(W1:W311))="jawa tengah next day"))</f>
        <v>10</v>
      </c>
      <c r="L13" s="740">
        <f>K13+-J13</f>
        <v>-5</v>
      </c>
      <c r="M13" s="734"/>
      <c r="N13" s="748">
        <f t="shared" si="0"/>
        <v>21</v>
      </c>
      <c r="O13" s="747">
        <f t="shared" si="0"/>
        <v>16</v>
      </c>
      <c r="P13" s="740">
        <f t="shared" si="0"/>
        <v>-5</v>
      </c>
      <c r="R13" s="1326" t="s">
        <v>718</v>
      </c>
      <c r="S13" s="81">
        <v>3331568788</v>
      </c>
      <c r="T13" s="81" t="s">
        <v>351</v>
      </c>
      <c r="U13" s="81">
        <v>24142619</v>
      </c>
      <c r="V13" s="1190" t="s">
        <v>354</v>
      </c>
      <c r="W13" s="1190" t="s">
        <v>362</v>
      </c>
      <c r="X13" s="191">
        <v>24595.005000000001</v>
      </c>
      <c r="Y13" s="81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SUMPRODUCT(--(TRIM(LOWER(W1:W311))="jawa timur"), --(LOWER(AC1:AC311)&lt;&gt;"add"))</f>
        <v>2</v>
      </c>
      <c r="C14" s="750" cm="1">
        <f t="array" ref="C14">SUMPRODUCT(--(LOWER(AB1:AB311)="masuk"), --(TRIM(LOWER(W1:W311))="jawa timur"), --(LOWER(AC1:AC311)&lt;&gt;"add"))</f>
        <v>2</v>
      </c>
      <c r="D14" s="846">
        <f>C14+-B14</f>
        <v>0</v>
      </c>
      <c r="E14" s="734"/>
      <c r="F14" s="750" cm="1">
        <f t="array" ref="F14">SUMPRODUCT(--(LOWER(AC1:AC311)="add"), --(TRIM(LOWER(W1:W311))="jawa timur"))</f>
        <v>2</v>
      </c>
      <c r="G14" s="747" cm="1">
        <f t="array" ref="G14">SUMPRODUCT(--(LOWER(AB1:AB311)="masuk"), --(LOWER(AC1:AC311)="add"), --(TRIM(LOWER(W1:W311))="jawa timur"))</f>
        <v>2</v>
      </c>
      <c r="H14" s="740">
        <f>G14+-F14</f>
        <v>0</v>
      </c>
      <c r="I14" s="734"/>
      <c r="J14" s="748" cm="1">
        <f t="array" ref="J14">SUMPRODUCT(--((LOWER(TRIM(W1:W311))="jawa timur next day")+(LOWER(TRIM(W1:W311))="jawa timur nextday")))</f>
        <v>0</v>
      </c>
      <c r="K14" s="747" cm="1">
        <f t="array" ref="K14">SUMPRODUCT(--(LOWER(AB1:AB311)="masuk"), --(LOWER(TRIM(W1:W311))="jawa timur next day"))</f>
        <v>0</v>
      </c>
      <c r="L14" s="740">
        <f>K14+-J14</f>
        <v>0</v>
      </c>
      <c r="M14" s="734"/>
      <c r="N14" s="748">
        <f t="shared" si="0"/>
        <v>4</v>
      </c>
      <c r="O14" s="747">
        <f t="shared" si="0"/>
        <v>4</v>
      </c>
      <c r="P14" s="740">
        <f t="shared" si="0"/>
        <v>0</v>
      </c>
      <c r="R14" s="1326" t="s">
        <v>718</v>
      </c>
      <c r="S14" s="81">
        <v>3331568791</v>
      </c>
      <c r="T14" s="81" t="s">
        <v>351</v>
      </c>
      <c r="U14" s="81">
        <v>24142620</v>
      </c>
      <c r="V14" s="1190" t="s">
        <v>354</v>
      </c>
      <c r="W14" s="1190" t="s">
        <v>362</v>
      </c>
      <c r="X14" s="191">
        <v>23943.398000000001</v>
      </c>
      <c r="Y14" s="81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SUMPRODUCT(--(TRIM(LOWER(W1:W311))="luar pulau"), --(LOWER(AC1:AC311)&lt;&gt;"add"))</f>
        <v>15</v>
      </c>
      <c r="C15" s="750" cm="1">
        <f t="array" ref="C15">SUMPRODUCT(--(LOWER(AB1:AB311)="masuk"), --(TRIM(LOWER(W1:W311))="luar pulau"), --(LOWER(AC1:AC311)&lt;&gt;"add"))</f>
        <v>10</v>
      </c>
      <c r="D15" s="846">
        <f>C15+-B15</f>
        <v>-5</v>
      </c>
      <c r="E15" s="734"/>
      <c r="F15" s="748" cm="1">
        <f t="array" ref="F15">SUMPRODUCT(--(LOWER(AC1:AC311)="add"), --(TRIM(LOWER(W1:W311))="luar pulau"))</f>
        <v>0</v>
      </c>
      <c r="G15" s="747" cm="1">
        <f t="array" ref="G15">SUMPRODUCT(--(LOWER(AB1:AB311)="masuk"), --(LOWER(AC1:AC311)="add"), --(TRIM(LOWER(W1:W311))="luar pulau"))</f>
        <v>0</v>
      </c>
      <c r="H15" s="740">
        <f>G15+-F15</f>
        <v>0</v>
      </c>
      <c r="I15" s="734"/>
      <c r="J15" s="748" cm="1">
        <f t="array" ref="J15">SUMPRODUCT(--((LOWER(TRIM(W1:W311))="luar pulau next day")+(LOWER(TRIM(W1:W311))="luar pulau nextday")))</f>
        <v>16</v>
      </c>
      <c r="K15" s="747" cm="1">
        <f t="array" ref="K15">SUMPRODUCT(--(LOWER(AB1:AB311)="masuk"), --(LOWER(TRIM(W1:W311))="luar pulau next day"))</f>
        <v>1</v>
      </c>
      <c r="L15" s="740">
        <f>K15+-J15</f>
        <v>-15</v>
      </c>
      <c r="M15" s="734"/>
      <c r="N15" s="748">
        <f t="shared" si="0"/>
        <v>31</v>
      </c>
      <c r="O15" s="747">
        <f t="shared" si="0"/>
        <v>11</v>
      </c>
      <c r="P15" s="740">
        <f t="shared" si="0"/>
        <v>-20</v>
      </c>
      <c r="R15" s="81" t="s">
        <v>718</v>
      </c>
      <c r="S15" s="81">
        <v>3331568793</v>
      </c>
      <c r="T15" s="81" t="s">
        <v>351</v>
      </c>
      <c r="U15" s="81">
        <v>24142621</v>
      </c>
      <c r="V15" s="1190" t="s">
        <v>354</v>
      </c>
      <c r="W15" s="1190" t="s">
        <v>362</v>
      </c>
      <c r="X15" s="384">
        <v>25225.45</v>
      </c>
      <c r="Y15" s="81" t="s">
        <v>426</v>
      </c>
      <c r="Z15" s="1361">
        <v>1</v>
      </c>
      <c r="AA15" s="1361">
        <v>1</v>
      </c>
      <c r="AB15" s="1361" t="s">
        <v>207</v>
      </c>
      <c r="AC15" s="81"/>
      <c r="AD15" s="81"/>
      <c r="AE15" s="44"/>
      <c r="AF15" s="44"/>
      <c r="AG15" s="44"/>
    </row>
    <row r="16" spans="1:33" ht="17.399999999999999">
      <c r="A16" s="827"/>
      <c r="B16" s="733">
        <f>SUM(B12:B15)</f>
        <v>44</v>
      </c>
      <c r="C16" s="733">
        <f>SUM(C12:C15)</f>
        <v>39</v>
      </c>
      <c r="D16" s="739">
        <f>SUM(D12:D15)</f>
        <v>-5</v>
      </c>
      <c r="E16" s="734"/>
      <c r="F16" s="733">
        <f>SUM(F12:F15)</f>
        <v>3</v>
      </c>
      <c r="G16" s="733">
        <f>SUM(G12:G15)</f>
        <v>3</v>
      </c>
      <c r="H16" s="739">
        <f>SUM(H12:H15)</f>
        <v>0</v>
      </c>
      <c r="I16" s="734"/>
      <c r="J16" s="733">
        <f>SUM(J12:J15)</f>
        <v>38</v>
      </c>
      <c r="K16" s="733">
        <f>SUM(K12:K15)</f>
        <v>18</v>
      </c>
      <c r="L16" s="739">
        <f>SUM(L12:L15)</f>
        <v>-20</v>
      </c>
      <c r="M16" s="734"/>
      <c r="N16" s="760">
        <f t="shared" si="0"/>
        <v>85</v>
      </c>
      <c r="O16" s="760">
        <f t="shared" si="0"/>
        <v>60</v>
      </c>
      <c r="P16" s="761">
        <f t="shared" si="0"/>
        <v>-25</v>
      </c>
      <c r="R16" s="81" t="s">
        <v>691</v>
      </c>
      <c r="S16" s="81">
        <v>3331568799</v>
      </c>
      <c r="T16" s="81" t="s">
        <v>351</v>
      </c>
      <c r="U16" s="81">
        <v>24142622</v>
      </c>
      <c r="V16" s="1190" t="s">
        <v>354</v>
      </c>
      <c r="W16" s="1190" t="s">
        <v>362</v>
      </c>
      <c r="X16" s="384">
        <f>8945.352+12990.3+1161.176</f>
        <v>23096.828000000001</v>
      </c>
      <c r="Y16" s="81" t="s">
        <v>426</v>
      </c>
      <c r="Z16" s="1361">
        <v>1</v>
      </c>
      <c r="AA16" s="1361">
        <v>1</v>
      </c>
      <c r="AB16" s="1361" t="s">
        <v>207</v>
      </c>
      <c r="AC16" s="8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26" t="s">
        <v>718</v>
      </c>
      <c r="S17" s="81">
        <v>3331568800</v>
      </c>
      <c r="T17" s="81" t="s">
        <v>256</v>
      </c>
      <c r="U17" s="81" t="s">
        <v>256</v>
      </c>
      <c r="V17" s="1190" t="s">
        <v>256</v>
      </c>
      <c r="W17" s="81" t="s">
        <v>256</v>
      </c>
      <c r="X17" s="191" t="s">
        <v>256</v>
      </c>
      <c r="Y17" s="81" t="s">
        <v>256</v>
      </c>
      <c r="Z17" s="81" t="s">
        <v>256</v>
      </c>
      <c r="AA17" s="81" t="s">
        <v>256</v>
      </c>
      <c r="AB17" s="81" t="s">
        <v>256</v>
      </c>
      <c r="AC17" s="240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26" t="s">
        <v>718</v>
      </c>
      <c r="S18" s="81">
        <v>3331568801</v>
      </c>
      <c r="T18" s="81" t="s">
        <v>256</v>
      </c>
      <c r="U18" s="81" t="s">
        <v>256</v>
      </c>
      <c r="V18" s="1190" t="s">
        <v>256</v>
      </c>
      <c r="W18" s="81" t="s">
        <v>256</v>
      </c>
      <c r="X18" s="191" t="s">
        <v>256</v>
      </c>
      <c r="Y18" s="81" t="s">
        <v>256</v>
      </c>
      <c r="Z18" s="81" t="s">
        <v>256</v>
      </c>
      <c r="AA18" s="81" t="s">
        <v>256</v>
      </c>
      <c r="AB18" s="81" t="s">
        <v>256</v>
      </c>
      <c r="AC18" s="240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26" t="s">
        <v>691</v>
      </c>
      <c r="S19" s="81">
        <v>3331569861</v>
      </c>
      <c r="T19" s="81" t="s">
        <v>351</v>
      </c>
      <c r="U19" s="81">
        <v>24142762</v>
      </c>
      <c r="V19" s="1190" t="s">
        <v>354</v>
      </c>
      <c r="W19" s="1190" t="s">
        <v>703</v>
      </c>
      <c r="X19" s="191">
        <v>23988.754000000001</v>
      </c>
      <c r="Y19" s="81" t="s">
        <v>426</v>
      </c>
      <c r="Z19" s="1361">
        <v>1</v>
      </c>
      <c r="AA19" s="1361">
        <v>1</v>
      </c>
      <c r="AB19" s="1361" t="s">
        <v>207</v>
      </c>
      <c r="AC19" s="240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74" t="s">
        <v>718</v>
      </c>
      <c r="S20" s="105">
        <v>3331568825</v>
      </c>
      <c r="T20" s="105" t="s">
        <v>336</v>
      </c>
      <c r="U20" s="105">
        <v>24142627</v>
      </c>
      <c r="V20" s="1227" t="s">
        <v>529</v>
      </c>
      <c r="W20" s="105" t="s">
        <v>434</v>
      </c>
      <c r="X20" s="209">
        <v>39057.502</v>
      </c>
      <c r="Y20" s="105" t="s">
        <v>128</v>
      </c>
      <c r="Z20" s="1373">
        <v>1</v>
      </c>
      <c r="AA20" s="1373">
        <v>1</v>
      </c>
      <c r="AB20" s="1369" t="s">
        <v>204</v>
      </c>
      <c r="AC20" s="240"/>
      <c r="AD20" s="81"/>
    </row>
    <row r="21" spans="1:30" s="44" customFormat="1" ht="18">
      <c r="A21" s="968" t="s">
        <v>427</v>
      </c>
      <c r="B21" s="970" cm="1">
        <f t="array" ref="B21">SUMPRODUCT(--((LOWER(TRIM($W$2:$W$307))="ambil sendiri")+(LOWER(TRIM($W$2:$W$307))="cokot sorangan")))</f>
        <v>1</v>
      </c>
      <c r="C21" s="969" cm="1">
        <f t="array" ref="C21">SUMPRODUCT(--(LOWER(AB6:AB337)="masuk"), --((LOWER(TRIM($W$2:$W$333))="cokot sorangan") + (LOWER(TRIM(W6:W337))="ambil sendiri")))</f>
        <v>1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692</v>
      </c>
      <c r="S21" s="1227">
        <v>3331569634</v>
      </c>
      <c r="T21" s="1317" t="s">
        <v>441</v>
      </c>
      <c r="U21" s="1227">
        <v>24142691</v>
      </c>
      <c r="V21" s="1227" t="s">
        <v>729</v>
      </c>
      <c r="W21" s="1227" t="s">
        <v>203</v>
      </c>
      <c r="X21" s="1229">
        <f>2107.318+36985.589</f>
        <v>39092.906999999999</v>
      </c>
      <c r="Y21" s="105" t="s">
        <v>128</v>
      </c>
      <c r="Z21" s="1373">
        <v>1</v>
      </c>
      <c r="AA21" s="1373">
        <v>1</v>
      </c>
      <c r="AB21" s="1369" t="s">
        <v>204</v>
      </c>
      <c r="AC21" s="1217"/>
      <c r="AD21" s="1326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2" t="s">
        <v>692</v>
      </c>
      <c r="S22" s="1227">
        <v>3331569635</v>
      </c>
      <c r="T22" s="1317" t="s">
        <v>256</v>
      </c>
      <c r="U22" s="1227" t="s">
        <v>256</v>
      </c>
      <c r="V22" s="1227" t="s">
        <v>256</v>
      </c>
      <c r="W22" s="1264" t="s">
        <v>256</v>
      </c>
      <c r="X22" s="1229" t="s">
        <v>256</v>
      </c>
      <c r="Y22" s="1202" t="s">
        <v>256</v>
      </c>
      <c r="Z22" s="1202" t="s">
        <v>256</v>
      </c>
      <c r="AA22" s="1202" t="s">
        <v>256</v>
      </c>
      <c r="AB22" s="1244" t="s">
        <v>256</v>
      </c>
      <c r="AC22" s="1217"/>
      <c r="AD22" s="1326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2" t="s">
        <v>692</v>
      </c>
      <c r="S23" s="1227">
        <v>3331569638</v>
      </c>
      <c r="T23" s="1317" t="s">
        <v>441</v>
      </c>
      <c r="U23" s="1227">
        <v>24142692</v>
      </c>
      <c r="V23" s="1227" t="s">
        <v>729</v>
      </c>
      <c r="W23" s="1227" t="s">
        <v>203</v>
      </c>
      <c r="X23" s="1229">
        <v>34229.15</v>
      </c>
      <c r="Y23" s="105" t="s">
        <v>128</v>
      </c>
      <c r="Z23" s="1373">
        <v>1</v>
      </c>
      <c r="AA23" s="1373">
        <v>1</v>
      </c>
      <c r="AB23" s="1369" t="s">
        <v>204</v>
      </c>
      <c r="AC23" s="1217"/>
      <c r="AD23" s="1326"/>
    </row>
    <row r="24" spans="1:30" s="44" customFormat="1" ht="17.399999999999999">
      <c r="A24" s="1021"/>
      <c r="B24" s="1021"/>
      <c r="C24" s="1021"/>
      <c r="D24" s="1021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90" t="s">
        <v>694</v>
      </c>
      <c r="S24" s="1224">
        <v>3331569670</v>
      </c>
      <c r="T24" s="1279" t="s">
        <v>424</v>
      </c>
      <c r="U24" s="1224">
        <v>24142711</v>
      </c>
      <c r="V24" s="1224" t="s">
        <v>429</v>
      </c>
      <c r="W24" s="1224" t="s">
        <v>703</v>
      </c>
      <c r="X24" s="1225">
        <v>24771.743999999999</v>
      </c>
      <c r="Y24" s="81" t="s">
        <v>426</v>
      </c>
      <c r="Z24" s="1362">
        <v>1</v>
      </c>
      <c r="AA24" s="1362">
        <v>1</v>
      </c>
      <c r="AB24" s="1362" t="s">
        <v>207</v>
      </c>
      <c r="AC24" s="1217"/>
      <c r="AD24" s="1326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694</v>
      </c>
      <c r="S25" s="1224">
        <v>3331569672</v>
      </c>
      <c r="T25" s="1279" t="s">
        <v>424</v>
      </c>
      <c r="U25" s="1224">
        <v>24142712</v>
      </c>
      <c r="V25" s="1224" t="s">
        <v>429</v>
      </c>
      <c r="W25" s="1224" t="s">
        <v>703</v>
      </c>
      <c r="X25" s="1225">
        <v>23524.556</v>
      </c>
      <c r="Y25" s="81" t="s">
        <v>426</v>
      </c>
      <c r="Z25" s="1362">
        <v>1</v>
      </c>
      <c r="AA25" s="1362">
        <v>1</v>
      </c>
      <c r="AB25" s="1362" t="s">
        <v>207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694</v>
      </c>
      <c r="S26" s="1224">
        <v>3331569677</v>
      </c>
      <c r="T26" s="1279" t="s">
        <v>424</v>
      </c>
      <c r="U26" s="1224">
        <v>24142713</v>
      </c>
      <c r="V26" s="1224" t="s">
        <v>429</v>
      </c>
      <c r="W26" s="1224" t="s">
        <v>703</v>
      </c>
      <c r="X26" s="1225">
        <f>1881.22+22354.075</f>
        <v>24235.295000000002</v>
      </c>
      <c r="Y26" s="81" t="s">
        <v>426</v>
      </c>
      <c r="Z26" s="1362">
        <v>1</v>
      </c>
      <c r="AA26" s="1362">
        <v>1</v>
      </c>
      <c r="AB26" s="1362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694</v>
      </c>
      <c r="S27" s="1224">
        <v>3331569678</v>
      </c>
      <c r="T27" s="1279" t="s">
        <v>256</v>
      </c>
      <c r="U27" s="1224" t="s">
        <v>256</v>
      </c>
      <c r="V27" s="1224" t="s">
        <v>256</v>
      </c>
      <c r="W27" s="1224" t="s">
        <v>256</v>
      </c>
      <c r="X27" s="1225" t="s">
        <v>256</v>
      </c>
      <c r="Y27" s="81" t="s">
        <v>256</v>
      </c>
      <c r="Z27" s="1362" t="s">
        <v>256</v>
      </c>
      <c r="AA27" s="1362" t="s">
        <v>256</v>
      </c>
      <c r="AB27" s="1362" t="s">
        <v>256</v>
      </c>
      <c r="AC27" s="1271"/>
      <c r="AD27" s="81"/>
    </row>
    <row r="28" spans="1:30" s="44" customFormat="1" ht="16.5" customHeight="1">
      <c r="A28" s="1324"/>
      <c r="B28" s="1021"/>
      <c r="C28" s="1021"/>
      <c r="D28" s="1022"/>
      <c r="E28" s="1023"/>
      <c r="F28" s="1592" t="s">
        <v>697</v>
      </c>
      <c r="G28" s="1592"/>
      <c r="H28" s="1592"/>
      <c r="I28" s="1592"/>
      <c r="J28" s="1592"/>
      <c r="K28" s="1592"/>
      <c r="L28" s="1592"/>
      <c r="M28" s="1023"/>
      <c r="N28" s="1021"/>
      <c r="O28" s="1021"/>
      <c r="P28" s="1022"/>
      <c r="R28" s="1189" t="s">
        <v>692</v>
      </c>
      <c r="S28" s="1224">
        <v>3331569781</v>
      </c>
      <c r="T28" s="1279" t="s">
        <v>424</v>
      </c>
      <c r="U28" s="1224">
        <v>24142735</v>
      </c>
      <c r="V28" s="1224" t="s">
        <v>429</v>
      </c>
      <c r="W28" s="1224" t="s">
        <v>703</v>
      </c>
      <c r="X28" s="1225">
        <v>24205.732</v>
      </c>
      <c r="Y28" s="81" t="s">
        <v>426</v>
      </c>
      <c r="Z28" s="1362">
        <v>1</v>
      </c>
      <c r="AA28" s="1362">
        <v>1</v>
      </c>
      <c r="AB28" s="1362" t="s">
        <v>207</v>
      </c>
      <c r="AC28" s="1271"/>
      <c r="AD28" s="81"/>
    </row>
    <row r="29" spans="1:30" s="44" customFormat="1" ht="37.5" customHeight="1">
      <c r="A29" s="1324"/>
      <c r="B29" s="1021"/>
      <c r="C29" s="1021"/>
      <c r="D29" s="1022"/>
      <c r="E29" s="1023"/>
      <c r="F29" s="1592"/>
      <c r="G29" s="1592"/>
      <c r="H29" s="1592"/>
      <c r="I29" s="1592"/>
      <c r="J29" s="1592"/>
      <c r="K29" s="1592"/>
      <c r="L29" s="1592"/>
      <c r="M29" s="1023"/>
      <c r="N29" s="1021"/>
      <c r="O29" s="1021"/>
      <c r="P29" s="1022"/>
      <c r="R29" s="1189" t="s">
        <v>691</v>
      </c>
      <c r="S29" s="1224">
        <v>3331569785</v>
      </c>
      <c r="T29" s="1279" t="s">
        <v>424</v>
      </c>
      <c r="U29" s="1224">
        <v>24142736</v>
      </c>
      <c r="V29" s="1224" t="s">
        <v>429</v>
      </c>
      <c r="W29" s="1224" t="s">
        <v>703</v>
      </c>
      <c r="X29" s="1225">
        <v>24508.366000000002</v>
      </c>
      <c r="Y29" s="81" t="s">
        <v>426</v>
      </c>
      <c r="Z29" s="1362">
        <v>1</v>
      </c>
      <c r="AA29" s="1362">
        <v>1</v>
      </c>
      <c r="AB29" s="1362" t="s">
        <v>207</v>
      </c>
      <c r="AC29" s="1271"/>
      <c r="AD29" s="81"/>
    </row>
    <row r="30" spans="1:30" s="44" customFormat="1" ht="37.5" customHeight="1">
      <c r="A30" s="1324"/>
      <c r="B30" s="1021"/>
      <c r="C30" s="1021"/>
      <c r="D30" s="1022"/>
      <c r="E30" s="1023"/>
      <c r="F30" s="1592"/>
      <c r="G30" s="1592"/>
      <c r="H30" s="1592"/>
      <c r="I30" s="1592"/>
      <c r="J30" s="1592"/>
      <c r="K30" s="1592"/>
      <c r="L30" s="1592"/>
      <c r="M30" s="1023"/>
      <c r="N30" s="1021"/>
      <c r="O30" s="1021"/>
      <c r="P30" s="1022"/>
      <c r="R30" s="1189" t="s">
        <v>691</v>
      </c>
      <c r="S30" s="1224">
        <v>3331569786</v>
      </c>
      <c r="T30" s="1279" t="s">
        <v>424</v>
      </c>
      <c r="U30" s="1224">
        <v>24142737</v>
      </c>
      <c r="V30" s="1224" t="s">
        <v>429</v>
      </c>
      <c r="W30" s="1224" t="s">
        <v>703</v>
      </c>
      <c r="X30" s="1225">
        <v>25114.58</v>
      </c>
      <c r="Y30" s="81" t="s">
        <v>426</v>
      </c>
      <c r="Z30" s="1362">
        <v>1</v>
      </c>
      <c r="AA30" s="1362">
        <v>1</v>
      </c>
      <c r="AB30" s="1362" t="s">
        <v>207</v>
      </c>
      <c r="AC30" s="1271"/>
      <c r="AD30" s="81"/>
    </row>
    <row r="31" spans="1:30" s="44" customFormat="1" ht="37.5" customHeight="1">
      <c r="A31" s="1324"/>
      <c r="B31" s="1021"/>
      <c r="C31" s="1021"/>
      <c r="D31" s="1022"/>
      <c r="E31" s="1023"/>
      <c r="F31" s="1592"/>
      <c r="G31" s="1592"/>
      <c r="H31" s="1592"/>
      <c r="I31" s="1592"/>
      <c r="J31" s="1592"/>
      <c r="K31" s="1592"/>
      <c r="L31" s="1592"/>
      <c r="M31" s="1023"/>
      <c r="N31" s="1021"/>
      <c r="O31" s="1021"/>
      <c r="P31" s="1022"/>
      <c r="R31" s="1189" t="s">
        <v>691</v>
      </c>
      <c r="S31" s="1224">
        <v>3331569787</v>
      </c>
      <c r="T31" s="1279" t="s">
        <v>424</v>
      </c>
      <c r="U31" s="1224">
        <v>24142738</v>
      </c>
      <c r="V31" s="1224" t="s">
        <v>429</v>
      </c>
      <c r="W31" s="1224" t="s">
        <v>703</v>
      </c>
      <c r="X31" s="1225">
        <v>24819.072</v>
      </c>
      <c r="Y31" s="81" t="s">
        <v>426</v>
      </c>
      <c r="Z31" s="1362">
        <v>1</v>
      </c>
      <c r="AA31" s="1362">
        <v>1</v>
      </c>
      <c r="AB31" s="1362" t="s">
        <v>207</v>
      </c>
      <c r="AC31" s="1271"/>
      <c r="AD31" s="81"/>
    </row>
    <row r="32" spans="1:30" s="44" customFormat="1" ht="37.5" customHeight="1">
      <c r="A32" s="1324"/>
      <c r="B32" s="1021"/>
      <c r="C32" s="1021"/>
      <c r="D32" s="1022"/>
      <c r="E32" s="1023"/>
      <c r="F32" s="1592"/>
      <c r="G32" s="1592"/>
      <c r="H32" s="1592"/>
      <c r="I32" s="1592"/>
      <c r="J32" s="1592"/>
      <c r="K32" s="1592"/>
      <c r="L32" s="1592"/>
      <c r="M32" s="1023"/>
      <c r="N32" s="1021"/>
      <c r="O32" s="1021"/>
      <c r="P32" s="1022"/>
      <c r="R32" s="1189" t="s">
        <v>692</v>
      </c>
      <c r="S32" s="1224">
        <v>3331569793</v>
      </c>
      <c r="T32" s="1279" t="s">
        <v>424</v>
      </c>
      <c r="U32" s="1224">
        <v>24142739</v>
      </c>
      <c r="V32" s="1224" t="s">
        <v>429</v>
      </c>
      <c r="W32" s="1224" t="s">
        <v>703</v>
      </c>
      <c r="X32" s="1225">
        <v>24248.560000000001</v>
      </c>
      <c r="Y32" s="81" t="s">
        <v>426</v>
      </c>
      <c r="Z32" s="1362">
        <v>1</v>
      </c>
      <c r="AA32" s="1362">
        <v>1</v>
      </c>
      <c r="AB32" s="1362" t="s">
        <v>207</v>
      </c>
      <c r="AC32" s="1271"/>
      <c r="AD32" s="81"/>
    </row>
    <row r="33" spans="1:30" s="44" customFormat="1" ht="37.5" customHeight="1">
      <c r="A33" s="1324"/>
      <c r="B33" s="1021"/>
      <c r="C33" s="1021"/>
      <c r="D33" s="1022"/>
      <c r="E33" s="1023"/>
      <c r="F33" s="1592"/>
      <c r="G33" s="1592"/>
      <c r="H33" s="1592"/>
      <c r="I33" s="1592"/>
      <c r="J33" s="1592"/>
      <c r="K33" s="1592"/>
      <c r="L33" s="1592"/>
      <c r="M33" s="1023"/>
      <c r="N33" s="1021"/>
      <c r="O33" s="1021"/>
      <c r="P33" s="1022"/>
      <c r="R33" s="1189" t="s">
        <v>691</v>
      </c>
      <c r="S33" s="1224">
        <v>3331569806</v>
      </c>
      <c r="T33" s="1279" t="s">
        <v>424</v>
      </c>
      <c r="U33" s="1224">
        <v>24142747</v>
      </c>
      <c r="V33" s="1224" t="s">
        <v>693</v>
      </c>
      <c r="W33" s="1224" t="s">
        <v>703</v>
      </c>
      <c r="X33" s="1225">
        <v>24763.445</v>
      </c>
      <c r="Y33" s="81" t="s">
        <v>426</v>
      </c>
      <c r="Z33" s="1362">
        <v>1</v>
      </c>
      <c r="AA33" s="1362">
        <v>1</v>
      </c>
      <c r="AB33" s="1362" t="s">
        <v>207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89" t="s">
        <v>691</v>
      </c>
      <c r="S34" s="1224">
        <v>3331569808</v>
      </c>
      <c r="T34" s="1279" t="s">
        <v>424</v>
      </c>
      <c r="U34" s="1224">
        <v>24142748</v>
      </c>
      <c r="V34" s="1224" t="s">
        <v>693</v>
      </c>
      <c r="W34" s="1224" t="s">
        <v>703</v>
      </c>
      <c r="X34" s="1225">
        <v>24943.77</v>
      </c>
      <c r="Y34" s="81" t="s">
        <v>426</v>
      </c>
      <c r="Z34" s="1362">
        <v>1</v>
      </c>
      <c r="AA34" s="1362">
        <v>1</v>
      </c>
      <c r="AB34" s="1362" t="s">
        <v>207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89" t="s">
        <v>691</v>
      </c>
      <c r="S35" s="1224">
        <v>3331569809</v>
      </c>
      <c r="T35" s="1279" t="s">
        <v>424</v>
      </c>
      <c r="U35" s="1224">
        <v>24142749</v>
      </c>
      <c r="V35" s="1224" t="s">
        <v>693</v>
      </c>
      <c r="W35" s="1224" t="s">
        <v>703</v>
      </c>
      <c r="X35" s="1225">
        <v>24427.691999999999</v>
      </c>
      <c r="Y35" s="81" t="s">
        <v>426</v>
      </c>
      <c r="Z35" s="1362">
        <v>1</v>
      </c>
      <c r="AA35" s="1362">
        <v>1</v>
      </c>
      <c r="AB35" s="1362" t="s">
        <v>207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89" t="s">
        <v>691</v>
      </c>
      <c r="S36" s="1224">
        <v>3331569811</v>
      </c>
      <c r="T36" s="1279" t="s">
        <v>424</v>
      </c>
      <c r="U36" s="1224">
        <v>24142750</v>
      </c>
      <c r="V36" s="1224" t="s">
        <v>693</v>
      </c>
      <c r="W36" s="1224" t="s">
        <v>703</v>
      </c>
      <c r="X36" s="1225">
        <v>23902.151999999998</v>
      </c>
      <c r="Y36" s="81" t="s">
        <v>426</v>
      </c>
      <c r="Z36" s="1362">
        <v>1</v>
      </c>
      <c r="AA36" s="1362">
        <v>1</v>
      </c>
      <c r="AB36" s="1362" t="s">
        <v>207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89" t="s">
        <v>691</v>
      </c>
      <c r="S37" s="1224">
        <v>3331569813</v>
      </c>
      <c r="T37" s="1279" t="s">
        <v>424</v>
      </c>
      <c r="U37" s="1224">
        <v>24142751</v>
      </c>
      <c r="V37" s="1224" t="s">
        <v>693</v>
      </c>
      <c r="W37" s="1224" t="s">
        <v>703</v>
      </c>
      <c r="X37" s="1225">
        <v>24898.075000000001</v>
      </c>
      <c r="Y37" s="81" t="s">
        <v>426</v>
      </c>
      <c r="Z37" s="1362">
        <v>1</v>
      </c>
      <c r="AA37" s="1362">
        <v>1</v>
      </c>
      <c r="AB37" s="1362" t="s">
        <v>207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692</v>
      </c>
      <c r="S38" s="1224">
        <v>3331569816</v>
      </c>
      <c r="T38" s="1279" t="s">
        <v>424</v>
      </c>
      <c r="U38" s="1224">
        <v>24142752</v>
      </c>
      <c r="V38" s="1224" t="s">
        <v>693</v>
      </c>
      <c r="W38" s="1224" t="s">
        <v>703</v>
      </c>
      <c r="X38" s="1225">
        <v>24248.560000000001</v>
      </c>
      <c r="Y38" s="81" t="s">
        <v>426</v>
      </c>
      <c r="Z38" s="1362">
        <v>1</v>
      </c>
      <c r="AA38" s="1362">
        <v>1</v>
      </c>
      <c r="AB38" s="1362" t="s">
        <v>207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1" t="s">
        <v>692</v>
      </c>
      <c r="S39" s="1227">
        <v>3331569840</v>
      </c>
      <c r="T39" s="1317" t="s">
        <v>424</v>
      </c>
      <c r="U39" s="1227">
        <v>24142759</v>
      </c>
      <c r="V39" s="1227" t="s">
        <v>693</v>
      </c>
      <c r="W39" s="1227" t="s">
        <v>703</v>
      </c>
      <c r="X39" s="1229">
        <f>6062.14+9878.92+9223.113</f>
        <v>25164.173000000003</v>
      </c>
      <c r="Y39" s="105" t="s">
        <v>426</v>
      </c>
      <c r="Z39" s="1373">
        <v>1</v>
      </c>
      <c r="AA39" s="1373">
        <v>1</v>
      </c>
      <c r="AB39" s="1373" t="s">
        <v>204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1" t="s">
        <v>692</v>
      </c>
      <c r="S40" s="1227">
        <v>3331569842</v>
      </c>
      <c r="T40" s="1317" t="s">
        <v>256</v>
      </c>
      <c r="U40" s="1227" t="s">
        <v>256</v>
      </c>
      <c r="V40" s="1227" t="s">
        <v>256</v>
      </c>
      <c r="W40" s="1227" t="s">
        <v>256</v>
      </c>
      <c r="X40" s="1229" t="s">
        <v>256</v>
      </c>
      <c r="Y40" s="105" t="s">
        <v>256</v>
      </c>
      <c r="Z40" s="1373" t="s">
        <v>256</v>
      </c>
      <c r="AA40" s="1373" t="s">
        <v>256</v>
      </c>
      <c r="AB40" s="1373" t="s">
        <v>256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1" t="s">
        <v>691</v>
      </c>
      <c r="S41" s="1227">
        <v>3331569844</v>
      </c>
      <c r="T41" s="1317" t="s">
        <v>256</v>
      </c>
      <c r="U41" s="1227" t="s">
        <v>256</v>
      </c>
      <c r="V41" s="1227" t="s">
        <v>256</v>
      </c>
      <c r="W41" s="1227" t="s">
        <v>256</v>
      </c>
      <c r="X41" s="1229" t="s">
        <v>256</v>
      </c>
      <c r="Y41" s="105" t="s">
        <v>256</v>
      </c>
      <c r="Z41" s="1373" t="s">
        <v>256</v>
      </c>
      <c r="AA41" s="1373" t="s">
        <v>256</v>
      </c>
      <c r="AB41" s="1373" t="s">
        <v>256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692</v>
      </c>
      <c r="S42" s="1227">
        <v>3331569671</v>
      </c>
      <c r="T42" s="1317" t="s">
        <v>27</v>
      </c>
      <c r="U42" s="1227">
        <v>24142710</v>
      </c>
      <c r="V42" s="1227" t="s">
        <v>446</v>
      </c>
      <c r="W42" s="1227" t="s">
        <v>205</v>
      </c>
      <c r="X42" s="1229">
        <v>25694.498</v>
      </c>
      <c r="Y42" s="105" t="s">
        <v>200</v>
      </c>
      <c r="Z42" s="1373">
        <v>1</v>
      </c>
      <c r="AA42" s="1373">
        <v>1</v>
      </c>
      <c r="AB42" s="1369" t="s">
        <v>204</v>
      </c>
      <c r="AC42" s="1217"/>
      <c r="AD42" s="1326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692</v>
      </c>
      <c r="S43" s="1227">
        <v>3331569673</v>
      </c>
      <c r="T43" s="1317" t="s">
        <v>27</v>
      </c>
      <c r="U43" s="1227">
        <v>24142709</v>
      </c>
      <c r="V43" s="1227" t="s">
        <v>446</v>
      </c>
      <c r="W43" s="1227" t="s">
        <v>205</v>
      </c>
      <c r="X43" s="1229">
        <f>3053.461+22333.452</f>
        <v>25386.913</v>
      </c>
      <c r="Y43" s="1202" t="s">
        <v>200</v>
      </c>
      <c r="Z43" s="1373">
        <v>1</v>
      </c>
      <c r="AA43" s="1373">
        <v>1</v>
      </c>
      <c r="AB43" s="1369" t="s">
        <v>204</v>
      </c>
      <c r="AC43" s="1217"/>
      <c r="AD43" s="1326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692</v>
      </c>
      <c r="S44" s="1227">
        <v>3331569674</v>
      </c>
      <c r="T44" s="1317" t="s">
        <v>256</v>
      </c>
      <c r="U44" s="1227" t="s">
        <v>256</v>
      </c>
      <c r="V44" s="1227" t="s">
        <v>256</v>
      </c>
      <c r="W44" s="1202" t="s">
        <v>256</v>
      </c>
      <c r="X44" s="1229" t="s">
        <v>256</v>
      </c>
      <c r="Y44" s="1202" t="s">
        <v>256</v>
      </c>
      <c r="Z44" s="1202" t="s">
        <v>256</v>
      </c>
      <c r="AA44" s="1202" t="s">
        <v>256</v>
      </c>
      <c r="AB44" s="1244" t="s">
        <v>256</v>
      </c>
      <c r="AC44" s="1217"/>
      <c r="AD44" s="1326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2" t="s">
        <v>692</v>
      </c>
      <c r="S45" s="1227">
        <v>3331569733</v>
      </c>
      <c r="T45" s="1317" t="s">
        <v>458</v>
      </c>
      <c r="U45" s="1227">
        <v>24142716</v>
      </c>
      <c r="V45" s="1227" t="s">
        <v>729</v>
      </c>
      <c r="W45" s="1264" t="s">
        <v>203</v>
      </c>
      <c r="X45" s="1229">
        <v>40650.576000000001</v>
      </c>
      <c r="Y45" s="1202" t="s">
        <v>128</v>
      </c>
      <c r="Z45" s="1202">
        <v>1</v>
      </c>
      <c r="AA45" s="1202">
        <v>1</v>
      </c>
      <c r="AB45" s="1369" t="s">
        <v>204</v>
      </c>
      <c r="AC45" s="1217"/>
      <c r="AD45" s="1326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2" t="s">
        <v>692</v>
      </c>
      <c r="S46" s="1227">
        <v>3331569735</v>
      </c>
      <c r="T46" s="1317" t="s">
        <v>458</v>
      </c>
      <c r="U46" s="1227">
        <v>24142717</v>
      </c>
      <c r="V46" s="1227" t="s">
        <v>729</v>
      </c>
      <c r="W46" s="1264" t="s">
        <v>203</v>
      </c>
      <c r="X46" s="1229">
        <v>37238.86</v>
      </c>
      <c r="Y46" s="1202" t="s">
        <v>128</v>
      </c>
      <c r="Z46" s="1202">
        <v>1</v>
      </c>
      <c r="AA46" s="1202">
        <v>1</v>
      </c>
      <c r="AB46" s="1369" t="s">
        <v>204</v>
      </c>
      <c r="AC46" s="1217"/>
      <c r="AD46" s="1326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2" t="s">
        <v>692</v>
      </c>
      <c r="S47" s="1227">
        <v>3331569737</v>
      </c>
      <c r="T47" s="1317" t="s">
        <v>441</v>
      </c>
      <c r="U47" s="1227">
        <v>24142720</v>
      </c>
      <c r="V47" s="1227" t="s">
        <v>729</v>
      </c>
      <c r="W47" s="1264" t="s">
        <v>203</v>
      </c>
      <c r="X47" s="1229">
        <v>36909.571000000004</v>
      </c>
      <c r="Y47" s="1202" t="s">
        <v>128</v>
      </c>
      <c r="Z47" s="1202">
        <v>1</v>
      </c>
      <c r="AA47" s="1202">
        <v>1</v>
      </c>
      <c r="AB47" s="1369" t="s">
        <v>204</v>
      </c>
      <c r="AC47" s="1217"/>
      <c r="AD47" s="1326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02" t="s">
        <v>694</v>
      </c>
      <c r="S48" s="1227">
        <v>3331569747</v>
      </c>
      <c r="T48" s="1317" t="s">
        <v>459</v>
      </c>
      <c r="U48" s="1227">
        <v>24142727</v>
      </c>
      <c r="V48" s="1227" t="s">
        <v>729</v>
      </c>
      <c r="W48" s="1264" t="s">
        <v>344</v>
      </c>
      <c r="X48" s="1229">
        <v>26760.018</v>
      </c>
      <c r="Y48" s="105" t="s">
        <v>426</v>
      </c>
      <c r="Z48" s="1373">
        <v>1</v>
      </c>
      <c r="AA48" s="1373">
        <v>1</v>
      </c>
      <c r="AB48" s="1373" t="s">
        <v>204</v>
      </c>
      <c r="AC48" s="1217"/>
      <c r="AD48" s="1326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2" t="s">
        <v>694</v>
      </c>
      <c r="S49" s="1227">
        <v>3331569754</v>
      </c>
      <c r="T49" s="1317" t="s">
        <v>459</v>
      </c>
      <c r="U49" s="1227">
        <v>24142728</v>
      </c>
      <c r="V49" s="1227" t="s">
        <v>729</v>
      </c>
      <c r="W49" s="1264" t="s">
        <v>344</v>
      </c>
      <c r="X49" s="1229">
        <v>29601.412</v>
      </c>
      <c r="Y49" s="105" t="s">
        <v>426</v>
      </c>
      <c r="Z49" s="1373">
        <v>1</v>
      </c>
      <c r="AA49" s="1373">
        <v>1</v>
      </c>
      <c r="AB49" s="1369" t="s">
        <v>204</v>
      </c>
      <c r="AC49" s="1217"/>
      <c r="AD49" s="1326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1" t="s">
        <v>694</v>
      </c>
      <c r="S50" s="1227">
        <v>3331569756</v>
      </c>
      <c r="T50" s="1317" t="s">
        <v>459</v>
      </c>
      <c r="U50" s="1227">
        <v>24142731</v>
      </c>
      <c r="V50" s="1227" t="s">
        <v>729</v>
      </c>
      <c r="W50" s="1264" t="s">
        <v>344</v>
      </c>
      <c r="X50" s="1229">
        <v>29791.088</v>
      </c>
      <c r="Y50" s="105" t="s">
        <v>426</v>
      </c>
      <c r="Z50" s="1373">
        <v>1</v>
      </c>
      <c r="AA50" s="1373">
        <v>1</v>
      </c>
      <c r="AB50" s="1373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1" t="s">
        <v>694</v>
      </c>
      <c r="S51" s="1227">
        <v>3331569761</v>
      </c>
      <c r="T51" s="1317" t="s">
        <v>459</v>
      </c>
      <c r="U51" s="1227">
        <v>24142732</v>
      </c>
      <c r="V51" s="1227" t="s">
        <v>729</v>
      </c>
      <c r="W51" s="1264" t="s">
        <v>344</v>
      </c>
      <c r="X51" s="1229">
        <v>29112.37</v>
      </c>
      <c r="Y51" s="105" t="s">
        <v>426</v>
      </c>
      <c r="Z51" s="1373">
        <v>1</v>
      </c>
      <c r="AA51" s="1373">
        <v>1</v>
      </c>
      <c r="AB51" s="1373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1" t="s">
        <v>694</v>
      </c>
      <c r="S52" s="1227">
        <v>3331569782</v>
      </c>
      <c r="T52" s="1317" t="s">
        <v>459</v>
      </c>
      <c r="U52" s="1227">
        <v>24142740</v>
      </c>
      <c r="V52" s="1227" t="s">
        <v>224</v>
      </c>
      <c r="W52" s="1264" t="s">
        <v>344</v>
      </c>
      <c r="X52" s="1229">
        <v>28708.562999999998</v>
      </c>
      <c r="Y52" s="105" t="s">
        <v>426</v>
      </c>
      <c r="Z52" s="1373">
        <v>1</v>
      </c>
      <c r="AA52" s="1373">
        <v>1</v>
      </c>
      <c r="AB52" s="1369" t="s">
        <v>204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1" t="s">
        <v>694</v>
      </c>
      <c r="S53" s="1227">
        <v>3331569789</v>
      </c>
      <c r="T53" s="1317" t="s">
        <v>459</v>
      </c>
      <c r="U53" s="1227">
        <v>24142741</v>
      </c>
      <c r="V53" s="1227" t="s">
        <v>224</v>
      </c>
      <c r="W53" s="1264" t="s">
        <v>344</v>
      </c>
      <c r="X53" s="1229">
        <v>30310.7</v>
      </c>
      <c r="Y53" s="105" t="s">
        <v>426</v>
      </c>
      <c r="Z53" s="1373">
        <v>1</v>
      </c>
      <c r="AA53" s="1373">
        <v>1</v>
      </c>
      <c r="AB53" s="1369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1" t="s">
        <v>694</v>
      </c>
      <c r="S54" s="1227">
        <v>3331569805</v>
      </c>
      <c r="T54" s="1317" t="s">
        <v>459</v>
      </c>
      <c r="U54" s="1227">
        <v>24142745</v>
      </c>
      <c r="V54" s="1227" t="s">
        <v>224</v>
      </c>
      <c r="W54" s="1264" t="s">
        <v>344</v>
      </c>
      <c r="X54" s="1229">
        <v>28578.66</v>
      </c>
      <c r="Y54" s="105" t="s">
        <v>426</v>
      </c>
      <c r="Z54" s="1373">
        <v>1</v>
      </c>
      <c r="AA54" s="1373">
        <v>1</v>
      </c>
      <c r="AB54" s="1373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694</v>
      </c>
      <c r="S55" s="1224">
        <v>3331569818</v>
      </c>
      <c r="T55" s="1279" t="s">
        <v>459</v>
      </c>
      <c r="U55" s="1224">
        <v>24142746</v>
      </c>
      <c r="V55" s="1224" t="s">
        <v>224</v>
      </c>
      <c r="W55" s="1294" t="s">
        <v>344</v>
      </c>
      <c r="X55" s="1225">
        <v>28925.067999999999</v>
      </c>
      <c r="Y55" s="81" t="s">
        <v>426</v>
      </c>
      <c r="Z55" s="1362">
        <v>1</v>
      </c>
      <c r="AA55" s="1362">
        <v>1</v>
      </c>
      <c r="AB55" s="1362" t="s">
        <v>207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694</v>
      </c>
      <c r="S56" s="1224">
        <v>3331569834</v>
      </c>
      <c r="T56" s="1279" t="s">
        <v>459</v>
      </c>
      <c r="U56" s="1224">
        <v>24142755</v>
      </c>
      <c r="V56" s="1224" t="s">
        <v>224</v>
      </c>
      <c r="W56" s="1294" t="s">
        <v>344</v>
      </c>
      <c r="X56" s="1225">
        <v>27217.481</v>
      </c>
      <c r="Y56" s="81" t="s">
        <v>426</v>
      </c>
      <c r="Z56" s="1362">
        <v>1</v>
      </c>
      <c r="AA56" s="1362">
        <v>1</v>
      </c>
      <c r="AB56" s="1362" t="s">
        <v>207</v>
      </c>
      <c r="AC56" s="1217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694</v>
      </c>
      <c r="S57" s="1224">
        <v>3331569839</v>
      </c>
      <c r="T57" s="1279" t="s">
        <v>459</v>
      </c>
      <c r="U57" s="1224">
        <v>24142756</v>
      </c>
      <c r="V57" s="1224" t="s">
        <v>224</v>
      </c>
      <c r="W57" s="1294" t="s">
        <v>344</v>
      </c>
      <c r="X57" s="1225">
        <v>29747.787</v>
      </c>
      <c r="Y57" s="81" t="s">
        <v>426</v>
      </c>
      <c r="Z57" s="1362">
        <v>1</v>
      </c>
      <c r="AA57" s="1362">
        <v>1</v>
      </c>
      <c r="AB57" s="1362" t="s">
        <v>207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694</v>
      </c>
      <c r="S58" s="1224">
        <v>3331569841</v>
      </c>
      <c r="T58" s="1279" t="s">
        <v>459</v>
      </c>
      <c r="U58" s="1224">
        <v>24142757</v>
      </c>
      <c r="V58" s="1224" t="s">
        <v>224</v>
      </c>
      <c r="W58" s="1294" t="s">
        <v>344</v>
      </c>
      <c r="X58" s="1225">
        <v>30094.195</v>
      </c>
      <c r="Y58" s="81" t="s">
        <v>426</v>
      </c>
      <c r="Z58" s="1362">
        <v>1</v>
      </c>
      <c r="AA58" s="1362">
        <v>1</v>
      </c>
      <c r="AB58" s="1362" t="s">
        <v>207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89" t="s">
        <v>694</v>
      </c>
      <c r="S59" s="1224">
        <v>3331569847</v>
      </c>
      <c r="T59" s="1279" t="s">
        <v>459</v>
      </c>
      <c r="U59" s="1224">
        <v>24142758</v>
      </c>
      <c r="V59" s="1224" t="s">
        <v>224</v>
      </c>
      <c r="W59" s="1294" t="s">
        <v>344</v>
      </c>
      <c r="X59" s="1225">
        <v>28492.058000000001</v>
      </c>
      <c r="Y59" s="81" t="s">
        <v>426</v>
      </c>
      <c r="Z59" s="1362">
        <v>1</v>
      </c>
      <c r="AA59" s="1362">
        <v>1</v>
      </c>
      <c r="AB59" s="1362" t="s">
        <v>207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694</v>
      </c>
      <c r="S60" s="1227">
        <v>3331569772</v>
      </c>
      <c r="T60" s="1317" t="s">
        <v>273</v>
      </c>
      <c r="U60" s="1227">
        <v>24142733</v>
      </c>
      <c r="V60" s="1227" t="s">
        <v>729</v>
      </c>
      <c r="W60" s="1264" t="s">
        <v>344</v>
      </c>
      <c r="X60" s="1229">
        <v>33763.589</v>
      </c>
      <c r="Y60" s="1202" t="s">
        <v>128</v>
      </c>
      <c r="Z60" s="1202">
        <v>1</v>
      </c>
      <c r="AA60" s="1202">
        <v>1</v>
      </c>
      <c r="AB60" s="1369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694</v>
      </c>
      <c r="S61" s="1227">
        <v>3331569775</v>
      </c>
      <c r="T61" s="1317" t="s">
        <v>441</v>
      </c>
      <c r="U61" s="1227">
        <v>24142734</v>
      </c>
      <c r="V61" s="1227" t="s">
        <v>729</v>
      </c>
      <c r="W61" s="1264" t="s">
        <v>344</v>
      </c>
      <c r="X61" s="1229">
        <v>33731.478999999999</v>
      </c>
      <c r="Y61" s="1202" t="s">
        <v>128</v>
      </c>
      <c r="Z61" s="1202">
        <v>1</v>
      </c>
      <c r="AA61" s="1202">
        <v>1</v>
      </c>
      <c r="AB61" s="1369" t="s">
        <v>204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2" t="s">
        <v>692</v>
      </c>
      <c r="S62" s="1227">
        <v>3331569752</v>
      </c>
      <c r="T62" s="1317" t="s">
        <v>730</v>
      </c>
      <c r="U62" s="1227">
        <v>24142729</v>
      </c>
      <c r="V62" s="1227" t="s">
        <v>561</v>
      </c>
      <c r="W62" s="1264" t="s">
        <v>362</v>
      </c>
      <c r="X62" s="1229">
        <v>25201.182000000001</v>
      </c>
      <c r="Y62" s="1202" t="s">
        <v>200</v>
      </c>
      <c r="Z62" s="1373">
        <v>1</v>
      </c>
      <c r="AA62" s="1373">
        <v>1</v>
      </c>
      <c r="AB62" s="1369" t="s">
        <v>204</v>
      </c>
      <c r="AC62" s="1217"/>
      <c r="AD62" s="1326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2" t="s">
        <v>692</v>
      </c>
      <c r="S63" s="1227">
        <v>3331569829</v>
      </c>
      <c r="T63" s="1317" t="s">
        <v>27</v>
      </c>
      <c r="U63" s="1227">
        <v>24142754</v>
      </c>
      <c r="V63" s="1227" t="s">
        <v>731</v>
      </c>
      <c r="W63" s="1264" t="s">
        <v>203</v>
      </c>
      <c r="X63" s="1229">
        <f>2273.811+23185.491</f>
        <v>25459.302000000003</v>
      </c>
      <c r="Y63" s="1202" t="s">
        <v>200</v>
      </c>
      <c r="Z63" s="1373">
        <v>1</v>
      </c>
      <c r="AA63" s="1373">
        <v>1</v>
      </c>
      <c r="AB63" s="1369" t="s">
        <v>204</v>
      </c>
      <c r="AC63" s="1217" t="s">
        <v>726</v>
      </c>
      <c r="AD63" s="1326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2" t="s">
        <v>692</v>
      </c>
      <c r="S64" s="1227">
        <v>3331569831</v>
      </c>
      <c r="T64" s="1317" t="s">
        <v>256</v>
      </c>
      <c r="U64" s="1227" t="s">
        <v>256</v>
      </c>
      <c r="V64" s="1227" t="s">
        <v>256</v>
      </c>
      <c r="W64" s="1264" t="s">
        <v>256</v>
      </c>
      <c r="X64" s="1229" t="s">
        <v>256</v>
      </c>
      <c r="Y64" s="1202" t="s">
        <v>256</v>
      </c>
      <c r="Z64" s="1202" t="s">
        <v>256</v>
      </c>
      <c r="AA64" s="1202" t="s">
        <v>256</v>
      </c>
      <c r="AB64" s="1244" t="s">
        <v>256</v>
      </c>
      <c r="AC64" s="1217"/>
      <c r="AD64" s="1326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2" t="s">
        <v>691</v>
      </c>
      <c r="S65" s="1227">
        <v>3331569854</v>
      </c>
      <c r="T65" s="1317" t="s">
        <v>441</v>
      </c>
      <c r="U65" s="1227">
        <v>24142761</v>
      </c>
      <c r="V65" s="1227" t="s">
        <v>700</v>
      </c>
      <c r="W65" s="1264" t="s">
        <v>205</v>
      </c>
      <c r="X65" s="1229">
        <v>42883.264999999999</v>
      </c>
      <c r="Y65" s="1202" t="s">
        <v>128</v>
      </c>
      <c r="Z65" s="1202">
        <v>1</v>
      </c>
      <c r="AA65" s="1202">
        <v>1</v>
      </c>
      <c r="AB65" s="1369" t="s">
        <v>204</v>
      </c>
      <c r="AC65" s="1217" t="s">
        <v>726</v>
      </c>
      <c r="AD65" s="1326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2" t="s">
        <v>694</v>
      </c>
      <c r="S66" s="1227">
        <v>3331569850</v>
      </c>
      <c r="T66" s="1317" t="s">
        <v>441</v>
      </c>
      <c r="U66" s="1227">
        <v>24142760</v>
      </c>
      <c r="V66" s="1227" t="s">
        <v>224</v>
      </c>
      <c r="W66" s="1264" t="s">
        <v>344</v>
      </c>
      <c r="X66" s="1229">
        <f>2944.468+32345.847</f>
        <v>35290.315000000002</v>
      </c>
      <c r="Y66" s="1202" t="s">
        <v>128</v>
      </c>
      <c r="Z66" s="1202">
        <v>1</v>
      </c>
      <c r="AA66" s="1202">
        <v>1</v>
      </c>
      <c r="AB66" s="1367" t="s">
        <v>204</v>
      </c>
      <c r="AC66" s="1217"/>
      <c r="AD66" s="1326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2" t="s">
        <v>694</v>
      </c>
      <c r="S67" s="1227">
        <v>3331569866</v>
      </c>
      <c r="T67" s="1317" t="s">
        <v>256</v>
      </c>
      <c r="U67" s="1227" t="s">
        <v>256</v>
      </c>
      <c r="V67" s="1227" t="s">
        <v>256</v>
      </c>
      <c r="W67" s="1264" t="s">
        <v>256</v>
      </c>
      <c r="X67" s="1229" t="s">
        <v>256</v>
      </c>
      <c r="Y67" s="1202" t="s">
        <v>256</v>
      </c>
      <c r="Z67" s="1202" t="s">
        <v>256</v>
      </c>
      <c r="AA67" s="1202" t="s">
        <v>256</v>
      </c>
      <c r="AB67" s="1244" t="s">
        <v>256</v>
      </c>
      <c r="AC67" s="1217"/>
      <c r="AD67" s="1326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692</v>
      </c>
      <c r="S68" s="108">
        <v>3331569631</v>
      </c>
      <c r="T68" s="1317" t="s">
        <v>27</v>
      </c>
      <c r="U68" s="1227">
        <v>24142763</v>
      </c>
      <c r="V68" s="1227" t="s">
        <v>413</v>
      </c>
      <c r="W68" s="1264" t="s">
        <v>205</v>
      </c>
      <c r="X68" s="1229">
        <f>19395.429+2578.378+4676.508</f>
        <v>26650.315000000002</v>
      </c>
      <c r="Y68" s="1202" t="s">
        <v>200</v>
      </c>
      <c r="Z68" s="1202">
        <v>1</v>
      </c>
      <c r="AA68" s="1202">
        <v>1</v>
      </c>
      <c r="AB68" s="1369" t="s">
        <v>204</v>
      </c>
      <c r="AC68" s="1217" t="s">
        <v>726</v>
      </c>
      <c r="AD68" s="1326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2" t="s">
        <v>692</v>
      </c>
      <c r="S69" s="1227">
        <v>3331569633</v>
      </c>
      <c r="T69" s="1317" t="s">
        <v>256</v>
      </c>
      <c r="U69" s="1227" t="s">
        <v>256</v>
      </c>
      <c r="V69" s="1227" t="s">
        <v>256</v>
      </c>
      <c r="W69" s="1264" t="s">
        <v>256</v>
      </c>
      <c r="X69" s="1229" t="s">
        <v>256</v>
      </c>
      <c r="Y69" s="1202" t="s">
        <v>256</v>
      </c>
      <c r="Z69" s="1202" t="s">
        <v>256</v>
      </c>
      <c r="AA69" s="1202" t="s">
        <v>256</v>
      </c>
      <c r="AB69" s="1244" t="s">
        <v>256</v>
      </c>
      <c r="AC69" s="1217"/>
      <c r="AD69" s="1326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2" t="s">
        <v>692</v>
      </c>
      <c r="S70" s="1227">
        <v>3331569902</v>
      </c>
      <c r="T70" s="1317" t="s">
        <v>256</v>
      </c>
      <c r="U70" s="1227" t="s">
        <v>256</v>
      </c>
      <c r="V70" s="1227" t="s">
        <v>256</v>
      </c>
      <c r="W70" s="1264" t="s">
        <v>256</v>
      </c>
      <c r="X70" s="1229" t="s">
        <v>256</v>
      </c>
      <c r="Y70" s="1202" t="s">
        <v>256</v>
      </c>
      <c r="Z70" s="1202" t="s">
        <v>256</v>
      </c>
      <c r="AA70" s="1202" t="s">
        <v>256</v>
      </c>
      <c r="AB70" s="1244" t="s">
        <v>256</v>
      </c>
      <c r="AC70" s="1217"/>
      <c r="AD70" s="1326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2" t="s">
        <v>692</v>
      </c>
      <c r="S71" s="1202">
        <v>3331569636</v>
      </c>
      <c r="T71" s="1209" t="s">
        <v>27</v>
      </c>
      <c r="U71" s="1202">
        <v>24142693</v>
      </c>
      <c r="V71" s="1202" t="s">
        <v>150</v>
      </c>
      <c r="W71" s="1202" t="s">
        <v>199</v>
      </c>
      <c r="X71" s="1203">
        <v>25158.742999999999</v>
      </c>
      <c r="Y71" s="1202" t="s">
        <v>200</v>
      </c>
      <c r="Z71" s="1209">
        <v>1</v>
      </c>
      <c r="AA71" s="1209">
        <v>1</v>
      </c>
      <c r="AB71" s="1367" t="s">
        <v>204</v>
      </c>
      <c r="AC71" s="1190"/>
      <c r="AD71" s="1326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431" t="s">
        <v>692</v>
      </c>
      <c r="S72" s="1378">
        <v>3331569637</v>
      </c>
      <c r="T72" s="1377" t="s">
        <v>287</v>
      </c>
      <c r="U72" s="1378">
        <v>24142694</v>
      </c>
      <c r="V72" s="1202" t="s">
        <v>150</v>
      </c>
      <c r="W72" s="1202" t="s">
        <v>199</v>
      </c>
      <c r="X72" s="1380">
        <v>26018.933000000001</v>
      </c>
      <c r="Y72" s="1202" t="s">
        <v>200</v>
      </c>
      <c r="Z72" s="1209">
        <v>1</v>
      </c>
      <c r="AA72" s="1209">
        <v>1</v>
      </c>
      <c r="AB72" s="1367" t="s">
        <v>204</v>
      </c>
      <c r="AC72" s="1335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692</v>
      </c>
      <c r="S73" s="1202">
        <v>3331569639</v>
      </c>
      <c r="T73" s="1209" t="s">
        <v>34</v>
      </c>
      <c r="U73" s="1202">
        <v>24142695</v>
      </c>
      <c r="V73" s="1202" t="s">
        <v>150</v>
      </c>
      <c r="W73" s="1202" t="s">
        <v>199</v>
      </c>
      <c r="X73" s="1203">
        <v>25803.9</v>
      </c>
      <c r="Y73" s="1202" t="s">
        <v>200</v>
      </c>
      <c r="Z73" s="1209">
        <v>1</v>
      </c>
      <c r="AA73" s="1209">
        <v>1</v>
      </c>
      <c r="AB73" s="1367" t="s">
        <v>204</v>
      </c>
      <c r="AC73" s="1192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692</v>
      </c>
      <c r="S74" s="1202">
        <v>3331569640</v>
      </c>
      <c r="T74" s="1209" t="s">
        <v>11</v>
      </c>
      <c r="U74" s="1202">
        <v>24142696</v>
      </c>
      <c r="V74" s="1202" t="s">
        <v>150</v>
      </c>
      <c r="W74" s="1202" t="s">
        <v>199</v>
      </c>
      <c r="X74" s="1203">
        <v>25674.881000000001</v>
      </c>
      <c r="Y74" s="1202" t="s">
        <v>200</v>
      </c>
      <c r="Z74" s="1209">
        <v>1</v>
      </c>
      <c r="AA74" s="1209">
        <v>1</v>
      </c>
      <c r="AB74" s="1367" t="s">
        <v>204</v>
      </c>
      <c r="AC74" s="1192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692</v>
      </c>
      <c r="S75" s="1202">
        <v>3331569643</v>
      </c>
      <c r="T75" s="1209" t="s">
        <v>27</v>
      </c>
      <c r="U75" s="1202">
        <v>24142698</v>
      </c>
      <c r="V75" s="1202" t="s">
        <v>158</v>
      </c>
      <c r="W75" s="1202" t="s">
        <v>199</v>
      </c>
      <c r="X75" s="1203">
        <v>26037.583999999999</v>
      </c>
      <c r="Y75" s="1202" t="s">
        <v>200</v>
      </c>
      <c r="Z75" s="1209">
        <v>1</v>
      </c>
      <c r="AA75" s="1209">
        <v>1</v>
      </c>
      <c r="AB75" s="1367" t="s">
        <v>204</v>
      </c>
      <c r="AC75" s="1192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692</v>
      </c>
      <c r="S76" s="1202">
        <v>3331569644</v>
      </c>
      <c r="T76" s="1209" t="s">
        <v>11</v>
      </c>
      <c r="U76" s="1202">
        <v>24142699</v>
      </c>
      <c r="V76" s="1202" t="s">
        <v>158</v>
      </c>
      <c r="W76" s="1202" t="s">
        <v>199</v>
      </c>
      <c r="X76" s="1203">
        <v>25310.959999999999</v>
      </c>
      <c r="Y76" s="1202" t="s">
        <v>200</v>
      </c>
      <c r="Z76" s="1209">
        <v>1</v>
      </c>
      <c r="AA76" s="1209">
        <v>1</v>
      </c>
      <c r="AB76" s="1367" t="s">
        <v>204</v>
      </c>
      <c r="AC76" s="1192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692</v>
      </c>
      <c r="S77" s="1202">
        <v>3331569647</v>
      </c>
      <c r="T77" s="1209" t="s">
        <v>34</v>
      </c>
      <c r="U77" s="1202">
        <v>24142700</v>
      </c>
      <c r="V77" s="1202" t="s">
        <v>158</v>
      </c>
      <c r="W77" s="1202" t="s">
        <v>199</v>
      </c>
      <c r="X77" s="1203">
        <v>24885.924999999999</v>
      </c>
      <c r="Y77" s="1202" t="s">
        <v>200</v>
      </c>
      <c r="Z77" s="1209">
        <v>1</v>
      </c>
      <c r="AA77" s="1209">
        <v>1</v>
      </c>
      <c r="AB77" s="1367" t="s">
        <v>204</v>
      </c>
      <c r="AC77" s="1192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692</v>
      </c>
      <c r="S78" s="1202">
        <v>3331569665</v>
      </c>
      <c r="T78" s="1209" t="s">
        <v>27</v>
      </c>
      <c r="U78" s="1202">
        <v>24142707</v>
      </c>
      <c r="V78" s="1202" t="s">
        <v>366</v>
      </c>
      <c r="W78" s="1202" t="s">
        <v>199</v>
      </c>
      <c r="X78" s="1203">
        <v>25029.782999999999</v>
      </c>
      <c r="Y78" s="1202" t="s">
        <v>200</v>
      </c>
      <c r="Z78" s="1209">
        <v>1</v>
      </c>
      <c r="AA78" s="1209">
        <v>1</v>
      </c>
      <c r="AB78" s="1367" t="s">
        <v>204</v>
      </c>
      <c r="AC78" s="1192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692</v>
      </c>
      <c r="S79" s="1202">
        <v>3331569666</v>
      </c>
      <c r="T79" s="1209" t="s">
        <v>287</v>
      </c>
      <c r="U79" s="1202">
        <v>24142708</v>
      </c>
      <c r="V79" s="1202" t="s">
        <v>366</v>
      </c>
      <c r="W79" s="1202" t="s">
        <v>199</v>
      </c>
      <c r="X79" s="1203">
        <v>25244.815999999999</v>
      </c>
      <c r="Y79" s="1202" t="s">
        <v>200</v>
      </c>
      <c r="Z79" s="1209">
        <v>1</v>
      </c>
      <c r="AA79" s="1209">
        <v>1</v>
      </c>
      <c r="AB79" s="1367" t="s">
        <v>204</v>
      </c>
      <c r="AC79" s="1192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692</v>
      </c>
      <c r="S80" s="1202">
        <v>3331569731</v>
      </c>
      <c r="T80" s="1209" t="s">
        <v>34</v>
      </c>
      <c r="U80" s="1202">
        <v>24142715</v>
      </c>
      <c r="V80" s="1202" t="s">
        <v>219</v>
      </c>
      <c r="W80" s="1202" t="s">
        <v>199</v>
      </c>
      <c r="X80" s="1203">
        <v>26596.542000000001</v>
      </c>
      <c r="Y80" s="1202" t="s">
        <v>200</v>
      </c>
      <c r="Z80" s="1209">
        <v>1</v>
      </c>
      <c r="AA80" s="1209">
        <v>1</v>
      </c>
      <c r="AB80" s="1367" t="s">
        <v>204</v>
      </c>
      <c r="AC80" s="1192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692</v>
      </c>
      <c r="S81" s="1202">
        <v>3331569734</v>
      </c>
      <c r="T81" s="1209" t="s">
        <v>11</v>
      </c>
      <c r="U81" s="1202">
        <v>24142718</v>
      </c>
      <c r="V81" s="1202" t="s">
        <v>219</v>
      </c>
      <c r="W81" s="1202" t="s">
        <v>199</v>
      </c>
      <c r="X81" s="1203">
        <v>25634.191999999999</v>
      </c>
      <c r="Y81" s="1202" t="s">
        <v>200</v>
      </c>
      <c r="Z81" s="1209">
        <v>1</v>
      </c>
      <c r="AA81" s="1209">
        <v>1</v>
      </c>
      <c r="AB81" s="1367" t="s">
        <v>204</v>
      </c>
      <c r="AC81" s="1192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692</v>
      </c>
      <c r="S82" s="1202">
        <v>3331569732</v>
      </c>
      <c r="T82" s="1209" t="s">
        <v>287</v>
      </c>
      <c r="U82" s="1202">
        <v>24142719</v>
      </c>
      <c r="V82" s="1202" t="s">
        <v>368</v>
      </c>
      <c r="W82" s="1202" t="s">
        <v>199</v>
      </c>
      <c r="X82" s="1203">
        <v>25593.726999999999</v>
      </c>
      <c r="Y82" s="1202" t="s">
        <v>200</v>
      </c>
      <c r="Z82" s="1209">
        <v>1</v>
      </c>
      <c r="AA82" s="1209">
        <v>1</v>
      </c>
      <c r="AB82" s="1367" t="s">
        <v>204</v>
      </c>
      <c r="AC82" s="1192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692</v>
      </c>
      <c r="S83" s="1202">
        <v>3331569738</v>
      </c>
      <c r="T83" s="1209" t="s">
        <v>137</v>
      </c>
      <c r="U83" s="1202">
        <v>24142721</v>
      </c>
      <c r="V83" s="1202" t="s">
        <v>572</v>
      </c>
      <c r="W83" s="1202" t="s">
        <v>199</v>
      </c>
      <c r="X83" s="1203">
        <v>25634.191999999999</v>
      </c>
      <c r="Y83" s="1202" t="s">
        <v>200</v>
      </c>
      <c r="Z83" s="1209">
        <v>1</v>
      </c>
      <c r="AA83" s="1209">
        <v>1</v>
      </c>
      <c r="AB83" s="1367" t="s">
        <v>204</v>
      </c>
      <c r="AC83" s="1192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692</v>
      </c>
      <c r="S84" s="1202">
        <v>3331569740</v>
      </c>
      <c r="T84" s="1209" t="s">
        <v>34</v>
      </c>
      <c r="U84" s="1202">
        <v>24142722</v>
      </c>
      <c r="V84" s="1202" t="s">
        <v>368</v>
      </c>
      <c r="W84" s="1202" t="s">
        <v>199</v>
      </c>
      <c r="X84" s="1203">
        <v>24812.238000000001</v>
      </c>
      <c r="Y84" s="1202" t="s">
        <v>200</v>
      </c>
      <c r="Z84" s="1209">
        <v>1</v>
      </c>
      <c r="AA84" s="1209">
        <v>1</v>
      </c>
      <c r="AB84" s="1367" t="s">
        <v>204</v>
      </c>
      <c r="AC84" s="1192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692</v>
      </c>
      <c r="S85" s="1202">
        <v>3331569742</v>
      </c>
      <c r="T85" s="1209" t="s">
        <v>34</v>
      </c>
      <c r="U85" s="1202">
        <v>24142723</v>
      </c>
      <c r="V85" s="1202" t="s">
        <v>572</v>
      </c>
      <c r="W85" s="1202" t="s">
        <v>199</v>
      </c>
      <c r="X85" s="1203">
        <v>24638.269</v>
      </c>
      <c r="Y85" s="1202" t="s">
        <v>200</v>
      </c>
      <c r="Z85" s="1209">
        <v>1</v>
      </c>
      <c r="AA85" s="1209">
        <v>1</v>
      </c>
      <c r="AB85" s="1367" t="s">
        <v>204</v>
      </c>
      <c r="AC85" s="1192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692</v>
      </c>
      <c r="S86" s="1202">
        <v>3331569744</v>
      </c>
      <c r="T86" s="1209" t="s">
        <v>287</v>
      </c>
      <c r="U86" s="1202">
        <v>24142724</v>
      </c>
      <c r="V86" s="1202" t="s">
        <v>572</v>
      </c>
      <c r="W86" s="1202" t="s">
        <v>199</v>
      </c>
      <c r="X86" s="1203">
        <v>25287.784</v>
      </c>
      <c r="Y86" s="1202" t="s">
        <v>200</v>
      </c>
      <c r="Z86" s="1209">
        <v>1</v>
      </c>
      <c r="AA86" s="1209">
        <v>1</v>
      </c>
      <c r="AB86" s="1367" t="s">
        <v>204</v>
      </c>
      <c r="AC86" s="1192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692</v>
      </c>
      <c r="S87" s="1202">
        <v>3331569746</v>
      </c>
      <c r="T87" s="1209" t="s">
        <v>27</v>
      </c>
      <c r="U87" s="1202">
        <v>24142725</v>
      </c>
      <c r="V87" s="1202" t="s">
        <v>572</v>
      </c>
      <c r="W87" s="1202" t="s">
        <v>199</v>
      </c>
      <c r="X87" s="1203">
        <v>26110.503000000001</v>
      </c>
      <c r="Y87" s="1202" t="s">
        <v>200</v>
      </c>
      <c r="Z87" s="1209">
        <v>1</v>
      </c>
      <c r="AA87" s="1209">
        <v>1</v>
      </c>
      <c r="AB87" s="1367" t="s">
        <v>204</v>
      </c>
      <c r="AC87" s="1192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692</v>
      </c>
      <c r="S88" s="1202">
        <v>3331569750</v>
      </c>
      <c r="T88" s="1209" t="s">
        <v>34</v>
      </c>
      <c r="U88" s="1202">
        <v>24142726</v>
      </c>
      <c r="V88" s="1202" t="s">
        <v>368</v>
      </c>
      <c r="W88" s="1202" t="s">
        <v>199</v>
      </c>
      <c r="X88" s="1203">
        <v>25003.100999999999</v>
      </c>
      <c r="Y88" s="1202" t="s">
        <v>200</v>
      </c>
      <c r="Z88" s="1209">
        <v>1</v>
      </c>
      <c r="AA88" s="1209">
        <v>1</v>
      </c>
      <c r="AB88" s="1367" t="s">
        <v>204</v>
      </c>
      <c r="AC88" s="1192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692</v>
      </c>
      <c r="S89" s="1202">
        <v>3331569757</v>
      </c>
      <c r="T89" s="1209" t="s">
        <v>27</v>
      </c>
      <c r="U89" s="1202">
        <v>24142730</v>
      </c>
      <c r="V89" s="1202" t="s">
        <v>368</v>
      </c>
      <c r="W89" s="1202" t="s">
        <v>199</v>
      </c>
      <c r="X89" s="1203">
        <v>23382.54</v>
      </c>
      <c r="Y89" s="1202" t="s">
        <v>200</v>
      </c>
      <c r="Z89" s="1209">
        <v>1</v>
      </c>
      <c r="AA89" s="1209">
        <v>1</v>
      </c>
      <c r="AB89" s="1367" t="s">
        <v>204</v>
      </c>
      <c r="AC89" s="1192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692</v>
      </c>
      <c r="S90" s="1202">
        <v>3331569799</v>
      </c>
      <c r="T90" s="1209" t="s">
        <v>34</v>
      </c>
      <c r="U90" s="1202">
        <v>24142743</v>
      </c>
      <c r="V90" s="1202" t="s">
        <v>572</v>
      </c>
      <c r="W90" s="1202" t="s">
        <v>199</v>
      </c>
      <c r="X90" s="1203">
        <v>25980.6</v>
      </c>
      <c r="Y90" s="1202" t="s">
        <v>200</v>
      </c>
      <c r="Z90" s="1209">
        <v>1</v>
      </c>
      <c r="AA90" s="1209">
        <v>1</v>
      </c>
      <c r="AB90" s="1367" t="s">
        <v>204</v>
      </c>
      <c r="AC90" s="1192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692</v>
      </c>
      <c r="S91" s="1202">
        <v>3331569804</v>
      </c>
      <c r="T91" s="1209" t="s">
        <v>462</v>
      </c>
      <c r="U91" s="1202">
        <v>24142744</v>
      </c>
      <c r="V91" s="1202" t="s">
        <v>572</v>
      </c>
      <c r="W91" s="1202" t="s">
        <v>199</v>
      </c>
      <c r="X91" s="1203">
        <v>25937.298999999999</v>
      </c>
      <c r="Y91" s="1202" t="s">
        <v>200</v>
      </c>
      <c r="Z91" s="1209">
        <v>1</v>
      </c>
      <c r="AA91" s="1209">
        <v>1</v>
      </c>
      <c r="AB91" s="1367" t="s">
        <v>204</v>
      </c>
      <c r="AC91" s="1192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692</v>
      </c>
      <c r="S92" s="1202">
        <v>3331569823</v>
      </c>
      <c r="T92" s="1209" t="s">
        <v>34</v>
      </c>
      <c r="U92" s="1202">
        <v>24142753</v>
      </c>
      <c r="V92" s="1077" t="s">
        <v>675</v>
      </c>
      <c r="W92" s="1202" t="s">
        <v>199</v>
      </c>
      <c r="X92" s="1203">
        <v>26306.983</v>
      </c>
      <c r="Y92" s="1202" t="s">
        <v>200</v>
      </c>
      <c r="Z92" s="1209">
        <v>1</v>
      </c>
      <c r="AA92" s="1209">
        <v>1</v>
      </c>
      <c r="AB92" s="1228" t="s">
        <v>204</v>
      </c>
      <c r="AC92" s="1192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692</v>
      </c>
      <c r="S93" s="1202">
        <v>3331569649</v>
      </c>
      <c r="T93" s="1209" t="s">
        <v>287</v>
      </c>
      <c r="U93" s="1202">
        <v>24142701</v>
      </c>
      <c r="V93" s="1202" t="s">
        <v>158</v>
      </c>
      <c r="W93" s="1202" t="s">
        <v>340</v>
      </c>
      <c r="X93" s="1203">
        <v>24883.41</v>
      </c>
      <c r="Y93" s="1202" t="s">
        <v>200</v>
      </c>
      <c r="Z93" s="1209">
        <v>1</v>
      </c>
      <c r="AA93" s="1209">
        <v>1</v>
      </c>
      <c r="AB93" s="1450" t="s">
        <v>204</v>
      </c>
      <c r="AC93" s="1192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692</v>
      </c>
      <c r="S94" s="1202">
        <v>3331569650</v>
      </c>
      <c r="T94" s="1209" t="s">
        <v>11</v>
      </c>
      <c r="U94" s="1202">
        <v>24142702</v>
      </c>
      <c r="V94" s="1202" t="s">
        <v>158</v>
      </c>
      <c r="W94" s="1202" t="s">
        <v>340</v>
      </c>
      <c r="X94" s="1203">
        <v>25588.867999999999</v>
      </c>
      <c r="Y94" s="1202" t="s">
        <v>200</v>
      </c>
      <c r="Z94" s="1209">
        <v>1</v>
      </c>
      <c r="AA94" s="1209">
        <v>1</v>
      </c>
      <c r="AB94" s="1450" t="s">
        <v>204</v>
      </c>
      <c r="AC94" s="1192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692</v>
      </c>
      <c r="S95" s="1202">
        <v>3331569652</v>
      </c>
      <c r="T95" s="1209" t="s">
        <v>11</v>
      </c>
      <c r="U95" s="1202">
        <v>24142703</v>
      </c>
      <c r="V95" s="1202" t="s">
        <v>158</v>
      </c>
      <c r="W95" s="1202" t="s">
        <v>340</v>
      </c>
      <c r="X95" s="1203">
        <v>25846.905999999999</v>
      </c>
      <c r="Y95" s="1202" t="s">
        <v>200</v>
      </c>
      <c r="Z95" s="1209">
        <v>1</v>
      </c>
      <c r="AA95" s="1209">
        <v>1</v>
      </c>
      <c r="AB95" s="1450" t="s">
        <v>204</v>
      </c>
      <c r="AC95" s="1192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692</v>
      </c>
      <c r="S96" s="1202">
        <v>3331569642</v>
      </c>
      <c r="T96" s="1209" t="s">
        <v>27</v>
      </c>
      <c r="U96" s="1202">
        <v>24142697</v>
      </c>
      <c r="V96" s="1202" t="s">
        <v>150</v>
      </c>
      <c r="W96" s="1202" t="s">
        <v>340</v>
      </c>
      <c r="X96" s="1203">
        <v>26750.043000000001</v>
      </c>
      <c r="Y96" s="1202" t="s">
        <v>200</v>
      </c>
      <c r="Z96" s="1209">
        <v>1</v>
      </c>
      <c r="AA96" s="1209">
        <v>1</v>
      </c>
      <c r="AB96" s="1450" t="s">
        <v>204</v>
      </c>
      <c r="AC96" s="1192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692</v>
      </c>
      <c r="S97" s="1202">
        <v>3331569655</v>
      </c>
      <c r="T97" s="1209" t="s">
        <v>287</v>
      </c>
      <c r="U97" s="1202">
        <v>24142704</v>
      </c>
      <c r="V97" s="1202" t="s">
        <v>150</v>
      </c>
      <c r="W97" s="1202" t="s">
        <v>340</v>
      </c>
      <c r="X97" s="1203">
        <v>25803.9</v>
      </c>
      <c r="Y97" s="1202" t="s">
        <v>200</v>
      </c>
      <c r="Z97" s="1209">
        <v>1</v>
      </c>
      <c r="AA97" s="1209">
        <v>1</v>
      </c>
      <c r="AB97" s="1450" t="s">
        <v>204</v>
      </c>
      <c r="AC97" s="1192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692</v>
      </c>
      <c r="S98" s="1202">
        <v>3331569656</v>
      </c>
      <c r="T98" s="1209" t="s">
        <v>34</v>
      </c>
      <c r="U98" s="1202">
        <v>24142705</v>
      </c>
      <c r="V98" s="1202" t="s">
        <v>150</v>
      </c>
      <c r="W98" s="1202" t="s">
        <v>340</v>
      </c>
      <c r="X98" s="1203">
        <v>24470.699000000001</v>
      </c>
      <c r="Y98" s="1202" t="s">
        <v>200</v>
      </c>
      <c r="Z98" s="1209">
        <v>1</v>
      </c>
      <c r="AA98" s="1209">
        <v>1</v>
      </c>
      <c r="AB98" s="1450" t="s">
        <v>204</v>
      </c>
      <c r="AC98" s="1192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692</v>
      </c>
      <c r="S99" s="1202">
        <v>3331569657</v>
      </c>
      <c r="T99" s="1209" t="s">
        <v>34</v>
      </c>
      <c r="U99" s="1202">
        <v>24142706</v>
      </c>
      <c r="V99" s="1202" t="s">
        <v>150</v>
      </c>
      <c r="W99" s="1202" t="s">
        <v>340</v>
      </c>
      <c r="X99" s="1203">
        <v>26018.933000000001</v>
      </c>
      <c r="Y99" s="1202" t="s">
        <v>200</v>
      </c>
      <c r="Z99" s="1209">
        <v>1</v>
      </c>
      <c r="AA99" s="1209">
        <v>1</v>
      </c>
      <c r="AB99" s="1450" t="s">
        <v>204</v>
      </c>
      <c r="AC99" s="1192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/>
      <c r="S100" s="1190"/>
      <c r="T100" s="1190"/>
      <c r="U100" s="1190"/>
      <c r="V100" s="1190"/>
      <c r="W100" s="1190"/>
      <c r="X100" s="1191"/>
      <c r="Y100" s="1190"/>
      <c r="Z100" s="1217"/>
      <c r="AA100" s="1217"/>
      <c r="AB100" s="1218"/>
      <c r="AC100" s="1192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11"/>
      <c r="U101" s="1190"/>
      <c r="V101" s="1190"/>
      <c r="W101" s="1190"/>
      <c r="X101" s="1191"/>
      <c r="Y101" s="1190"/>
      <c r="Z101" s="1106"/>
      <c r="AA101" s="1106"/>
      <c r="AB101" s="1110"/>
      <c r="AC101" s="1192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11"/>
      <c r="U102" s="1190"/>
      <c r="V102" s="1190"/>
      <c r="W102" s="1190"/>
      <c r="X102" s="1191"/>
      <c r="Y102" s="1190"/>
      <c r="Z102" s="1190"/>
      <c r="AA102" s="1190"/>
      <c r="AB102" s="1110"/>
      <c r="AC102" s="1192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06"/>
      <c r="U103" s="1190"/>
      <c r="V103" s="1190"/>
      <c r="W103" s="1190"/>
      <c r="X103" s="1191"/>
      <c r="Y103" s="1190"/>
      <c r="Z103" s="1190"/>
      <c r="AA103" s="1190"/>
      <c r="AB103" s="1190"/>
      <c r="AC103" s="1192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89"/>
      <c r="S104" s="1190"/>
      <c r="T104" s="1190"/>
      <c r="U104" s="1190"/>
      <c r="V104" s="1190"/>
      <c r="W104" s="1190"/>
      <c r="X104" s="1191"/>
      <c r="Y104" s="1190"/>
      <c r="Z104" s="1190"/>
      <c r="AA104" s="1190"/>
      <c r="AB104" s="1190"/>
      <c r="AC104" s="1192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190"/>
      <c r="X105" s="1191"/>
      <c r="Y105" s="1190"/>
      <c r="Z105" s="1190"/>
      <c r="AA105" s="1190"/>
      <c r="AB105" s="1190"/>
      <c r="AC105" s="1192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06"/>
      <c r="U106" s="1190"/>
      <c r="V106" s="1190"/>
      <c r="W106" s="1190"/>
      <c r="X106" s="1191"/>
      <c r="Y106" s="1190"/>
      <c r="Z106" s="1190"/>
      <c r="AA106" s="1190"/>
      <c r="AB106" s="1190"/>
      <c r="AC106" s="1192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106"/>
      <c r="U107" s="1190"/>
      <c r="V107" s="1190"/>
      <c r="W107" s="1190"/>
      <c r="X107" s="1191"/>
      <c r="Y107" s="1190"/>
      <c r="Z107" s="1190"/>
      <c r="AA107" s="1190"/>
      <c r="AB107" s="1190"/>
      <c r="AC107" s="1192"/>
      <c r="AD107" s="26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11"/>
      <c r="U108" s="1190"/>
      <c r="V108" s="1190"/>
      <c r="W108" s="1190"/>
      <c r="X108" s="1191"/>
      <c r="Y108" s="1190"/>
      <c r="Z108" s="1190"/>
      <c r="AA108" s="1190"/>
      <c r="AB108" s="1190"/>
      <c r="AC108" s="1192"/>
      <c r="AD108" s="26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06"/>
      <c r="U109" s="1190"/>
      <c r="V109" s="1190"/>
      <c r="W109" s="1190"/>
      <c r="X109" s="1191"/>
      <c r="Y109" s="1190"/>
      <c r="Z109" s="1190"/>
      <c r="AA109" s="1190"/>
      <c r="AB109" s="1190"/>
      <c r="AC109" s="1192"/>
      <c r="AD109" s="26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11"/>
      <c r="U110" s="1190"/>
      <c r="V110" s="1190"/>
      <c r="W110" s="1190"/>
      <c r="X110" s="1191"/>
      <c r="Y110" s="1190"/>
      <c r="Z110" s="1190"/>
      <c r="AA110" s="1190"/>
      <c r="AB110" s="1190"/>
      <c r="AC110" s="1192"/>
      <c r="AD110" s="26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06"/>
      <c r="U111" s="1190"/>
      <c r="V111" s="1190"/>
      <c r="W111" s="1190"/>
      <c r="X111" s="1191"/>
      <c r="Y111" s="1190"/>
      <c r="Z111" s="1190"/>
      <c r="AA111" s="1190"/>
      <c r="AB111" s="1190"/>
      <c r="AC111" s="1192"/>
      <c r="AD111" s="26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06"/>
      <c r="U112" s="1190"/>
      <c r="V112" s="1190"/>
      <c r="W112" s="1190"/>
      <c r="X112" s="1191"/>
      <c r="Y112" s="1190"/>
      <c r="Z112" s="1190"/>
      <c r="AA112" s="1190"/>
      <c r="AB112" s="1190"/>
      <c r="AC112" s="1192"/>
      <c r="AD112" s="26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11"/>
      <c r="U113" s="1190"/>
      <c r="V113" s="1190"/>
      <c r="W113" s="1190"/>
      <c r="X113" s="1191"/>
      <c r="Y113" s="1190"/>
      <c r="Z113" s="1190"/>
      <c r="AA113" s="1190"/>
      <c r="AB113" s="1190"/>
      <c r="AC113" s="1192"/>
      <c r="AD113" s="26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06"/>
      <c r="U114" s="1190"/>
      <c r="V114" s="1190"/>
      <c r="W114" s="1190"/>
      <c r="X114" s="1191"/>
      <c r="Y114" s="1190"/>
      <c r="Z114" s="1190"/>
      <c r="AA114" s="1190"/>
      <c r="AB114" s="1190"/>
      <c r="AC114" s="1192"/>
      <c r="AD114" s="26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192"/>
      <c r="AD115" s="26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06"/>
      <c r="U116" s="1190"/>
      <c r="V116" s="1190"/>
      <c r="W116" s="1190"/>
      <c r="X116" s="1191"/>
      <c r="Y116" s="1190"/>
      <c r="Z116" s="1190"/>
      <c r="AA116" s="1190"/>
      <c r="AB116" s="1190"/>
      <c r="AC116" s="1192"/>
      <c r="AD116" s="26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06"/>
      <c r="U117" s="1190"/>
      <c r="V117" s="1190"/>
      <c r="W117" s="1190"/>
      <c r="X117" s="1191"/>
      <c r="Y117" s="1190"/>
      <c r="Z117" s="1190"/>
      <c r="AA117" s="1190"/>
      <c r="AB117" s="1190"/>
      <c r="AC117" s="1192"/>
      <c r="AD117" s="26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106"/>
      <c r="U118" s="1190"/>
      <c r="V118" s="1190"/>
      <c r="W118" s="1190"/>
      <c r="X118" s="1191"/>
      <c r="Y118" s="1190"/>
      <c r="Z118" s="1190"/>
      <c r="AA118" s="1190"/>
      <c r="AB118" s="1190"/>
      <c r="AC118" s="1192"/>
      <c r="AD118" s="26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06"/>
      <c r="U119" s="1190"/>
      <c r="V119" s="1190"/>
      <c r="W119" s="1190"/>
      <c r="X119" s="1193"/>
      <c r="Y119" s="1190"/>
      <c r="Z119" s="1190"/>
      <c r="AA119" s="1190"/>
      <c r="AB119" s="1190"/>
      <c r="AC119" s="1192"/>
      <c r="AD119" s="26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11"/>
      <c r="U120" s="1190"/>
      <c r="V120" s="1190"/>
      <c r="W120" s="1190"/>
      <c r="X120" s="1191"/>
      <c r="Y120" s="1190"/>
      <c r="Z120" s="1190"/>
      <c r="AA120" s="1190"/>
      <c r="AB120" s="1190"/>
      <c r="AC120" s="1192"/>
      <c r="AD120" s="26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94"/>
      <c r="S121" s="1195"/>
      <c r="T121" s="1111"/>
      <c r="U121" s="1195"/>
      <c r="V121" s="1190"/>
      <c r="W121" s="1190"/>
      <c r="X121" s="1196"/>
      <c r="Y121" s="1195"/>
      <c r="Z121" s="1195"/>
      <c r="AA121" s="1195"/>
      <c r="AB121" s="1195"/>
      <c r="AC121" s="1192"/>
      <c r="AD121" s="26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4"/>
      <c r="S122" s="1195"/>
      <c r="T122" s="1111"/>
      <c r="U122" s="1195"/>
      <c r="V122" s="1190"/>
      <c r="W122" s="1190"/>
      <c r="X122" s="1196"/>
      <c r="Y122" s="1195"/>
      <c r="Z122" s="1195"/>
      <c r="AA122" s="1195"/>
      <c r="AB122" s="1195"/>
      <c r="AC122" s="1192"/>
      <c r="AD122" s="26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11"/>
      <c r="U123" s="1190"/>
      <c r="V123" s="1190"/>
      <c r="W123" s="1190"/>
      <c r="X123" s="1191"/>
      <c r="Y123" s="1195"/>
      <c r="Z123" s="1190"/>
      <c r="AA123" s="1190"/>
      <c r="AB123" s="1190"/>
      <c r="AC123" s="1192"/>
      <c r="AD123" s="26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11"/>
      <c r="U124" s="1190"/>
      <c r="V124" s="1190"/>
      <c r="W124" s="1190"/>
      <c r="X124" s="1191"/>
      <c r="Y124" s="1195"/>
      <c r="Z124" s="1190"/>
      <c r="AA124" s="1190"/>
      <c r="AB124" s="1190"/>
      <c r="AC124" s="1192"/>
      <c r="AD124" s="26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4"/>
      <c r="S125" s="1195"/>
      <c r="T125" s="1111"/>
      <c r="U125" s="1195"/>
      <c r="V125" s="1195"/>
      <c r="W125" s="1190"/>
      <c r="X125" s="1196"/>
      <c r="Y125" s="1195"/>
      <c r="Z125" s="1195"/>
      <c r="AA125" s="1195"/>
      <c r="AB125" s="1190"/>
      <c r="AC125" s="1192"/>
      <c r="AD125" s="26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4"/>
      <c r="S126" s="1195"/>
      <c r="T126" s="1106"/>
      <c r="U126" s="1195"/>
      <c r="V126" s="1195"/>
      <c r="W126" s="1195"/>
      <c r="X126" s="1196"/>
      <c r="Y126" s="1195"/>
      <c r="Z126" s="1195"/>
      <c r="AA126" s="1195"/>
      <c r="AB126" s="1195"/>
      <c r="AC126" s="1197"/>
      <c r="AD126" s="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190"/>
      <c r="U127" s="1190"/>
      <c r="V127" s="1190"/>
      <c r="W127" s="1190"/>
      <c r="X127" s="1191"/>
      <c r="Y127" s="1190"/>
      <c r="Z127" s="1190"/>
      <c r="AA127" s="1190"/>
      <c r="AB127" s="1190"/>
      <c r="AC127" s="1192"/>
      <c r="AD127" s="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190"/>
      <c r="U128" s="1190"/>
      <c r="V128" s="1195"/>
      <c r="W128" s="1190"/>
      <c r="X128" s="1191"/>
      <c r="Y128" s="1190"/>
      <c r="Z128" s="1190"/>
      <c r="AA128" s="1190"/>
      <c r="AB128" s="1190"/>
      <c r="AC128" s="1192"/>
      <c r="AD128" s="26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5"/>
      <c r="W129" s="1190"/>
      <c r="X129" s="1191"/>
      <c r="Y129" s="1190"/>
      <c r="Z129" s="1190"/>
      <c r="AA129" s="1190"/>
      <c r="AB129" s="1190"/>
      <c r="AC129" s="1192"/>
      <c r="AD129" s="26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26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26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5"/>
      <c r="W132" s="1190"/>
      <c r="X132" s="1191"/>
      <c r="Y132" s="1190"/>
      <c r="Z132" s="1190"/>
      <c r="AA132" s="1190"/>
      <c r="AB132" s="1190"/>
      <c r="AC132" s="1192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5"/>
      <c r="W133" s="1190"/>
      <c r="X133" s="1191"/>
      <c r="Y133" s="1190"/>
      <c r="Z133" s="1190"/>
      <c r="AA133" s="1190"/>
      <c r="AB133" s="1190"/>
      <c r="AC133" s="1192"/>
      <c r="AD133" s="203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4"/>
      <c r="S134" s="1195"/>
      <c r="T134" s="1195"/>
      <c r="U134" s="1195"/>
      <c r="V134" s="1195"/>
      <c r="W134" s="1195"/>
      <c r="X134" s="1196"/>
      <c r="Y134" s="1195"/>
      <c r="Z134" s="1195"/>
      <c r="AA134" s="1195"/>
      <c r="AB134" s="1195"/>
      <c r="AC134" s="1197"/>
      <c r="AD134" s="203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/>
      <c r="S135"/>
      <c r="T135"/>
      <c r="U135"/>
      <c r="V135"/>
      <c r="W135"/>
      <c r="X135"/>
      <c r="Y135"/>
      <c r="Z135"/>
      <c r="AA135"/>
      <c r="AB135"/>
      <c r="AC135" s="609"/>
      <c r="AD135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/>
      <c r="S136"/>
      <c r="T136"/>
      <c r="U136"/>
      <c r="V136"/>
      <c r="W136"/>
      <c r="X136"/>
      <c r="Y136"/>
      <c r="Z136"/>
      <c r="AA136"/>
      <c r="AB136"/>
      <c r="AC136" s="609"/>
      <c r="AD13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/>
      <c r="S137"/>
      <c r="T137"/>
      <c r="U137"/>
      <c r="V137"/>
      <c r="W137"/>
      <c r="X137"/>
      <c r="Y137"/>
      <c r="Z137"/>
      <c r="AA137"/>
      <c r="AB137"/>
      <c r="AC137" s="609"/>
      <c r="AD137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/>
      <c r="S138"/>
      <c r="T138"/>
      <c r="U138"/>
      <c r="V138"/>
      <c r="W138"/>
      <c r="X138"/>
      <c r="Y138"/>
      <c r="Z138"/>
      <c r="AA138"/>
      <c r="AB138"/>
      <c r="AC138" s="609"/>
      <c r="AD138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/>
      <c r="S139"/>
      <c r="T139"/>
      <c r="U139"/>
      <c r="V139"/>
      <c r="W139"/>
      <c r="X139"/>
      <c r="Y139"/>
      <c r="Z139"/>
      <c r="AA139"/>
      <c r="AB139"/>
      <c r="AC139" s="609"/>
      <c r="AD139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/>
      <c r="S140"/>
      <c r="T140"/>
      <c r="U140"/>
      <c r="V140"/>
      <c r="W140"/>
      <c r="X140"/>
      <c r="Y140"/>
      <c r="Z140"/>
      <c r="AA140"/>
      <c r="AB140"/>
      <c r="AC140" s="609"/>
      <c r="AD140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/>
      <c r="S141"/>
      <c r="T141"/>
      <c r="U141"/>
      <c r="V141"/>
      <c r="W141"/>
      <c r="X141"/>
      <c r="Y141"/>
      <c r="Z141"/>
      <c r="AA141"/>
      <c r="AB141"/>
      <c r="AC141" s="609"/>
      <c r="AD14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/>
      <c r="S142"/>
      <c r="T142"/>
      <c r="U142"/>
      <c r="V142"/>
      <c r="W142"/>
      <c r="X142"/>
      <c r="Y142"/>
      <c r="Z142"/>
      <c r="AA142"/>
      <c r="AB142"/>
      <c r="AC142" s="609"/>
      <c r="AD142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/>
      <c r="S143"/>
      <c r="T143"/>
      <c r="U143"/>
      <c r="V143"/>
      <c r="W143"/>
      <c r="X143"/>
      <c r="Y143"/>
      <c r="Z143"/>
      <c r="AA143"/>
      <c r="AB143"/>
      <c r="AC143" s="609"/>
      <c r="AD143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/>
      <c r="S144"/>
      <c r="T144"/>
      <c r="U144"/>
      <c r="V144"/>
      <c r="W144"/>
      <c r="X144"/>
      <c r="Y144"/>
      <c r="Z144"/>
      <c r="AA144"/>
      <c r="AB144"/>
      <c r="AC144" s="609"/>
      <c r="AD144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/>
      <c r="S145"/>
      <c r="T145"/>
      <c r="U145"/>
      <c r="V145"/>
      <c r="W145"/>
      <c r="X145"/>
      <c r="Y145"/>
      <c r="Z145"/>
      <c r="AA145"/>
      <c r="AB145"/>
      <c r="AC145" s="609"/>
      <c r="AD145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/>
      <c r="S146"/>
      <c r="T146"/>
      <c r="U146"/>
      <c r="V146"/>
      <c r="W146"/>
      <c r="X146"/>
      <c r="Y146"/>
      <c r="Z146"/>
      <c r="AA146"/>
      <c r="AB146"/>
      <c r="AC146" s="609"/>
      <c r="AD146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/>
      <c r="S147"/>
      <c r="T147"/>
      <c r="U147"/>
      <c r="V147"/>
      <c r="W147"/>
      <c r="X147"/>
      <c r="Y147"/>
      <c r="Z147"/>
      <c r="AA147"/>
      <c r="AB147"/>
      <c r="AC147" s="609"/>
      <c r="AD147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/>
      <c r="S148"/>
      <c r="T148"/>
      <c r="U148"/>
      <c r="V148"/>
      <c r="W148"/>
      <c r="X148"/>
      <c r="Y148"/>
      <c r="Z148"/>
      <c r="AA148"/>
      <c r="AB148"/>
      <c r="AC148" s="609"/>
      <c r="AD148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/>
      <c r="S149"/>
      <c r="T149"/>
      <c r="U149"/>
      <c r="V149"/>
      <c r="W149"/>
      <c r="X149"/>
      <c r="Y149"/>
      <c r="Z149"/>
      <c r="AA149"/>
      <c r="AB149"/>
      <c r="AC149" s="609"/>
      <c r="AD149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/>
      <c r="S150"/>
      <c r="T150"/>
      <c r="U150"/>
      <c r="V150"/>
      <c r="W150"/>
      <c r="X150"/>
      <c r="Y150"/>
      <c r="Z150"/>
      <c r="AA150"/>
      <c r="AB150"/>
      <c r="AC150" s="609"/>
      <c r="AD150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/>
      <c r="S151"/>
      <c r="T151"/>
      <c r="U151"/>
      <c r="V151"/>
      <c r="W151"/>
      <c r="X151"/>
      <c r="Y151"/>
      <c r="Z151"/>
      <c r="AA151"/>
      <c r="AB151"/>
      <c r="AC151" s="609"/>
      <c r="AD151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/>
      <c r="S152"/>
      <c r="T152"/>
      <c r="U152"/>
      <c r="V152"/>
      <c r="W152"/>
      <c r="X152"/>
      <c r="Y152"/>
      <c r="Z152"/>
      <c r="AA152"/>
      <c r="AB152"/>
      <c r="AC152" s="609"/>
      <c r="AD152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/>
      <c r="S153"/>
      <c r="T153"/>
      <c r="U153"/>
      <c r="V153"/>
      <c r="W153"/>
      <c r="X153"/>
      <c r="Y153"/>
      <c r="Z153"/>
      <c r="AA153"/>
      <c r="AB153"/>
      <c r="AC153" s="609"/>
      <c r="AD153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/>
      <c r="S154"/>
      <c r="T154"/>
      <c r="U154"/>
      <c r="V154"/>
      <c r="W154"/>
      <c r="X154"/>
      <c r="Y154"/>
      <c r="Z154"/>
      <c r="AA154"/>
      <c r="AB154"/>
      <c r="AC154" s="609"/>
      <c r="AD154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/>
      <c r="S155"/>
      <c r="T155"/>
      <c r="U155"/>
      <c r="V155"/>
      <c r="W155"/>
      <c r="X155"/>
      <c r="Y155"/>
      <c r="Z155"/>
      <c r="AA155"/>
      <c r="AB155"/>
      <c r="AC155" s="609"/>
      <c r="AD155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/>
      <c r="S156"/>
      <c r="T156"/>
      <c r="U156"/>
      <c r="V156"/>
      <c r="W156"/>
      <c r="X156"/>
      <c r="Y156"/>
      <c r="Z156"/>
      <c r="AA156"/>
      <c r="AB156"/>
      <c r="AC156" s="609"/>
      <c r="AD156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/>
      <c r="S157"/>
      <c r="T157"/>
      <c r="U157"/>
      <c r="V157"/>
      <c r="W157"/>
      <c r="X157"/>
      <c r="Y157"/>
      <c r="Z157"/>
      <c r="AA157"/>
      <c r="AB157"/>
      <c r="AC157" s="609"/>
      <c r="AD157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/>
      <c r="S158"/>
      <c r="T158"/>
      <c r="U158"/>
      <c r="V158"/>
      <c r="W158"/>
      <c r="X158"/>
      <c r="Y158"/>
      <c r="Z158"/>
      <c r="AA158"/>
      <c r="AB158"/>
      <c r="AC158" s="609"/>
      <c r="AD158"/>
    </row>
    <row r="159" spans="1:30" s="44" customFormat="1">
      <c r="R159"/>
      <c r="S159"/>
      <c r="T159"/>
      <c r="U159"/>
      <c r="V159"/>
      <c r="W159"/>
      <c r="X159"/>
      <c r="Y159"/>
      <c r="Z159"/>
      <c r="AA159"/>
      <c r="AB159"/>
      <c r="AC159" s="609"/>
      <c r="AD159"/>
    </row>
    <row r="160" spans="1:30" s="44" customFormat="1">
      <c r="R160"/>
      <c r="S160"/>
      <c r="T160"/>
      <c r="U160"/>
      <c r="V160"/>
      <c r="W160"/>
      <c r="X160"/>
      <c r="Y160"/>
      <c r="Z160"/>
      <c r="AA160"/>
      <c r="AB160"/>
      <c r="AC160" s="609"/>
      <c r="AD160"/>
    </row>
    <row r="161" spans="18:30" s="44" customFormat="1">
      <c r="R161"/>
      <c r="S161"/>
      <c r="T161"/>
      <c r="U161"/>
      <c r="V161"/>
      <c r="W161"/>
      <c r="X161"/>
      <c r="Y161"/>
      <c r="Z161"/>
      <c r="AA161"/>
      <c r="AB161"/>
      <c r="AC161" s="609"/>
      <c r="AD161"/>
    </row>
    <row r="162" spans="18:30" s="44" customFormat="1">
      <c r="R162"/>
      <c r="S162"/>
      <c r="T162"/>
      <c r="U162"/>
      <c r="V162"/>
      <c r="W162"/>
      <c r="X162"/>
      <c r="Y162"/>
      <c r="Z162"/>
      <c r="AA162"/>
      <c r="AB162"/>
      <c r="AC162" s="609"/>
      <c r="AD162"/>
    </row>
    <row r="163" spans="18:30" s="44" customFormat="1">
      <c r="R163"/>
      <c r="S163"/>
      <c r="T163"/>
      <c r="U163"/>
      <c r="V163"/>
      <c r="W163"/>
      <c r="X163"/>
      <c r="Y163"/>
      <c r="Z163"/>
      <c r="AA163"/>
      <c r="AB163"/>
      <c r="AC163" s="609"/>
      <c r="AD163"/>
    </row>
    <row r="164" spans="18:30" s="44" customFormat="1">
      <c r="R164"/>
      <c r="S164"/>
      <c r="T164"/>
      <c r="U164"/>
      <c r="V164"/>
      <c r="W164"/>
      <c r="X164"/>
      <c r="Y164"/>
      <c r="Z164"/>
      <c r="AA164"/>
      <c r="AB164"/>
      <c r="AC164" s="609"/>
      <c r="AD164"/>
    </row>
    <row r="165" spans="18:30" s="44" customFormat="1">
      <c r="R165"/>
      <c r="S165"/>
      <c r="T165"/>
      <c r="U165"/>
      <c r="V165"/>
      <c r="W165"/>
      <c r="X165"/>
      <c r="Y165"/>
      <c r="Z165"/>
      <c r="AA165"/>
      <c r="AB165"/>
      <c r="AC165" s="609"/>
      <c r="AD165"/>
    </row>
    <row r="166" spans="18:30" s="44" customFormat="1">
      <c r="R166"/>
      <c r="S166"/>
      <c r="T166"/>
      <c r="U166"/>
      <c r="V166"/>
      <c r="W166"/>
      <c r="X166"/>
      <c r="Y166"/>
      <c r="Z166"/>
      <c r="AA166"/>
      <c r="AB166"/>
      <c r="AC166" s="609"/>
      <c r="AD166"/>
    </row>
    <row r="167" spans="18:30" s="44" customFormat="1">
      <c r="R167"/>
      <c r="S167"/>
      <c r="T167"/>
      <c r="U167"/>
      <c r="V167"/>
      <c r="W167"/>
      <c r="X167"/>
      <c r="Y167"/>
      <c r="Z167"/>
      <c r="AA167"/>
      <c r="AB167"/>
      <c r="AC167" s="609"/>
      <c r="AD167"/>
    </row>
    <row r="168" spans="18:30" s="44" customFormat="1">
      <c r="R168"/>
      <c r="S168"/>
      <c r="T168"/>
      <c r="U168"/>
      <c r="V168"/>
      <c r="W168"/>
      <c r="X168"/>
      <c r="Y168"/>
      <c r="Z168"/>
      <c r="AA168"/>
      <c r="AB168"/>
      <c r="AC168" s="609"/>
      <c r="AD168"/>
    </row>
    <row r="169" spans="18:30" s="44" customFormat="1">
      <c r="R169"/>
      <c r="S169"/>
      <c r="T169"/>
      <c r="U169"/>
      <c r="V169"/>
      <c r="W169"/>
      <c r="X169"/>
      <c r="Y169"/>
      <c r="Z169"/>
      <c r="AA169"/>
      <c r="AB169"/>
      <c r="AC169" s="609"/>
      <c r="AD169"/>
    </row>
    <row r="170" spans="18:30" s="44" customFormat="1">
      <c r="R170"/>
      <c r="S170"/>
      <c r="T170"/>
      <c r="U170"/>
      <c r="V170"/>
      <c r="W170"/>
      <c r="X170"/>
      <c r="Y170"/>
      <c r="Z170"/>
      <c r="AA170"/>
      <c r="AB170"/>
      <c r="AC170" s="609"/>
      <c r="AD170"/>
    </row>
    <row r="171" spans="18:30" s="44" customFormat="1">
      <c r="R171"/>
      <c r="S171"/>
      <c r="T171"/>
      <c r="U171"/>
      <c r="V171"/>
      <c r="W171"/>
      <c r="X171"/>
      <c r="Y171"/>
      <c r="Z171"/>
      <c r="AA171"/>
      <c r="AB171"/>
      <c r="AC171" s="609"/>
      <c r="AD171"/>
    </row>
    <row r="172" spans="18:30" s="44" customFormat="1">
      <c r="R172"/>
      <c r="S172"/>
      <c r="T172"/>
      <c r="U172"/>
      <c r="V172"/>
      <c r="W172"/>
      <c r="X172"/>
      <c r="Y172"/>
      <c r="Z172"/>
      <c r="AA172"/>
      <c r="AB172"/>
      <c r="AC172" s="609"/>
      <c r="AD172"/>
    </row>
    <row r="173" spans="18:30" s="44" customFormat="1">
      <c r="R173"/>
      <c r="S173"/>
      <c r="T173"/>
      <c r="U173"/>
      <c r="V173"/>
      <c r="W173"/>
      <c r="X173"/>
      <c r="Y173"/>
      <c r="Z173"/>
      <c r="AA173"/>
      <c r="AB173"/>
      <c r="AC173" s="609"/>
      <c r="AD173"/>
    </row>
    <row r="174" spans="18:30" s="44" customFormat="1">
      <c r="R174"/>
      <c r="S174"/>
      <c r="T174"/>
      <c r="U174"/>
      <c r="V174"/>
      <c r="W174"/>
      <c r="X174"/>
      <c r="Y174"/>
      <c r="Z174"/>
      <c r="AA174"/>
      <c r="AB174"/>
      <c r="AC174" s="609"/>
      <c r="AD174"/>
    </row>
    <row r="175" spans="18:30" s="44" customFormat="1">
      <c r="R175"/>
      <c r="S175"/>
      <c r="T175"/>
      <c r="U175"/>
      <c r="V175"/>
      <c r="W175"/>
      <c r="X175"/>
      <c r="Y175"/>
      <c r="Z175"/>
      <c r="AA175"/>
      <c r="AB175"/>
      <c r="AC175" s="609"/>
      <c r="AD175"/>
    </row>
    <row r="176" spans="18:30" s="44" customFormat="1">
      <c r="R176"/>
      <c r="S176"/>
      <c r="T176"/>
      <c r="U176"/>
      <c r="V176"/>
      <c r="W176"/>
      <c r="X176"/>
      <c r="Y176"/>
      <c r="Z176"/>
      <c r="AA176"/>
      <c r="AB176"/>
      <c r="AC176" s="609"/>
      <c r="AD176"/>
    </row>
    <row r="177" spans="18:30" s="44" customFormat="1">
      <c r="R177"/>
      <c r="S177"/>
      <c r="T177"/>
      <c r="U177"/>
      <c r="V177"/>
      <c r="W177"/>
      <c r="X177"/>
      <c r="Y177"/>
      <c r="Z177"/>
      <c r="AA177"/>
      <c r="AB177"/>
      <c r="AC177" s="609"/>
      <c r="AD177"/>
    </row>
    <row r="178" spans="18:30" s="44" customFormat="1">
      <c r="R178"/>
      <c r="S178"/>
      <c r="T178"/>
      <c r="U178"/>
      <c r="V178"/>
      <c r="W178"/>
      <c r="X178"/>
      <c r="Y178"/>
      <c r="Z178"/>
      <c r="AA178"/>
      <c r="AB178"/>
      <c r="AC178" s="609"/>
      <c r="AD178"/>
    </row>
    <row r="179" spans="18:30" s="44" customFormat="1">
      <c r="R179"/>
      <c r="S179"/>
      <c r="T179"/>
      <c r="U179"/>
      <c r="V179"/>
      <c r="W179"/>
      <c r="X179"/>
      <c r="Y179"/>
      <c r="Z179"/>
      <c r="AA179"/>
      <c r="AB179"/>
      <c r="AC179" s="609"/>
      <c r="AD179"/>
    </row>
    <row r="180" spans="18:30" s="44" customFormat="1">
      <c r="R180"/>
      <c r="S180"/>
      <c r="T180"/>
      <c r="U180"/>
      <c r="V180"/>
      <c r="W180"/>
      <c r="X180"/>
      <c r="Y180"/>
      <c r="Z180"/>
      <c r="AA180"/>
      <c r="AB180"/>
      <c r="AC180" s="609"/>
      <c r="AD180"/>
    </row>
    <row r="181" spans="18:30" s="44" customFormat="1">
      <c r="R181"/>
      <c r="S181"/>
      <c r="T181"/>
      <c r="U181"/>
      <c r="V181"/>
      <c r="W181"/>
      <c r="X181"/>
      <c r="Y181"/>
      <c r="Z181"/>
      <c r="AA181"/>
      <c r="AB181"/>
      <c r="AC181" s="609"/>
      <c r="AD181"/>
    </row>
    <row r="182" spans="18:30" s="44" customFormat="1">
      <c r="R182"/>
      <c r="S182"/>
      <c r="T182"/>
      <c r="U182"/>
      <c r="V182"/>
      <c r="W182"/>
      <c r="X182"/>
      <c r="Y182"/>
      <c r="Z182"/>
      <c r="AA182"/>
      <c r="AB182"/>
      <c r="AC182" s="609"/>
      <c r="AD182"/>
    </row>
    <row r="183" spans="18:30" s="44" customFormat="1">
      <c r="R183"/>
      <c r="S183"/>
      <c r="T183"/>
      <c r="U183"/>
      <c r="V183"/>
      <c r="W183"/>
      <c r="X183"/>
      <c r="Y183"/>
      <c r="Z183"/>
      <c r="AA183"/>
      <c r="AB183"/>
      <c r="AC183" s="609"/>
      <c r="AD183"/>
    </row>
    <row r="184" spans="18:30" s="44" customFormat="1">
      <c r="R184"/>
      <c r="S184"/>
      <c r="T184"/>
      <c r="U184"/>
      <c r="V184"/>
      <c r="W184"/>
      <c r="X184"/>
      <c r="Y184"/>
      <c r="Z184"/>
      <c r="AA184"/>
      <c r="AB184"/>
      <c r="AC184" s="609"/>
      <c r="AD184"/>
    </row>
    <row r="185" spans="18:30" s="44" customFormat="1">
      <c r="R185"/>
      <c r="S185"/>
      <c r="T185"/>
      <c r="U185"/>
      <c r="V185"/>
      <c r="W185"/>
      <c r="X185"/>
      <c r="Y185"/>
      <c r="Z185"/>
      <c r="AA185"/>
      <c r="AB185"/>
      <c r="AC185" s="609"/>
      <c r="AD185"/>
    </row>
    <row r="186" spans="18:30" s="44" customFormat="1">
      <c r="R186"/>
      <c r="S186"/>
      <c r="T186"/>
      <c r="U186"/>
      <c r="V186"/>
      <c r="W186"/>
      <c r="X186"/>
      <c r="Y186"/>
      <c r="Z186"/>
      <c r="AA186"/>
      <c r="AB186"/>
      <c r="AC186" s="609"/>
      <c r="AD186"/>
    </row>
    <row r="187" spans="18:30" s="44" customFormat="1">
      <c r="R187"/>
      <c r="S187"/>
      <c r="T187"/>
      <c r="U187"/>
      <c r="V187"/>
      <c r="W187"/>
      <c r="X187"/>
      <c r="Y187"/>
      <c r="Z187"/>
      <c r="AA187"/>
      <c r="AB187"/>
      <c r="AC187" s="609"/>
      <c r="AD187"/>
    </row>
    <row r="188" spans="18:30" s="44" customFormat="1">
      <c r="R188"/>
      <c r="S188"/>
      <c r="T188"/>
      <c r="U188"/>
      <c r="V188"/>
      <c r="W188"/>
      <c r="X188"/>
      <c r="Y188"/>
      <c r="Z188"/>
      <c r="AA188"/>
      <c r="AB188"/>
      <c r="AC188" s="609"/>
      <c r="AD188"/>
    </row>
    <row r="189" spans="18:30" s="44" customFormat="1">
      <c r="R189"/>
      <c r="S189"/>
      <c r="T189"/>
      <c r="U189"/>
      <c r="V189"/>
      <c r="W189"/>
      <c r="X189"/>
      <c r="Y189"/>
      <c r="Z189"/>
      <c r="AA189"/>
      <c r="AB189"/>
      <c r="AC189" s="609"/>
      <c r="AD189"/>
    </row>
    <row r="190" spans="18:30" s="44" customFormat="1">
      <c r="R190"/>
      <c r="S190"/>
      <c r="T190"/>
      <c r="U190"/>
      <c r="V190"/>
      <c r="W190"/>
      <c r="X190"/>
      <c r="Y190"/>
      <c r="Z190"/>
      <c r="AA190"/>
      <c r="AB190"/>
      <c r="AC190" s="609"/>
      <c r="AD190"/>
    </row>
    <row r="191" spans="18:30" s="44" customFormat="1">
      <c r="R191"/>
      <c r="S191"/>
      <c r="T191"/>
      <c r="U191"/>
      <c r="V191"/>
      <c r="W191"/>
      <c r="X191"/>
      <c r="Y191"/>
      <c r="Z191"/>
      <c r="AA191"/>
      <c r="AB191"/>
      <c r="AC191" s="609"/>
      <c r="AD191"/>
    </row>
    <row r="192" spans="18:30" s="44" customFormat="1">
      <c r="R192"/>
      <c r="S192"/>
      <c r="T192"/>
      <c r="U192"/>
      <c r="V192"/>
      <c r="W192"/>
      <c r="X192"/>
      <c r="Y192"/>
      <c r="Z192"/>
      <c r="AA192"/>
      <c r="AB192"/>
      <c r="AC192" s="609"/>
      <c r="AD192"/>
    </row>
    <row r="193" spans="18:30" s="44" customFormat="1">
      <c r="R193"/>
      <c r="S193"/>
      <c r="T193"/>
      <c r="U193"/>
      <c r="V193"/>
      <c r="W193"/>
      <c r="X193"/>
      <c r="Y193"/>
      <c r="Z193"/>
      <c r="AA193"/>
      <c r="AB193"/>
      <c r="AC193" s="609"/>
      <c r="AD193"/>
    </row>
    <row r="194" spans="18:30" s="44" customFormat="1">
      <c r="R194"/>
      <c r="S194"/>
      <c r="T194"/>
      <c r="U194"/>
      <c r="V194"/>
      <c r="W194"/>
      <c r="X194"/>
      <c r="Y194"/>
      <c r="Z194"/>
      <c r="AA194"/>
      <c r="AB194"/>
      <c r="AC194" s="609"/>
      <c r="AD194"/>
    </row>
    <row r="195" spans="18:30" s="44" customFormat="1">
      <c r="R195"/>
      <c r="S195"/>
      <c r="T195"/>
      <c r="U195"/>
      <c r="V195"/>
      <c r="W195"/>
      <c r="X195"/>
      <c r="Y195"/>
      <c r="Z195"/>
      <c r="AA195"/>
      <c r="AB195"/>
      <c r="AC195" s="609"/>
      <c r="AD195"/>
    </row>
    <row r="196" spans="18:30" s="44" customFormat="1">
      <c r="R196"/>
      <c r="S196"/>
      <c r="T196"/>
      <c r="U196"/>
      <c r="V196"/>
      <c r="W196"/>
      <c r="X196"/>
      <c r="Y196"/>
      <c r="Z196"/>
      <c r="AA196"/>
      <c r="AB196"/>
      <c r="AC196" s="609"/>
      <c r="AD196"/>
    </row>
    <row r="197" spans="18:30" s="44" customFormat="1">
      <c r="R197"/>
      <c r="S197"/>
      <c r="T197"/>
      <c r="U197"/>
      <c r="V197"/>
      <c r="W197"/>
      <c r="X197"/>
      <c r="Y197"/>
      <c r="Z197"/>
      <c r="AA197"/>
      <c r="AB197"/>
      <c r="AC197" s="609"/>
      <c r="AD197"/>
    </row>
    <row r="198" spans="18:30" s="44" customFormat="1">
      <c r="R198"/>
      <c r="S198"/>
      <c r="T198"/>
      <c r="U198"/>
      <c r="V198"/>
      <c r="W198"/>
      <c r="X198"/>
      <c r="Y198"/>
      <c r="Z198"/>
      <c r="AA198"/>
      <c r="AB198"/>
      <c r="AC198" s="609"/>
      <c r="AD198"/>
    </row>
    <row r="199" spans="18:30" s="44" customFormat="1">
      <c r="R199"/>
      <c r="S199"/>
      <c r="T199"/>
      <c r="U199"/>
      <c r="V199"/>
      <c r="W199"/>
      <c r="X199"/>
      <c r="Y199"/>
      <c r="Z199"/>
      <c r="AA199"/>
      <c r="AB199"/>
      <c r="AC199" s="609"/>
      <c r="AD199"/>
    </row>
    <row r="200" spans="18:30" s="44" customFormat="1">
      <c r="R200"/>
      <c r="S200"/>
      <c r="T200"/>
      <c r="U200"/>
      <c r="V200"/>
      <c r="W200"/>
      <c r="X200"/>
      <c r="Y200"/>
      <c r="Z200"/>
      <c r="AA200"/>
      <c r="AB200"/>
      <c r="AC200" s="609"/>
      <c r="AD200"/>
    </row>
    <row r="201" spans="18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8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8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8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8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</sheetData>
  <protectedRanges>
    <protectedRange algorithmName="SHA-512" hashValue="24Yg3M703G5L8OyJWxlkx8c1Gwfrkael5W/l3TUk/Rcz5tR8QOgCx5v0Ebb/UGz+9BDKPJ5wV4hH8uuxvmtGIw==" saltValue="ZSJQ8EEnwGxsiYzxIw6K0Q==" spinCount="100000" sqref="N6:N8 A23:D24 N16:N18 O6:P9 B6:M9 E4:E5 B16:D18 E16:M19 O16:P19 F20:H27 F28:G28 I20:P50 E20:E50 F29:H50 E51:P15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5:D158" name="Range2_5_2_2_2_2_2_2_2_2_2_2_2_2_2_2_2"/>
    <protectedRange algorithmName="SHA-512" hashValue="24Yg3M703G5L8OyJWxlkx8c1Gwfrkael5W/l3TUk/Rcz5tR8QOgCx5v0Ebb/UGz+9BDKPJ5wV4hH8uuxvmtGIw==" saltValue="ZSJQ8EEnwGxsiYzxIw6K0Q==" spinCount="100000" sqref="B25:D158" name="Range1_65_32_2_2_2_2_2_2_2_2_2_2_2_2_2_2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_4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_24"/>
    <protectedRange algorithmName="SHA-512" hashValue="XYWjC+iAz2ErgjMh7TSLHlxfTfK0uVcITDFdCCZFdnsWWbUNnsQqu9AM+0WFXQpYcy9ZvQx2KUXfpLhpOROHkg==" saltValue="47TiGLG0rJVTo3iAJH8T4w==" spinCount="100000" sqref="B21:D21" name="Range2_5_2_2_2_2_2_2_2_3_3_2_2_2_3_3_5_2_3_3"/>
    <protectedRange algorithmName="SHA-512" hashValue="24Yg3M703G5L8OyJWxlkx8c1Gwfrkael5W/l3TUk/Rcz5tR8QOgCx5v0Ebb/UGz+9BDKPJ5wV4hH8uuxvmtGIw==" saltValue="ZSJQ8EEnwGxsiYzxIw6K0Q==" spinCount="100000" sqref="B19:D21" name="Range1_65_32_2_2_2_2_2_2_3_3_2_2_3_3_3_5_2_3_3"/>
  </protectedRanges>
  <mergeCells count="23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N8:P9"/>
    <mergeCell ref="F9:H9"/>
    <mergeCell ref="J9:L9"/>
    <mergeCell ref="A10:A11"/>
    <mergeCell ref="B10:D10"/>
    <mergeCell ref="F10:H10"/>
    <mergeCell ref="J10:L10"/>
    <mergeCell ref="N10:P10"/>
    <mergeCell ref="A19:A20"/>
    <mergeCell ref="B19:D19"/>
    <mergeCell ref="F28:L33"/>
    <mergeCell ref="F8:H8"/>
    <mergeCell ref="J8:L8"/>
  </mergeCells>
  <conditionalFormatting sqref="S1:S67 S69:S1048576">
    <cfRule type="duplicateValues" dxfId="13" priority="44"/>
  </conditionalFormatting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333D-59C5-46AE-9909-CD13D075BDCA}">
  <dimension ref="A1:AG225"/>
  <sheetViews>
    <sheetView showGridLines="0" topLeftCell="P42" zoomScale="55" zoomScaleNormal="55" workbookViewId="0">
      <selection activeCell="T98" sqref="T98"/>
    </sheetView>
  </sheetViews>
  <sheetFormatPr defaultRowHeight="14.4"/>
  <cols>
    <col min="1" max="1" width="43" bestFit="1" customWidth="1"/>
    <col min="2" max="4" width="11.109375" customWidth="1"/>
    <col min="5" max="5" width="15" bestFit="1" customWidth="1"/>
    <col min="6" max="8" width="16" customWidth="1"/>
    <col min="9" max="9" width="15" bestFit="1" customWidth="1"/>
    <col min="10" max="12" width="20.44140625" customWidth="1"/>
    <col min="13" max="13" width="1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732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733</v>
      </c>
      <c r="B2" s="733"/>
      <c r="C2" s="733"/>
      <c r="D2" s="733"/>
      <c r="E2" s="735"/>
      <c r="F2" s="1525" t="s">
        <v>734</v>
      </c>
      <c r="G2" s="1525"/>
      <c r="H2" s="1525"/>
      <c r="I2" s="742"/>
      <c r="J2" s="1525" t="s">
        <v>735</v>
      </c>
      <c r="K2" s="1525"/>
      <c r="L2" s="1525"/>
      <c r="M2" s="735"/>
      <c r="N2" s="1526"/>
      <c r="O2" s="1526"/>
      <c r="P2" s="1526"/>
      <c r="R2" s="1202" t="s">
        <v>691</v>
      </c>
      <c r="S2" s="1261">
        <v>3331567924</v>
      </c>
      <c r="T2" s="1209" t="s">
        <v>424</v>
      </c>
      <c r="U2" s="1202">
        <v>24142456</v>
      </c>
      <c r="V2" s="1202" t="s">
        <v>565</v>
      </c>
      <c r="W2" s="1202" t="s">
        <v>362</v>
      </c>
      <c r="X2" s="1432">
        <v>25011.674999999999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8.75" customHeight="1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202" t="s">
        <v>691</v>
      </c>
      <c r="S3" s="1261">
        <v>3331567925</v>
      </c>
      <c r="T3" s="1209" t="s">
        <v>424</v>
      </c>
      <c r="U3" s="1202">
        <v>24142457</v>
      </c>
      <c r="V3" s="1202" t="s">
        <v>565</v>
      </c>
      <c r="W3" s="1202" t="s">
        <v>362</v>
      </c>
      <c r="X3" s="1267">
        <v>24071.064999999999</v>
      </c>
      <c r="Y3" s="1261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201" t="s">
        <v>736</v>
      </c>
      <c r="S4" s="1261">
        <v>3331567938</v>
      </c>
      <c r="T4" s="1209" t="s">
        <v>424</v>
      </c>
      <c r="U4" s="1202">
        <v>24142458</v>
      </c>
      <c r="V4" s="1202" t="s">
        <v>565</v>
      </c>
      <c r="W4" s="1202" t="s">
        <v>362</v>
      </c>
      <c r="X4" s="1267">
        <v>24587.286</v>
      </c>
      <c r="Y4" s="1261" t="s">
        <v>426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SUMPRODUCT(--ISNUMBER(MATCH(TRIM(W1:W351), {"JABODETABEK","JAWA TENGAH","JAWA TIMUR","LUAR PULAU"}, 0)), --(AC1:AC351=""))</f>
        <v>59</v>
      </c>
      <c r="C5" s="1303" cm="1">
        <f t="array" ref="C5">SUMPRODUCT(--(LOWER(TRIM(AB1:AB377))="masuk"), --(ISNUMBER(MATCH(TRIM(W1:W377), {"JABODETABEK","JAWA TENGAH","JAWA TIMUR","LUAR PULAU"}, 0))), --(LOWER(AC1:AC377)&lt;&gt;"add"))</f>
        <v>45</v>
      </c>
      <c r="D5" s="1304">
        <f>C5+-B5</f>
        <v>-14</v>
      </c>
      <c r="E5" s="734"/>
      <c r="F5" s="1306" cm="1">
        <f t="array" ref="F5">SUMPRODUCT(--(LOWER(AC1:AC377)="add"), --(ISNUMBER(MATCH(W1:W377, {"JABODETABEK","JAWA TENGAH","JAWA TIMUR","LUAR PULAU"}, 0))))</f>
        <v>0</v>
      </c>
      <c r="G5" s="1303" cm="1">
        <f t="array" ref="G5">SUMPRODUCT(--(LOWER(AB1:AB377)="masuk"), --(LOWER(AC1:AC377)="add"))</f>
        <v>0</v>
      </c>
      <c r="H5" s="1304">
        <f>G5+-F5</f>
        <v>0</v>
      </c>
      <c r="I5" s="734"/>
      <c r="J5" s="1306" cm="1">
        <f t="array" ref="J5">SUMPRODUCT(--(ISNUMBER(SEARCH("next day",LOWER(W1:W377)))+ISNUMBER(SEARCH("nextday",LOWER(W1:W377)))&gt; 0))</f>
        <v>21</v>
      </c>
      <c r="K5" s="1303" cm="1">
        <f t="array" ref="K5">SUMPRODUCT(--(LOWER(AB1:AB377)="masuk"), --ISNUMBER(SEARCH("next day", LOWER(W1:W377))))</f>
        <v>21</v>
      </c>
      <c r="L5" s="1304">
        <f>K5+-J5</f>
        <v>0</v>
      </c>
      <c r="M5" s="734"/>
      <c r="N5" s="1306">
        <f>B5+F5+J5</f>
        <v>80</v>
      </c>
      <c r="O5" s="1303">
        <f>C5+G5+K5</f>
        <v>66</v>
      </c>
      <c r="P5" s="1304">
        <f>D5+H5+L5</f>
        <v>-14</v>
      </c>
      <c r="R5" s="1201" t="s">
        <v>691</v>
      </c>
      <c r="S5" s="1261">
        <v>3331567951</v>
      </c>
      <c r="T5" s="1209" t="s">
        <v>424</v>
      </c>
      <c r="U5" s="1202">
        <v>24142463</v>
      </c>
      <c r="V5" s="1202" t="s">
        <v>429</v>
      </c>
      <c r="W5" s="1202" t="s">
        <v>362</v>
      </c>
      <c r="X5" s="1267">
        <v>24755.145</v>
      </c>
      <c r="Y5" s="1261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59</v>
      </c>
      <c r="C6" s="733">
        <f>SUM(C5)</f>
        <v>45</v>
      </c>
      <c r="D6" s="739">
        <f>SUM(D5)</f>
        <v>-14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21</v>
      </c>
      <c r="K6" s="733">
        <f>SUM(K5)</f>
        <v>21</v>
      </c>
      <c r="L6" s="739">
        <f>SUM(L5)</f>
        <v>0</v>
      </c>
      <c r="M6" s="733"/>
      <c r="N6" s="760">
        <f>SUM(N5:N5)</f>
        <v>80</v>
      </c>
      <c r="O6" s="760">
        <f>SUM(O5:O5)</f>
        <v>66</v>
      </c>
      <c r="P6" s="761">
        <f>SUM(P5:P5)</f>
        <v>-14</v>
      </c>
      <c r="R6" s="1189" t="s">
        <v>691</v>
      </c>
      <c r="S6" s="1293">
        <v>3331567952</v>
      </c>
      <c r="T6" s="1217" t="s">
        <v>424</v>
      </c>
      <c r="U6" s="1190">
        <v>24142464</v>
      </c>
      <c r="V6" s="1190" t="s">
        <v>429</v>
      </c>
      <c r="W6" s="1190" t="s">
        <v>362</v>
      </c>
      <c r="X6" s="1295">
        <v>24968.92</v>
      </c>
      <c r="Y6" s="1293" t="s">
        <v>426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691</v>
      </c>
      <c r="S7" s="1202">
        <v>3331568419</v>
      </c>
      <c r="T7" s="1202" t="s">
        <v>424</v>
      </c>
      <c r="U7" s="1202">
        <v>24142539</v>
      </c>
      <c r="V7" s="1202" t="s">
        <v>429</v>
      </c>
      <c r="W7" s="1202" t="s">
        <v>362</v>
      </c>
      <c r="X7" s="1203">
        <v>24303.512999999999</v>
      </c>
      <c r="Y7" s="1202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Delivery 07-09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1" t="s">
        <v>691</v>
      </c>
      <c r="S8" s="1202">
        <v>3331568427</v>
      </c>
      <c r="T8" s="1202" t="s">
        <v>424</v>
      </c>
      <c r="U8" s="1202">
        <v>24142540</v>
      </c>
      <c r="V8" s="1202" t="s">
        <v>429</v>
      </c>
      <c r="W8" s="1202" t="s">
        <v>362</v>
      </c>
      <c r="X8" s="1231">
        <v>24813.817999999999</v>
      </c>
      <c r="Y8" s="1202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.75" customHeight="1">
      <c r="A9" s="763" t="str">
        <f>A2</f>
        <v>Realz update 10 Nov’25 jam 07.00</v>
      </c>
      <c r="B9" s="825"/>
      <c r="C9" s="825"/>
      <c r="D9" s="825"/>
      <c r="E9" s="734"/>
      <c r="F9" s="1525" t="str">
        <f>F2</f>
        <v>Tgl 07 Nov’25 diatas jam 15.00</v>
      </c>
      <c r="G9" s="1525"/>
      <c r="H9" s="1525"/>
      <c r="I9" s="826"/>
      <c r="J9" s="1525" t="str">
        <f>J2</f>
        <v>Tgl 07 Nov’25</v>
      </c>
      <c r="K9" s="1525"/>
      <c r="L9" s="1525"/>
      <c r="M9" s="734"/>
      <c r="N9" s="1526"/>
      <c r="O9" s="1526"/>
      <c r="P9" s="1526"/>
      <c r="R9" s="1201" t="s">
        <v>691</v>
      </c>
      <c r="S9" s="1202">
        <v>3331568431</v>
      </c>
      <c r="T9" s="1202" t="s">
        <v>424</v>
      </c>
      <c r="U9" s="1202">
        <v>24142541</v>
      </c>
      <c r="V9" s="1202" t="s">
        <v>429</v>
      </c>
      <c r="W9" s="1202" t="s">
        <v>362</v>
      </c>
      <c r="X9" s="1231">
        <v>23997.019</v>
      </c>
      <c r="Y9" s="1202" t="s">
        <v>426</v>
      </c>
      <c r="Z9" s="1369">
        <v>1</v>
      </c>
      <c r="AA9" s="1369">
        <v>1</v>
      </c>
      <c r="AB9" s="1369" t="s">
        <v>204</v>
      </c>
      <c r="AC9" s="1271"/>
      <c r="AD9" s="81"/>
      <c r="AE9" s="44"/>
      <c r="AF9" s="44"/>
      <c r="AG9" s="44"/>
    </row>
    <row r="10" spans="1:33" ht="18.75" customHeight="1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201" t="s">
        <v>691</v>
      </c>
      <c r="S10" s="1202">
        <v>3331568432</v>
      </c>
      <c r="T10" s="1202" t="s">
        <v>424</v>
      </c>
      <c r="U10" s="1202">
        <v>24142542</v>
      </c>
      <c r="V10" s="1202" t="s">
        <v>429</v>
      </c>
      <c r="W10" s="1202" t="s">
        <v>362</v>
      </c>
      <c r="X10" s="1231">
        <v>24976.735000000001</v>
      </c>
      <c r="Y10" s="1202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1" t="s">
        <v>691</v>
      </c>
      <c r="S11" s="1202">
        <v>3331568433</v>
      </c>
      <c r="T11" s="1202" t="s">
        <v>424</v>
      </c>
      <c r="U11" s="1202">
        <v>24142543</v>
      </c>
      <c r="V11" s="1202" t="s">
        <v>429</v>
      </c>
      <c r="W11" s="1202" t="s">
        <v>362</v>
      </c>
      <c r="X11" s="1231">
        <v>23352.53</v>
      </c>
      <c r="Y11" s="1202" t="s">
        <v>426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SUMPRODUCT(--(TRIM(LOWER(W1:W377))="jabodetabek"), --(LOWER(AC1:AC377)&lt;&gt;"add"))</f>
        <v>17</v>
      </c>
      <c r="C12" s="748" cm="1">
        <f t="array" ref="C12">SUMPRODUCT(--(LOWER(AB1:AB377)="masuk"), --(TRIM(LOWER(W1:W377))="jabodetabek"), --(LOWER(AC1:AC377)&lt;&gt;"add"))</f>
        <v>17</v>
      </c>
      <c r="D12" s="973">
        <f>C12+-B12</f>
        <v>0</v>
      </c>
      <c r="E12" s="734"/>
      <c r="F12" s="748" cm="1">
        <f t="array" ref="F12">SUMPRODUCT(--(LOWER(AC1:AC377)="add"), --(TRIM(LOWER(W1:W377))="jabodetabek"))</f>
        <v>0</v>
      </c>
      <c r="G12" s="747" cm="1">
        <f t="array" ref="G12">SUMPRODUCT(--(LOWER(AB1:AB377)="masuk"), --(LOWER(AC1:AC377)="add"), --(TRIM(LOWER(W1:W377))="jabodetabek"))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day",LOWER(W1:W377)))+ISNUMBER(SEARCH("jabodetabek nextday",LOWER(W1:W377)))&gt; 0))</f>
        <v>10</v>
      </c>
      <c r="K12" s="747" cm="1">
        <f t="array" ref="K12">SUMPRODUCT(--(LOWER(AB1:AB377)="masuk"), --(LOWER(TRIM(W1:W377))="jabodetabek next day"))</f>
        <v>10</v>
      </c>
      <c r="L12" s="740">
        <f>K12+-J12</f>
        <v>0</v>
      </c>
      <c r="M12" s="734"/>
      <c r="N12" s="748">
        <f t="shared" ref="N12:P16" si="0">B12+F12+J12</f>
        <v>27</v>
      </c>
      <c r="O12" s="747">
        <f t="shared" si="0"/>
        <v>27</v>
      </c>
      <c r="P12" s="740">
        <f t="shared" si="0"/>
        <v>0</v>
      </c>
      <c r="R12" s="1201" t="s">
        <v>691</v>
      </c>
      <c r="S12" s="1202">
        <v>3331568434</v>
      </c>
      <c r="T12" s="1202" t="s">
        <v>424</v>
      </c>
      <c r="U12" s="1202">
        <v>24142544</v>
      </c>
      <c r="V12" s="1202" t="s">
        <v>429</v>
      </c>
      <c r="W12" s="1202" t="s">
        <v>362</v>
      </c>
      <c r="X12" s="1203">
        <v>24200.280999999999</v>
      </c>
      <c r="Y12" s="1202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SUMPRODUCT(--(TRIM(LOWER(W1:W377))="jawa tengah"), --(LOWER(AC1:AC377)&lt;&gt;"add"))</f>
        <v>11</v>
      </c>
      <c r="C13" s="750" cm="1">
        <f t="array" ref="C13">SUMPRODUCT(--(LOWER(AB1:AB377)="masuk"), --(TRIM(LOWER(W1:W377))="jawa tengah"), --(LOWER(AC1:AC377)&lt;&gt;"add"))</f>
        <v>11</v>
      </c>
      <c r="D13" s="846">
        <f>C13+-B13</f>
        <v>0</v>
      </c>
      <c r="E13" s="734"/>
      <c r="F13" s="751" cm="1">
        <f t="array" ref="F13">SUMPRODUCT(--(LOWER(AC1:AC377)="add"), --(TRIM(LOWER(W1:W377))="jawa tengah"))</f>
        <v>0</v>
      </c>
      <c r="G13" s="747" cm="1">
        <f t="array" ref="G13">SUMPRODUCT(--(LOWER(AB1:AB377)="masuk"), --(LOWER(AC1:AC377)="add"), --(TRIM(LOWER(W1:W377))="jawa tengah"))</f>
        <v>0</v>
      </c>
      <c r="H13" s="740">
        <f>G13+-F13</f>
        <v>0</v>
      </c>
      <c r="I13" s="734"/>
      <c r="J13" s="748" cm="1">
        <f t="array" ref="J13">SUMPRODUCT(--((LOWER(TRIM(W1:W377))="jawa tengah next day")+(LOWER(TRIM(W1:W377))="jawa tengah nextday")))</f>
        <v>11</v>
      </c>
      <c r="K13" s="747" cm="1">
        <f t="array" ref="K13">SUMPRODUCT(--(LOWER(AB1:AB377)="masuk"), --(LOWER(TRIM(W1:W377))="jawa tengah next day"))</f>
        <v>11</v>
      </c>
      <c r="L13" s="740">
        <f>K13+-J13</f>
        <v>0</v>
      </c>
      <c r="M13" s="734"/>
      <c r="N13" s="748">
        <f t="shared" si="0"/>
        <v>22</v>
      </c>
      <c r="O13" s="747">
        <f t="shared" si="0"/>
        <v>22</v>
      </c>
      <c r="P13" s="740">
        <f t="shared" si="0"/>
        <v>0</v>
      </c>
      <c r="R13" s="1189" t="s">
        <v>691</v>
      </c>
      <c r="S13" s="1190">
        <v>3331568436</v>
      </c>
      <c r="T13" s="1190" t="s">
        <v>424</v>
      </c>
      <c r="U13" s="1190">
        <v>24142545</v>
      </c>
      <c r="V13" s="1190" t="s">
        <v>429</v>
      </c>
      <c r="W13" s="1190" t="s">
        <v>362</v>
      </c>
      <c r="X13" s="1191">
        <v>23794.667000000001</v>
      </c>
      <c r="Y13" s="1190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SUMPRODUCT(--(TRIM(LOWER(W1:W377))="jawa timur"), --(LOWER(AC1:AC377)&lt;&gt;"add"))</f>
        <v>6</v>
      </c>
      <c r="C14" s="750" cm="1">
        <f t="array" ref="C14">SUMPRODUCT(--(LOWER(AB1:AB377)="masuk"), --(TRIM(LOWER(W1:W377))="jawa timur"), --(LOWER(AC1:AC377)&lt;&gt;"add"))</f>
        <v>6</v>
      </c>
      <c r="D14" s="846">
        <f>C14+-B14</f>
        <v>0</v>
      </c>
      <c r="E14" s="734"/>
      <c r="F14" s="750" cm="1">
        <f t="array" ref="F14">SUMPRODUCT(--(LOWER(AC1:AC377)="add"), --(TRIM(LOWER(W1:W377))="jawa timur"))</f>
        <v>0</v>
      </c>
      <c r="G14" s="747" cm="1">
        <f t="array" ref="G14">SUMPRODUCT(--(LOWER(AB1:AB377)="masuk"), --(LOWER(AC1:AC377)="add"), --(TRIM(LOWER(W1:W377))="jawa timur"))</f>
        <v>0</v>
      </c>
      <c r="H14" s="740">
        <f>G14+-F14</f>
        <v>0</v>
      </c>
      <c r="I14" s="734"/>
      <c r="J14" s="748" cm="1">
        <f t="array" ref="J14">SUMPRODUCT(--((LOWER(TRIM(W1:W377))="jawa timur next day")+(LOWER(TRIM(W1:W377))="jawa timur nextday")))</f>
        <v>0</v>
      </c>
      <c r="K14" s="747" cm="1">
        <f t="array" ref="K14">SUMPRODUCT(--(LOWER(AB1:AB377)="masuk"), --(LOWER(TRIM(W1:W377))="jawa timur next day"))</f>
        <v>0</v>
      </c>
      <c r="L14" s="740">
        <f>K14+-J14</f>
        <v>0</v>
      </c>
      <c r="M14" s="734"/>
      <c r="N14" s="748">
        <f t="shared" si="0"/>
        <v>6</v>
      </c>
      <c r="O14" s="747">
        <f t="shared" si="0"/>
        <v>6</v>
      </c>
      <c r="P14" s="740">
        <f t="shared" si="0"/>
        <v>0</v>
      </c>
      <c r="R14" s="1189" t="s">
        <v>691</v>
      </c>
      <c r="S14" s="1190">
        <v>3331568438</v>
      </c>
      <c r="T14" s="1190" t="s">
        <v>424</v>
      </c>
      <c r="U14" s="1190">
        <v>24142546</v>
      </c>
      <c r="V14" s="1190" t="s">
        <v>429</v>
      </c>
      <c r="W14" s="1190" t="s">
        <v>362</v>
      </c>
      <c r="X14" s="1191">
        <v>24169.652999999998</v>
      </c>
      <c r="Y14" s="1190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SUMPRODUCT(--(TRIM(LOWER(W1:W377))="luar pulau"), --(LOWER(AC1:AC377)&lt;&gt;"add"))</f>
        <v>25</v>
      </c>
      <c r="C15" s="750" cm="1">
        <f t="array" ref="C15">SUMPRODUCT(--(LOWER(AB1:AB377)="masuk"), --(TRIM(LOWER(W1:W377))="luar pulau"), --(LOWER(AC1:AC377)&lt;&gt;"add"))</f>
        <v>11</v>
      </c>
      <c r="D15" s="846">
        <f>C15+-B15</f>
        <v>-14</v>
      </c>
      <c r="E15" s="734"/>
      <c r="F15" s="748" cm="1">
        <f t="array" ref="F15">SUMPRODUCT(--(LOWER(AC1:AC377)="add"), --(TRIM(LOWER(W1:W377))="luar pulau"))</f>
        <v>0</v>
      </c>
      <c r="G15" s="747" cm="1">
        <f t="array" ref="G15">SUMPRODUCT(--(LOWER(AB1:AB377)="masuk"), --(LOWER(AC1:AC377)="add"), --(TRIM(LOWER(W1:W377))="luar pulau"))</f>
        <v>0</v>
      </c>
      <c r="H15" s="740">
        <f>G15+-F15</f>
        <v>0</v>
      </c>
      <c r="I15" s="734"/>
      <c r="J15" s="748" cm="1">
        <f t="array" ref="J15">SUMPRODUCT(--((LOWER(TRIM(W1:W377))="luar pulau next day")+(LOWER(TRIM(W1:W377))="luar pulau nextday")))</f>
        <v>0</v>
      </c>
      <c r="K15" s="747" cm="1">
        <f t="array" ref="K15">SUMPRODUCT(--(LOWER(AB1:AB377)="masuk"), --(LOWER(TRIM(W1:W377))="luar pulau next day"))</f>
        <v>0</v>
      </c>
      <c r="L15" s="740">
        <f>K15+-J15</f>
        <v>0</v>
      </c>
      <c r="M15" s="734"/>
      <c r="N15" s="748">
        <f t="shared" si="0"/>
        <v>25</v>
      </c>
      <c r="O15" s="747">
        <f t="shared" si="0"/>
        <v>11</v>
      </c>
      <c r="P15" s="740">
        <f t="shared" si="0"/>
        <v>-14</v>
      </c>
      <c r="R15" s="1189" t="s">
        <v>691</v>
      </c>
      <c r="S15" s="1190">
        <v>3331568439</v>
      </c>
      <c r="T15" s="1190" t="s">
        <v>424</v>
      </c>
      <c r="U15" s="1190">
        <v>24142547</v>
      </c>
      <c r="V15" s="1190" t="s">
        <v>429</v>
      </c>
      <c r="W15" s="1190" t="s">
        <v>362</v>
      </c>
      <c r="X15" s="1191">
        <v>25016.202000000001</v>
      </c>
      <c r="Y15" s="1190" t="s">
        <v>426</v>
      </c>
      <c r="Z15" s="1361">
        <v>1</v>
      </c>
      <c r="AA15" s="1361">
        <v>1</v>
      </c>
      <c r="AB15" s="1361" t="s">
        <v>207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59</v>
      </c>
      <c r="C16" s="733">
        <f>SUM(C12:C15)</f>
        <v>45</v>
      </c>
      <c r="D16" s="739">
        <f>SUM(D12:D15)</f>
        <v>-14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21</v>
      </c>
      <c r="K16" s="733">
        <f>SUM(K12:K15)</f>
        <v>21</v>
      </c>
      <c r="L16" s="739">
        <f>SUM(L12:L15)</f>
        <v>0</v>
      </c>
      <c r="M16" s="734"/>
      <c r="N16" s="760">
        <f t="shared" si="0"/>
        <v>80</v>
      </c>
      <c r="O16" s="760">
        <f t="shared" si="0"/>
        <v>66</v>
      </c>
      <c r="P16" s="761">
        <f t="shared" si="0"/>
        <v>-14</v>
      </c>
      <c r="R16" s="1220" t="s">
        <v>691</v>
      </c>
      <c r="S16" s="1217">
        <v>3331568441</v>
      </c>
      <c r="T16" s="1190" t="s">
        <v>424</v>
      </c>
      <c r="U16" s="1217">
        <v>24142548</v>
      </c>
      <c r="V16" s="1190" t="s">
        <v>429</v>
      </c>
      <c r="W16" s="1190" t="s">
        <v>362</v>
      </c>
      <c r="X16" s="1191">
        <v>24176.695</v>
      </c>
      <c r="Y16" s="1190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691</v>
      </c>
      <c r="S17" s="1190">
        <v>3331568443</v>
      </c>
      <c r="T17" s="1190" t="s">
        <v>424</v>
      </c>
      <c r="U17" s="1190">
        <v>24142549</v>
      </c>
      <c r="V17" s="1190" t="s">
        <v>429</v>
      </c>
      <c r="W17" s="1190" t="s">
        <v>362</v>
      </c>
      <c r="X17" s="1191">
        <v>24591.669000000002</v>
      </c>
      <c r="Y17" s="1190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728</v>
      </c>
      <c r="S18" s="1190">
        <v>3331568456</v>
      </c>
      <c r="T18" s="1190" t="s">
        <v>424</v>
      </c>
      <c r="U18" s="1190">
        <v>24142552</v>
      </c>
      <c r="V18" s="1190" t="s">
        <v>429</v>
      </c>
      <c r="W18" s="1190" t="s">
        <v>362</v>
      </c>
      <c r="X18" s="1191">
        <v>24421.763999999999</v>
      </c>
      <c r="Y18" s="1190" t="s">
        <v>426</v>
      </c>
      <c r="Z18" s="1361">
        <v>1</v>
      </c>
      <c r="AA18" s="1361">
        <v>1</v>
      </c>
      <c r="AB18" s="1361" t="s">
        <v>207</v>
      </c>
      <c r="AC18" s="1271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728</v>
      </c>
      <c r="S19" s="1190">
        <v>3331568460</v>
      </c>
      <c r="T19" s="1190" t="s">
        <v>424</v>
      </c>
      <c r="U19" s="1190">
        <v>24142553</v>
      </c>
      <c r="V19" s="1190" t="s">
        <v>429</v>
      </c>
      <c r="W19" s="1190" t="s">
        <v>362</v>
      </c>
      <c r="X19" s="1191">
        <v>23815.55</v>
      </c>
      <c r="Y19" s="1190" t="s">
        <v>426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728</v>
      </c>
      <c r="S20" s="1190">
        <v>3331568463</v>
      </c>
      <c r="T20" s="1190" t="s">
        <v>424</v>
      </c>
      <c r="U20" s="1190">
        <v>24142554</v>
      </c>
      <c r="V20" s="1190" t="s">
        <v>429</v>
      </c>
      <c r="W20" s="1190" t="s">
        <v>362</v>
      </c>
      <c r="X20" s="1191">
        <f>18277.763+4763.11</f>
        <v>23040.873</v>
      </c>
      <c r="Y20" s="1190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SUMPRODUCT(--((LOWER(TRIM($W$2:$W$282))="ambil sendiri")+(LOWER(TRIM($W$2:$W$282))="cokot sorangan")))</f>
        <v>4</v>
      </c>
      <c r="C21" s="969" cm="1">
        <f t="array" ref="C21">SUMPRODUCT(--(LOWER(AB6:AB312)="masuk"), --((LOWER(TRIM($W$2:$W$308))="cokot sorangan") + (LOWER(TRIM(W6:W312))="ambil sendiri")))</f>
        <v>3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691</v>
      </c>
      <c r="S21" s="1190">
        <v>3331568464</v>
      </c>
      <c r="T21" s="1293" t="s">
        <v>256</v>
      </c>
      <c r="U21" s="1190" t="s">
        <v>256</v>
      </c>
      <c r="V21" s="1190" t="s">
        <v>256</v>
      </c>
      <c r="W21" s="1217" t="s">
        <v>256</v>
      </c>
      <c r="X21" s="1191" t="s">
        <v>256</v>
      </c>
      <c r="Y21" s="1190" t="s">
        <v>256</v>
      </c>
      <c r="Z21" s="1217" t="s">
        <v>256</v>
      </c>
      <c r="AA21" s="1217" t="s">
        <v>256</v>
      </c>
      <c r="AB21" s="1200" t="s">
        <v>256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737</v>
      </c>
      <c r="S22" s="1202">
        <v>3331568444</v>
      </c>
      <c r="T22" s="1202" t="s">
        <v>459</v>
      </c>
      <c r="U22" s="1202">
        <v>24142551</v>
      </c>
      <c r="V22" s="1202" t="s">
        <v>224</v>
      </c>
      <c r="W22" s="1202" t="s">
        <v>203</v>
      </c>
      <c r="X22" s="1203">
        <v>28348.074000000001</v>
      </c>
      <c r="Y22" s="1202" t="s">
        <v>426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737</v>
      </c>
      <c r="S23" s="1202">
        <v>3331568468</v>
      </c>
      <c r="T23" s="1261" t="s">
        <v>459</v>
      </c>
      <c r="U23" s="1202">
        <v>24142555</v>
      </c>
      <c r="V23" s="1202" t="s">
        <v>224</v>
      </c>
      <c r="W23" s="1202" t="s">
        <v>203</v>
      </c>
      <c r="X23" s="1203">
        <v>29574.89</v>
      </c>
      <c r="Y23" s="1202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1" t="s">
        <v>737</v>
      </c>
      <c r="S24" s="1202">
        <v>3331568470</v>
      </c>
      <c r="T24" s="1261" t="s">
        <v>459</v>
      </c>
      <c r="U24" s="1202">
        <v>24142557</v>
      </c>
      <c r="V24" s="1202" t="s">
        <v>224</v>
      </c>
      <c r="W24" s="1202" t="s">
        <v>203</v>
      </c>
      <c r="X24" s="1203">
        <v>27610.172999999999</v>
      </c>
      <c r="Y24" s="1202" t="s">
        <v>426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1" t="s">
        <v>737</v>
      </c>
      <c r="S25" s="1202">
        <v>3331568475</v>
      </c>
      <c r="T25" s="1261" t="s">
        <v>459</v>
      </c>
      <c r="U25" s="1202">
        <v>24142559</v>
      </c>
      <c r="V25" s="1202" t="s">
        <v>224</v>
      </c>
      <c r="W25" s="1202" t="s">
        <v>203</v>
      </c>
      <c r="X25" s="1203">
        <v>26364.493999999999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01" t="s">
        <v>737</v>
      </c>
      <c r="S26" s="1202">
        <v>3331568489</v>
      </c>
      <c r="T26" s="1261" t="s">
        <v>459</v>
      </c>
      <c r="U26" s="1202">
        <v>24142564</v>
      </c>
      <c r="V26" s="1202" t="s">
        <v>224</v>
      </c>
      <c r="W26" s="1202" t="s">
        <v>203</v>
      </c>
      <c r="X26" s="1203">
        <v>30830.312000000002</v>
      </c>
      <c r="Y26" s="1202" t="s">
        <v>426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6.5" customHeight="1">
      <c r="A27" s="1324"/>
      <c r="B27" s="1021"/>
      <c r="C27" s="1021"/>
      <c r="D27" s="1022"/>
      <c r="E27" s="1023"/>
      <c r="F27" s="1592" t="s">
        <v>697</v>
      </c>
      <c r="G27" s="1592"/>
      <c r="H27" s="1592"/>
      <c r="I27" s="1592"/>
      <c r="J27" s="1592"/>
      <c r="K27" s="1592"/>
      <c r="L27" s="1592"/>
      <c r="M27" s="1023"/>
      <c r="N27" s="1021"/>
      <c r="O27" s="1021"/>
      <c r="P27" s="1022"/>
      <c r="R27" s="1201" t="s">
        <v>737</v>
      </c>
      <c r="S27" s="1202">
        <v>3331568511</v>
      </c>
      <c r="T27" s="1202" t="s">
        <v>459</v>
      </c>
      <c r="U27" s="1202">
        <v>24142567</v>
      </c>
      <c r="V27" s="1202" t="s">
        <v>226</v>
      </c>
      <c r="W27" s="1202" t="s">
        <v>203</v>
      </c>
      <c r="X27" s="1203">
        <v>30551.105</v>
      </c>
      <c r="Y27" s="1202" t="s">
        <v>426</v>
      </c>
      <c r="Z27" s="1369">
        <v>1</v>
      </c>
      <c r="AA27" s="1369">
        <v>1</v>
      </c>
      <c r="AB27" s="1369" t="s">
        <v>204</v>
      </c>
      <c r="AC27" s="1271"/>
      <c r="AD27" s="81"/>
    </row>
    <row r="28" spans="1:30" s="44" customFormat="1" ht="37.5" customHeight="1">
      <c r="A28" s="1324"/>
      <c r="B28" s="1021"/>
      <c r="C28" s="1021"/>
      <c r="D28" s="1022"/>
      <c r="E28" s="1023"/>
      <c r="F28" s="1592"/>
      <c r="G28" s="1592"/>
      <c r="H28" s="1592"/>
      <c r="I28" s="1592"/>
      <c r="J28" s="1592"/>
      <c r="K28" s="1592"/>
      <c r="L28" s="1592"/>
      <c r="M28" s="1023"/>
      <c r="N28" s="1021"/>
      <c r="O28" s="1021"/>
      <c r="P28" s="1022"/>
      <c r="R28" s="1201" t="s">
        <v>737</v>
      </c>
      <c r="S28" s="1202">
        <v>3331568536</v>
      </c>
      <c r="T28" s="1202" t="s">
        <v>459</v>
      </c>
      <c r="U28" s="1202">
        <v>24142570</v>
      </c>
      <c r="V28" s="1202" t="s">
        <v>226</v>
      </c>
      <c r="W28" s="1202" t="s">
        <v>203</v>
      </c>
      <c r="X28" s="1203">
        <v>30628.835999999999</v>
      </c>
      <c r="Y28" s="1202" t="s">
        <v>426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37.5" customHeight="1">
      <c r="A29" s="1324"/>
      <c r="B29" s="1021"/>
      <c r="C29" s="1021"/>
      <c r="D29" s="1022"/>
      <c r="E29" s="1023"/>
      <c r="F29" s="1592"/>
      <c r="G29" s="1592"/>
      <c r="H29" s="1592"/>
      <c r="I29" s="1592"/>
      <c r="J29" s="1592"/>
      <c r="K29" s="1592"/>
      <c r="L29" s="1592"/>
      <c r="M29" s="1023"/>
      <c r="N29" s="1021"/>
      <c r="O29" s="1021"/>
      <c r="P29" s="1022"/>
      <c r="R29" s="1201" t="s">
        <v>737</v>
      </c>
      <c r="S29" s="1202">
        <v>3331568544</v>
      </c>
      <c r="T29" s="1202" t="s">
        <v>459</v>
      </c>
      <c r="U29" s="1202">
        <v>24142574</v>
      </c>
      <c r="V29" s="1202" t="s">
        <v>226</v>
      </c>
      <c r="W29" s="1202" t="s">
        <v>203</v>
      </c>
      <c r="X29" s="1203">
        <v>28375.991000000002</v>
      </c>
      <c r="Y29" s="1202" t="s">
        <v>426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37.5" customHeight="1">
      <c r="A30" s="1324"/>
      <c r="B30" s="1021"/>
      <c r="C30" s="1021"/>
      <c r="D30" s="1022"/>
      <c r="E30" s="1023"/>
      <c r="F30" s="1592"/>
      <c r="G30" s="1592"/>
      <c r="H30" s="1592"/>
      <c r="I30" s="1592"/>
      <c r="J30" s="1592"/>
      <c r="K30" s="1592"/>
      <c r="L30" s="1592"/>
      <c r="M30" s="1023"/>
      <c r="N30" s="1021"/>
      <c r="O30" s="1021"/>
      <c r="P30" s="1022"/>
      <c r="R30" s="1326" t="s">
        <v>718</v>
      </c>
      <c r="S30" s="81">
        <v>3331568677</v>
      </c>
      <c r="T30" s="1293" t="s">
        <v>424</v>
      </c>
      <c r="U30" s="81">
        <v>24142589</v>
      </c>
      <c r="V30" s="1190" t="s">
        <v>429</v>
      </c>
      <c r="W30" s="81" t="s">
        <v>362</v>
      </c>
      <c r="X30" s="191">
        <v>24513.705000000002</v>
      </c>
      <c r="Y30" s="81" t="s">
        <v>426</v>
      </c>
      <c r="Z30" s="1361">
        <v>1</v>
      </c>
      <c r="AA30" s="1361">
        <v>1</v>
      </c>
      <c r="AB30" s="1361" t="s">
        <v>207</v>
      </c>
      <c r="AC30" s="240"/>
      <c r="AD30" s="81"/>
    </row>
    <row r="31" spans="1:30" s="44" customFormat="1" ht="37.5" customHeight="1">
      <c r="A31" s="1324"/>
      <c r="B31" s="1021"/>
      <c r="C31" s="1021"/>
      <c r="D31" s="1022"/>
      <c r="E31" s="1023"/>
      <c r="F31" s="1592"/>
      <c r="G31" s="1592"/>
      <c r="H31" s="1592"/>
      <c r="I31" s="1592"/>
      <c r="J31" s="1592"/>
      <c r="K31" s="1592"/>
      <c r="L31" s="1592"/>
      <c r="M31" s="1023"/>
      <c r="N31" s="1021"/>
      <c r="O31" s="1021"/>
      <c r="P31" s="1022"/>
      <c r="R31" s="1174" t="s">
        <v>737</v>
      </c>
      <c r="S31" s="105">
        <v>3331568772</v>
      </c>
      <c r="T31" s="105" t="s">
        <v>459</v>
      </c>
      <c r="U31" s="105">
        <v>24142610</v>
      </c>
      <c r="V31" s="1202" t="s">
        <v>226</v>
      </c>
      <c r="W31" s="1202" t="s">
        <v>203</v>
      </c>
      <c r="X31" s="209">
        <v>35050.298000000003</v>
      </c>
      <c r="Y31" s="1202" t="s">
        <v>426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37.5" customHeight="1">
      <c r="A32" s="1324"/>
      <c r="B32" s="1021"/>
      <c r="C32" s="1021"/>
      <c r="D32" s="1022"/>
      <c r="E32" s="1023"/>
      <c r="F32" s="1592"/>
      <c r="G32" s="1592"/>
      <c r="H32" s="1592"/>
      <c r="I32" s="1592"/>
      <c r="J32" s="1592"/>
      <c r="K32" s="1592"/>
      <c r="L32" s="1592"/>
      <c r="M32" s="1023"/>
      <c r="N32" s="1021"/>
      <c r="O32" s="1021"/>
      <c r="P32" s="1022"/>
      <c r="R32" s="1174" t="s">
        <v>737</v>
      </c>
      <c r="S32" s="105">
        <v>3331568774</v>
      </c>
      <c r="T32" s="105" t="s">
        <v>459</v>
      </c>
      <c r="U32" s="105">
        <v>24142611</v>
      </c>
      <c r="V32" s="1202" t="s">
        <v>226</v>
      </c>
      <c r="W32" s="1202" t="s">
        <v>203</v>
      </c>
      <c r="X32" s="209">
        <v>36168.468999999997</v>
      </c>
      <c r="Y32" s="1202" t="s">
        <v>426</v>
      </c>
      <c r="Z32" s="1369">
        <v>1</v>
      </c>
      <c r="AA32" s="1369">
        <v>1</v>
      </c>
      <c r="AB32" s="1369" t="s">
        <v>204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26" t="s">
        <v>718</v>
      </c>
      <c r="S33" s="81">
        <v>3331568788</v>
      </c>
      <c r="T33" s="81" t="s">
        <v>351</v>
      </c>
      <c r="U33" s="81">
        <v>24142619</v>
      </c>
      <c r="V33" s="1190" t="s">
        <v>354</v>
      </c>
      <c r="W33" s="1190" t="s">
        <v>362</v>
      </c>
      <c r="X33" s="191">
        <v>24595.005000000001</v>
      </c>
      <c r="Y33" s="81" t="s">
        <v>426</v>
      </c>
      <c r="Z33" s="1361">
        <v>1</v>
      </c>
      <c r="AA33" s="1361">
        <v>1</v>
      </c>
      <c r="AB33" s="1361" t="s">
        <v>207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26" t="s">
        <v>718</v>
      </c>
      <c r="S34" s="81">
        <v>3331568791</v>
      </c>
      <c r="T34" s="81" t="s">
        <v>351</v>
      </c>
      <c r="U34" s="81">
        <v>24142620</v>
      </c>
      <c r="V34" s="1190" t="s">
        <v>354</v>
      </c>
      <c r="W34" s="1190" t="s">
        <v>362</v>
      </c>
      <c r="X34" s="191">
        <v>23943.398000000001</v>
      </c>
      <c r="Y34" s="81" t="s">
        <v>426</v>
      </c>
      <c r="Z34" s="1361">
        <v>1</v>
      </c>
      <c r="AA34" s="1361">
        <v>1</v>
      </c>
      <c r="AB34" s="1361" t="s">
        <v>207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81" t="s">
        <v>718</v>
      </c>
      <c r="S35" s="81">
        <v>3331568793</v>
      </c>
      <c r="T35" s="81" t="s">
        <v>351</v>
      </c>
      <c r="U35" s="81">
        <v>24142621</v>
      </c>
      <c r="V35" s="1190" t="s">
        <v>354</v>
      </c>
      <c r="W35" s="1190" t="s">
        <v>362</v>
      </c>
      <c r="X35" s="384">
        <v>25225.45</v>
      </c>
      <c r="Y35" s="81" t="s">
        <v>426</v>
      </c>
      <c r="Z35" s="1361">
        <v>1</v>
      </c>
      <c r="AA35" s="1361">
        <v>1</v>
      </c>
      <c r="AB35" s="1361" t="s">
        <v>207</v>
      </c>
      <c r="AC35" s="8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81" t="s">
        <v>691</v>
      </c>
      <c r="S36" s="81">
        <v>3331568799</v>
      </c>
      <c r="T36" s="81" t="s">
        <v>351</v>
      </c>
      <c r="U36" s="81">
        <v>24142622</v>
      </c>
      <c r="V36" s="1190" t="s">
        <v>354</v>
      </c>
      <c r="W36" s="1190" t="s">
        <v>362</v>
      </c>
      <c r="X36" s="384">
        <f>8945.352+12990.3+1161.176</f>
        <v>23096.828000000001</v>
      </c>
      <c r="Y36" s="81" t="s">
        <v>426</v>
      </c>
      <c r="Z36" s="1361">
        <v>1</v>
      </c>
      <c r="AA36" s="1361">
        <v>1</v>
      </c>
      <c r="AB36" s="1361" t="s">
        <v>207</v>
      </c>
      <c r="AC36" s="8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26" t="s">
        <v>718</v>
      </c>
      <c r="S37" s="81">
        <v>3331568800</v>
      </c>
      <c r="T37" s="81" t="s">
        <v>256</v>
      </c>
      <c r="U37" s="81" t="s">
        <v>256</v>
      </c>
      <c r="V37" s="1190" t="s">
        <v>256</v>
      </c>
      <c r="W37" s="81" t="s">
        <v>256</v>
      </c>
      <c r="X37" s="191" t="s">
        <v>256</v>
      </c>
      <c r="Y37" s="81" t="s">
        <v>256</v>
      </c>
      <c r="Z37" s="81" t="s">
        <v>256</v>
      </c>
      <c r="AA37" s="81" t="s">
        <v>256</v>
      </c>
      <c r="AB37" s="81" t="s">
        <v>256</v>
      </c>
      <c r="AC37" s="240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26" t="s">
        <v>718</v>
      </c>
      <c r="S38" s="81">
        <v>3331568801</v>
      </c>
      <c r="T38" s="81" t="s">
        <v>256</v>
      </c>
      <c r="U38" s="81" t="s">
        <v>256</v>
      </c>
      <c r="V38" s="1190" t="s">
        <v>256</v>
      </c>
      <c r="W38" s="81" t="s">
        <v>256</v>
      </c>
      <c r="X38" s="191" t="s">
        <v>256</v>
      </c>
      <c r="Y38" s="81" t="s">
        <v>256</v>
      </c>
      <c r="Z38" s="81" t="s">
        <v>256</v>
      </c>
      <c r="AA38" s="81" t="s">
        <v>256</v>
      </c>
      <c r="AB38" s="81" t="s">
        <v>256</v>
      </c>
      <c r="AC38" s="240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74" t="s">
        <v>718</v>
      </c>
      <c r="S39" s="105">
        <v>3331568819</v>
      </c>
      <c r="T39" s="105" t="s">
        <v>336</v>
      </c>
      <c r="U39" s="105">
        <v>24142629</v>
      </c>
      <c r="V39" s="1202" t="s">
        <v>529</v>
      </c>
      <c r="W39" s="105" t="s">
        <v>434</v>
      </c>
      <c r="X39" s="209">
        <f>17700.57+15391.8+6709.014</f>
        <v>39801.383999999998</v>
      </c>
      <c r="Y39" s="105" t="s">
        <v>128</v>
      </c>
      <c r="Z39" s="1373">
        <v>1</v>
      </c>
      <c r="AA39" s="1373">
        <v>1</v>
      </c>
      <c r="AB39" s="1373" t="s">
        <v>204</v>
      </c>
      <c r="AC39" s="240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74" t="s">
        <v>718</v>
      </c>
      <c r="S40" s="105">
        <v>3331568820</v>
      </c>
      <c r="T40" s="105" t="s">
        <v>256</v>
      </c>
      <c r="U40" s="105" t="s">
        <v>256</v>
      </c>
      <c r="V40" s="1202" t="s">
        <v>256</v>
      </c>
      <c r="W40" s="105" t="s">
        <v>256</v>
      </c>
      <c r="X40" s="209" t="s">
        <v>256</v>
      </c>
      <c r="Y40" s="105" t="s">
        <v>256</v>
      </c>
      <c r="Z40" s="105" t="s">
        <v>256</v>
      </c>
      <c r="AA40" s="105" t="s">
        <v>256</v>
      </c>
      <c r="AB40" s="105" t="s">
        <v>256</v>
      </c>
      <c r="AC40" s="240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74" t="s">
        <v>718</v>
      </c>
      <c r="S41" s="105">
        <v>3331568821</v>
      </c>
      <c r="T41" s="105" t="s">
        <v>256</v>
      </c>
      <c r="U41" s="105" t="s">
        <v>256</v>
      </c>
      <c r="V41" s="1202" t="s">
        <v>256</v>
      </c>
      <c r="W41" s="105" t="s">
        <v>256</v>
      </c>
      <c r="X41" s="209" t="s">
        <v>256</v>
      </c>
      <c r="Y41" s="105" t="s">
        <v>256</v>
      </c>
      <c r="Z41" s="105" t="s">
        <v>256</v>
      </c>
      <c r="AA41" s="105" t="s">
        <v>256</v>
      </c>
      <c r="AB41" s="105" t="s">
        <v>256</v>
      </c>
      <c r="AC41" s="240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74" t="s">
        <v>718</v>
      </c>
      <c r="S42" s="105">
        <v>3331568823</v>
      </c>
      <c r="T42" s="105" t="s">
        <v>336</v>
      </c>
      <c r="U42" s="105">
        <v>24142628</v>
      </c>
      <c r="V42" s="1227" t="s">
        <v>529</v>
      </c>
      <c r="W42" s="105" t="s">
        <v>434</v>
      </c>
      <c r="X42" s="209">
        <f>23339.239+17546.652</f>
        <v>40885.891000000003</v>
      </c>
      <c r="Y42" s="105" t="s">
        <v>128</v>
      </c>
      <c r="Z42" s="1373">
        <v>1</v>
      </c>
      <c r="AA42" s="1373">
        <v>1</v>
      </c>
      <c r="AB42" s="1373" t="s">
        <v>204</v>
      </c>
      <c r="AC42" s="240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74" t="s">
        <v>718</v>
      </c>
      <c r="S43" s="105">
        <v>3331568824</v>
      </c>
      <c r="T43" s="105" t="s">
        <v>256</v>
      </c>
      <c r="U43" s="105" t="s">
        <v>256</v>
      </c>
      <c r="V43" s="1227" t="s">
        <v>256</v>
      </c>
      <c r="W43" s="105" t="s">
        <v>256</v>
      </c>
      <c r="X43" s="209" t="s">
        <v>256</v>
      </c>
      <c r="Y43" s="105" t="s">
        <v>256</v>
      </c>
      <c r="Z43" s="105" t="s">
        <v>256</v>
      </c>
      <c r="AA43" s="105" t="s">
        <v>256</v>
      </c>
      <c r="AB43" s="105" t="s">
        <v>256</v>
      </c>
      <c r="AC43" s="240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718</v>
      </c>
      <c r="S44" s="81">
        <v>3331568825</v>
      </c>
      <c r="T44" s="81" t="s">
        <v>336</v>
      </c>
      <c r="U44" s="81">
        <v>24142627</v>
      </c>
      <c r="V44" s="1224" t="s">
        <v>529</v>
      </c>
      <c r="W44" s="81" t="s">
        <v>434</v>
      </c>
      <c r="X44" s="191">
        <v>39057.502</v>
      </c>
      <c r="Y44" s="81" t="s">
        <v>128</v>
      </c>
      <c r="Z44" s="1362">
        <v>1</v>
      </c>
      <c r="AA44" s="1362">
        <v>1</v>
      </c>
      <c r="AB44" s="1362" t="s">
        <v>207</v>
      </c>
      <c r="AC44" s="240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05" t="s">
        <v>738</v>
      </c>
      <c r="S45" s="105">
        <v>3331568962</v>
      </c>
      <c r="T45" s="105" t="s">
        <v>459</v>
      </c>
      <c r="U45" s="105">
        <v>24142639</v>
      </c>
      <c r="V45" s="105" t="s">
        <v>226</v>
      </c>
      <c r="W45" s="105" t="s">
        <v>344</v>
      </c>
      <c r="X45" s="401">
        <v>28477.362000000001</v>
      </c>
      <c r="Y45" s="105" t="s">
        <v>426</v>
      </c>
      <c r="Z45" s="105">
        <v>1</v>
      </c>
      <c r="AA45" s="105">
        <v>1</v>
      </c>
      <c r="AB45" s="105" t="s">
        <v>204</v>
      </c>
      <c r="AC45" s="8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05" t="s">
        <v>738</v>
      </c>
      <c r="S46" s="105">
        <v>3331568965</v>
      </c>
      <c r="T46" s="105" t="s">
        <v>459</v>
      </c>
      <c r="U46" s="105">
        <v>24142645</v>
      </c>
      <c r="V46" s="105" t="s">
        <v>226</v>
      </c>
      <c r="W46" s="105" t="s">
        <v>344</v>
      </c>
      <c r="X46" s="401">
        <v>29894.546999999999</v>
      </c>
      <c r="Y46" s="105" t="s">
        <v>426</v>
      </c>
      <c r="Z46" s="105">
        <v>1</v>
      </c>
      <c r="AA46" s="105">
        <v>1</v>
      </c>
      <c r="AB46" s="105" t="s">
        <v>204</v>
      </c>
      <c r="AC46" s="8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05" t="s">
        <v>737</v>
      </c>
      <c r="S47" s="105">
        <v>3331568969</v>
      </c>
      <c r="T47" s="105" t="s">
        <v>608</v>
      </c>
      <c r="U47" s="105">
        <v>24142653</v>
      </c>
      <c r="V47" s="105" t="s">
        <v>561</v>
      </c>
      <c r="W47" s="105" t="s">
        <v>362</v>
      </c>
      <c r="X47" s="401">
        <v>24685.731</v>
      </c>
      <c r="Y47" s="105" t="s">
        <v>200</v>
      </c>
      <c r="Z47" s="105">
        <v>1</v>
      </c>
      <c r="AA47" s="105">
        <v>1</v>
      </c>
      <c r="AB47" s="105" t="s">
        <v>204</v>
      </c>
      <c r="AC47" s="8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05" t="s">
        <v>738</v>
      </c>
      <c r="S48" s="105">
        <v>3331568973</v>
      </c>
      <c r="T48" s="105" t="s">
        <v>459</v>
      </c>
      <c r="U48" s="105">
        <v>24142654</v>
      </c>
      <c r="V48" s="105" t="s">
        <v>226</v>
      </c>
      <c r="W48" s="105" t="s">
        <v>344</v>
      </c>
      <c r="X48" s="401">
        <v>29407.581999999999</v>
      </c>
      <c r="Y48" s="105" t="s">
        <v>426</v>
      </c>
      <c r="Z48" s="105">
        <v>1</v>
      </c>
      <c r="AA48" s="105">
        <v>1</v>
      </c>
      <c r="AB48" s="105" t="s">
        <v>204</v>
      </c>
      <c r="AC48" s="8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05" t="s">
        <v>738</v>
      </c>
      <c r="S49" s="105">
        <v>3331568975</v>
      </c>
      <c r="T49" s="105" t="s">
        <v>459</v>
      </c>
      <c r="U49" s="105">
        <v>24142655</v>
      </c>
      <c r="V49" s="105" t="s">
        <v>226</v>
      </c>
      <c r="W49" s="105" t="s">
        <v>344</v>
      </c>
      <c r="X49" s="401">
        <v>29156.601999999999</v>
      </c>
      <c r="Y49" s="105" t="s">
        <v>426</v>
      </c>
      <c r="Z49" s="105">
        <v>1</v>
      </c>
      <c r="AA49" s="105">
        <v>1</v>
      </c>
      <c r="AB49" s="105" t="s">
        <v>204</v>
      </c>
      <c r="AC49" s="8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05" t="s">
        <v>738</v>
      </c>
      <c r="S50" s="105">
        <v>3331568980</v>
      </c>
      <c r="T50" s="105" t="s">
        <v>459</v>
      </c>
      <c r="U50" s="105">
        <v>24142656</v>
      </c>
      <c r="V50" s="105" t="s">
        <v>226</v>
      </c>
      <c r="W50" s="105" t="s">
        <v>344</v>
      </c>
      <c r="X50" s="401">
        <v>29106.537</v>
      </c>
      <c r="Y50" s="105" t="s">
        <v>426</v>
      </c>
      <c r="Z50" s="105">
        <v>1</v>
      </c>
      <c r="AA50" s="105">
        <v>1</v>
      </c>
      <c r="AB50" s="105" t="s">
        <v>204</v>
      </c>
      <c r="AC50" s="8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05" t="s">
        <v>738</v>
      </c>
      <c r="S51" s="105">
        <v>3331568986</v>
      </c>
      <c r="T51" s="105" t="s">
        <v>441</v>
      </c>
      <c r="U51" s="105">
        <v>24142659</v>
      </c>
      <c r="V51" s="105" t="s">
        <v>226</v>
      </c>
      <c r="W51" s="105" t="s">
        <v>344</v>
      </c>
      <c r="X51" s="401">
        <v>36693.834999999999</v>
      </c>
      <c r="Y51" s="105" t="s">
        <v>128</v>
      </c>
      <c r="Z51" s="1373">
        <v>1</v>
      </c>
      <c r="AA51" s="1373">
        <v>1</v>
      </c>
      <c r="AB51" s="1373" t="s">
        <v>204</v>
      </c>
      <c r="AC51" s="8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05" t="s">
        <v>738</v>
      </c>
      <c r="S52" s="105">
        <v>3331568989</v>
      </c>
      <c r="T52" s="105" t="s">
        <v>273</v>
      </c>
      <c r="U52" s="105">
        <v>24142662</v>
      </c>
      <c r="V52" s="105" t="s">
        <v>226</v>
      </c>
      <c r="W52" s="105" t="s">
        <v>344</v>
      </c>
      <c r="X52" s="401">
        <v>33502.063999999998</v>
      </c>
      <c r="Y52" s="105" t="s">
        <v>128</v>
      </c>
      <c r="Z52" s="1373">
        <v>1</v>
      </c>
      <c r="AA52" s="1373">
        <v>1</v>
      </c>
      <c r="AB52" s="1373" t="s">
        <v>204</v>
      </c>
      <c r="AC52" s="8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61" t="s">
        <v>737</v>
      </c>
      <c r="S53" s="1261">
        <v>3331569001</v>
      </c>
      <c r="T53" s="105" t="s">
        <v>441</v>
      </c>
      <c r="U53" s="1261">
        <v>24142667</v>
      </c>
      <c r="V53" s="1202" t="s">
        <v>224</v>
      </c>
      <c r="W53" s="1261" t="s">
        <v>203</v>
      </c>
      <c r="X53" s="1203">
        <v>36108.106</v>
      </c>
      <c r="Y53" s="105" t="s">
        <v>128</v>
      </c>
      <c r="Z53" s="1373">
        <v>1</v>
      </c>
      <c r="AA53" s="1373">
        <v>1</v>
      </c>
      <c r="AB53" s="1373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60" t="s">
        <v>737</v>
      </c>
      <c r="S54" s="1261">
        <v>3331569049</v>
      </c>
      <c r="T54" s="105" t="s">
        <v>27</v>
      </c>
      <c r="U54" s="1261">
        <v>24142673</v>
      </c>
      <c r="V54" s="1202" t="s">
        <v>174</v>
      </c>
      <c r="W54" s="1261" t="s">
        <v>205</v>
      </c>
      <c r="X54" s="1203">
        <f>3078.059+22069.814</f>
        <v>25147.873</v>
      </c>
      <c r="Y54" s="105" t="s">
        <v>200</v>
      </c>
      <c r="Z54" s="105">
        <v>1</v>
      </c>
      <c r="AA54" s="105">
        <v>1</v>
      </c>
      <c r="AB54" s="105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0" t="s">
        <v>737</v>
      </c>
      <c r="S55" s="1261">
        <v>3331569051</v>
      </c>
      <c r="T55" s="105" t="s">
        <v>256</v>
      </c>
      <c r="U55" s="1261" t="s">
        <v>256</v>
      </c>
      <c r="V55" s="1202" t="s">
        <v>256</v>
      </c>
      <c r="W55" s="1261" t="s">
        <v>256</v>
      </c>
      <c r="X55" s="1203" t="s">
        <v>256</v>
      </c>
      <c r="Y55" s="105" t="s">
        <v>256</v>
      </c>
      <c r="Z55" s="1373" t="s">
        <v>256</v>
      </c>
      <c r="AA55" s="1373" t="s">
        <v>256</v>
      </c>
      <c r="AB55" s="1373" t="s">
        <v>256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60" t="s">
        <v>737</v>
      </c>
      <c r="S56" s="1261">
        <v>3331569054</v>
      </c>
      <c r="T56" s="105" t="s">
        <v>11</v>
      </c>
      <c r="U56" s="1261">
        <v>24142674</v>
      </c>
      <c r="V56" s="1202" t="s">
        <v>174</v>
      </c>
      <c r="W56" s="1261" t="s">
        <v>205</v>
      </c>
      <c r="X56" s="1203">
        <v>44593.464999999997</v>
      </c>
      <c r="Y56" s="105" t="s">
        <v>128</v>
      </c>
      <c r="Z56" s="1373">
        <v>1</v>
      </c>
      <c r="AA56" s="1373">
        <v>1</v>
      </c>
      <c r="AB56" s="1373" t="s">
        <v>204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60" t="s">
        <v>737</v>
      </c>
      <c r="S57" s="1261">
        <v>3331569137</v>
      </c>
      <c r="T57" s="105" t="s">
        <v>27</v>
      </c>
      <c r="U57" s="1261">
        <v>24142675</v>
      </c>
      <c r="V57" s="1202" t="s">
        <v>430</v>
      </c>
      <c r="W57" s="1261" t="s">
        <v>205</v>
      </c>
      <c r="X57" s="1203">
        <v>27025.184000000001</v>
      </c>
      <c r="Y57" s="105" t="s">
        <v>200</v>
      </c>
      <c r="Z57" s="1373">
        <v>1</v>
      </c>
      <c r="AA57" s="1373">
        <v>1</v>
      </c>
      <c r="AB57" s="1373" t="s">
        <v>204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60" t="s">
        <v>739</v>
      </c>
      <c r="S58" s="1261">
        <v>3331569130</v>
      </c>
      <c r="T58" s="105" t="s">
        <v>27</v>
      </c>
      <c r="U58" s="1261">
        <v>24142676</v>
      </c>
      <c r="V58" s="1202" t="s">
        <v>226</v>
      </c>
      <c r="W58" s="1261" t="s">
        <v>344</v>
      </c>
      <c r="X58" s="1203">
        <v>25356.481</v>
      </c>
      <c r="Y58" s="105" t="s">
        <v>200</v>
      </c>
      <c r="Z58" s="1373">
        <v>1</v>
      </c>
      <c r="AA58" s="1373">
        <v>1</v>
      </c>
      <c r="AB58" s="1373" t="s">
        <v>204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60" t="s">
        <v>739</v>
      </c>
      <c r="S59" s="1261">
        <v>3331569132</v>
      </c>
      <c r="T59" s="105" t="s">
        <v>27</v>
      </c>
      <c r="U59" s="1261">
        <v>24142677</v>
      </c>
      <c r="V59" s="1202" t="s">
        <v>226</v>
      </c>
      <c r="W59" s="1261" t="s">
        <v>344</v>
      </c>
      <c r="X59" s="1203">
        <v>24513.705000000002</v>
      </c>
      <c r="Y59" s="105" t="s">
        <v>200</v>
      </c>
      <c r="Z59" s="1373">
        <v>1</v>
      </c>
      <c r="AA59" s="1373">
        <v>1</v>
      </c>
      <c r="AB59" s="1373" t="s">
        <v>204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60" t="s">
        <v>739</v>
      </c>
      <c r="S60" s="1261">
        <v>3331569136</v>
      </c>
      <c r="T60" s="105" t="s">
        <v>27</v>
      </c>
      <c r="U60" s="1261">
        <v>24142678</v>
      </c>
      <c r="V60" s="1202" t="s">
        <v>226</v>
      </c>
      <c r="W60" s="1261" t="s">
        <v>344</v>
      </c>
      <c r="X60" s="1203">
        <v>23954.62</v>
      </c>
      <c r="Y60" s="105" t="s">
        <v>200</v>
      </c>
      <c r="Z60" s="1373">
        <v>1</v>
      </c>
      <c r="AA60" s="1373">
        <v>1</v>
      </c>
      <c r="AB60" s="1373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60" t="s">
        <v>739</v>
      </c>
      <c r="S61" s="1261">
        <v>3331569141</v>
      </c>
      <c r="T61" s="105" t="s">
        <v>441</v>
      </c>
      <c r="U61" s="1261">
        <v>24142679</v>
      </c>
      <c r="V61" s="1202" t="s">
        <v>226</v>
      </c>
      <c r="W61" s="1261" t="s">
        <v>344</v>
      </c>
      <c r="X61" s="1203">
        <v>25803.9</v>
      </c>
      <c r="Y61" s="105" t="s">
        <v>200</v>
      </c>
      <c r="Z61" s="1373">
        <v>1</v>
      </c>
      <c r="AA61" s="1373">
        <v>1</v>
      </c>
      <c r="AB61" s="1373" t="s">
        <v>204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60" t="s">
        <v>691</v>
      </c>
      <c r="S62" s="1261">
        <v>3331569155</v>
      </c>
      <c r="T62" s="105" t="s">
        <v>441</v>
      </c>
      <c r="U62" s="1261">
        <v>24142680</v>
      </c>
      <c r="V62" s="1202" t="s">
        <v>628</v>
      </c>
      <c r="W62" s="1261" t="s">
        <v>205</v>
      </c>
      <c r="X62" s="1203">
        <v>43651.919000000002</v>
      </c>
      <c r="Y62" s="105" t="s">
        <v>128</v>
      </c>
      <c r="Z62" s="1373">
        <v>1</v>
      </c>
      <c r="AA62" s="1373">
        <v>1</v>
      </c>
      <c r="AB62" s="1373" t="s">
        <v>204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60" t="s">
        <v>691</v>
      </c>
      <c r="S63" s="1261">
        <v>3331569159</v>
      </c>
      <c r="T63" s="105" t="s">
        <v>441</v>
      </c>
      <c r="U63" s="1261">
        <v>24142681</v>
      </c>
      <c r="V63" s="1202" t="s">
        <v>628</v>
      </c>
      <c r="W63" s="1261" t="s">
        <v>205</v>
      </c>
      <c r="X63" s="1203">
        <v>41096.860999999997</v>
      </c>
      <c r="Y63" s="105" t="s">
        <v>128</v>
      </c>
      <c r="Z63" s="1373">
        <v>1</v>
      </c>
      <c r="AA63" s="1373">
        <v>1</v>
      </c>
      <c r="AB63" s="1373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60" t="s">
        <v>691</v>
      </c>
      <c r="S64" s="1261">
        <v>3331569161</v>
      </c>
      <c r="T64" s="105" t="s">
        <v>441</v>
      </c>
      <c r="U64" s="1261">
        <v>24142682</v>
      </c>
      <c r="V64" s="1202" t="s">
        <v>628</v>
      </c>
      <c r="W64" s="1261" t="s">
        <v>205</v>
      </c>
      <c r="X64" s="1203">
        <v>38417.631000000001</v>
      </c>
      <c r="Y64" s="105" t="s">
        <v>128</v>
      </c>
      <c r="Z64" s="1373">
        <v>1</v>
      </c>
      <c r="AA64" s="1373">
        <v>1</v>
      </c>
      <c r="AB64" s="1373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74" t="s">
        <v>718</v>
      </c>
      <c r="S65" s="105">
        <v>3331568700</v>
      </c>
      <c r="T65" s="1202" t="s">
        <v>287</v>
      </c>
      <c r="U65" s="105">
        <v>24142602</v>
      </c>
      <c r="V65" s="1202" t="s">
        <v>158</v>
      </c>
      <c r="W65" s="105" t="s">
        <v>199</v>
      </c>
      <c r="X65" s="209">
        <v>25952.788</v>
      </c>
      <c r="Y65" s="105" t="s">
        <v>200</v>
      </c>
      <c r="Z65" s="105">
        <v>1</v>
      </c>
      <c r="AA65" s="105">
        <v>1</v>
      </c>
      <c r="AB65" s="105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05" t="s">
        <v>718</v>
      </c>
      <c r="S66" s="105">
        <v>3331568702</v>
      </c>
      <c r="T66" s="1247" t="s">
        <v>27</v>
      </c>
      <c r="U66" s="105">
        <v>24142603</v>
      </c>
      <c r="V66" s="1202" t="s">
        <v>158</v>
      </c>
      <c r="W66" s="105" t="s">
        <v>199</v>
      </c>
      <c r="X66" s="401">
        <v>24968.92</v>
      </c>
      <c r="Y66" s="105" t="s">
        <v>200</v>
      </c>
      <c r="Z66" s="105">
        <v>1</v>
      </c>
      <c r="AA66" s="105">
        <v>1</v>
      </c>
      <c r="AB66" s="105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05" t="s">
        <v>718</v>
      </c>
      <c r="S67" s="105">
        <v>3331568704</v>
      </c>
      <c r="T67" s="1247" t="s">
        <v>27</v>
      </c>
      <c r="U67" s="105">
        <v>24142604</v>
      </c>
      <c r="V67" s="1202" t="s">
        <v>158</v>
      </c>
      <c r="W67" s="105" t="s">
        <v>199</v>
      </c>
      <c r="X67" s="401">
        <v>24797.9</v>
      </c>
      <c r="Y67" s="105" t="s">
        <v>200</v>
      </c>
      <c r="Z67" s="105">
        <v>1</v>
      </c>
      <c r="AA67" s="105">
        <v>1</v>
      </c>
      <c r="AB67" s="105" t="s">
        <v>204</v>
      </c>
      <c r="AC67" s="1217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737</v>
      </c>
      <c r="S68" s="1227">
        <v>3331568961</v>
      </c>
      <c r="T68" s="1202" t="s">
        <v>11</v>
      </c>
      <c r="U68" s="1227">
        <v>24142640</v>
      </c>
      <c r="V68" s="1227" t="s">
        <v>368</v>
      </c>
      <c r="W68" s="105" t="s">
        <v>199</v>
      </c>
      <c r="X68" s="1229">
        <v>25117.83</v>
      </c>
      <c r="Y68" s="105" t="s">
        <v>200</v>
      </c>
      <c r="Z68" s="105">
        <v>1</v>
      </c>
      <c r="AA68" s="105">
        <v>1</v>
      </c>
      <c r="AB68" s="105" t="s">
        <v>204</v>
      </c>
      <c r="AC68" s="1217"/>
      <c r="AD68" s="1326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737</v>
      </c>
      <c r="S69" s="1449">
        <v>3331568963</v>
      </c>
      <c r="T69" s="1247" t="s">
        <v>287</v>
      </c>
      <c r="U69" s="1227">
        <v>24142641</v>
      </c>
      <c r="V69" s="1227" t="s">
        <v>368</v>
      </c>
      <c r="W69" s="105" t="s">
        <v>199</v>
      </c>
      <c r="X69" s="1229">
        <v>25397.726999999999</v>
      </c>
      <c r="Y69" s="105" t="s">
        <v>200</v>
      </c>
      <c r="Z69" s="105">
        <v>1</v>
      </c>
      <c r="AA69" s="105">
        <v>1</v>
      </c>
      <c r="AB69" s="105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737</v>
      </c>
      <c r="S70" s="1227">
        <v>3331568964</v>
      </c>
      <c r="T70" s="1202" t="s">
        <v>287</v>
      </c>
      <c r="U70" s="1227">
        <v>24142642</v>
      </c>
      <c r="V70" s="1227" t="s">
        <v>368</v>
      </c>
      <c r="W70" s="105" t="s">
        <v>199</v>
      </c>
      <c r="X70" s="1229">
        <v>25914.812000000002</v>
      </c>
      <c r="Y70" s="105" t="s">
        <v>200</v>
      </c>
      <c r="Z70" s="105">
        <v>1</v>
      </c>
      <c r="AA70" s="105">
        <v>1</v>
      </c>
      <c r="AB70" s="105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738</v>
      </c>
      <c r="S71" s="1227">
        <v>3331568952</v>
      </c>
      <c r="T71" s="1202" t="s">
        <v>11</v>
      </c>
      <c r="U71" s="1227">
        <v>24142643</v>
      </c>
      <c r="V71" s="1227" t="s">
        <v>366</v>
      </c>
      <c r="W71" s="105" t="s">
        <v>199</v>
      </c>
      <c r="X71" s="1229">
        <v>25215.612000000001</v>
      </c>
      <c r="Y71" s="105" t="s">
        <v>200</v>
      </c>
      <c r="Z71" s="105">
        <v>1</v>
      </c>
      <c r="AA71" s="105">
        <v>1</v>
      </c>
      <c r="AB71" s="105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2" t="s">
        <v>737</v>
      </c>
      <c r="S72" s="1202">
        <v>3331568953</v>
      </c>
      <c r="T72" s="1202" t="s">
        <v>287</v>
      </c>
      <c r="U72" s="1202">
        <v>24142644</v>
      </c>
      <c r="V72" s="1227" t="s">
        <v>366</v>
      </c>
      <c r="W72" s="105" t="s">
        <v>199</v>
      </c>
      <c r="X72" s="1203">
        <v>25677.492999999999</v>
      </c>
      <c r="Y72" s="105" t="s">
        <v>200</v>
      </c>
      <c r="Z72" s="105">
        <v>1</v>
      </c>
      <c r="AA72" s="105">
        <v>1</v>
      </c>
      <c r="AB72" s="105" t="s">
        <v>204</v>
      </c>
      <c r="AC72" s="1190"/>
      <c r="AD72" s="1329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2" t="s">
        <v>737</v>
      </c>
      <c r="S73" s="1202">
        <v>3331568966</v>
      </c>
      <c r="T73" s="1202" t="s">
        <v>287</v>
      </c>
      <c r="U73" s="1202">
        <v>24142651</v>
      </c>
      <c r="V73" s="1202" t="s">
        <v>368</v>
      </c>
      <c r="W73" s="105" t="s">
        <v>199</v>
      </c>
      <c r="X73" s="1203">
        <v>25072.79</v>
      </c>
      <c r="Y73" s="105" t="s">
        <v>200</v>
      </c>
      <c r="Z73" s="105">
        <v>1</v>
      </c>
      <c r="AA73" s="105">
        <v>1</v>
      </c>
      <c r="AB73" s="105" t="s">
        <v>204</v>
      </c>
      <c r="AC73" s="1217"/>
      <c r="AD73" s="1326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2" t="s">
        <v>737</v>
      </c>
      <c r="S74" s="1202">
        <v>3331568967</v>
      </c>
      <c r="T74" s="1202" t="s">
        <v>462</v>
      </c>
      <c r="U74" s="1261">
        <v>24142652</v>
      </c>
      <c r="V74" s="1202" t="s">
        <v>368</v>
      </c>
      <c r="W74" s="105" t="s">
        <v>199</v>
      </c>
      <c r="X74" s="1203">
        <v>26130.85</v>
      </c>
      <c r="Y74" s="105" t="s">
        <v>200</v>
      </c>
      <c r="Z74" s="105">
        <v>1</v>
      </c>
      <c r="AA74" s="105">
        <v>1</v>
      </c>
      <c r="AB74" s="105" t="s">
        <v>204</v>
      </c>
      <c r="AC74" s="1217"/>
      <c r="AD74" s="1326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691</v>
      </c>
      <c r="S75" s="1202">
        <v>3331568984</v>
      </c>
      <c r="T75" s="1202" t="s">
        <v>11</v>
      </c>
      <c r="U75" s="1261">
        <v>24142658</v>
      </c>
      <c r="V75" s="1227" t="s">
        <v>150</v>
      </c>
      <c r="W75" s="105" t="s">
        <v>199</v>
      </c>
      <c r="X75" s="1203">
        <v>24384.434000000001</v>
      </c>
      <c r="Y75" s="105" t="s">
        <v>200</v>
      </c>
      <c r="Z75" s="105">
        <v>1</v>
      </c>
      <c r="AA75" s="105">
        <v>1</v>
      </c>
      <c r="AB75" s="105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738</v>
      </c>
      <c r="S76" s="1202">
        <v>3331568681</v>
      </c>
      <c r="T76" s="1202" t="s">
        <v>34</v>
      </c>
      <c r="U76" s="1261">
        <v>24142591</v>
      </c>
      <c r="V76" s="1227" t="s">
        <v>150</v>
      </c>
      <c r="W76" s="105" t="s">
        <v>199</v>
      </c>
      <c r="X76" s="1203">
        <v>25330.829000000002</v>
      </c>
      <c r="Y76" s="105" t="s">
        <v>200</v>
      </c>
      <c r="Z76" s="105">
        <v>1</v>
      </c>
      <c r="AA76" s="105">
        <v>1</v>
      </c>
      <c r="AB76" s="105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718</v>
      </c>
      <c r="S77" s="1202">
        <v>3331568988</v>
      </c>
      <c r="T77" s="1202" t="s">
        <v>287</v>
      </c>
      <c r="U77" s="1261">
        <v>24142660</v>
      </c>
      <c r="V77" s="1227" t="s">
        <v>150</v>
      </c>
      <c r="W77" s="105" t="s">
        <v>199</v>
      </c>
      <c r="X77" s="1203">
        <v>25975.925999999999</v>
      </c>
      <c r="Y77" s="105" t="s">
        <v>200</v>
      </c>
      <c r="Z77" s="105">
        <v>1</v>
      </c>
      <c r="AA77" s="105">
        <v>1</v>
      </c>
      <c r="AB77" s="105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718</v>
      </c>
      <c r="S78" s="1202">
        <v>3331568991</v>
      </c>
      <c r="T78" s="1202" t="s">
        <v>11</v>
      </c>
      <c r="U78" s="1261">
        <v>24142661</v>
      </c>
      <c r="V78" s="1227" t="s">
        <v>150</v>
      </c>
      <c r="W78" s="105" t="s">
        <v>199</v>
      </c>
      <c r="X78" s="1203">
        <v>26233.965</v>
      </c>
      <c r="Y78" s="105" t="s">
        <v>200</v>
      </c>
      <c r="Z78" s="105">
        <v>1</v>
      </c>
      <c r="AA78" s="105">
        <v>1</v>
      </c>
      <c r="AB78" s="105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737</v>
      </c>
      <c r="S79" s="1202">
        <v>3331569003</v>
      </c>
      <c r="T79" s="1202" t="s">
        <v>34</v>
      </c>
      <c r="U79" s="1261">
        <v>24142668</v>
      </c>
      <c r="V79" s="1227" t="s">
        <v>572</v>
      </c>
      <c r="W79" s="105" t="s">
        <v>199</v>
      </c>
      <c r="X79" s="1203">
        <v>25534.179</v>
      </c>
      <c r="Y79" s="105" t="s">
        <v>200</v>
      </c>
      <c r="Z79" s="105">
        <v>1</v>
      </c>
      <c r="AA79" s="105">
        <v>1</v>
      </c>
      <c r="AB79" s="105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737</v>
      </c>
      <c r="S80" s="1202">
        <v>3331568717</v>
      </c>
      <c r="T80" s="1202" t="s">
        <v>439</v>
      </c>
      <c r="U80" s="1261">
        <v>24142671</v>
      </c>
      <c r="V80" s="1227" t="s">
        <v>440</v>
      </c>
      <c r="W80" s="105" t="s">
        <v>434</v>
      </c>
      <c r="X80" s="1203">
        <f>9136.511+5258.865+12687.168</f>
        <v>27082.544000000002</v>
      </c>
      <c r="Y80" s="105" t="s">
        <v>200</v>
      </c>
      <c r="Z80" s="105">
        <v>1</v>
      </c>
      <c r="AA80" s="105">
        <v>1</v>
      </c>
      <c r="AB80" s="105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737</v>
      </c>
      <c r="S81" s="1202">
        <v>3331568726</v>
      </c>
      <c r="T81" s="1209" t="s">
        <v>256</v>
      </c>
      <c r="U81" s="1209" t="s">
        <v>256</v>
      </c>
      <c r="V81" s="1209" t="s">
        <v>256</v>
      </c>
      <c r="W81" s="1209" t="s">
        <v>256</v>
      </c>
      <c r="X81" s="1203" t="s">
        <v>256</v>
      </c>
      <c r="Y81" s="1209" t="s">
        <v>256</v>
      </c>
      <c r="Z81" s="1209" t="s">
        <v>256</v>
      </c>
      <c r="AA81" s="1209" t="s">
        <v>256</v>
      </c>
      <c r="AB81" s="1209" t="s">
        <v>256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737</v>
      </c>
      <c r="S82" s="1202">
        <v>3331569030</v>
      </c>
      <c r="T82" s="1209" t="s">
        <v>256</v>
      </c>
      <c r="U82" s="1209" t="s">
        <v>256</v>
      </c>
      <c r="V82" s="1209" t="s">
        <v>256</v>
      </c>
      <c r="W82" s="1209" t="s">
        <v>256</v>
      </c>
      <c r="X82" s="1203" t="s">
        <v>256</v>
      </c>
      <c r="Y82" s="1209" t="s">
        <v>256</v>
      </c>
      <c r="Z82" s="1209" t="s">
        <v>256</v>
      </c>
      <c r="AA82" s="1209" t="s">
        <v>256</v>
      </c>
      <c r="AB82" s="1209" t="s">
        <v>256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691</v>
      </c>
      <c r="S83" s="1202">
        <v>3331569007</v>
      </c>
      <c r="T83" s="1202" t="s">
        <v>34</v>
      </c>
      <c r="U83" s="1202">
        <v>24142672</v>
      </c>
      <c r="V83" s="1202" t="s">
        <v>572</v>
      </c>
      <c r="W83" s="105" t="s">
        <v>199</v>
      </c>
      <c r="X83" s="1203">
        <f>4753.35+7130.025+6960.859+2082.42</f>
        <v>20926.654000000002</v>
      </c>
      <c r="Y83" s="105" t="s">
        <v>200</v>
      </c>
      <c r="Z83" s="105">
        <v>1</v>
      </c>
      <c r="AA83" s="105">
        <v>1</v>
      </c>
      <c r="AB83" s="105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737</v>
      </c>
      <c r="S84" s="1202">
        <v>3331569008</v>
      </c>
      <c r="T84" s="1209" t="s">
        <v>256</v>
      </c>
      <c r="U84" s="1209" t="s">
        <v>256</v>
      </c>
      <c r="V84" s="1209" t="s">
        <v>256</v>
      </c>
      <c r="W84" s="1209" t="s">
        <v>256</v>
      </c>
      <c r="X84" s="1203" t="s">
        <v>256</v>
      </c>
      <c r="Y84" s="1209" t="s">
        <v>256</v>
      </c>
      <c r="Z84" s="1209" t="s">
        <v>256</v>
      </c>
      <c r="AA84" s="1209" t="s">
        <v>256</v>
      </c>
      <c r="AB84" s="1209" t="s">
        <v>256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737</v>
      </c>
      <c r="S85" s="1202">
        <v>3331569037</v>
      </c>
      <c r="T85" s="1209" t="s">
        <v>256</v>
      </c>
      <c r="U85" s="1209" t="s">
        <v>256</v>
      </c>
      <c r="V85" s="1209" t="s">
        <v>256</v>
      </c>
      <c r="W85" s="1209" t="s">
        <v>256</v>
      </c>
      <c r="X85" s="1203" t="s">
        <v>256</v>
      </c>
      <c r="Y85" s="1209" t="s">
        <v>256</v>
      </c>
      <c r="Z85" s="1209" t="s">
        <v>256</v>
      </c>
      <c r="AA85" s="1209" t="s">
        <v>256</v>
      </c>
      <c r="AB85" s="1209" t="s">
        <v>256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737</v>
      </c>
      <c r="S86" s="1202">
        <v>3331569039</v>
      </c>
      <c r="T86" s="1209" t="s">
        <v>256</v>
      </c>
      <c r="U86" s="1209" t="s">
        <v>256</v>
      </c>
      <c r="V86" s="1209" t="s">
        <v>256</v>
      </c>
      <c r="W86" s="1209" t="s">
        <v>256</v>
      </c>
      <c r="X86" s="1203" t="s">
        <v>256</v>
      </c>
      <c r="Y86" s="1209" t="s">
        <v>256</v>
      </c>
      <c r="Z86" s="1209" t="s">
        <v>256</v>
      </c>
      <c r="AA86" s="1209" t="s">
        <v>256</v>
      </c>
      <c r="AB86" s="1209" t="s">
        <v>256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691</v>
      </c>
      <c r="S87" s="105">
        <v>3331568992</v>
      </c>
      <c r="T87" s="1202" t="s">
        <v>287</v>
      </c>
      <c r="U87" s="105">
        <v>24142663</v>
      </c>
      <c r="V87" s="1227" t="s">
        <v>150</v>
      </c>
      <c r="W87" s="105" t="s">
        <v>199</v>
      </c>
      <c r="X87" s="209">
        <v>25717.886999999999</v>
      </c>
      <c r="Y87" s="105" t="s">
        <v>200</v>
      </c>
      <c r="Z87" s="105">
        <v>1</v>
      </c>
      <c r="AA87" s="105">
        <v>1</v>
      </c>
      <c r="AB87" s="105" t="s">
        <v>204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2" t="s">
        <v>737</v>
      </c>
      <c r="S88" s="1202">
        <v>3331568956</v>
      </c>
      <c r="T88" s="1247" t="s">
        <v>34</v>
      </c>
      <c r="U88" s="1202">
        <v>24142646</v>
      </c>
      <c r="V88" s="1261" t="s">
        <v>158</v>
      </c>
      <c r="W88" s="105" t="s">
        <v>340</v>
      </c>
      <c r="X88" s="1203">
        <v>25438.975999999999</v>
      </c>
      <c r="Y88" s="105" t="s">
        <v>200</v>
      </c>
      <c r="Z88" s="105">
        <v>1</v>
      </c>
      <c r="AA88" s="105">
        <v>1</v>
      </c>
      <c r="AB88" s="105" t="s">
        <v>204</v>
      </c>
      <c r="AC88" s="1217"/>
      <c r="AD88" s="1326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2" t="s">
        <v>737</v>
      </c>
      <c r="S89" s="1202">
        <v>3331568957</v>
      </c>
      <c r="T89" s="1247" t="s">
        <v>27</v>
      </c>
      <c r="U89" s="1202">
        <v>24142647</v>
      </c>
      <c r="V89" s="1261" t="s">
        <v>158</v>
      </c>
      <c r="W89" s="105" t="s">
        <v>340</v>
      </c>
      <c r="X89" s="1203">
        <v>25439.224999999999</v>
      </c>
      <c r="Y89" s="105" t="s">
        <v>200</v>
      </c>
      <c r="Z89" s="105">
        <v>1</v>
      </c>
      <c r="AA89" s="105">
        <v>1</v>
      </c>
      <c r="AB89" s="105" t="s">
        <v>204</v>
      </c>
      <c r="AC89" s="1217"/>
      <c r="AD89" s="1326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2" t="s">
        <v>737</v>
      </c>
      <c r="S90" s="1202">
        <v>3331568958</v>
      </c>
      <c r="T90" s="1247" t="s">
        <v>11</v>
      </c>
      <c r="U90" s="1202">
        <v>24142648</v>
      </c>
      <c r="V90" s="1261" t="s">
        <v>158</v>
      </c>
      <c r="W90" s="105" t="s">
        <v>340</v>
      </c>
      <c r="X90" s="1203">
        <v>25909.53</v>
      </c>
      <c r="Y90" s="105" t="s">
        <v>200</v>
      </c>
      <c r="Z90" s="105">
        <v>1</v>
      </c>
      <c r="AA90" s="105">
        <v>1</v>
      </c>
      <c r="AB90" s="105" t="s">
        <v>204</v>
      </c>
      <c r="AC90" s="1217"/>
      <c r="AD90" s="1326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2" t="s">
        <v>737</v>
      </c>
      <c r="S91" s="1202">
        <v>3331568954</v>
      </c>
      <c r="T91" s="1247" t="s">
        <v>34</v>
      </c>
      <c r="U91" s="1202">
        <v>24142649</v>
      </c>
      <c r="V91" s="1202" t="s">
        <v>366</v>
      </c>
      <c r="W91" s="105" t="s">
        <v>340</v>
      </c>
      <c r="X91" s="1203">
        <v>26500.212</v>
      </c>
      <c r="Y91" s="105" t="s">
        <v>200</v>
      </c>
      <c r="Z91" s="105">
        <v>1</v>
      </c>
      <c r="AA91" s="105">
        <v>1</v>
      </c>
      <c r="AB91" s="105" t="s">
        <v>204</v>
      </c>
      <c r="AC91" s="1217"/>
      <c r="AD91" s="1326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737</v>
      </c>
      <c r="S92" s="1202">
        <v>3331568955</v>
      </c>
      <c r="T92" s="1247" t="s">
        <v>287</v>
      </c>
      <c r="U92" s="1202">
        <v>24142650</v>
      </c>
      <c r="V92" s="1202" t="s">
        <v>366</v>
      </c>
      <c r="W92" s="105" t="s">
        <v>340</v>
      </c>
      <c r="X92" s="1203">
        <v>25287.784</v>
      </c>
      <c r="Y92" s="105" t="s">
        <v>200</v>
      </c>
      <c r="Z92" s="105">
        <v>1</v>
      </c>
      <c r="AA92" s="105">
        <v>1</v>
      </c>
      <c r="AB92" s="105" t="s">
        <v>204</v>
      </c>
      <c r="AC92" s="1217"/>
      <c r="AD92" s="1326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691</v>
      </c>
      <c r="S93" s="1202">
        <v>3331568993</v>
      </c>
      <c r="T93" s="1247" t="s">
        <v>34</v>
      </c>
      <c r="U93" s="1202">
        <v>24142664</v>
      </c>
      <c r="V93" s="1227" t="s">
        <v>150</v>
      </c>
      <c r="W93" s="105" t="s">
        <v>340</v>
      </c>
      <c r="X93" s="1203">
        <v>25889.913</v>
      </c>
      <c r="Y93" s="105" t="s">
        <v>200</v>
      </c>
      <c r="Z93" s="105">
        <v>1</v>
      </c>
      <c r="AA93" s="105">
        <v>1</v>
      </c>
      <c r="AB93" s="105" t="s">
        <v>204</v>
      </c>
      <c r="AC93" s="1217"/>
      <c r="AD93" s="1326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2" t="s">
        <v>691</v>
      </c>
      <c r="S94" s="1202">
        <v>3331568994</v>
      </c>
      <c r="T94" s="1247" t="s">
        <v>27</v>
      </c>
      <c r="U94" s="1202">
        <v>24142665</v>
      </c>
      <c r="V94" s="1227" t="s">
        <v>150</v>
      </c>
      <c r="W94" s="105" t="s">
        <v>340</v>
      </c>
      <c r="X94" s="1203">
        <v>25287.822</v>
      </c>
      <c r="Y94" s="105" t="s">
        <v>200</v>
      </c>
      <c r="Z94" s="105">
        <v>1</v>
      </c>
      <c r="AA94" s="105">
        <v>1</v>
      </c>
      <c r="AB94" s="105" t="s">
        <v>204</v>
      </c>
      <c r="AC94" s="1217"/>
      <c r="AD94" s="1326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2" t="s">
        <v>691</v>
      </c>
      <c r="S95" s="1261">
        <v>3331568996</v>
      </c>
      <c r="T95" s="1247" t="s">
        <v>27</v>
      </c>
      <c r="U95" s="1202">
        <v>24142666</v>
      </c>
      <c r="V95" s="1227" t="s">
        <v>150</v>
      </c>
      <c r="W95" s="105" t="s">
        <v>340</v>
      </c>
      <c r="X95" s="1203">
        <v>25287.822</v>
      </c>
      <c r="Y95" s="105" t="s">
        <v>200</v>
      </c>
      <c r="Z95" s="105">
        <v>1</v>
      </c>
      <c r="AA95" s="105">
        <v>1</v>
      </c>
      <c r="AB95" s="105" t="s">
        <v>204</v>
      </c>
      <c r="AC95" s="1217"/>
      <c r="AD95" s="1326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2" t="s">
        <v>691</v>
      </c>
      <c r="S96" s="1261">
        <v>3331568997</v>
      </c>
      <c r="T96" s="1247" t="s">
        <v>287</v>
      </c>
      <c r="U96" s="1202">
        <v>24142669</v>
      </c>
      <c r="V96" s="1227" t="s">
        <v>150</v>
      </c>
      <c r="W96" s="105" t="s">
        <v>340</v>
      </c>
      <c r="X96" s="1203">
        <v>25287.822</v>
      </c>
      <c r="Y96" s="105" t="s">
        <v>200</v>
      </c>
      <c r="Z96" s="105">
        <v>1</v>
      </c>
      <c r="AA96" s="105">
        <v>1</v>
      </c>
      <c r="AB96" s="105" t="s">
        <v>204</v>
      </c>
      <c r="AC96" s="1217"/>
      <c r="AD96" s="1326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691</v>
      </c>
      <c r="S97" s="1227">
        <v>3331568998</v>
      </c>
      <c r="T97" s="1247" t="s">
        <v>287</v>
      </c>
      <c r="U97" s="1227">
        <v>24142670</v>
      </c>
      <c r="V97" s="1227" t="s">
        <v>150</v>
      </c>
      <c r="W97" s="105" t="s">
        <v>340</v>
      </c>
      <c r="X97" s="1229">
        <v>25331.084999999999</v>
      </c>
      <c r="Y97" s="105" t="s">
        <v>200</v>
      </c>
      <c r="Z97" s="105">
        <v>1</v>
      </c>
      <c r="AA97" s="105">
        <v>1</v>
      </c>
      <c r="AB97" s="105" t="s">
        <v>204</v>
      </c>
      <c r="AC97" s="1217"/>
      <c r="AD97" s="1326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90"/>
      <c r="S98" s="1224"/>
      <c r="T98" s="1279"/>
      <c r="U98" s="1224"/>
      <c r="V98" s="1224"/>
      <c r="W98" s="1224"/>
      <c r="X98" s="1225"/>
      <c r="Y98" s="1190"/>
      <c r="Z98" s="1190"/>
      <c r="AA98" s="1190"/>
      <c r="AB98" s="1241"/>
      <c r="AC98" s="1217"/>
      <c r="AD98" s="1326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90"/>
      <c r="S99" s="1224"/>
      <c r="T99" s="1279"/>
      <c r="U99" s="1224"/>
      <c r="V99" s="1224"/>
      <c r="W99" s="1294"/>
      <c r="X99" s="1225"/>
      <c r="Y99" s="1190"/>
      <c r="Z99" s="1190"/>
      <c r="AA99" s="1190"/>
      <c r="AB99" s="1241"/>
      <c r="AC99" s="1217"/>
      <c r="AD99" s="1326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90"/>
      <c r="S100" s="1224"/>
      <c r="T100" s="1279"/>
      <c r="U100" s="1224"/>
      <c r="V100" s="1224"/>
      <c r="W100" s="1224"/>
      <c r="X100" s="1225"/>
      <c r="Y100" s="1190"/>
      <c r="Z100" s="1190"/>
      <c r="AA100" s="1190"/>
      <c r="AB100" s="1241"/>
      <c r="AC100" s="1217"/>
      <c r="AD100" s="1326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90"/>
      <c r="S101" s="1224"/>
      <c r="T101" s="1279"/>
      <c r="U101" s="1224"/>
      <c r="V101" s="1224"/>
      <c r="W101" s="1224"/>
      <c r="X101" s="1225"/>
      <c r="Y101" s="1190"/>
      <c r="Z101" s="1190"/>
      <c r="AA101" s="1190"/>
      <c r="AB101" s="1241"/>
      <c r="AC101" s="1217"/>
      <c r="AD101" s="1326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90"/>
      <c r="S102" s="1224"/>
      <c r="T102" s="1279"/>
      <c r="U102" s="1224"/>
      <c r="V102" s="1224"/>
      <c r="W102" s="1224"/>
      <c r="X102" s="1225"/>
      <c r="Y102" s="1190"/>
      <c r="Z102" s="1190"/>
      <c r="AA102" s="1190"/>
      <c r="AB102" s="1241"/>
      <c r="AC102" s="1217"/>
      <c r="AD102" s="1326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90"/>
      <c r="S103" s="1224"/>
      <c r="T103" s="1279"/>
      <c r="U103" s="1224"/>
      <c r="V103" s="1224"/>
      <c r="W103" s="1224"/>
      <c r="X103" s="1225"/>
      <c r="Y103" s="1190"/>
      <c r="Z103" s="1190"/>
      <c r="AA103" s="1190"/>
      <c r="AB103" s="1241"/>
      <c r="AC103" s="1217"/>
      <c r="AD103" s="1326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90"/>
      <c r="S104" s="1224"/>
      <c r="T104" s="1279"/>
      <c r="U104" s="1224"/>
      <c r="V104" s="1224"/>
      <c r="W104" s="1190"/>
      <c r="X104" s="1225"/>
      <c r="Y104" s="1190"/>
      <c r="Z104" s="1190"/>
      <c r="AA104" s="1190"/>
      <c r="AB104" s="1241"/>
      <c r="AC104" s="1217"/>
      <c r="AD104" s="1326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90"/>
      <c r="S105" s="1224"/>
      <c r="T105" s="1279"/>
      <c r="U105" s="1224"/>
      <c r="V105" s="1224"/>
      <c r="W105" s="1294"/>
      <c r="X105" s="1225"/>
      <c r="Y105" s="1190"/>
      <c r="Z105" s="1190"/>
      <c r="AA105" s="1190"/>
      <c r="AB105" s="1241"/>
      <c r="AC105" s="1217"/>
      <c r="AD105" s="1326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90"/>
      <c r="S106" s="1224"/>
      <c r="T106" s="1279"/>
      <c r="U106" s="1224"/>
      <c r="V106" s="1224"/>
      <c r="W106" s="1294"/>
      <c r="X106" s="1225"/>
      <c r="Y106" s="1190"/>
      <c r="Z106" s="1190"/>
      <c r="AA106" s="1190"/>
      <c r="AB106" s="1241"/>
      <c r="AC106" s="1217"/>
      <c r="AD106" s="1326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90"/>
      <c r="S107" s="1224"/>
      <c r="T107" s="1279"/>
      <c r="U107" s="1224"/>
      <c r="V107" s="1224"/>
      <c r="W107" s="1294"/>
      <c r="X107" s="1225"/>
      <c r="Y107" s="1190"/>
      <c r="Z107" s="1190"/>
      <c r="AA107" s="1190"/>
      <c r="AB107" s="1241"/>
      <c r="AC107" s="1217"/>
      <c r="AD107" s="1326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90"/>
      <c r="S108" s="1224"/>
      <c r="T108" s="1279"/>
      <c r="U108" s="1224"/>
      <c r="V108" s="1224"/>
      <c r="W108" s="1190"/>
      <c r="X108" s="1225"/>
      <c r="Y108" s="1190"/>
      <c r="Z108" s="1190"/>
      <c r="AA108" s="1190"/>
      <c r="AB108" s="1241"/>
      <c r="AC108" s="1217"/>
      <c r="AD108" s="1326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90"/>
      <c r="S109" s="1224"/>
      <c r="T109" s="1279"/>
      <c r="U109" s="1224"/>
      <c r="V109" s="1224"/>
      <c r="W109" s="1190"/>
      <c r="X109" s="1225"/>
      <c r="Y109" s="1190"/>
      <c r="Z109" s="1190"/>
      <c r="AA109" s="1190"/>
      <c r="AB109" s="1241"/>
      <c r="AC109" s="1217"/>
      <c r="AD109" s="1326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90"/>
      <c r="S110" s="1224"/>
      <c r="T110" s="1279"/>
      <c r="U110" s="1224"/>
      <c r="V110" s="1224"/>
      <c r="W110" s="1294"/>
      <c r="X110" s="1225"/>
      <c r="Y110" s="1190"/>
      <c r="Z110" s="1190"/>
      <c r="AA110" s="1190"/>
      <c r="AB110" s="1241"/>
      <c r="AC110" s="1217"/>
      <c r="AD110" s="1326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90"/>
      <c r="S111" s="1224"/>
      <c r="T111" s="1279"/>
      <c r="U111" s="1224"/>
      <c r="V111" s="1224"/>
      <c r="W111" s="1294"/>
      <c r="X111" s="1225"/>
      <c r="Y111" s="1190"/>
      <c r="Z111" s="1190"/>
      <c r="AA111" s="1190"/>
      <c r="AB111" s="1241"/>
      <c r="AC111" s="1217"/>
      <c r="AD111" s="1326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90"/>
      <c r="S112" s="1224"/>
      <c r="T112" s="1279"/>
      <c r="U112" s="1224"/>
      <c r="V112" s="1224"/>
      <c r="W112" s="1294"/>
      <c r="X112" s="1225"/>
      <c r="Y112" s="1190"/>
      <c r="Z112" s="1190"/>
      <c r="AA112" s="1190"/>
      <c r="AB112" s="1241"/>
      <c r="AC112" s="1217"/>
      <c r="AD112" s="1326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90"/>
      <c r="S113" s="1224"/>
      <c r="T113" s="1279"/>
      <c r="U113" s="1224"/>
      <c r="V113" s="1224"/>
      <c r="W113" s="1294"/>
      <c r="X113" s="1225"/>
      <c r="Y113" s="1190"/>
      <c r="Z113" s="1190"/>
      <c r="AA113" s="1190"/>
      <c r="AB113" s="1241"/>
      <c r="AC113" s="1217"/>
      <c r="AD113" s="1326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0"/>
      <c r="S114" s="1224"/>
      <c r="T114" s="1279"/>
      <c r="U114" s="1224"/>
      <c r="V114" s="1224"/>
      <c r="W114" s="1294"/>
      <c r="X114" s="1225"/>
      <c r="Y114" s="1190"/>
      <c r="Z114" s="1190"/>
      <c r="AA114" s="1190"/>
      <c r="AB114" s="1241"/>
      <c r="AC114" s="1217"/>
      <c r="AD114" s="1326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90"/>
      <c r="S115" s="1224"/>
      <c r="T115" s="1279"/>
      <c r="U115" s="1224"/>
      <c r="V115" s="1224"/>
      <c r="W115" s="1294"/>
      <c r="X115" s="1225"/>
      <c r="Y115" s="1190"/>
      <c r="Z115" s="1190"/>
      <c r="AA115" s="1190"/>
      <c r="AB115" s="1241"/>
      <c r="AC115" s="1217"/>
      <c r="AD115" s="1326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90"/>
      <c r="S116" s="1224"/>
      <c r="T116" s="1279"/>
      <c r="U116" s="1224"/>
      <c r="V116" s="1224"/>
      <c r="W116" s="1294"/>
      <c r="X116" s="1225"/>
      <c r="Y116" s="1190"/>
      <c r="Z116" s="1190"/>
      <c r="AA116" s="1190"/>
      <c r="AB116" s="1241"/>
      <c r="AC116" s="1217"/>
      <c r="AD116" s="1326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90"/>
      <c r="S117" s="1224"/>
      <c r="T117" s="1279"/>
      <c r="U117" s="1224"/>
      <c r="V117" s="1224"/>
      <c r="W117" s="1294"/>
      <c r="X117" s="1225"/>
      <c r="Y117" s="1190"/>
      <c r="Z117" s="1190"/>
      <c r="AA117" s="1190"/>
      <c r="AB117" s="1241"/>
      <c r="AC117" s="1217"/>
      <c r="AD117" s="1326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90"/>
      <c r="S118" s="1224"/>
      <c r="T118" s="1279"/>
      <c r="U118" s="1224"/>
      <c r="V118" s="1224"/>
      <c r="W118" s="1294"/>
      <c r="X118" s="1225"/>
      <c r="Y118" s="1190"/>
      <c r="Z118" s="1190"/>
      <c r="AA118" s="1190"/>
      <c r="AB118" s="1241"/>
      <c r="AC118" s="1217"/>
      <c r="AD118" s="1326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90"/>
      <c r="S119" s="1224"/>
      <c r="T119" s="1279"/>
      <c r="U119" s="1224"/>
      <c r="V119" s="1224"/>
      <c r="W119" s="1294"/>
      <c r="X119" s="1225"/>
      <c r="Y119" s="1190"/>
      <c r="Z119" s="1190"/>
      <c r="AA119" s="1190"/>
      <c r="AB119" s="1241"/>
      <c r="AC119" s="1217"/>
      <c r="AD119" s="1326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90"/>
      <c r="S120" s="1224"/>
      <c r="T120" s="1279"/>
      <c r="U120" s="1224"/>
      <c r="V120" s="1224"/>
      <c r="W120" s="1294"/>
      <c r="X120" s="1225"/>
      <c r="Y120" s="1190"/>
      <c r="Z120" s="1190"/>
      <c r="AA120" s="1190"/>
      <c r="AB120" s="1241"/>
      <c r="AC120" s="1217"/>
      <c r="AD120" s="1326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90"/>
      <c r="S121" s="1294"/>
      <c r="T121" s="1293"/>
      <c r="U121" s="1190"/>
      <c r="V121" s="1217"/>
      <c r="W121" s="1190"/>
      <c r="X121" s="1191"/>
      <c r="Y121" s="1190"/>
      <c r="Z121" s="1190"/>
      <c r="AA121" s="1190"/>
      <c r="AB121" s="1241"/>
      <c r="AC121" s="1217"/>
      <c r="AD121" s="1326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294"/>
      <c r="T122" s="1293"/>
      <c r="U122" s="1190"/>
      <c r="V122" s="1217"/>
      <c r="W122" s="1190"/>
      <c r="X122" s="1191"/>
      <c r="Y122" s="1190"/>
      <c r="Z122" s="1190"/>
      <c r="AA122" s="1190"/>
      <c r="AB122" s="1241"/>
      <c r="AC122" s="1217"/>
      <c r="AD122" s="1326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90"/>
      <c r="S123" s="1294"/>
      <c r="T123" s="1293"/>
      <c r="U123" s="1190"/>
      <c r="V123" s="1217"/>
      <c r="W123" s="1190"/>
      <c r="X123" s="1191"/>
      <c r="Y123" s="1190"/>
      <c r="Z123" s="1190"/>
      <c r="AA123" s="1190"/>
      <c r="AB123" s="1200"/>
      <c r="AC123" s="1217"/>
      <c r="AD123" s="1326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190"/>
      <c r="T124" s="1293"/>
      <c r="U124" s="1190"/>
      <c r="V124" s="1190"/>
      <c r="W124" s="1190"/>
      <c r="X124" s="1191"/>
      <c r="Y124" s="1190"/>
      <c r="Z124" s="1190"/>
      <c r="AA124" s="1190"/>
      <c r="AB124" s="1200"/>
      <c r="AC124" s="1217"/>
      <c r="AD124" s="1326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0"/>
      <c r="S125" s="1190"/>
      <c r="T125" s="1293"/>
      <c r="U125" s="1190"/>
      <c r="V125" s="1190"/>
      <c r="W125" s="1190"/>
      <c r="X125" s="1191"/>
      <c r="Y125" s="1190"/>
      <c r="Z125" s="1190"/>
      <c r="AA125" s="1190"/>
      <c r="AB125" s="1200"/>
      <c r="AC125" s="1217"/>
      <c r="AD125" s="1326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190"/>
      <c r="T126" s="1293"/>
      <c r="U126" s="1190"/>
      <c r="V126" s="1190"/>
      <c r="W126" s="1190"/>
      <c r="X126" s="1191"/>
      <c r="Y126" s="1190"/>
      <c r="Z126" s="1190"/>
      <c r="AA126" s="1190"/>
      <c r="AB126" s="1200"/>
      <c r="AC126" s="1217"/>
      <c r="AD126" s="13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190"/>
      <c r="T127" s="1293"/>
      <c r="U127" s="1190"/>
      <c r="V127" s="1190"/>
      <c r="W127" s="1190"/>
      <c r="X127" s="1191"/>
      <c r="Y127" s="1190"/>
      <c r="Z127" s="1190"/>
      <c r="AA127" s="1190"/>
      <c r="AB127" s="1200"/>
      <c r="AC127" s="1217"/>
      <c r="AD127" s="13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90"/>
      <c r="S128" s="1190"/>
      <c r="T128" s="1293"/>
      <c r="U128" s="1190"/>
      <c r="V128" s="1190"/>
      <c r="W128" s="1190"/>
      <c r="X128" s="1191"/>
      <c r="Y128" s="1190"/>
      <c r="Z128" s="1190"/>
      <c r="AA128" s="1190"/>
      <c r="AB128" s="1200"/>
      <c r="AC128" s="1217"/>
      <c r="AD128" s="1326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90"/>
      <c r="S129" s="1190"/>
      <c r="T129" s="1293"/>
      <c r="U129" s="1190"/>
      <c r="V129" s="1190"/>
      <c r="W129" s="1190"/>
      <c r="X129" s="1191"/>
      <c r="Y129" s="1190"/>
      <c r="Z129" s="1190"/>
      <c r="AA129" s="1190"/>
      <c r="AB129" s="1200"/>
      <c r="AC129" s="1217"/>
      <c r="AD129" s="1326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90"/>
      <c r="S130" s="1190"/>
      <c r="T130" s="1293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90"/>
      <c r="S131" s="1190"/>
      <c r="T131" s="1190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90"/>
      <c r="S132" s="1190"/>
      <c r="T132" s="1293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90"/>
      <c r="S133" s="1190"/>
      <c r="T133" s="1293"/>
      <c r="U133" s="1190"/>
      <c r="V133" s="1190"/>
      <c r="W133" s="1190"/>
      <c r="X133" s="1191"/>
      <c r="Y133" s="1190"/>
      <c r="Z133" s="1190"/>
      <c r="AA133" s="1190"/>
      <c r="AB133" s="1200"/>
      <c r="AC133" s="1217"/>
      <c r="AD133" s="1326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0"/>
      <c r="S134" s="1190"/>
      <c r="T134" s="1293"/>
      <c r="U134" s="1190"/>
      <c r="V134" s="1190"/>
      <c r="W134" s="1190"/>
      <c r="X134" s="1191"/>
      <c r="Y134" s="1190"/>
      <c r="Z134" s="1190"/>
      <c r="AA134" s="1190"/>
      <c r="AB134" s="1200"/>
      <c r="AC134" s="1217"/>
      <c r="AD134" s="1326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90"/>
      <c r="S135" s="1190"/>
      <c r="T135" s="1293"/>
      <c r="U135" s="1190"/>
      <c r="V135" s="1190"/>
      <c r="W135" s="1190"/>
      <c r="X135" s="1191"/>
      <c r="Y135" s="1190"/>
      <c r="Z135" s="1190"/>
      <c r="AA135" s="1190"/>
      <c r="AB135" s="1190"/>
      <c r="AC135" s="1217"/>
      <c r="AD135" s="1326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190"/>
      <c r="T136" s="1224"/>
      <c r="U136" s="1190"/>
      <c r="V136" s="1190"/>
      <c r="W136" s="1190"/>
      <c r="X136" s="1191"/>
      <c r="Y136" s="1190"/>
      <c r="Z136" s="1217"/>
      <c r="AA136" s="1217"/>
      <c r="AB136" s="1218"/>
      <c r="AC136" s="1190"/>
      <c r="AD136" s="132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190"/>
      <c r="T137" s="1190"/>
      <c r="U137" s="1190"/>
      <c r="V137" s="1190"/>
      <c r="W137" s="1190"/>
      <c r="X137" s="1191"/>
      <c r="Y137" s="1190"/>
      <c r="Z137" s="1217"/>
      <c r="AA137" s="1217"/>
      <c r="AB137" s="1218"/>
      <c r="AC137" s="1190"/>
      <c r="AD137" s="1326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190"/>
      <c r="T138" s="1190"/>
      <c r="U138" s="1190"/>
      <c r="V138" s="1190"/>
      <c r="W138" s="1190"/>
      <c r="X138" s="1191"/>
      <c r="Y138" s="1190"/>
      <c r="Z138" s="1217"/>
      <c r="AA138" s="1217"/>
      <c r="AB138" s="1218"/>
      <c r="AC138" s="1190"/>
      <c r="AD138" s="1326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190"/>
      <c r="T139" s="1217"/>
      <c r="U139" s="1190"/>
      <c r="V139" s="1190"/>
      <c r="W139" s="1190"/>
      <c r="X139" s="1191"/>
      <c r="Y139" s="1190"/>
      <c r="Z139" s="1217"/>
      <c r="AA139" s="1217"/>
      <c r="AB139" s="1218"/>
      <c r="AC139" s="1190"/>
      <c r="AD139" s="1326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190"/>
      <c r="W140" s="1190"/>
      <c r="X140" s="1191"/>
      <c r="Y140" s="1190"/>
      <c r="Z140" s="1217"/>
      <c r="AA140" s="1217"/>
      <c r="AB140" s="1218"/>
      <c r="AC140" s="1190"/>
      <c r="AD140" s="1326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90"/>
      <c r="S141" s="1190"/>
      <c r="T141" s="1217"/>
      <c r="U141" s="1190"/>
      <c r="V141" s="1190"/>
      <c r="W141" s="1190"/>
      <c r="X141" s="1191"/>
      <c r="Y141" s="1190"/>
      <c r="Z141" s="1217"/>
      <c r="AA141" s="1217"/>
      <c r="AB141" s="1218"/>
      <c r="AC141" s="1190"/>
      <c r="AD141" s="1326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90"/>
      <c r="S142" s="1190"/>
      <c r="T142" s="1217"/>
      <c r="U142" s="1190"/>
      <c r="V142" s="1190"/>
      <c r="W142" s="1190"/>
      <c r="X142" s="1191"/>
      <c r="Y142" s="1190"/>
      <c r="Z142" s="1217"/>
      <c r="AA142" s="1217"/>
      <c r="AB142" s="1218"/>
      <c r="AC142" s="1190"/>
      <c r="AD142" s="1326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90"/>
      <c r="S143" s="1190"/>
      <c r="T143" s="1217"/>
      <c r="U143" s="1190"/>
      <c r="V143" s="1190"/>
      <c r="W143" s="1190"/>
      <c r="X143" s="1191"/>
      <c r="Y143" s="1190"/>
      <c r="Z143" s="1217"/>
      <c r="AA143" s="1217"/>
      <c r="AB143" s="1218"/>
      <c r="AC143" s="1190"/>
      <c r="AD143" s="1326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81"/>
      <c r="S144" s="81"/>
      <c r="T144" s="81"/>
      <c r="U144" s="81"/>
      <c r="V144" s="1190"/>
      <c r="W144" s="1190"/>
      <c r="X144" s="191"/>
      <c r="Y144" s="81"/>
      <c r="Z144" s="1217"/>
      <c r="AA144" s="1217"/>
      <c r="AB144" s="1218"/>
      <c r="AC144" s="1190"/>
      <c r="AD144" s="1326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81"/>
      <c r="S145" s="81"/>
      <c r="T145" s="81"/>
      <c r="U145" s="81"/>
      <c r="V145" s="1190"/>
      <c r="W145" s="1190"/>
      <c r="X145" s="1325"/>
      <c r="Y145" s="1190"/>
      <c r="Z145" s="1190"/>
      <c r="AA145" s="1190"/>
      <c r="AB145" s="1218"/>
      <c r="AC145" s="1190"/>
      <c r="AD145" s="1326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90"/>
      <c r="S146" s="1190"/>
      <c r="T146" s="1217"/>
      <c r="U146" s="1190"/>
      <c r="V146" s="1190"/>
      <c r="W146" s="1190"/>
      <c r="X146" s="1325"/>
      <c r="Y146" s="1190"/>
      <c r="Z146" s="1190"/>
      <c r="AA146" s="1190"/>
      <c r="AB146" s="1218"/>
      <c r="AC146" s="1190"/>
      <c r="AD146" s="1326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90"/>
      <c r="S147" s="1190"/>
      <c r="T147" s="1190"/>
      <c r="U147" s="1190"/>
      <c r="V147" s="1190"/>
      <c r="W147" s="1190"/>
      <c r="X147" s="1190"/>
      <c r="Y147" s="1190"/>
      <c r="Z147" s="1190"/>
      <c r="AA147" s="1190"/>
      <c r="AB147" s="1218"/>
      <c r="AC147" s="1190"/>
      <c r="AD147" s="1326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90"/>
      <c r="S148" s="1190"/>
      <c r="T148" s="1217"/>
      <c r="U148" s="1190"/>
      <c r="V148" s="1190"/>
      <c r="W148" s="1190"/>
      <c r="X148" s="1191"/>
      <c r="Y148" s="1190"/>
      <c r="Z148" s="1217"/>
      <c r="AA148" s="1217"/>
      <c r="AB148" s="1218"/>
      <c r="AC148" s="1190"/>
      <c r="AD148" s="1326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330"/>
      <c r="S149" s="1331"/>
      <c r="T149" s="1332"/>
      <c r="U149" s="1331"/>
      <c r="V149" s="1331"/>
      <c r="W149" s="1331"/>
      <c r="X149" s="1333"/>
      <c r="Y149" s="1331"/>
      <c r="Z149" s="1332"/>
      <c r="AA149" s="1332"/>
      <c r="AB149" s="1334"/>
      <c r="AC149" s="1335"/>
      <c r="AD149" s="81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189"/>
      <c r="S150" s="1190"/>
      <c r="T150" s="1217"/>
      <c r="U150" s="1190"/>
      <c r="V150" s="1190"/>
      <c r="W150" s="1190"/>
      <c r="X150" s="1191"/>
      <c r="Y150" s="1190"/>
      <c r="Z150" s="1217"/>
      <c r="AA150" s="1217"/>
      <c r="AB150" s="1218"/>
      <c r="AC150" s="1192"/>
      <c r="AD150" s="81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189"/>
      <c r="S151" s="1190"/>
      <c r="T151" s="1217"/>
      <c r="U151" s="1190"/>
      <c r="V151" s="1190"/>
      <c r="W151" s="1190"/>
      <c r="X151" s="1191"/>
      <c r="Y151" s="1190"/>
      <c r="Z151" s="1217"/>
      <c r="AA151" s="1217"/>
      <c r="AB151" s="1218"/>
      <c r="AC151" s="1192"/>
      <c r="AD151" s="81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189"/>
      <c r="S152" s="1190"/>
      <c r="T152" s="1190"/>
      <c r="U152" s="1190"/>
      <c r="V152" s="1190"/>
      <c r="W152" s="1190"/>
      <c r="X152" s="1191"/>
      <c r="Y152" s="1190"/>
      <c r="Z152" s="1217"/>
      <c r="AA152" s="1217"/>
      <c r="AB152" s="1218"/>
      <c r="AC152" s="1192"/>
      <c r="AD152" s="81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189"/>
      <c r="S153" s="1190"/>
      <c r="T153" s="1217"/>
      <c r="U153" s="1190"/>
      <c r="V153" s="1190"/>
      <c r="W153" s="1190"/>
      <c r="X153" s="1191"/>
      <c r="Y153" s="1190"/>
      <c r="Z153" s="1217"/>
      <c r="AA153" s="1217"/>
      <c r="AB153" s="1218"/>
      <c r="AC153" s="1192"/>
      <c r="AD153" s="81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189"/>
      <c r="S154" s="1190"/>
      <c r="T154" s="1217"/>
      <c r="U154" s="1190"/>
      <c r="V154" s="1190"/>
      <c r="W154" s="1190"/>
      <c r="X154" s="1191"/>
      <c r="Y154" s="1190"/>
      <c r="Z154" s="1217"/>
      <c r="AA154" s="1217"/>
      <c r="AB154" s="1218"/>
      <c r="AC154" s="1192"/>
      <c r="AD154" s="81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189"/>
      <c r="S155" s="1190"/>
      <c r="T155" s="1190"/>
      <c r="U155" s="1190"/>
      <c r="V155" s="1190"/>
      <c r="W155" s="1190"/>
      <c r="X155" s="1191"/>
      <c r="Y155" s="1190"/>
      <c r="Z155" s="1217"/>
      <c r="AA155" s="1217"/>
      <c r="AB155" s="1218"/>
      <c r="AC155" s="1192"/>
      <c r="AD155" s="81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89"/>
      <c r="S156" s="1190"/>
      <c r="T156" s="1217"/>
      <c r="U156" s="1190"/>
      <c r="V156" s="1190"/>
      <c r="W156" s="1190"/>
      <c r="X156" s="1191"/>
      <c r="Y156" s="1190"/>
      <c r="Z156" s="1217"/>
      <c r="AA156" s="1217"/>
      <c r="AB156" s="1218"/>
      <c r="AC156" s="1192"/>
      <c r="AD156" s="81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189"/>
      <c r="S157" s="1190"/>
      <c r="T157" s="1217"/>
      <c r="U157" s="1190"/>
      <c r="V157" s="1190"/>
      <c r="W157" s="1190"/>
      <c r="X157" s="1191"/>
      <c r="Y157" s="1190"/>
      <c r="Z157" s="1217"/>
      <c r="AA157" s="1217"/>
      <c r="AB157" s="1218"/>
      <c r="AC157" s="1192"/>
      <c r="AD157" s="81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189"/>
      <c r="S158" s="1190"/>
      <c r="T158" s="1217"/>
      <c r="U158" s="1190"/>
      <c r="V158" s="1190"/>
      <c r="W158" s="1190"/>
      <c r="X158" s="1191"/>
      <c r="Y158" s="1190"/>
      <c r="Z158" s="1217"/>
      <c r="AA158" s="1217"/>
      <c r="AB158" s="1218"/>
      <c r="AC158" s="1192"/>
      <c r="AD158" s="81"/>
    </row>
    <row r="159" spans="1:30" s="44" customFormat="1" ht="15.6">
      <c r="R159" s="1189"/>
      <c r="S159" s="1190"/>
      <c r="T159" s="1217"/>
      <c r="U159" s="1190"/>
      <c r="V159" s="1190"/>
      <c r="W159" s="1190"/>
      <c r="X159" s="1191"/>
      <c r="Y159" s="1190"/>
      <c r="Z159" s="1217"/>
      <c r="AA159" s="1217"/>
      <c r="AB159" s="1218"/>
      <c r="AC159" s="1192"/>
      <c r="AD159" s="81"/>
    </row>
    <row r="160" spans="1:30" s="44" customFormat="1" ht="15.6">
      <c r="R160" s="1189"/>
      <c r="S160" s="1190"/>
      <c r="T160" s="1190"/>
      <c r="U160" s="1190"/>
      <c r="V160" s="1190"/>
      <c r="W160" s="1190"/>
      <c r="X160" s="1191"/>
      <c r="Y160" s="1190"/>
      <c r="Z160" s="1217"/>
      <c r="AA160" s="1217"/>
      <c r="AB160" s="1218"/>
      <c r="AC160" s="1192"/>
      <c r="AD160" s="81"/>
    </row>
    <row r="161" spans="18:30" s="44" customFormat="1" ht="15.6">
      <c r="R161" s="1189"/>
      <c r="S161" s="1190"/>
      <c r="T161" s="1190"/>
      <c r="U161" s="1190"/>
      <c r="V161" s="1190"/>
      <c r="W161" s="1190"/>
      <c r="X161" s="1191"/>
      <c r="Y161" s="1190"/>
      <c r="Z161" s="1217"/>
      <c r="AA161" s="1217"/>
      <c r="AB161" s="1218"/>
      <c r="AC161" s="1192"/>
      <c r="AD161" s="81"/>
    </row>
    <row r="162" spans="18:30" s="44" customFormat="1" ht="15.6">
      <c r="R162" s="1189"/>
      <c r="S162" s="1190"/>
      <c r="T162" s="1190"/>
      <c r="U162" s="1190"/>
      <c r="V162" s="1190"/>
      <c r="W162" s="1190"/>
      <c r="X162" s="1191"/>
      <c r="Y162" s="1190"/>
      <c r="Z162" s="1217"/>
      <c r="AA162" s="1217"/>
      <c r="AB162" s="1218"/>
      <c r="AC162" s="1192"/>
      <c r="AD162" s="81"/>
    </row>
    <row r="163" spans="18:30" s="44" customFormat="1" ht="15.6">
      <c r="R163" s="1189"/>
      <c r="S163" s="1190"/>
      <c r="T163" s="1217"/>
      <c r="U163" s="1190"/>
      <c r="V163" s="1190"/>
      <c r="W163" s="1190"/>
      <c r="X163" s="1191"/>
      <c r="Y163" s="1190"/>
      <c r="Z163" s="1217"/>
      <c r="AA163" s="1217"/>
      <c r="AB163" s="1218"/>
      <c r="AC163" s="1192"/>
      <c r="AD163" s="81"/>
    </row>
    <row r="164" spans="18:30" s="44" customFormat="1" ht="15.6">
      <c r="R164" s="1189"/>
      <c r="S164" s="1190"/>
      <c r="T164" s="1217"/>
      <c r="U164" s="1190"/>
      <c r="V164" s="1190"/>
      <c r="W164" s="1190"/>
      <c r="X164" s="1191"/>
      <c r="Y164" s="1190"/>
      <c r="Z164" s="1217"/>
      <c r="AA164" s="1217"/>
      <c r="AB164" s="1218"/>
      <c r="AC164" s="1192"/>
      <c r="AD164" s="81"/>
    </row>
    <row r="165" spans="18:30" s="44" customFormat="1" ht="15.6">
      <c r="R165" s="1189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2"/>
      <c r="AD165" s="81"/>
    </row>
    <row r="166" spans="18:30" s="44" customFormat="1" ht="15.6">
      <c r="R166" s="1189"/>
      <c r="S166" s="1190"/>
      <c r="T166" s="1190"/>
      <c r="U166" s="1190"/>
      <c r="V166" s="1190"/>
      <c r="W166" s="1190"/>
      <c r="X166" s="1191"/>
      <c r="Y166" s="1190"/>
      <c r="Z166" s="1217"/>
      <c r="AA166" s="1217"/>
      <c r="AB166" s="1218"/>
      <c r="AC166" s="1192"/>
      <c r="AD166" s="81"/>
    </row>
    <row r="167" spans="18:30" s="44" customFormat="1" ht="15.6">
      <c r="R167" s="1189"/>
      <c r="S167" s="1190"/>
      <c r="T167" s="1111"/>
      <c r="U167" s="1190"/>
      <c r="V167" s="1190"/>
      <c r="W167" s="1190"/>
      <c r="X167" s="1191"/>
      <c r="Y167" s="1190"/>
      <c r="Z167" s="1106"/>
      <c r="AA167" s="1106"/>
      <c r="AB167" s="1110"/>
      <c r="AC167" s="1192"/>
      <c r="AD167" s="81"/>
    </row>
    <row r="168" spans="18:30" s="44" customFormat="1" ht="15.6">
      <c r="R168" s="1189"/>
      <c r="S168" s="1190"/>
      <c r="T168" s="1111"/>
      <c r="U168" s="1190"/>
      <c r="V168" s="1190"/>
      <c r="W168" s="1190"/>
      <c r="X168" s="1191"/>
      <c r="Y168" s="1190"/>
      <c r="Z168" s="1190"/>
      <c r="AA168" s="1190"/>
      <c r="AB168" s="1110"/>
      <c r="AC168" s="1192"/>
      <c r="AD168" s="81"/>
    </row>
    <row r="169" spans="18:30" s="44" customFormat="1">
      <c r="R169" s="1189"/>
      <c r="S169" s="1190"/>
      <c r="T169" s="1106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81"/>
    </row>
    <row r="170" spans="18:30" s="44" customFormat="1">
      <c r="R170" s="1189"/>
      <c r="S170" s="1190"/>
      <c r="T170" s="1190"/>
      <c r="U170" s="1190"/>
      <c r="V170" s="1190"/>
      <c r="W170" s="1190"/>
      <c r="X170" s="1191"/>
      <c r="Y170" s="1190"/>
      <c r="Z170" s="1190"/>
      <c r="AA170" s="1190"/>
      <c r="AB170" s="1190"/>
      <c r="AC170" s="1192"/>
      <c r="AD170" s="81"/>
    </row>
    <row r="171" spans="18:30" s="44" customFormat="1">
      <c r="R171" s="1189"/>
      <c r="S171" s="1190"/>
      <c r="T171" s="1190"/>
      <c r="U171" s="1190"/>
      <c r="V171" s="1190"/>
      <c r="W171" s="1190"/>
      <c r="X171" s="1191"/>
      <c r="Y171" s="1190"/>
      <c r="Z171" s="1190"/>
      <c r="AA171" s="1190"/>
      <c r="AB171" s="1190"/>
      <c r="AC171" s="1192"/>
      <c r="AD171" s="81"/>
    </row>
    <row r="172" spans="18:30" s="44" customFormat="1">
      <c r="R172" s="1189"/>
      <c r="S172" s="1190"/>
      <c r="T172" s="1106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81"/>
    </row>
    <row r="173" spans="18:30" s="44" customFormat="1">
      <c r="R173" s="1189"/>
      <c r="S173" s="1190"/>
      <c r="T173" s="1106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26"/>
    </row>
    <row r="174" spans="18:30" s="44" customFormat="1">
      <c r="R174" s="1189"/>
      <c r="S174" s="1190"/>
      <c r="T174" s="1111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26"/>
    </row>
    <row r="175" spans="18:30" s="44" customFormat="1">
      <c r="R175" s="1189"/>
      <c r="S175" s="1190"/>
      <c r="T175" s="1106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26"/>
    </row>
    <row r="176" spans="18:30" s="44" customFormat="1">
      <c r="R176" s="1189"/>
      <c r="S176" s="1190"/>
      <c r="T176" s="1111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26"/>
    </row>
    <row r="177" spans="18:30" s="44" customFormat="1">
      <c r="R177" s="1189"/>
      <c r="S177" s="1190"/>
      <c r="T177" s="1106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26"/>
    </row>
    <row r="178" spans="18:30" s="44" customFormat="1">
      <c r="R178" s="1189"/>
      <c r="S178" s="1190"/>
      <c r="T178" s="1106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26"/>
    </row>
    <row r="179" spans="18:30" s="44" customFormat="1">
      <c r="R179" s="1189"/>
      <c r="S179" s="1190"/>
      <c r="T179" s="1111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26"/>
    </row>
    <row r="180" spans="18:30" s="44" customFormat="1">
      <c r="R180" s="1189"/>
      <c r="S180" s="1190"/>
      <c r="T180" s="1106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26"/>
    </row>
    <row r="181" spans="18:30" s="44" customFormat="1">
      <c r="R181" s="1189"/>
      <c r="S181" s="1190"/>
      <c r="T181" s="1190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26"/>
    </row>
    <row r="182" spans="18:30" s="44" customFormat="1">
      <c r="R182" s="1189"/>
      <c r="S182" s="1190"/>
      <c r="T182" s="1106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26"/>
    </row>
    <row r="183" spans="18:30" s="44" customFormat="1">
      <c r="R183" s="1189"/>
      <c r="S183" s="1190"/>
      <c r="T183" s="1106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26"/>
    </row>
    <row r="184" spans="18:30" s="44" customFormat="1">
      <c r="R184" s="1189"/>
      <c r="S184" s="1190"/>
      <c r="T184" s="1106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26"/>
    </row>
    <row r="185" spans="18:30" s="44" customFormat="1">
      <c r="R185" s="1189"/>
      <c r="S185" s="1190"/>
      <c r="T185" s="1106"/>
      <c r="U185" s="1190"/>
      <c r="V185" s="1190"/>
      <c r="W185" s="1190"/>
      <c r="X185" s="1193"/>
      <c r="Y185" s="1190"/>
      <c r="Z185" s="1190"/>
      <c r="AA185" s="1190"/>
      <c r="AB185" s="1190"/>
      <c r="AC185" s="1192"/>
      <c r="AD185" s="26"/>
    </row>
    <row r="186" spans="18:30" s="44" customFormat="1">
      <c r="R186" s="1189"/>
      <c r="S186" s="1190"/>
      <c r="T186" s="1111"/>
      <c r="U186" s="1190"/>
      <c r="V186" s="1190"/>
      <c r="W186" s="1190"/>
      <c r="X186" s="1191"/>
      <c r="Y186" s="1190"/>
      <c r="Z186" s="1190"/>
      <c r="AA186" s="1190"/>
      <c r="AB186" s="1190"/>
      <c r="AC186" s="1192"/>
      <c r="AD186" s="26"/>
    </row>
    <row r="187" spans="18:30" s="44" customFormat="1">
      <c r="R187" s="1194"/>
      <c r="S187" s="1195"/>
      <c r="T187" s="1111"/>
      <c r="U187" s="1195"/>
      <c r="V187" s="1190"/>
      <c r="W187" s="1190"/>
      <c r="X187" s="1196"/>
      <c r="Y187" s="1195"/>
      <c r="Z187" s="1195"/>
      <c r="AA187" s="1195"/>
      <c r="AB187" s="1195"/>
      <c r="AC187" s="1192"/>
      <c r="AD187" s="26"/>
    </row>
    <row r="188" spans="18:30" s="44" customFormat="1">
      <c r="R188" s="1194"/>
      <c r="S188" s="1195"/>
      <c r="T188" s="1111"/>
      <c r="U188" s="1195"/>
      <c r="V188" s="1190"/>
      <c r="W188" s="1190"/>
      <c r="X188" s="1196"/>
      <c r="Y188" s="1195"/>
      <c r="Z188" s="1195"/>
      <c r="AA188" s="1195"/>
      <c r="AB188" s="1195"/>
      <c r="AC188" s="1192"/>
      <c r="AD188" s="26"/>
    </row>
    <row r="189" spans="18:30" s="44" customFormat="1">
      <c r="R189" s="1189"/>
      <c r="S189" s="1190"/>
      <c r="T189" s="1111"/>
      <c r="U189" s="1190"/>
      <c r="V189" s="1190"/>
      <c r="W189" s="1190"/>
      <c r="X189" s="1191"/>
      <c r="Y189" s="1195"/>
      <c r="Z189" s="1190"/>
      <c r="AA189" s="1190"/>
      <c r="AB189" s="1190"/>
      <c r="AC189" s="1192"/>
      <c r="AD189" s="26"/>
    </row>
    <row r="190" spans="18:30" s="44" customFormat="1">
      <c r="R190" s="1189"/>
      <c r="S190" s="1190"/>
      <c r="T190" s="1111"/>
      <c r="U190" s="1190"/>
      <c r="V190" s="1190"/>
      <c r="W190" s="1190"/>
      <c r="X190" s="1191"/>
      <c r="Y190" s="1195"/>
      <c r="Z190" s="1190"/>
      <c r="AA190" s="1190"/>
      <c r="AB190" s="1190"/>
      <c r="AC190" s="1192"/>
      <c r="AD190" s="26"/>
    </row>
    <row r="191" spans="18:30" s="44" customFormat="1">
      <c r="R191" s="1194"/>
      <c r="S191" s="1195"/>
      <c r="T191" s="1111"/>
      <c r="U191" s="1195"/>
      <c r="V191" s="1195"/>
      <c r="W191" s="1190"/>
      <c r="X191" s="1196"/>
      <c r="Y191" s="1195"/>
      <c r="Z191" s="1195"/>
      <c r="AA191" s="1195"/>
      <c r="AB191" s="1190"/>
      <c r="AC191" s="1192"/>
      <c r="AD191" s="26"/>
    </row>
    <row r="192" spans="18:30" s="44" customFormat="1">
      <c r="R192" s="1194"/>
      <c r="S192" s="1195"/>
      <c r="T192" s="1106"/>
      <c r="U192" s="1195"/>
      <c r="V192" s="1195"/>
      <c r="W192" s="1195"/>
      <c r="X192" s="1196"/>
      <c r="Y192" s="1195"/>
      <c r="Z192" s="1195"/>
      <c r="AA192" s="1195"/>
      <c r="AB192" s="1195"/>
      <c r="AC192" s="1197"/>
      <c r="AD192" s="26"/>
    </row>
    <row r="193" spans="18:30" s="44" customFormat="1">
      <c r="R193" s="1189"/>
      <c r="S193" s="1190"/>
      <c r="T193" s="1190"/>
      <c r="U193" s="1190"/>
      <c r="V193" s="1190"/>
      <c r="W193" s="1190"/>
      <c r="X193" s="1191"/>
      <c r="Y193" s="1190"/>
      <c r="Z193" s="1190"/>
      <c r="AA193" s="1190"/>
      <c r="AB193" s="1190"/>
      <c r="AC193" s="1192"/>
      <c r="AD193" s="26"/>
    </row>
    <row r="194" spans="18:30" s="44" customFormat="1">
      <c r="R194" s="1189"/>
      <c r="S194" s="1190"/>
      <c r="T194" s="1190"/>
      <c r="U194" s="1190"/>
      <c r="V194" s="1195"/>
      <c r="W194" s="1190"/>
      <c r="X194" s="1191"/>
      <c r="Y194" s="1190"/>
      <c r="Z194" s="1190"/>
      <c r="AA194" s="1190"/>
      <c r="AB194" s="1190"/>
      <c r="AC194" s="1192"/>
      <c r="AD194" s="26"/>
    </row>
    <row r="195" spans="18:30" s="44" customFormat="1">
      <c r="R195" s="1189"/>
      <c r="S195" s="1190"/>
      <c r="T195" s="1190"/>
      <c r="U195" s="1190"/>
      <c r="V195" s="1195"/>
      <c r="W195" s="1190"/>
      <c r="X195" s="1191"/>
      <c r="Y195" s="1190"/>
      <c r="Z195" s="1190"/>
      <c r="AA195" s="1190"/>
      <c r="AB195" s="1190"/>
      <c r="AC195" s="1192"/>
      <c r="AD195" s="26"/>
    </row>
    <row r="196" spans="18:30" s="44" customFormat="1">
      <c r="R196" s="1189"/>
      <c r="S196" s="1190"/>
      <c r="T196" s="1190"/>
      <c r="U196" s="1190"/>
      <c r="V196" s="1190"/>
      <c r="W196" s="1190"/>
      <c r="X196" s="1191"/>
      <c r="Y196" s="1190"/>
      <c r="Z196" s="1190"/>
      <c r="AA196" s="1190"/>
      <c r="AB196" s="1190"/>
      <c r="AC196" s="1192"/>
      <c r="AD196" s="26"/>
    </row>
    <row r="197" spans="18:30" s="44" customFormat="1">
      <c r="R197" s="1189"/>
      <c r="S197" s="1190"/>
      <c r="T197" s="1190"/>
      <c r="U197" s="1190"/>
      <c r="V197" s="1190"/>
      <c r="W197" s="1190"/>
      <c r="X197" s="1191"/>
      <c r="Y197" s="1190"/>
      <c r="Z197" s="1190"/>
      <c r="AA197" s="1190"/>
      <c r="AB197" s="1190"/>
      <c r="AC197" s="1192"/>
      <c r="AD197" s="26"/>
    </row>
    <row r="198" spans="18:30" s="44" customFormat="1">
      <c r="R198" s="1189"/>
      <c r="S198" s="1190"/>
      <c r="T198" s="1190"/>
      <c r="U198" s="1190"/>
      <c r="V198" s="1195"/>
      <c r="W198" s="1190"/>
      <c r="X198" s="1191"/>
      <c r="Y198" s="1190"/>
      <c r="Z198" s="1190"/>
      <c r="AA198" s="1190"/>
      <c r="AB198" s="1190"/>
      <c r="AC198" s="1192"/>
      <c r="AD198" s="81"/>
    </row>
    <row r="199" spans="18:30" s="44" customFormat="1">
      <c r="R199" s="1189"/>
      <c r="S199" s="1190"/>
      <c r="T199" s="1190"/>
      <c r="U199" s="1190"/>
      <c r="V199" s="1195"/>
      <c r="W199" s="1190"/>
      <c r="X199" s="1191"/>
      <c r="Y199" s="1190"/>
      <c r="Z199" s="1190"/>
      <c r="AA199" s="1190"/>
      <c r="AB199" s="1190"/>
      <c r="AC199" s="1192"/>
      <c r="AD199" s="203"/>
    </row>
    <row r="200" spans="18:30" s="44" customFormat="1">
      <c r="R200" s="1194"/>
      <c r="S200" s="1195"/>
      <c r="T200" s="1195"/>
      <c r="U200" s="1195"/>
      <c r="V200" s="1195"/>
      <c r="W200" s="1195"/>
      <c r="X200" s="1196"/>
      <c r="Y200" s="1195"/>
      <c r="Z200" s="1195"/>
      <c r="AA200" s="1195"/>
      <c r="AB200" s="1195"/>
      <c r="AC200" s="1197"/>
      <c r="AD200" s="203"/>
    </row>
    <row r="201" spans="18:30" s="44" customFormat="1">
      <c r="R201"/>
      <c r="S201"/>
      <c r="T201"/>
      <c r="U201"/>
      <c r="V201"/>
      <c r="W201"/>
      <c r="X201"/>
      <c r="Y201"/>
      <c r="Z201"/>
      <c r="AA201"/>
      <c r="AB201"/>
      <c r="AC201" s="609"/>
      <c r="AD201"/>
    </row>
    <row r="202" spans="18:30" s="44" customFormat="1">
      <c r="R202"/>
      <c r="S202"/>
      <c r="T202"/>
      <c r="U202"/>
      <c r="V202"/>
      <c r="W202"/>
      <c r="X202"/>
      <c r="Y202"/>
      <c r="Z202"/>
      <c r="AA202"/>
      <c r="AB202"/>
      <c r="AC202" s="609"/>
      <c r="AD202"/>
    </row>
    <row r="203" spans="18:30" s="44" customFormat="1">
      <c r="R203"/>
      <c r="S203"/>
      <c r="T203"/>
      <c r="U203"/>
      <c r="V203"/>
      <c r="W203"/>
      <c r="X203"/>
      <c r="Y203"/>
      <c r="Z203"/>
      <c r="AA203"/>
      <c r="AB203"/>
      <c r="AC203" s="609"/>
      <c r="AD203"/>
    </row>
    <row r="204" spans="18:30" s="44" customFormat="1">
      <c r="R204"/>
      <c r="S204"/>
      <c r="T204"/>
      <c r="U204"/>
      <c r="V204"/>
      <c r="W204"/>
      <c r="X204"/>
      <c r="Y204"/>
      <c r="Z204"/>
      <c r="AA204"/>
      <c r="AB204"/>
      <c r="AC204" s="609"/>
      <c r="AD204"/>
    </row>
    <row r="205" spans="18:30" s="44" customFormat="1">
      <c r="R205"/>
      <c r="S205"/>
      <c r="T205"/>
      <c r="U205"/>
      <c r="V205"/>
      <c r="W205"/>
      <c r="X205"/>
      <c r="Y205"/>
      <c r="Z205"/>
      <c r="AA205"/>
      <c r="AB205"/>
      <c r="AC205" s="609"/>
      <c r="AD205"/>
    </row>
    <row r="206" spans="18:30" s="44" customFormat="1">
      <c r="R206"/>
      <c r="S206"/>
      <c r="T206"/>
      <c r="U206"/>
      <c r="V206"/>
      <c r="W206"/>
      <c r="X206"/>
      <c r="Y206"/>
      <c r="Z206"/>
      <c r="AA206"/>
      <c r="AB206"/>
      <c r="AC206" s="609"/>
      <c r="AD206"/>
    </row>
    <row r="207" spans="18:30" s="44" customFormat="1">
      <c r="R207"/>
      <c r="S207"/>
      <c r="T207"/>
      <c r="U207"/>
      <c r="V207"/>
      <c r="W207"/>
      <c r="X207"/>
      <c r="Y207"/>
      <c r="Z207"/>
      <c r="AA207"/>
      <c r="AB207"/>
      <c r="AC207" s="609"/>
      <c r="AD207"/>
    </row>
    <row r="208" spans="18:30" s="44" customFormat="1">
      <c r="R208"/>
      <c r="S208"/>
      <c r="T208"/>
      <c r="U208"/>
      <c r="V208"/>
      <c r="W208"/>
      <c r="X208"/>
      <c r="Y208"/>
      <c r="Z208"/>
      <c r="AA208"/>
      <c r="AB208"/>
      <c r="AC208" s="609"/>
      <c r="AD208"/>
    </row>
    <row r="209" spans="18:30" s="44" customFormat="1">
      <c r="R209"/>
      <c r="S209"/>
      <c r="T209"/>
      <c r="U209"/>
      <c r="V209"/>
      <c r="W209"/>
      <c r="X209"/>
      <c r="Y209"/>
      <c r="Z209"/>
      <c r="AA209"/>
      <c r="AB209"/>
      <c r="AC209" s="609"/>
      <c r="AD209"/>
    </row>
    <row r="210" spans="18:30" s="44" customFormat="1">
      <c r="R210"/>
      <c r="S210"/>
      <c r="T210"/>
      <c r="U210"/>
      <c r="V210"/>
      <c r="W210"/>
      <c r="X210"/>
      <c r="Y210"/>
      <c r="Z210"/>
      <c r="AA210"/>
      <c r="AB210"/>
      <c r="AC210" s="609"/>
      <c r="AD210"/>
    </row>
    <row r="218" spans="18:30" s="44" customFormat="1">
      <c r="R218"/>
      <c r="S218"/>
      <c r="T218"/>
      <c r="U218"/>
      <c r="V218"/>
      <c r="W218"/>
      <c r="X218"/>
      <c r="Y218"/>
      <c r="Z218"/>
      <c r="AA218"/>
      <c r="AB218"/>
      <c r="AC218" s="609"/>
      <c r="AD218"/>
    </row>
    <row r="219" spans="18:30" s="44" customFormat="1">
      <c r="R219"/>
      <c r="S219"/>
      <c r="T219"/>
      <c r="U219"/>
      <c r="V219"/>
      <c r="W219"/>
      <c r="X219"/>
      <c r="Y219"/>
      <c r="Z219"/>
      <c r="AA219"/>
      <c r="AB219"/>
      <c r="AC219" s="609"/>
      <c r="AD219"/>
    </row>
    <row r="220" spans="18:30" s="44" customFormat="1">
      <c r="R220"/>
      <c r="S220"/>
      <c r="T220"/>
      <c r="U220"/>
      <c r="V220"/>
      <c r="W220"/>
      <c r="X220"/>
      <c r="Y220"/>
      <c r="Z220"/>
      <c r="AA220"/>
      <c r="AB220"/>
      <c r="AC220" s="609"/>
      <c r="AD220"/>
    </row>
    <row r="221" spans="18:30" s="44" customFormat="1">
      <c r="R221"/>
      <c r="S221"/>
      <c r="T221"/>
      <c r="U221"/>
      <c r="V221"/>
      <c r="W221"/>
      <c r="X221"/>
      <c r="Y221"/>
      <c r="Z221"/>
      <c r="AA221"/>
      <c r="AB221"/>
      <c r="AC221" s="609"/>
      <c r="AD221"/>
    </row>
    <row r="222" spans="18:30" s="44" customFormat="1">
      <c r="R222"/>
      <c r="S222"/>
      <c r="T222"/>
      <c r="U222"/>
      <c r="V222"/>
      <c r="W222"/>
      <c r="X222"/>
      <c r="Y222"/>
      <c r="Z222"/>
      <c r="AA222"/>
      <c r="AB222"/>
      <c r="AC222" s="609"/>
      <c r="AD222"/>
    </row>
    <row r="223" spans="18:30" s="44" customFormat="1">
      <c r="R223"/>
      <c r="S223"/>
      <c r="T223"/>
      <c r="U223"/>
      <c r="V223"/>
      <c r="W223"/>
      <c r="X223"/>
      <c r="Y223"/>
      <c r="Z223"/>
      <c r="AA223"/>
      <c r="AB223"/>
      <c r="AC223" s="609"/>
      <c r="AD223"/>
    </row>
    <row r="224" spans="18:30" s="44" customFormat="1">
      <c r="R224"/>
      <c r="S224"/>
      <c r="T224"/>
      <c r="U224"/>
      <c r="V224"/>
      <c r="W224"/>
      <c r="X224"/>
      <c r="Y224"/>
      <c r="Z224"/>
      <c r="AA224"/>
      <c r="AB224"/>
      <c r="AC224" s="609"/>
      <c r="AD224"/>
    </row>
    <row r="225" spans="18:30" s="44" customFormat="1">
      <c r="R225"/>
      <c r="S225"/>
      <c r="T225"/>
      <c r="U225"/>
      <c r="V225"/>
      <c r="W225"/>
      <c r="X225"/>
      <c r="Y225"/>
      <c r="Z225"/>
      <c r="AA225"/>
      <c r="AB225"/>
      <c r="AC225" s="609"/>
      <c r="AD225"/>
    </row>
  </sheetData>
  <protectedRanges>
    <protectedRange algorithmName="SHA-512" hashValue="24Yg3M703G5L8OyJWxlkx8c1Gwfrkael5W/l3TUk/Rcz5tR8QOgCx5v0Ebb/UGz+9BDKPJ5wV4hH8uuxvmtGIw==" saltValue="ZSJQ8EEnwGxsiYzxIw6K0Q==" spinCount="100000" sqref="N6:N8 A23:D23 N16:N18 O6:P9 B6:M9 E4:E5 B16:D18 E16:M19 O16:P19 F20:H26 F27:G27 F51:P158 F28:H50 I20:P50 E20:E158" name="Range1_65_32_32_30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58" name="Range2_5_2_2_2_2_2_2_2_2_2_2_2_2_2_2_2"/>
    <protectedRange algorithmName="SHA-512" hashValue="24Yg3M703G5L8OyJWxlkx8c1Gwfrkael5W/l3TUk/Rcz5tR8QOgCx5v0Ebb/UGz+9BDKPJ5wV4hH8uuxvmtGIw==" saltValue="ZSJQ8EEnwGxsiYzxIw6K0Q==" spinCount="100000" sqref="B24:D158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_3"/>
    <protectedRange algorithmName="SHA-512" hashValue="24Yg3M703G5L8OyJWxlkx8c1Gwfrkael5W/l3TUk/Rcz5tR8QOgCx5v0Ebb/UGz+9BDKPJ5wV4hH8uuxvmtGIw==" saltValue="ZSJQ8EEnwGxsiYzxIw6K0Q==" spinCount="100000" sqref="B19:D21" name="Range1_65_32_2_2_2_2_2_2_3_3_2_2_3_3_3_5_2_3"/>
    <protectedRange algorithmName="SHA-512" hashValue="24Yg3M703G5L8OyJWxlkx8c1Gwfrkael5W/l3TUk/Rcz5tR8QOgCx5v0Ebb/UGz+9BDKPJ5wV4hH8uuxvmtGIw==" saltValue="ZSJQ8EEnwGxsiYzxIw6K0Q==" spinCount="100000" sqref="B4:D5" name="Range1_65_32_32_30_30_30_30_30_30_30_30_30_30_30_30_30_30_30_30_30_30_30_30_30_30_30_30_30_2"/>
    <protectedRange algorithmName="SHA-512" hashValue="24Yg3M703G5L8OyJWxlkx8c1Gwfrkael5W/l3TUk/Rcz5tR8QOgCx5v0Ebb/UGz+9BDKPJ5wV4hH8uuxvmtGIw==" saltValue="ZSJQ8EEnwGxsiYzxIw6K0Q==" spinCount="100000" sqref="F4:P5" name="Range1_65_32_32_30_30_30_30_30_30_30_30_30_30_30_30_30_30_30_30_30_30_30_30_30_30_30_30_30_7"/>
    <protectedRange algorithmName="SHA-512" hashValue="24Yg3M703G5L8OyJWxlkx8c1Gwfrkael5W/l3TUk/Rcz5tR8QOgCx5v0Ebb/UGz+9BDKPJ5wV4hH8uuxvmtGIw==" saltValue="ZSJQ8EEnwGxsiYzxIw6K0Q==" spinCount="100000" sqref="B10:P15" name="Range1_65_32_32_30_30_30_30_30_30_30_30_30_30_30_30_30_30_30_30_30_30_30_30_30_30_30_30_30_33"/>
  </protectedRanges>
  <mergeCells count="23">
    <mergeCell ref="A19:A20"/>
    <mergeCell ref="B19:D19"/>
    <mergeCell ref="F27:L32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88:S1048576 S1:S86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F706-36BA-4777-B378-7AB03F61C81C}">
  <dimension ref="A1:AG241"/>
  <sheetViews>
    <sheetView showGridLines="0" topLeftCell="N34" zoomScale="55" zoomScaleNormal="55" workbookViewId="0">
      <selection activeCell="U53" sqref="U53"/>
    </sheetView>
  </sheetViews>
  <sheetFormatPr defaultRowHeight="14.4"/>
  <cols>
    <col min="1" max="1" width="43" bestFit="1" customWidth="1"/>
    <col min="2" max="4" width="11.109375" customWidth="1"/>
    <col min="5" max="5" width="15" bestFit="1" customWidth="1"/>
    <col min="6" max="8" width="16" customWidth="1"/>
    <col min="9" max="9" width="15" bestFit="1" customWidth="1"/>
    <col min="10" max="12" width="20.44140625" customWidth="1"/>
    <col min="13" max="13" width="1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740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8" thickBot="1">
      <c r="A2" s="762" t="s">
        <v>741</v>
      </c>
      <c r="B2" s="733"/>
      <c r="C2" s="733"/>
      <c r="D2" s="733"/>
      <c r="E2" s="735"/>
      <c r="F2" s="1525" t="s">
        <v>742</v>
      </c>
      <c r="G2" s="1525"/>
      <c r="H2" s="1525"/>
      <c r="I2" s="742"/>
      <c r="J2" s="1525" t="s">
        <v>743</v>
      </c>
      <c r="K2" s="1525"/>
      <c r="L2" s="1525"/>
      <c r="M2" s="735"/>
      <c r="N2" s="1526"/>
      <c r="O2" s="1526"/>
      <c r="P2" s="1526"/>
      <c r="R2" s="1190" t="s">
        <v>691</v>
      </c>
      <c r="S2" s="1293">
        <v>3331567924</v>
      </c>
      <c r="T2" s="1217" t="s">
        <v>424</v>
      </c>
      <c r="U2" s="1190">
        <v>24142456</v>
      </c>
      <c r="V2" s="1190" t="s">
        <v>565</v>
      </c>
      <c r="W2" s="1190" t="s">
        <v>703</v>
      </c>
      <c r="X2" s="1438">
        <v>25011.674999999999</v>
      </c>
      <c r="Y2" s="1293" t="s">
        <v>426</v>
      </c>
      <c r="Z2" s="1361">
        <v>1</v>
      </c>
      <c r="AA2" s="1361">
        <v>1</v>
      </c>
      <c r="AB2" s="1361" t="s">
        <v>207</v>
      </c>
      <c r="AC2" s="1271"/>
      <c r="AD2" s="81"/>
      <c r="AE2" s="1243"/>
      <c r="AF2" s="1243"/>
      <c r="AG2" s="1243"/>
    </row>
    <row r="3" spans="1:33" ht="18.75" customHeight="1" thickBot="1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190" t="s">
        <v>691</v>
      </c>
      <c r="S3" s="1293">
        <v>3331567925</v>
      </c>
      <c r="T3" s="1217" t="s">
        <v>424</v>
      </c>
      <c r="U3" s="1190">
        <v>24142457</v>
      </c>
      <c r="V3" s="1190" t="s">
        <v>565</v>
      </c>
      <c r="W3" s="1190" t="s">
        <v>703</v>
      </c>
      <c r="X3" s="1295">
        <v>24071.064999999999</v>
      </c>
      <c r="Y3" s="1293" t="s">
        <v>426</v>
      </c>
      <c r="Z3" s="1361">
        <v>1</v>
      </c>
      <c r="AA3" s="1361">
        <v>1</v>
      </c>
      <c r="AB3" s="1361" t="s">
        <v>207</v>
      </c>
      <c r="AC3" s="1271"/>
      <c r="AD3" s="81"/>
      <c r="AE3" s="44"/>
      <c r="AF3" s="44"/>
      <c r="AG3" s="44"/>
    </row>
    <row r="4" spans="1:33" ht="16.5" customHeight="1" thickBo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89" t="s">
        <v>736</v>
      </c>
      <c r="S4" s="1293">
        <v>3331567938</v>
      </c>
      <c r="T4" s="1217" t="s">
        <v>424</v>
      </c>
      <c r="U4" s="1190">
        <v>24142458</v>
      </c>
      <c r="V4" s="1190" t="s">
        <v>565</v>
      </c>
      <c r="W4" s="1190" t="s">
        <v>703</v>
      </c>
      <c r="X4" s="1295">
        <v>24587.286</v>
      </c>
      <c r="Y4" s="1293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.600000000000001" thickBot="1">
      <c r="A5" s="1302" t="s">
        <v>427</v>
      </c>
      <c r="B5" s="1303" cm="1">
        <f t="array" ref="B5">SUMPRODUCT(--ISNUMBER(MATCH(TRIM(W1:W337), {"JABODETABEK","JAWA TENGAH","JAWA TIMUR","LUAR PULAU"}, 0)), --(AC1:AC337=""))</f>
        <v>32</v>
      </c>
      <c r="C5" s="1303" cm="1">
        <f t="array" ref="C5">SUMPRODUCT(--(LOWER(TRIM(AB1:AB363))="masuk"), --(ISNUMBER(MATCH(TRIM(W1:W363), {"JABODETABEK","JAWA TENGAH","JAWA TIMUR","LUAR PULAU"}, 0))), --(LOWER(AC1:AC363)&lt;&gt;"add"))</f>
        <v>31</v>
      </c>
      <c r="D5" s="1304">
        <f>C5+-B5</f>
        <v>-1</v>
      </c>
      <c r="E5" s="734"/>
      <c r="F5" s="1306" cm="1">
        <f t="array" ref="F5">SUMPRODUCT(--(LOWER(AC1:AC363)="add"), --(ISNUMBER(MATCH(W1:W363, {"JABODETABEK","JAWA TENGAH","JAWA TIMUR","LUAR PULAU"}, 0))))</f>
        <v>1</v>
      </c>
      <c r="G5" s="1303" cm="1">
        <f t="array" ref="G5">SUMPRODUCT(--(LOWER(AB1:AB363)="masuk"), --(LOWER(AC1:AC363)="add"))</f>
        <v>1</v>
      </c>
      <c r="H5" s="1304">
        <f>G5+-F5</f>
        <v>0</v>
      </c>
      <c r="I5" s="734"/>
      <c r="J5" s="1306" cm="1">
        <f t="array" ref="J5">SUMPRODUCT(--(ISNUMBER(SEARCH("next day",LOWER(W1:W363)))+ISNUMBER(SEARCH("nextday",LOWER(W1:W363)))&gt; 0))</f>
        <v>53</v>
      </c>
      <c r="K5" s="1303" cm="1">
        <f t="array" ref="K5">SUMPRODUCT(--(LOWER(AB1:AB363)="masuk"), --ISNUMBER(SEARCH("next day", LOWER(W1:W363))))</f>
        <v>16</v>
      </c>
      <c r="L5" s="1304">
        <f>K5+-J5</f>
        <v>-37</v>
      </c>
      <c r="M5" s="734"/>
      <c r="N5" s="1306">
        <f>B5+F5+J5</f>
        <v>86</v>
      </c>
      <c r="O5" s="1303">
        <f>C5+G5+K5</f>
        <v>48</v>
      </c>
      <c r="P5" s="1304">
        <f>D5+H5+L5</f>
        <v>-38</v>
      </c>
      <c r="R5" s="1201" t="s">
        <v>736</v>
      </c>
      <c r="S5" s="1261">
        <v>3331567945</v>
      </c>
      <c r="T5" s="1209" t="s">
        <v>424</v>
      </c>
      <c r="U5" s="1202">
        <v>24142460</v>
      </c>
      <c r="V5" s="1202" t="s">
        <v>429</v>
      </c>
      <c r="W5" s="1202" t="s">
        <v>703</v>
      </c>
      <c r="X5" s="1267">
        <v>24626.880000000001</v>
      </c>
      <c r="Y5" s="1261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32</v>
      </c>
      <c r="C6" s="733">
        <f>SUM(C5)</f>
        <v>31</v>
      </c>
      <c r="D6" s="739">
        <f>SUM(D5)</f>
        <v>-1</v>
      </c>
      <c r="E6" s="734"/>
      <c r="F6" s="733">
        <f>SUM(F5)</f>
        <v>1</v>
      </c>
      <c r="G6" s="733">
        <f>SUM(G5)</f>
        <v>1</v>
      </c>
      <c r="H6" s="739">
        <f>SUM(H5)</f>
        <v>0</v>
      </c>
      <c r="I6" s="733"/>
      <c r="J6" s="733">
        <f>SUM(J5)</f>
        <v>53</v>
      </c>
      <c r="K6" s="733">
        <f>SUM(K5)</f>
        <v>16</v>
      </c>
      <c r="L6" s="739">
        <f>SUM(L5)</f>
        <v>-37</v>
      </c>
      <c r="M6" s="733"/>
      <c r="N6" s="760">
        <f>SUM(N5:N5)</f>
        <v>86</v>
      </c>
      <c r="O6" s="760">
        <f>SUM(O5:O5)</f>
        <v>48</v>
      </c>
      <c r="P6" s="761">
        <f>SUM(P5:P5)</f>
        <v>-38</v>
      </c>
      <c r="R6" s="1201" t="s">
        <v>691</v>
      </c>
      <c r="S6" s="1261">
        <v>3331567946</v>
      </c>
      <c r="T6" s="1209" t="s">
        <v>424</v>
      </c>
      <c r="U6" s="1202">
        <v>24142461</v>
      </c>
      <c r="V6" s="1202" t="s">
        <v>429</v>
      </c>
      <c r="W6" s="1202" t="s">
        <v>703</v>
      </c>
      <c r="X6" s="1267">
        <v>25162.575000000001</v>
      </c>
      <c r="Y6" s="1261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1" t="s">
        <v>691</v>
      </c>
      <c r="S7" s="1261">
        <v>3331567949</v>
      </c>
      <c r="T7" s="1209" t="s">
        <v>424</v>
      </c>
      <c r="U7" s="1202">
        <v>24142462</v>
      </c>
      <c r="V7" s="1202" t="s">
        <v>429</v>
      </c>
      <c r="W7" s="1202" t="s">
        <v>703</v>
      </c>
      <c r="X7" s="1267">
        <v>24455.86</v>
      </c>
      <c r="Y7" s="1261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Delivery 06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89" t="s">
        <v>691</v>
      </c>
      <c r="S8" s="1293">
        <v>3331567951</v>
      </c>
      <c r="T8" s="1217" t="s">
        <v>424</v>
      </c>
      <c r="U8" s="1190">
        <v>24142463</v>
      </c>
      <c r="V8" s="1190" t="s">
        <v>429</v>
      </c>
      <c r="W8" s="1190" t="s">
        <v>703</v>
      </c>
      <c r="X8" s="1295">
        <v>24755.145</v>
      </c>
      <c r="Y8" s="1293" t="s">
        <v>426</v>
      </c>
      <c r="Z8" s="1361">
        <v>1</v>
      </c>
      <c r="AA8" s="1361">
        <v>1</v>
      </c>
      <c r="AB8" s="1361" t="s">
        <v>207</v>
      </c>
      <c r="AC8" s="1271"/>
      <c r="AD8" s="81"/>
      <c r="AE8" s="44"/>
      <c r="AF8" s="44"/>
      <c r="AG8" s="44"/>
    </row>
    <row r="9" spans="1:33" ht="18.75" customHeight="1" thickBot="1">
      <c r="A9" s="763" t="str">
        <f>A2</f>
        <v>Realz update 07 Nov’25 jam 07.00</v>
      </c>
      <c r="B9" s="825"/>
      <c r="C9" s="825"/>
      <c r="D9" s="825"/>
      <c r="E9" s="734"/>
      <c r="F9" s="1525" t="str">
        <f>F2</f>
        <v>Tgl 06 Nov’25 diatas jam 15.00</v>
      </c>
      <c r="G9" s="1525"/>
      <c r="H9" s="1525"/>
      <c r="I9" s="826"/>
      <c r="J9" s="1525" t="str">
        <f>J2</f>
        <v>Tgl 06 Nov’25</v>
      </c>
      <c r="K9" s="1525"/>
      <c r="L9" s="1525"/>
      <c r="M9" s="734"/>
      <c r="N9" s="1526"/>
      <c r="O9" s="1526"/>
      <c r="P9" s="1526"/>
      <c r="R9" s="1189" t="s">
        <v>691</v>
      </c>
      <c r="S9" s="1293">
        <v>3331567952</v>
      </c>
      <c r="T9" s="1217" t="s">
        <v>424</v>
      </c>
      <c r="U9" s="1190">
        <v>24142464</v>
      </c>
      <c r="V9" s="1190" t="s">
        <v>429</v>
      </c>
      <c r="W9" s="1190" t="s">
        <v>703</v>
      </c>
      <c r="X9" s="1295">
        <v>24968.92</v>
      </c>
      <c r="Y9" s="1293" t="s">
        <v>426</v>
      </c>
      <c r="Z9" s="1361">
        <v>1</v>
      </c>
      <c r="AA9" s="1361">
        <v>1</v>
      </c>
      <c r="AB9" s="1361" t="s">
        <v>207</v>
      </c>
      <c r="AC9" s="1271"/>
      <c r="AD9" s="81"/>
      <c r="AE9" s="44"/>
      <c r="AF9" s="44"/>
      <c r="AG9" s="44"/>
    </row>
    <row r="10" spans="1:33" ht="18.75" customHeight="1" thickBot="1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189" t="s">
        <v>691</v>
      </c>
      <c r="S10" s="1190">
        <v>3331568419</v>
      </c>
      <c r="T10" s="1190" t="s">
        <v>424</v>
      </c>
      <c r="U10" s="1190">
        <v>24142539</v>
      </c>
      <c r="V10" s="1190" t="s">
        <v>429</v>
      </c>
      <c r="W10" s="1190" t="s">
        <v>703</v>
      </c>
      <c r="X10" s="1191">
        <v>24303.512999999999</v>
      </c>
      <c r="Y10" s="1190" t="s">
        <v>426</v>
      </c>
      <c r="Z10" s="1361">
        <v>1</v>
      </c>
      <c r="AA10" s="1361">
        <v>1</v>
      </c>
      <c r="AB10" s="1361" t="s">
        <v>207</v>
      </c>
      <c r="AC10" s="1271"/>
      <c r="AD10" s="81"/>
      <c r="AE10" s="44"/>
      <c r="AF10" s="44"/>
      <c r="AG10" s="44"/>
    </row>
    <row r="11" spans="1:33" ht="16.5" customHeight="1" thickBo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691</v>
      </c>
      <c r="S11" s="1190">
        <v>3331568427</v>
      </c>
      <c r="T11" s="1190" t="s">
        <v>424</v>
      </c>
      <c r="U11" s="1190">
        <v>24142540</v>
      </c>
      <c r="V11" s="1190" t="s">
        <v>429</v>
      </c>
      <c r="W11" s="1190" t="s">
        <v>703</v>
      </c>
      <c r="X11" s="1325">
        <v>24813.817999999999</v>
      </c>
      <c r="Y11" s="1190" t="s">
        <v>426</v>
      </c>
      <c r="Z11" s="1361">
        <v>1</v>
      </c>
      <c r="AA11" s="1361">
        <v>1</v>
      </c>
      <c r="AB11" s="1361" t="s">
        <v>207</v>
      </c>
      <c r="AC11" s="1271"/>
      <c r="AD11" s="81"/>
      <c r="AE11" s="44"/>
      <c r="AF11" s="44"/>
      <c r="AG11" s="44"/>
    </row>
    <row r="12" spans="1:33" ht="18.600000000000001" thickBot="1">
      <c r="A12" s="845" t="s">
        <v>199</v>
      </c>
      <c r="B12" s="748" cm="1">
        <f t="array" ref="B12">SUMPRODUCT(--(TRIM(LOWER(W1:W363))="jabodetabek"), --(LOWER(AC1:AC363)&lt;&gt;"add"))</f>
        <v>26</v>
      </c>
      <c r="C12" s="748" cm="1">
        <f t="array" ref="C12">SUMPRODUCT(--(LOWER(AB1:AB363)="masuk"), --(TRIM(LOWER(W1:W363))="jabodetabek"), --(LOWER(AC1:AC363)&lt;&gt;"add"))</f>
        <v>26</v>
      </c>
      <c r="D12" s="973">
        <f>C12+-B12</f>
        <v>0</v>
      </c>
      <c r="E12" s="734"/>
      <c r="F12" s="748" cm="1">
        <f t="array" ref="F12">SUMPRODUCT(--(LOWER(AC1:AC363)="add"), --(TRIM(LOWER(W1:W363))="jabodetabek"))</f>
        <v>1</v>
      </c>
      <c r="G12" s="747" cm="1">
        <f t="array" ref="G12">SUMPRODUCT(--(LOWER(AB1:AB363)="masuk"), --(LOWER(AC1:AC363)="add"), --(TRIM(LOWER(W1:W363))="jabodetabek"))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day",LOWER(W1:W363)))+ISNUMBER(SEARCH("jabodetabek nextday",LOWER(W1:W363)))&gt; 0))</f>
        <v>12</v>
      </c>
      <c r="K12" s="747" cm="1">
        <f t="array" ref="K12">SUMPRODUCT(--(LOWER(AB1:AB363)="masuk"), --(LOWER(TRIM(W1:W363))="jabodetabek next day"))</f>
        <v>9</v>
      </c>
      <c r="L12" s="740">
        <f>K12+-J12</f>
        <v>-3</v>
      </c>
      <c r="M12" s="734"/>
      <c r="N12" s="748">
        <f t="shared" ref="N12:P16" si="0">B12+F12+J12</f>
        <v>39</v>
      </c>
      <c r="O12" s="747">
        <f t="shared" si="0"/>
        <v>36</v>
      </c>
      <c r="P12" s="740">
        <f t="shared" si="0"/>
        <v>-3</v>
      </c>
      <c r="R12" s="1189" t="s">
        <v>691</v>
      </c>
      <c r="S12" s="1190">
        <v>3331568431</v>
      </c>
      <c r="T12" s="1190" t="s">
        <v>424</v>
      </c>
      <c r="U12" s="1190">
        <v>24142541</v>
      </c>
      <c r="V12" s="1190" t="s">
        <v>429</v>
      </c>
      <c r="W12" s="1190" t="s">
        <v>703</v>
      </c>
      <c r="X12" s="1325">
        <v>23997.019</v>
      </c>
      <c r="Y12" s="1190" t="s">
        <v>426</v>
      </c>
      <c r="Z12" s="1361">
        <v>1</v>
      </c>
      <c r="AA12" s="1361">
        <v>1</v>
      </c>
      <c r="AB12" s="1361" t="s">
        <v>207</v>
      </c>
      <c r="AC12" s="1271"/>
      <c r="AD12" s="81"/>
      <c r="AE12" s="44"/>
      <c r="AF12" s="44"/>
      <c r="AG12" s="44"/>
    </row>
    <row r="13" spans="1:33" ht="18.600000000000001" thickBot="1">
      <c r="A13" s="845" t="s">
        <v>203</v>
      </c>
      <c r="B13" s="750" cm="1">
        <f t="array" ref="B13">SUMPRODUCT(--(TRIM(LOWER(W1:W363))="jawa tengah"), --(LOWER(AC1:AC363)&lt;&gt;"add"))</f>
        <v>6</v>
      </c>
      <c r="C13" s="750" cm="1">
        <f t="array" ref="C13">SUMPRODUCT(--(LOWER(AB1:AB363)="masuk"), --(TRIM(LOWER(W1:W363))="jawa tengah"), --(LOWER(AC1:AC363)&lt;&gt;"add"))</f>
        <v>5</v>
      </c>
      <c r="D13" s="846">
        <f>C13+-B13</f>
        <v>-1</v>
      </c>
      <c r="E13" s="734"/>
      <c r="F13" s="751" cm="1">
        <f t="array" ref="F13">SUMPRODUCT(--(LOWER(AC1:AC363)="add"), --(TRIM(LOWER(W1:W363))="jawa tengah"))</f>
        <v>0</v>
      </c>
      <c r="G13" s="747" cm="1">
        <f t="array" ref="G13">SUMPRODUCT(--(LOWER(AB1:AB363)="masuk"), --(LOWER(AC1:AC363)="add"), --(TRIM(LOWER(W1:W363))="jawa tengah"))</f>
        <v>0</v>
      </c>
      <c r="H13" s="740">
        <f>G13+-F13</f>
        <v>0</v>
      </c>
      <c r="I13" s="734"/>
      <c r="J13" s="748" cm="1">
        <f t="array" ref="J13">SUMPRODUCT(--((LOWER(TRIM(W1:W363))="jawa tengah next day")+(LOWER(TRIM(W1:W363))="jawa tengah nextday")))</f>
        <v>14</v>
      </c>
      <c r="K13" s="747" cm="1">
        <f t="array" ref="K13">SUMPRODUCT(--(LOWER(AB1:AB363)="masuk"), --(LOWER(TRIM(W1:W363))="jawa tengah next day"))</f>
        <v>4</v>
      </c>
      <c r="L13" s="740">
        <f>K13+-J13</f>
        <v>-10</v>
      </c>
      <c r="M13" s="734"/>
      <c r="N13" s="748">
        <f t="shared" si="0"/>
        <v>20</v>
      </c>
      <c r="O13" s="747">
        <f t="shared" si="0"/>
        <v>9</v>
      </c>
      <c r="P13" s="740">
        <f t="shared" si="0"/>
        <v>-11</v>
      </c>
      <c r="R13" s="1189" t="s">
        <v>691</v>
      </c>
      <c r="S13" s="1190">
        <v>3331568432</v>
      </c>
      <c r="T13" s="1190" t="s">
        <v>424</v>
      </c>
      <c r="U13" s="1190">
        <v>24142542</v>
      </c>
      <c r="V13" s="1190" t="s">
        <v>429</v>
      </c>
      <c r="W13" s="1190" t="s">
        <v>703</v>
      </c>
      <c r="X13" s="1325">
        <v>24976.735000000001</v>
      </c>
      <c r="Y13" s="1190" t="s">
        <v>426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.600000000000001" thickBot="1">
      <c r="A14" s="845" t="s">
        <v>205</v>
      </c>
      <c r="B14" s="750" cm="1">
        <f t="array" ref="B14">SUMPRODUCT(--(TRIM(LOWER(W1:W363))="jawa timur"), --(LOWER(AC1:AC363)&lt;&gt;"add"))</f>
        <v>0</v>
      </c>
      <c r="C14" s="750" cm="1">
        <f t="array" ref="C14">SUMPRODUCT(--(LOWER(AB1:AB363)="masuk"), --(TRIM(LOWER(W1:W363))="jawa timur"), --(LOWER(AC1:AC363)&lt;&gt;"add"))</f>
        <v>0</v>
      </c>
      <c r="D14" s="846">
        <f>C14+-B14</f>
        <v>0</v>
      </c>
      <c r="E14" s="734"/>
      <c r="F14" s="750" cm="1">
        <f t="array" ref="F14">SUMPRODUCT(--(LOWER(AC1:AC363)="add"), --(TRIM(LOWER(W1:W363))="jawa timur"))</f>
        <v>0</v>
      </c>
      <c r="G14" s="747" cm="1">
        <f t="array" ref="G14">SUMPRODUCT(--(LOWER(AB1:AB363)="masuk"), --(LOWER(AC1:AC363)="add"), --(TRIM(LOWER(W1:W363))="jawa timur"))</f>
        <v>0</v>
      </c>
      <c r="H14" s="740">
        <f>G14+-F14</f>
        <v>0</v>
      </c>
      <c r="I14" s="734"/>
      <c r="J14" s="748" cm="1">
        <f t="array" ref="J14">SUMPRODUCT(--((LOWER(TRIM(W1:W363))="jawa timur next day")+(LOWER(TRIM(W1:W363))="jawa timur nextday")))</f>
        <v>0</v>
      </c>
      <c r="K14" s="747" cm="1">
        <f t="array" ref="K14">SUMPRODUCT(--(LOWER(AB1:AB363)="masuk"), --(LOWER(TRIM(W1:W363))="jawa timur next day"))</f>
        <v>0</v>
      </c>
      <c r="L14" s="740">
        <f>K14+-J14</f>
        <v>0</v>
      </c>
      <c r="M14" s="734"/>
      <c r="N14" s="748">
        <f t="shared" si="0"/>
        <v>0</v>
      </c>
      <c r="O14" s="747">
        <f t="shared" si="0"/>
        <v>0</v>
      </c>
      <c r="P14" s="740">
        <f t="shared" si="0"/>
        <v>0</v>
      </c>
      <c r="R14" s="1189" t="s">
        <v>691</v>
      </c>
      <c r="S14" s="1190">
        <v>3331568433</v>
      </c>
      <c r="T14" s="1190" t="s">
        <v>424</v>
      </c>
      <c r="U14" s="1190">
        <v>24142543</v>
      </c>
      <c r="V14" s="1190" t="s">
        <v>429</v>
      </c>
      <c r="W14" s="1190" t="s">
        <v>703</v>
      </c>
      <c r="X14" s="1325">
        <v>23352.53</v>
      </c>
      <c r="Y14" s="1190" t="s">
        <v>426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.600000000000001" thickBot="1">
      <c r="A15" s="845" t="s">
        <v>362</v>
      </c>
      <c r="B15" s="750" cm="1">
        <f t="array" ref="B15">SUMPRODUCT(--(TRIM(LOWER(W1:W363))="luar pulau"), --(LOWER(AC1:AC363)&lt;&gt;"add"))</f>
        <v>0</v>
      </c>
      <c r="C15" s="750" cm="1">
        <f t="array" ref="C15">SUMPRODUCT(--(LOWER(AB1:AB363)="masuk"), --(TRIM(LOWER(W1:W363))="luar pulau"), --(LOWER(AC1:AC363)&lt;&gt;"add"))</f>
        <v>0</v>
      </c>
      <c r="D15" s="846">
        <f>C15+-B15</f>
        <v>0</v>
      </c>
      <c r="E15" s="734"/>
      <c r="F15" s="748" cm="1">
        <f t="array" ref="F15">SUMPRODUCT(--(LOWER(AC1:AC363)="add"), --(TRIM(LOWER(W1:W363))="luar pulau"))</f>
        <v>0</v>
      </c>
      <c r="G15" s="747" cm="1">
        <f t="array" ref="G15">SUMPRODUCT(--(LOWER(AB1:AB363)="masuk"), --(LOWER(AC1:AC363)="add"), --(TRIM(LOWER(W1:W363))="luar pulau"))</f>
        <v>0</v>
      </c>
      <c r="H15" s="740">
        <f>G15+-F15</f>
        <v>0</v>
      </c>
      <c r="I15" s="734"/>
      <c r="J15" s="748" cm="1">
        <f t="array" ref="J15">SUMPRODUCT(--((LOWER(TRIM(W1:W363))="luar pulau next day")+(LOWER(TRIM(W1:W363))="luar pulau nextday")))</f>
        <v>27</v>
      </c>
      <c r="K15" s="747" cm="1">
        <f t="array" ref="K15">SUMPRODUCT(--(LOWER(AB1:AB363)="masuk"), --(LOWER(TRIM(W1:W363))="luar pulau next day"))</f>
        <v>3</v>
      </c>
      <c r="L15" s="740">
        <f>K15+-J15</f>
        <v>-24</v>
      </c>
      <c r="M15" s="734"/>
      <c r="N15" s="748">
        <f t="shared" si="0"/>
        <v>27</v>
      </c>
      <c r="O15" s="747">
        <f t="shared" si="0"/>
        <v>3</v>
      </c>
      <c r="P15" s="740">
        <f t="shared" si="0"/>
        <v>-24</v>
      </c>
      <c r="R15" s="1189" t="s">
        <v>691</v>
      </c>
      <c r="S15" s="1190">
        <v>3331568434</v>
      </c>
      <c r="T15" s="1190" t="s">
        <v>424</v>
      </c>
      <c r="U15" s="1190">
        <v>24142544</v>
      </c>
      <c r="V15" s="1190" t="s">
        <v>429</v>
      </c>
      <c r="W15" s="1190" t="s">
        <v>703</v>
      </c>
      <c r="X15" s="1191">
        <v>24200.280999999999</v>
      </c>
      <c r="Y15" s="1190" t="s">
        <v>426</v>
      </c>
      <c r="Z15" s="1361">
        <v>1</v>
      </c>
      <c r="AA15" s="1361">
        <v>1</v>
      </c>
      <c r="AB15" s="1361" t="s">
        <v>207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32</v>
      </c>
      <c r="C16" s="733">
        <f>SUM(C12:C15)</f>
        <v>31</v>
      </c>
      <c r="D16" s="739">
        <f>SUM(D12:D15)</f>
        <v>-1</v>
      </c>
      <c r="E16" s="734"/>
      <c r="F16" s="733">
        <f>SUM(F12:F15)</f>
        <v>1</v>
      </c>
      <c r="G16" s="733">
        <f>SUM(G12:G15)</f>
        <v>1</v>
      </c>
      <c r="H16" s="739">
        <f>SUM(H12:H15)</f>
        <v>0</v>
      </c>
      <c r="I16" s="734"/>
      <c r="J16" s="733">
        <f>SUM(J12:J15)</f>
        <v>53</v>
      </c>
      <c r="K16" s="733">
        <f>SUM(K12:K15)</f>
        <v>16</v>
      </c>
      <c r="L16" s="739">
        <f>SUM(L12:L15)</f>
        <v>-37</v>
      </c>
      <c r="M16" s="734"/>
      <c r="N16" s="760">
        <f t="shared" si="0"/>
        <v>86</v>
      </c>
      <c r="O16" s="760">
        <f t="shared" si="0"/>
        <v>48</v>
      </c>
      <c r="P16" s="761">
        <f t="shared" si="0"/>
        <v>-38</v>
      </c>
      <c r="R16" s="1189" t="s">
        <v>691</v>
      </c>
      <c r="S16" s="1190">
        <v>3331568436</v>
      </c>
      <c r="T16" s="1190" t="s">
        <v>424</v>
      </c>
      <c r="U16" s="1190">
        <v>24142545</v>
      </c>
      <c r="V16" s="1190" t="s">
        <v>429</v>
      </c>
      <c r="W16" s="1190" t="s">
        <v>703</v>
      </c>
      <c r="X16" s="1191">
        <v>23794.667000000001</v>
      </c>
      <c r="Y16" s="1190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189" t="s">
        <v>691</v>
      </c>
      <c r="S17" s="1190">
        <v>3331568438</v>
      </c>
      <c r="T17" s="1190" t="s">
        <v>424</v>
      </c>
      <c r="U17" s="1190">
        <v>24142546</v>
      </c>
      <c r="V17" s="1190" t="s">
        <v>429</v>
      </c>
      <c r="W17" s="1190" t="s">
        <v>703</v>
      </c>
      <c r="X17" s="1191">
        <v>24169.652999999998</v>
      </c>
      <c r="Y17" s="1190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8" thickBot="1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691</v>
      </c>
      <c r="S18" s="1190">
        <v>3331568439</v>
      </c>
      <c r="T18" s="1190" t="s">
        <v>424</v>
      </c>
      <c r="U18" s="1190">
        <v>24142547</v>
      </c>
      <c r="V18" s="1190" t="s">
        <v>429</v>
      </c>
      <c r="W18" s="1190" t="s">
        <v>703</v>
      </c>
      <c r="X18" s="1191">
        <v>25016.202000000001</v>
      </c>
      <c r="Y18" s="1190" t="s">
        <v>426</v>
      </c>
      <c r="Z18" s="1361">
        <v>1</v>
      </c>
      <c r="AA18" s="1361">
        <v>1</v>
      </c>
      <c r="AB18" s="1361" t="s">
        <v>207</v>
      </c>
      <c r="AC18" s="1271"/>
      <c r="AD18" s="81"/>
    </row>
    <row r="19" spans="1:30" s="44" customFormat="1" ht="18" thickBot="1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20" t="s">
        <v>691</v>
      </c>
      <c r="S19" s="1217">
        <v>3331568441</v>
      </c>
      <c r="T19" s="1190" t="s">
        <v>424</v>
      </c>
      <c r="U19" s="1217">
        <v>24142548</v>
      </c>
      <c r="V19" s="1190" t="s">
        <v>429</v>
      </c>
      <c r="W19" s="1190" t="s">
        <v>703</v>
      </c>
      <c r="X19" s="1296">
        <v>24176.695</v>
      </c>
      <c r="Y19" s="1190" t="s">
        <v>426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8" thickBot="1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89" t="s">
        <v>691</v>
      </c>
      <c r="S20" s="1190">
        <v>3331568443</v>
      </c>
      <c r="T20" s="1190" t="s">
        <v>424</v>
      </c>
      <c r="U20" s="1190">
        <v>24142549</v>
      </c>
      <c r="V20" s="1190" t="s">
        <v>429</v>
      </c>
      <c r="W20" s="1190" t="s">
        <v>703</v>
      </c>
      <c r="X20" s="1191">
        <v>24591.669000000002</v>
      </c>
      <c r="Y20" s="1190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8.600000000000001" thickBot="1">
      <c r="A21" s="968" t="s">
        <v>427</v>
      </c>
      <c r="B21" s="970" cm="1">
        <f t="array" ref="B21">SUMPRODUCT(--((LOWER(TRIM($W$2:$W$268))="ambil sendiri")+(LOWER(TRIM($W$2:$W$268))="cokot sorangan")))</f>
        <v>3</v>
      </c>
      <c r="C21" s="969" cm="1">
        <f t="array" ref="C21">SUMPRODUCT(--(LOWER(AB6:AB298)="masuk"), --((LOWER(TRIM($W$2:$W$294))="cokot sorangan") + (LOWER(TRIM(W6:W298))="ambil sendiri")))</f>
        <v>0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89" t="s">
        <v>728</v>
      </c>
      <c r="S21" s="1190">
        <v>3331568456</v>
      </c>
      <c r="T21" s="1190" t="s">
        <v>424</v>
      </c>
      <c r="U21" s="1190">
        <v>24142552</v>
      </c>
      <c r="V21" s="1190" t="s">
        <v>429</v>
      </c>
      <c r="W21" s="1190" t="s">
        <v>703</v>
      </c>
      <c r="X21" s="1191">
        <v>24421.763999999999</v>
      </c>
      <c r="Y21" s="1217" t="s">
        <v>426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728</v>
      </c>
      <c r="S22" s="1190">
        <v>3331568460</v>
      </c>
      <c r="T22" s="1190" t="s">
        <v>424</v>
      </c>
      <c r="U22" s="1190">
        <v>24142553</v>
      </c>
      <c r="V22" s="1190" t="s">
        <v>429</v>
      </c>
      <c r="W22" s="1190" t="s">
        <v>703</v>
      </c>
      <c r="X22" s="1191">
        <v>23815.55</v>
      </c>
      <c r="Y22" s="1217" t="s">
        <v>426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728</v>
      </c>
      <c r="S23" s="1190">
        <v>3331568463</v>
      </c>
      <c r="T23" s="1190" t="s">
        <v>424</v>
      </c>
      <c r="U23" s="1190">
        <v>24142554</v>
      </c>
      <c r="V23" s="1190" t="s">
        <v>429</v>
      </c>
      <c r="W23" s="1190" t="s">
        <v>703</v>
      </c>
      <c r="X23" s="1191">
        <f>18277.763+4763.11</f>
        <v>23040.873</v>
      </c>
      <c r="Y23" s="1217" t="s">
        <v>426</v>
      </c>
      <c r="Z23" s="1361">
        <v>1</v>
      </c>
      <c r="AA23" s="1361">
        <v>1</v>
      </c>
      <c r="AB23" s="1361" t="s">
        <v>207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691</v>
      </c>
      <c r="S24" s="1190">
        <v>3331568464</v>
      </c>
      <c r="T24" s="1293" t="s">
        <v>256</v>
      </c>
      <c r="U24" s="1190" t="s">
        <v>256</v>
      </c>
      <c r="V24" s="1190" t="s">
        <v>256</v>
      </c>
      <c r="W24" s="1217" t="s">
        <v>256</v>
      </c>
      <c r="X24" s="1191" t="s">
        <v>256</v>
      </c>
      <c r="Y24" s="1217" t="s">
        <v>256</v>
      </c>
      <c r="Z24" s="1217" t="s">
        <v>256</v>
      </c>
      <c r="AA24" s="1217" t="s">
        <v>256</v>
      </c>
      <c r="AB24" s="1200" t="s">
        <v>256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8" t="s">
        <v>744</v>
      </c>
      <c r="S25" s="1373">
        <v>3331568252</v>
      </c>
      <c r="T25" s="1369" t="s">
        <v>459</v>
      </c>
      <c r="U25" s="1373">
        <v>24142508</v>
      </c>
      <c r="V25" s="1227" t="s">
        <v>226</v>
      </c>
      <c r="W25" s="1202" t="s">
        <v>344</v>
      </c>
      <c r="X25" s="1374">
        <v>29890.971000000001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8" t="s">
        <v>744</v>
      </c>
      <c r="S26" s="1373">
        <v>3331568254</v>
      </c>
      <c r="T26" s="1369" t="s">
        <v>459</v>
      </c>
      <c r="U26" s="1373">
        <v>24142509</v>
      </c>
      <c r="V26" s="1227" t="s">
        <v>226</v>
      </c>
      <c r="W26" s="1202" t="s">
        <v>344</v>
      </c>
      <c r="X26" s="1374">
        <v>30092.152999999998</v>
      </c>
      <c r="Y26" s="1202" t="s">
        <v>426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8" t="s">
        <v>744</v>
      </c>
      <c r="S27" s="1373">
        <v>3331568255</v>
      </c>
      <c r="T27" s="1369" t="s">
        <v>459</v>
      </c>
      <c r="U27" s="1373">
        <v>24142510</v>
      </c>
      <c r="V27" s="1227" t="s">
        <v>226</v>
      </c>
      <c r="W27" s="1202" t="s">
        <v>344</v>
      </c>
      <c r="X27" s="1374">
        <v>29588.472000000002</v>
      </c>
      <c r="Y27" s="1202" t="s">
        <v>426</v>
      </c>
      <c r="Z27" s="1369">
        <v>1</v>
      </c>
      <c r="AA27" s="1369">
        <v>1</v>
      </c>
      <c r="AB27" s="1369" t="s">
        <v>204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1" t="s">
        <v>744</v>
      </c>
      <c r="S28" s="1202">
        <v>3331568256</v>
      </c>
      <c r="T28" s="1369" t="s">
        <v>459</v>
      </c>
      <c r="U28" s="1202">
        <v>24142511</v>
      </c>
      <c r="V28" s="1227" t="s">
        <v>226</v>
      </c>
      <c r="W28" s="1202" t="s">
        <v>344</v>
      </c>
      <c r="X28" s="1203">
        <v>29588.472000000002</v>
      </c>
      <c r="Y28" s="1202" t="s">
        <v>426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737</v>
      </c>
      <c r="S29" s="1190">
        <v>3331568444</v>
      </c>
      <c r="T29" s="1190" t="s">
        <v>459</v>
      </c>
      <c r="U29" s="1190">
        <v>24142551</v>
      </c>
      <c r="V29" s="1190" t="s">
        <v>224</v>
      </c>
      <c r="W29" s="1190" t="s">
        <v>344</v>
      </c>
      <c r="X29" s="1191">
        <v>28348.074000000001</v>
      </c>
      <c r="Y29" s="1217" t="s">
        <v>426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737</v>
      </c>
      <c r="S30" s="1190">
        <v>3331568468</v>
      </c>
      <c r="T30" s="1293" t="s">
        <v>459</v>
      </c>
      <c r="U30" s="1190">
        <v>24142555</v>
      </c>
      <c r="V30" s="1190" t="s">
        <v>224</v>
      </c>
      <c r="W30" s="1190" t="s">
        <v>344</v>
      </c>
      <c r="X30" s="1191">
        <v>29574.89</v>
      </c>
      <c r="Y30" s="1217" t="s">
        <v>426</v>
      </c>
      <c r="Z30" s="1361">
        <v>1</v>
      </c>
      <c r="AA30" s="1361">
        <v>1</v>
      </c>
      <c r="AB30" s="1361" t="s">
        <v>207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737</v>
      </c>
      <c r="S31" s="1190">
        <v>3331568470</v>
      </c>
      <c r="T31" s="1293" t="s">
        <v>459</v>
      </c>
      <c r="U31" s="1190">
        <v>24142557</v>
      </c>
      <c r="V31" s="1190" t="s">
        <v>224</v>
      </c>
      <c r="W31" s="1190" t="s">
        <v>344</v>
      </c>
      <c r="X31" s="1191">
        <v>27610.172999999999</v>
      </c>
      <c r="Y31" s="1217" t="s">
        <v>426</v>
      </c>
      <c r="Z31" s="1361">
        <v>1</v>
      </c>
      <c r="AA31" s="1361">
        <v>1</v>
      </c>
      <c r="AB31" s="1361" t="s">
        <v>207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89" t="s">
        <v>737</v>
      </c>
      <c r="S32" s="1190">
        <v>3331568475</v>
      </c>
      <c r="T32" s="1293" t="s">
        <v>459</v>
      </c>
      <c r="U32" s="1190">
        <v>24142559</v>
      </c>
      <c r="V32" s="1190" t="s">
        <v>224</v>
      </c>
      <c r="W32" s="1190" t="s">
        <v>344</v>
      </c>
      <c r="X32" s="1191">
        <v>26364.493999999999</v>
      </c>
      <c r="Y32" s="1217" t="s">
        <v>426</v>
      </c>
      <c r="Z32" s="1361">
        <v>1</v>
      </c>
      <c r="AA32" s="1361">
        <v>1</v>
      </c>
      <c r="AB32" s="1361" t="s">
        <v>207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189" t="s">
        <v>737</v>
      </c>
      <c r="S33" s="1190">
        <v>3331568489</v>
      </c>
      <c r="T33" s="1293" t="s">
        <v>459</v>
      </c>
      <c r="U33" s="1190">
        <v>24142564</v>
      </c>
      <c r="V33" s="1190" t="s">
        <v>224</v>
      </c>
      <c r="W33" s="1190" t="s">
        <v>344</v>
      </c>
      <c r="X33" s="1191">
        <v>30830.312000000002</v>
      </c>
      <c r="Y33" s="1217" t="s">
        <v>426</v>
      </c>
      <c r="Z33" s="1361">
        <v>1</v>
      </c>
      <c r="AA33" s="1361">
        <v>1</v>
      </c>
      <c r="AB33" s="1361" t="s">
        <v>207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89" t="s">
        <v>737</v>
      </c>
      <c r="S34" s="1190">
        <v>3331568511</v>
      </c>
      <c r="T34" s="1190" t="s">
        <v>459</v>
      </c>
      <c r="U34" s="1190">
        <v>24142567</v>
      </c>
      <c r="V34" s="1190" t="s">
        <v>226</v>
      </c>
      <c r="W34" s="1190" t="s">
        <v>344</v>
      </c>
      <c r="X34" s="1191">
        <v>30551.105</v>
      </c>
      <c r="Y34" s="1217" t="s">
        <v>426</v>
      </c>
      <c r="Z34" s="1361">
        <v>1</v>
      </c>
      <c r="AA34" s="1361">
        <v>1</v>
      </c>
      <c r="AB34" s="1361" t="s">
        <v>207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89" t="s">
        <v>737</v>
      </c>
      <c r="S35" s="1190">
        <v>3331568536</v>
      </c>
      <c r="T35" s="1190" t="s">
        <v>459</v>
      </c>
      <c r="U35" s="1190">
        <v>24142570</v>
      </c>
      <c r="V35" s="1190" t="s">
        <v>226</v>
      </c>
      <c r="W35" s="1190" t="s">
        <v>344</v>
      </c>
      <c r="X35" s="1191">
        <v>30628.835999999999</v>
      </c>
      <c r="Y35" s="1217" t="s">
        <v>426</v>
      </c>
      <c r="Z35" s="1361">
        <v>1</v>
      </c>
      <c r="AA35" s="1361">
        <v>1</v>
      </c>
      <c r="AB35" s="1361" t="s">
        <v>207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89" t="s">
        <v>737</v>
      </c>
      <c r="S36" s="1190">
        <v>3331568544</v>
      </c>
      <c r="T36" s="1190" t="s">
        <v>459</v>
      </c>
      <c r="U36" s="1190">
        <v>24142574</v>
      </c>
      <c r="V36" s="1190" t="s">
        <v>226</v>
      </c>
      <c r="W36" s="1190" t="s">
        <v>344</v>
      </c>
      <c r="X36" s="1191">
        <v>28375.991000000002</v>
      </c>
      <c r="Y36" s="1217" t="s">
        <v>426</v>
      </c>
      <c r="Z36" s="1361">
        <v>1</v>
      </c>
      <c r="AA36" s="1361">
        <v>1</v>
      </c>
      <c r="AB36" s="1361" t="s">
        <v>207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74" t="s">
        <v>737</v>
      </c>
      <c r="S37" s="105">
        <v>3331568644</v>
      </c>
      <c r="T37" s="1264" t="s">
        <v>458</v>
      </c>
      <c r="U37" s="105">
        <v>24142576</v>
      </c>
      <c r="V37" s="1202" t="s">
        <v>226</v>
      </c>
      <c r="W37" s="1202" t="s">
        <v>203</v>
      </c>
      <c r="X37" s="209">
        <v>37578.663</v>
      </c>
      <c r="Y37" s="105" t="s">
        <v>128</v>
      </c>
      <c r="Z37" s="1369">
        <v>1</v>
      </c>
      <c r="AA37" s="1369">
        <v>1</v>
      </c>
      <c r="AB37" s="1369" t="s">
        <v>204</v>
      </c>
      <c r="AC37" s="240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74" t="s">
        <v>737</v>
      </c>
      <c r="S38" s="105">
        <v>3331568645</v>
      </c>
      <c r="T38" s="1264" t="s">
        <v>441</v>
      </c>
      <c r="U38" s="105">
        <v>24142577</v>
      </c>
      <c r="V38" s="1202" t="s">
        <v>226</v>
      </c>
      <c r="W38" s="1202" t="s">
        <v>203</v>
      </c>
      <c r="X38" s="209">
        <v>37052.108999999997</v>
      </c>
      <c r="Y38" s="105" t="s">
        <v>128</v>
      </c>
      <c r="Z38" s="1369">
        <v>1</v>
      </c>
      <c r="AA38" s="1369">
        <v>1</v>
      </c>
      <c r="AB38" s="1369" t="s">
        <v>204</v>
      </c>
      <c r="AC38" s="240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26" t="s">
        <v>718</v>
      </c>
      <c r="S39" s="81">
        <v>3331568677</v>
      </c>
      <c r="T39" s="1293" t="s">
        <v>424</v>
      </c>
      <c r="U39" s="81">
        <v>24142589</v>
      </c>
      <c r="V39" s="1190" t="s">
        <v>429</v>
      </c>
      <c r="W39" s="81" t="s">
        <v>703</v>
      </c>
      <c r="X39" s="191">
        <v>24513.705000000002</v>
      </c>
      <c r="Y39" s="81" t="s">
        <v>426</v>
      </c>
      <c r="Z39" s="1361">
        <v>1</v>
      </c>
      <c r="AA39" s="1361">
        <v>1</v>
      </c>
      <c r="AB39" s="1361" t="s">
        <v>207</v>
      </c>
      <c r="AC39" s="240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74" t="s">
        <v>718</v>
      </c>
      <c r="S40" s="105">
        <v>3331568697</v>
      </c>
      <c r="T40" s="1261" t="s">
        <v>441</v>
      </c>
      <c r="U40" s="105">
        <v>24142595</v>
      </c>
      <c r="V40" s="1202" t="s">
        <v>226</v>
      </c>
      <c r="W40" s="1202" t="s">
        <v>203</v>
      </c>
      <c r="X40" s="209">
        <v>33092.118999999999</v>
      </c>
      <c r="Y40" s="105" t="s">
        <v>128</v>
      </c>
      <c r="Z40" s="1369">
        <v>1</v>
      </c>
      <c r="AA40" s="1369">
        <v>1</v>
      </c>
      <c r="AB40" s="1369" t="s">
        <v>204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74" t="s">
        <v>718</v>
      </c>
      <c r="S41" s="105">
        <v>3331568698</v>
      </c>
      <c r="T41" s="1261" t="s">
        <v>441</v>
      </c>
      <c r="U41" s="105">
        <v>24142596</v>
      </c>
      <c r="V41" s="1202" t="s">
        <v>226</v>
      </c>
      <c r="W41" s="1202" t="s">
        <v>203</v>
      </c>
      <c r="X41" s="209">
        <v>33702.508999999998</v>
      </c>
      <c r="Y41" s="105" t="s">
        <v>128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74" t="s">
        <v>718</v>
      </c>
      <c r="S42" s="105">
        <v>3331568773</v>
      </c>
      <c r="T42" s="105" t="s">
        <v>27</v>
      </c>
      <c r="U42" s="105">
        <v>24142609</v>
      </c>
      <c r="V42" s="1202" t="s">
        <v>745</v>
      </c>
      <c r="W42" s="1202" t="s">
        <v>203</v>
      </c>
      <c r="X42" s="209">
        <v>25932.92</v>
      </c>
      <c r="Y42" s="105" t="s">
        <v>200</v>
      </c>
      <c r="Z42" s="1369">
        <v>1</v>
      </c>
      <c r="AA42" s="1369">
        <v>1</v>
      </c>
      <c r="AB42" s="1369" t="s">
        <v>204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26" t="s">
        <v>737</v>
      </c>
      <c r="S43" s="81">
        <v>3331568772</v>
      </c>
      <c r="T43" s="81" t="s">
        <v>459</v>
      </c>
      <c r="U43" s="81">
        <v>24142610</v>
      </c>
      <c r="V43" s="1190" t="s">
        <v>226</v>
      </c>
      <c r="W43" s="1190" t="s">
        <v>344</v>
      </c>
      <c r="X43" s="191">
        <v>35050.298000000003</v>
      </c>
      <c r="Y43" s="1217" t="s">
        <v>426</v>
      </c>
      <c r="Z43" s="1361">
        <v>1</v>
      </c>
      <c r="AA43" s="1361">
        <v>1</v>
      </c>
      <c r="AB43" s="1361" t="s">
        <v>207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737</v>
      </c>
      <c r="S44" s="81">
        <v>3331568774</v>
      </c>
      <c r="T44" s="81" t="s">
        <v>459</v>
      </c>
      <c r="U44" s="81">
        <v>24142611</v>
      </c>
      <c r="V44" s="1190" t="s">
        <v>226</v>
      </c>
      <c r="W44" s="1190" t="s">
        <v>344</v>
      </c>
      <c r="X44" s="191">
        <v>36168.468999999997</v>
      </c>
      <c r="Y44" s="1217" t="s">
        <v>426</v>
      </c>
      <c r="Z44" s="1361">
        <v>1</v>
      </c>
      <c r="AA44" s="1361">
        <v>1</v>
      </c>
      <c r="AB44" s="1361" t="s">
        <v>207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74" t="s">
        <v>737</v>
      </c>
      <c r="S45" s="105">
        <v>3331568792</v>
      </c>
      <c r="T45" s="105" t="s">
        <v>11</v>
      </c>
      <c r="U45" s="105">
        <v>24142618</v>
      </c>
      <c r="V45" s="1202" t="s">
        <v>413</v>
      </c>
      <c r="W45" s="105" t="s">
        <v>203</v>
      </c>
      <c r="X45" s="209">
        <v>40254.084000000003</v>
      </c>
      <c r="Y45" s="105" t="s">
        <v>128</v>
      </c>
      <c r="Z45" s="1369">
        <v>1</v>
      </c>
      <c r="AA45" s="1369">
        <v>1</v>
      </c>
      <c r="AB45" s="1369" t="s">
        <v>207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26" t="s">
        <v>718</v>
      </c>
      <c r="S46" s="81">
        <v>3331568788</v>
      </c>
      <c r="T46" s="81" t="s">
        <v>351</v>
      </c>
      <c r="U46" s="81">
        <v>24142619</v>
      </c>
      <c r="V46" s="1190" t="s">
        <v>354</v>
      </c>
      <c r="W46" s="81" t="s">
        <v>703</v>
      </c>
      <c r="X46" s="191">
        <v>24595.005000000001</v>
      </c>
      <c r="Y46" s="81" t="s">
        <v>426</v>
      </c>
      <c r="Z46" s="1361">
        <v>1</v>
      </c>
      <c r="AA46" s="1361">
        <v>1</v>
      </c>
      <c r="AB46" s="1361" t="s">
        <v>207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26" t="s">
        <v>718</v>
      </c>
      <c r="S47" s="81">
        <v>3331568791</v>
      </c>
      <c r="T47" s="81" t="s">
        <v>351</v>
      </c>
      <c r="U47" s="81">
        <v>24142620</v>
      </c>
      <c r="V47" s="1190" t="s">
        <v>354</v>
      </c>
      <c r="W47" s="81" t="s">
        <v>703</v>
      </c>
      <c r="X47" s="191">
        <v>23943.398000000001</v>
      </c>
      <c r="Y47" s="81" t="s">
        <v>426</v>
      </c>
      <c r="Z47" s="1361">
        <v>1</v>
      </c>
      <c r="AA47" s="1361">
        <v>1</v>
      </c>
      <c r="AB47" s="1361" t="s">
        <v>207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81" t="s">
        <v>718</v>
      </c>
      <c r="S48" s="81">
        <v>3331568793</v>
      </c>
      <c r="T48" s="81" t="s">
        <v>351</v>
      </c>
      <c r="U48" s="81">
        <v>24142621</v>
      </c>
      <c r="V48" s="1190" t="s">
        <v>354</v>
      </c>
      <c r="W48" s="81" t="s">
        <v>703</v>
      </c>
      <c r="X48" s="384">
        <v>25225.45</v>
      </c>
      <c r="Y48" s="81" t="s">
        <v>426</v>
      </c>
      <c r="Z48" s="1361">
        <v>1</v>
      </c>
      <c r="AA48" s="1361">
        <v>1</v>
      </c>
      <c r="AB48" s="1361" t="s">
        <v>207</v>
      </c>
      <c r="AC48" s="8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81" t="s">
        <v>691</v>
      </c>
      <c r="S49" s="81">
        <v>3331568799</v>
      </c>
      <c r="T49" s="81" t="s">
        <v>351</v>
      </c>
      <c r="U49" s="81">
        <v>24142622</v>
      </c>
      <c r="V49" s="1190" t="s">
        <v>354</v>
      </c>
      <c r="W49" s="81" t="s">
        <v>703</v>
      </c>
      <c r="X49" s="384">
        <f>8945.352+12990.3+1161.176</f>
        <v>23096.828000000001</v>
      </c>
      <c r="Y49" s="81" t="s">
        <v>426</v>
      </c>
      <c r="Z49" s="1361">
        <v>1</v>
      </c>
      <c r="AA49" s="1361">
        <v>1</v>
      </c>
      <c r="AB49" s="1361" t="s">
        <v>207</v>
      </c>
      <c r="AC49" s="8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26" t="s">
        <v>718</v>
      </c>
      <c r="S50" s="81">
        <v>3331568800</v>
      </c>
      <c r="T50" s="81" t="s">
        <v>256</v>
      </c>
      <c r="U50" s="81" t="s">
        <v>256</v>
      </c>
      <c r="V50" s="1190" t="s">
        <v>256</v>
      </c>
      <c r="W50" s="81" t="s">
        <v>256</v>
      </c>
      <c r="X50" s="191" t="s">
        <v>256</v>
      </c>
      <c r="Y50" s="81" t="s">
        <v>256</v>
      </c>
      <c r="Z50" s="81" t="s">
        <v>256</v>
      </c>
      <c r="AA50" s="81" t="s">
        <v>256</v>
      </c>
      <c r="AB50" s="81" t="s">
        <v>256</v>
      </c>
      <c r="AC50" s="240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26" t="s">
        <v>718</v>
      </c>
      <c r="S51" s="81">
        <v>3331568801</v>
      </c>
      <c r="T51" s="81" t="s">
        <v>256</v>
      </c>
      <c r="U51" s="81" t="s">
        <v>256</v>
      </c>
      <c r="V51" s="1190" t="s">
        <v>256</v>
      </c>
      <c r="W51" s="81" t="s">
        <v>256</v>
      </c>
      <c r="X51" s="191" t="s">
        <v>256</v>
      </c>
      <c r="Y51" s="81" t="s">
        <v>256</v>
      </c>
      <c r="Z51" s="81" t="s">
        <v>256</v>
      </c>
      <c r="AA51" s="81" t="s">
        <v>256</v>
      </c>
      <c r="AB51" s="81" t="s">
        <v>256</v>
      </c>
      <c r="AC51" s="240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26" t="s">
        <v>718</v>
      </c>
      <c r="S52" s="81">
        <v>3331568819</v>
      </c>
      <c r="T52" s="81" t="s">
        <v>336</v>
      </c>
      <c r="U52" s="81">
        <v>24142629</v>
      </c>
      <c r="V52" s="1190" t="s">
        <v>529</v>
      </c>
      <c r="W52" s="81" t="s">
        <v>434</v>
      </c>
      <c r="X52" s="191">
        <f>17700.57+15391.8+6709.014</f>
        <v>39801.383999999998</v>
      </c>
      <c r="Y52" s="81" t="s">
        <v>128</v>
      </c>
      <c r="Z52" s="1447">
        <v>1</v>
      </c>
      <c r="AA52" s="1447">
        <v>1</v>
      </c>
      <c r="AB52" s="1447" t="s">
        <v>207</v>
      </c>
      <c r="AC52" s="240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26" t="s">
        <v>718</v>
      </c>
      <c r="S53" s="81">
        <v>3331568820</v>
      </c>
      <c r="T53" s="81" t="s">
        <v>256</v>
      </c>
      <c r="U53" s="81" t="s">
        <v>256</v>
      </c>
      <c r="V53" s="1190" t="s">
        <v>256</v>
      </c>
      <c r="W53" s="81" t="s">
        <v>256</v>
      </c>
      <c r="X53" s="191" t="s">
        <v>256</v>
      </c>
      <c r="Y53" s="81" t="s">
        <v>256</v>
      </c>
      <c r="Z53" s="81" t="s">
        <v>256</v>
      </c>
      <c r="AA53" s="81" t="s">
        <v>256</v>
      </c>
      <c r="AB53" s="81" t="s">
        <v>256</v>
      </c>
      <c r="AC53" s="240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26" t="s">
        <v>718</v>
      </c>
      <c r="S54" s="81">
        <v>3331568821</v>
      </c>
      <c r="T54" s="81" t="s">
        <v>256</v>
      </c>
      <c r="U54" s="81" t="s">
        <v>256</v>
      </c>
      <c r="V54" s="1190" t="s">
        <v>256</v>
      </c>
      <c r="W54" s="81" t="s">
        <v>256</v>
      </c>
      <c r="X54" s="191" t="s">
        <v>256</v>
      </c>
      <c r="Y54" s="81" t="s">
        <v>256</v>
      </c>
      <c r="Z54" s="81" t="s">
        <v>256</v>
      </c>
      <c r="AA54" s="81" t="s">
        <v>256</v>
      </c>
      <c r="AB54" s="81" t="s">
        <v>256</v>
      </c>
      <c r="AC54" s="240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26" t="s">
        <v>718</v>
      </c>
      <c r="S55" s="81">
        <v>3331568823</v>
      </c>
      <c r="T55" s="81" t="s">
        <v>336</v>
      </c>
      <c r="U55" s="81">
        <v>24142628</v>
      </c>
      <c r="V55" s="1446" t="s">
        <v>529</v>
      </c>
      <c r="W55" s="81" t="s">
        <v>434</v>
      </c>
      <c r="X55" s="191">
        <f>23339.239+17546.652</f>
        <v>40885.891000000003</v>
      </c>
      <c r="Y55" s="81" t="s">
        <v>128</v>
      </c>
      <c r="Z55" s="1447">
        <v>1</v>
      </c>
      <c r="AA55" s="1447">
        <v>1</v>
      </c>
      <c r="AB55" s="1447" t="s">
        <v>207</v>
      </c>
      <c r="AC55" s="240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26" t="s">
        <v>718</v>
      </c>
      <c r="S56" s="81">
        <v>3331568824</v>
      </c>
      <c r="T56" s="81" t="s">
        <v>256</v>
      </c>
      <c r="U56" s="81" t="s">
        <v>256</v>
      </c>
      <c r="V56" s="1446" t="s">
        <v>256</v>
      </c>
      <c r="W56" s="81" t="s">
        <v>256</v>
      </c>
      <c r="X56" s="191" t="s">
        <v>256</v>
      </c>
      <c r="Y56" s="81" t="s">
        <v>256</v>
      </c>
      <c r="Z56" s="81" t="s">
        <v>256</v>
      </c>
      <c r="AA56" s="81" t="s">
        <v>256</v>
      </c>
      <c r="AB56" s="81" t="s">
        <v>256</v>
      </c>
      <c r="AC56" s="240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26" t="s">
        <v>718</v>
      </c>
      <c r="S57" s="81">
        <v>3331568825</v>
      </c>
      <c r="T57" s="81" t="s">
        <v>336</v>
      </c>
      <c r="U57" s="81">
        <v>24142627</v>
      </c>
      <c r="V57" s="1446" t="s">
        <v>529</v>
      </c>
      <c r="W57" s="81" t="s">
        <v>434</v>
      </c>
      <c r="X57" s="191">
        <v>39057.502</v>
      </c>
      <c r="Y57" s="81" t="s">
        <v>128</v>
      </c>
      <c r="Z57" s="1447">
        <v>1</v>
      </c>
      <c r="AA57" s="1447">
        <v>1</v>
      </c>
      <c r="AB57" s="1447" t="s">
        <v>207</v>
      </c>
      <c r="AC57" s="240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74" t="s">
        <v>718</v>
      </c>
      <c r="S58" s="105">
        <v>3331568646</v>
      </c>
      <c r="T58" s="1202" t="s">
        <v>287</v>
      </c>
      <c r="U58" s="105">
        <v>24142578</v>
      </c>
      <c r="V58" s="1202" t="s">
        <v>368</v>
      </c>
      <c r="W58" s="105" t="s">
        <v>199</v>
      </c>
      <c r="X58" s="209">
        <v>25092.65</v>
      </c>
      <c r="Y58" s="105" t="s">
        <v>200</v>
      </c>
      <c r="Z58" s="105">
        <v>1</v>
      </c>
      <c r="AA58" s="105">
        <v>1</v>
      </c>
      <c r="AB58" s="105" t="s">
        <v>204</v>
      </c>
      <c r="AC58" s="240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174" t="s">
        <v>718</v>
      </c>
      <c r="S59" s="105">
        <v>3331568649</v>
      </c>
      <c r="T59" s="1202" t="s">
        <v>287</v>
      </c>
      <c r="U59" s="105">
        <v>24142579</v>
      </c>
      <c r="V59" s="1202" t="s">
        <v>368</v>
      </c>
      <c r="W59" s="105" t="s">
        <v>199</v>
      </c>
      <c r="X59" s="209">
        <v>25362.696</v>
      </c>
      <c r="Y59" s="105" t="s">
        <v>200</v>
      </c>
      <c r="Z59" s="105">
        <v>1</v>
      </c>
      <c r="AA59" s="105">
        <v>1</v>
      </c>
      <c r="AB59" s="105" t="s">
        <v>204</v>
      </c>
      <c r="AC59" s="240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74" t="s">
        <v>691</v>
      </c>
      <c r="S60" s="105">
        <v>3331568650</v>
      </c>
      <c r="T60" s="1202" t="s">
        <v>34</v>
      </c>
      <c r="U60" s="105">
        <v>24142580</v>
      </c>
      <c r="V60" s="1202" t="s">
        <v>368</v>
      </c>
      <c r="W60" s="105" t="s">
        <v>199</v>
      </c>
      <c r="X60" s="209">
        <v>25952.285</v>
      </c>
      <c r="Y60" s="105" t="s">
        <v>200</v>
      </c>
      <c r="Z60" s="105">
        <v>1</v>
      </c>
      <c r="AA60" s="105">
        <v>1</v>
      </c>
      <c r="AB60" s="105" t="s">
        <v>204</v>
      </c>
      <c r="AC60" s="240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74" t="s">
        <v>691</v>
      </c>
      <c r="S61" s="105">
        <v>3331568651</v>
      </c>
      <c r="T61" s="1202" t="s">
        <v>34</v>
      </c>
      <c r="U61" s="105">
        <v>24142581</v>
      </c>
      <c r="V61" s="1202" t="s">
        <v>368</v>
      </c>
      <c r="W61" s="105" t="s">
        <v>199</v>
      </c>
      <c r="X61" s="209">
        <v>25371.187000000002</v>
      </c>
      <c r="Y61" s="105" t="s">
        <v>200</v>
      </c>
      <c r="Z61" s="105">
        <v>1</v>
      </c>
      <c r="AA61" s="105">
        <v>1</v>
      </c>
      <c r="AB61" s="105" t="s">
        <v>204</v>
      </c>
      <c r="AC61" s="240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05" t="s">
        <v>718</v>
      </c>
      <c r="S62" s="105">
        <v>3331568652</v>
      </c>
      <c r="T62" s="1202" t="s">
        <v>27</v>
      </c>
      <c r="U62" s="105">
        <v>24142582</v>
      </c>
      <c r="V62" s="1202" t="s">
        <v>368</v>
      </c>
      <c r="W62" s="105" t="s">
        <v>199</v>
      </c>
      <c r="X62" s="401">
        <v>26017.674999999999</v>
      </c>
      <c r="Y62" s="105" t="s">
        <v>200</v>
      </c>
      <c r="Z62" s="105">
        <v>1</v>
      </c>
      <c r="AA62" s="105">
        <v>1</v>
      </c>
      <c r="AB62" s="105" t="s">
        <v>204</v>
      </c>
      <c r="AC62" s="8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05" t="s">
        <v>718</v>
      </c>
      <c r="S63" s="105">
        <v>3331568653</v>
      </c>
      <c r="T63" s="1202" t="s">
        <v>287</v>
      </c>
      <c r="U63" s="105">
        <v>24142583</v>
      </c>
      <c r="V63" s="105" t="s">
        <v>219</v>
      </c>
      <c r="W63" s="105" t="s">
        <v>199</v>
      </c>
      <c r="X63" s="401">
        <v>22745.118999999999</v>
      </c>
      <c r="Y63" s="105" t="s">
        <v>200</v>
      </c>
      <c r="Z63" s="105">
        <v>1</v>
      </c>
      <c r="AA63" s="105">
        <v>1</v>
      </c>
      <c r="AB63" s="105" t="s">
        <v>204</v>
      </c>
      <c r="AC63" s="8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05" t="s">
        <v>718</v>
      </c>
      <c r="S64" s="105">
        <v>3331568660</v>
      </c>
      <c r="T64" s="1202" t="s">
        <v>287</v>
      </c>
      <c r="U64" s="105">
        <v>24142584</v>
      </c>
      <c r="V64" s="105" t="s">
        <v>150</v>
      </c>
      <c r="W64" s="105" t="s">
        <v>199</v>
      </c>
      <c r="X64" s="401">
        <v>24943.77</v>
      </c>
      <c r="Y64" s="105" t="s">
        <v>200</v>
      </c>
      <c r="Z64" s="105">
        <v>1</v>
      </c>
      <c r="AA64" s="105">
        <v>1</v>
      </c>
      <c r="AB64" s="105" t="s">
        <v>204</v>
      </c>
      <c r="AC64" s="8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05" t="s">
        <v>718</v>
      </c>
      <c r="S65" s="105">
        <v>3331568661</v>
      </c>
      <c r="T65" s="1202" t="s">
        <v>287</v>
      </c>
      <c r="U65" s="105">
        <v>24142585</v>
      </c>
      <c r="V65" s="105" t="s">
        <v>150</v>
      </c>
      <c r="W65" s="105" t="s">
        <v>199</v>
      </c>
      <c r="X65" s="401">
        <v>24943.77</v>
      </c>
      <c r="Y65" s="105" t="s">
        <v>200</v>
      </c>
      <c r="Z65" s="105">
        <v>1</v>
      </c>
      <c r="AA65" s="105">
        <v>1</v>
      </c>
      <c r="AB65" s="105" t="s">
        <v>204</v>
      </c>
      <c r="AC65" s="8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74" t="s">
        <v>718</v>
      </c>
      <c r="S66" s="105">
        <v>3331568663</v>
      </c>
      <c r="T66" s="1202" t="s">
        <v>27</v>
      </c>
      <c r="U66" s="105">
        <v>24142586</v>
      </c>
      <c r="V66" s="105" t="s">
        <v>150</v>
      </c>
      <c r="W66" s="105" t="s">
        <v>199</v>
      </c>
      <c r="X66" s="209">
        <v>24943.77</v>
      </c>
      <c r="Y66" s="105" t="s">
        <v>200</v>
      </c>
      <c r="Z66" s="105">
        <v>1</v>
      </c>
      <c r="AA66" s="105">
        <v>1</v>
      </c>
      <c r="AB66" s="105" t="s">
        <v>204</v>
      </c>
      <c r="AC66" s="240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74" t="s">
        <v>718</v>
      </c>
      <c r="S67" s="105">
        <v>3331568658</v>
      </c>
      <c r="T67" s="1202" t="s">
        <v>34</v>
      </c>
      <c r="U67" s="105">
        <v>24142587</v>
      </c>
      <c r="V67" s="1202" t="s">
        <v>366</v>
      </c>
      <c r="W67" s="105" t="s">
        <v>199</v>
      </c>
      <c r="X67" s="209">
        <v>25481.98</v>
      </c>
      <c r="Y67" s="105" t="s">
        <v>200</v>
      </c>
      <c r="Z67" s="105">
        <v>1</v>
      </c>
      <c r="AA67" s="105">
        <v>1</v>
      </c>
      <c r="AB67" s="105" t="s">
        <v>204</v>
      </c>
      <c r="AC67" s="240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74" t="s">
        <v>718</v>
      </c>
      <c r="S68" s="105">
        <v>3331568659</v>
      </c>
      <c r="T68" s="1202" t="s">
        <v>27</v>
      </c>
      <c r="U68" s="105">
        <v>24142588</v>
      </c>
      <c r="V68" s="1202" t="s">
        <v>366</v>
      </c>
      <c r="W68" s="105" t="s">
        <v>199</v>
      </c>
      <c r="X68" s="209">
        <v>25695.755000000001</v>
      </c>
      <c r="Y68" s="105" t="s">
        <v>200</v>
      </c>
      <c r="Z68" s="105">
        <v>1</v>
      </c>
      <c r="AA68" s="105">
        <v>1</v>
      </c>
      <c r="AB68" s="105" t="s">
        <v>204</v>
      </c>
      <c r="AC68" s="240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05" t="s">
        <v>718</v>
      </c>
      <c r="S69" s="105">
        <v>3331567804</v>
      </c>
      <c r="T69" s="1202" t="s">
        <v>11</v>
      </c>
      <c r="U69" s="105">
        <v>24142590</v>
      </c>
      <c r="V69" s="105" t="s">
        <v>158</v>
      </c>
      <c r="W69" s="105" t="s">
        <v>199</v>
      </c>
      <c r="X69" s="401">
        <v>25244.483</v>
      </c>
      <c r="Y69" s="105" t="s">
        <v>200</v>
      </c>
      <c r="Z69" s="105">
        <v>1</v>
      </c>
      <c r="AA69" s="105">
        <v>1</v>
      </c>
      <c r="AB69" s="105" t="s">
        <v>204</v>
      </c>
      <c r="AC69" s="8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35" t="s">
        <v>718</v>
      </c>
      <c r="S70" s="1235">
        <v>3331568681</v>
      </c>
      <c r="T70" s="1217" t="s">
        <v>11</v>
      </c>
      <c r="U70" s="1235">
        <v>24142591</v>
      </c>
      <c r="V70" s="1235" t="s">
        <v>150</v>
      </c>
      <c r="W70" s="1235" t="s">
        <v>199</v>
      </c>
      <c r="X70" s="1448">
        <v>24574.316999999999</v>
      </c>
      <c r="Y70" s="1235" t="s">
        <v>200</v>
      </c>
      <c r="Z70" s="1235">
        <v>1</v>
      </c>
      <c r="AA70" s="1235">
        <v>1</v>
      </c>
      <c r="AB70" s="1235" t="s">
        <v>204</v>
      </c>
      <c r="AC70" s="1235"/>
      <c r="AD70" s="1235" t="s">
        <v>232</v>
      </c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05" t="s">
        <v>718</v>
      </c>
      <c r="S71" s="105">
        <v>3331568684</v>
      </c>
      <c r="T71" s="1202" t="s">
        <v>34</v>
      </c>
      <c r="U71" s="105">
        <v>24142592</v>
      </c>
      <c r="V71" s="105" t="s">
        <v>150</v>
      </c>
      <c r="W71" s="105" t="s">
        <v>199</v>
      </c>
      <c r="X71" s="401">
        <v>26051.376</v>
      </c>
      <c r="Y71" s="105" t="s">
        <v>200</v>
      </c>
      <c r="Z71" s="105">
        <v>1</v>
      </c>
      <c r="AA71" s="105">
        <v>1</v>
      </c>
      <c r="AB71" s="105" t="s">
        <v>204</v>
      </c>
      <c r="AC71" s="8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05" t="s">
        <v>718</v>
      </c>
      <c r="S72" s="105">
        <v>3331567798</v>
      </c>
      <c r="T72" s="1202" t="s">
        <v>34</v>
      </c>
      <c r="U72" s="105">
        <v>24142593</v>
      </c>
      <c r="V72" s="105" t="s">
        <v>158</v>
      </c>
      <c r="W72" s="105" t="s">
        <v>199</v>
      </c>
      <c r="X72" s="401">
        <v>26023.901000000002</v>
      </c>
      <c r="Y72" s="105" t="s">
        <v>200</v>
      </c>
      <c r="Z72" s="105">
        <v>1</v>
      </c>
      <c r="AA72" s="105">
        <v>1</v>
      </c>
      <c r="AB72" s="105" t="s">
        <v>204</v>
      </c>
      <c r="AC72" s="8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05" t="s">
        <v>718</v>
      </c>
      <c r="S73" s="105">
        <v>3331568691</v>
      </c>
      <c r="T73" s="1202" t="s">
        <v>34</v>
      </c>
      <c r="U73" s="105">
        <v>24142594</v>
      </c>
      <c r="V73" s="105" t="s">
        <v>158</v>
      </c>
      <c r="W73" s="105" t="s">
        <v>199</v>
      </c>
      <c r="X73" s="401">
        <v>24244.6</v>
      </c>
      <c r="Y73" s="105" t="s">
        <v>200</v>
      </c>
      <c r="Z73" s="105">
        <v>1</v>
      </c>
      <c r="AA73" s="105">
        <v>1</v>
      </c>
      <c r="AB73" s="105" t="s">
        <v>204</v>
      </c>
      <c r="AC73" s="8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718</v>
      </c>
      <c r="S74" s="105">
        <v>3331568785</v>
      </c>
      <c r="T74" s="1202" t="s">
        <v>27</v>
      </c>
      <c r="U74" s="105">
        <v>24142612</v>
      </c>
      <c r="V74" s="1077" t="s">
        <v>676</v>
      </c>
      <c r="W74" s="105" t="s">
        <v>199</v>
      </c>
      <c r="X74" s="209">
        <v>26286.359</v>
      </c>
      <c r="Y74" s="105" t="s">
        <v>200</v>
      </c>
      <c r="Z74" s="105">
        <v>1</v>
      </c>
      <c r="AA74" s="105">
        <v>1</v>
      </c>
      <c r="AB74" s="105" t="s">
        <v>204</v>
      </c>
      <c r="AC74" s="240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718</v>
      </c>
      <c r="S75" s="105">
        <v>3331568786</v>
      </c>
      <c r="T75" s="1202" t="s">
        <v>11</v>
      </c>
      <c r="U75" s="105">
        <v>24142613</v>
      </c>
      <c r="V75" s="1077" t="s">
        <v>676</v>
      </c>
      <c r="W75" s="105" t="s">
        <v>199</v>
      </c>
      <c r="X75" s="209">
        <v>26405.991000000002</v>
      </c>
      <c r="Y75" s="105" t="s">
        <v>200</v>
      </c>
      <c r="Z75" s="105">
        <v>1</v>
      </c>
      <c r="AA75" s="105">
        <v>1</v>
      </c>
      <c r="AB75" s="105" t="s">
        <v>204</v>
      </c>
      <c r="AC75" s="240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718</v>
      </c>
      <c r="S76" s="105">
        <v>3331568775</v>
      </c>
      <c r="T76" s="1202" t="s">
        <v>287</v>
      </c>
      <c r="U76" s="105">
        <v>24142614</v>
      </c>
      <c r="V76" s="1077" t="s">
        <v>675</v>
      </c>
      <c r="W76" s="105" t="s">
        <v>199</v>
      </c>
      <c r="X76" s="209">
        <v>24513.73</v>
      </c>
      <c r="Y76" s="105" t="s">
        <v>200</v>
      </c>
      <c r="Z76" s="105">
        <v>1</v>
      </c>
      <c r="AA76" s="105">
        <v>1</v>
      </c>
      <c r="AB76" s="105" t="s">
        <v>204</v>
      </c>
      <c r="AC76" s="240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74" t="s">
        <v>718</v>
      </c>
      <c r="S77" s="105">
        <v>3331568778</v>
      </c>
      <c r="T77" s="1202" t="s">
        <v>11</v>
      </c>
      <c r="U77" s="105">
        <v>24142615</v>
      </c>
      <c r="V77" s="1077" t="s">
        <v>675</v>
      </c>
      <c r="W77" s="105" t="s">
        <v>199</v>
      </c>
      <c r="X77" s="209">
        <v>25158.803</v>
      </c>
      <c r="Y77" s="105" t="s">
        <v>200</v>
      </c>
      <c r="Z77" s="105">
        <v>1</v>
      </c>
      <c r="AA77" s="105">
        <v>1</v>
      </c>
      <c r="AB77" s="105" t="s">
        <v>204</v>
      </c>
      <c r="AC77" s="240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74" t="s">
        <v>718</v>
      </c>
      <c r="S78" s="105">
        <v>3331568782</v>
      </c>
      <c r="T78" s="1202" t="s">
        <v>11</v>
      </c>
      <c r="U78" s="105">
        <v>24142616</v>
      </c>
      <c r="V78" s="1077" t="s">
        <v>675</v>
      </c>
      <c r="W78" s="105" t="s">
        <v>199</v>
      </c>
      <c r="X78" s="209">
        <v>24513.705000000002</v>
      </c>
      <c r="Y78" s="105" t="s">
        <v>200</v>
      </c>
      <c r="Z78" s="105">
        <v>1</v>
      </c>
      <c r="AA78" s="105">
        <v>1</v>
      </c>
      <c r="AB78" s="105" t="s">
        <v>204</v>
      </c>
      <c r="AC78" s="240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718</v>
      </c>
      <c r="S79" s="105">
        <v>3331568784</v>
      </c>
      <c r="T79" s="864" t="s">
        <v>27</v>
      </c>
      <c r="U79" s="105">
        <v>24142617</v>
      </c>
      <c r="V79" s="1077" t="s">
        <v>675</v>
      </c>
      <c r="W79" s="105" t="s">
        <v>199</v>
      </c>
      <c r="X79" s="209">
        <v>25631.874</v>
      </c>
      <c r="Y79" s="105" t="s">
        <v>200</v>
      </c>
      <c r="Z79" s="105">
        <v>1</v>
      </c>
      <c r="AA79" s="105">
        <v>1</v>
      </c>
      <c r="AB79" s="105" t="s">
        <v>204</v>
      </c>
      <c r="AC79" s="240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174" t="s">
        <v>718</v>
      </c>
      <c r="S80" s="105">
        <v>3331568802</v>
      </c>
      <c r="T80" s="1202" t="s">
        <v>34</v>
      </c>
      <c r="U80" s="105">
        <v>24142623</v>
      </c>
      <c r="V80" s="1202" t="s">
        <v>572</v>
      </c>
      <c r="W80" s="105" t="s">
        <v>199</v>
      </c>
      <c r="X80" s="209">
        <v>25764.095000000001</v>
      </c>
      <c r="Y80" s="105" t="s">
        <v>200</v>
      </c>
      <c r="Z80" s="105">
        <v>1</v>
      </c>
      <c r="AA80" s="105">
        <v>1</v>
      </c>
      <c r="AB80" s="105" t="s">
        <v>204</v>
      </c>
      <c r="AC80" s="240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174" t="s">
        <v>718</v>
      </c>
      <c r="S81" s="105">
        <v>3331568803</v>
      </c>
      <c r="T81" s="864" t="s">
        <v>27</v>
      </c>
      <c r="U81" s="105">
        <v>24142624</v>
      </c>
      <c r="V81" s="1202" t="s">
        <v>572</v>
      </c>
      <c r="W81" s="105" t="s">
        <v>199</v>
      </c>
      <c r="X81" s="209">
        <v>27019.824000000001</v>
      </c>
      <c r="Y81" s="105" t="s">
        <v>200</v>
      </c>
      <c r="Z81" s="105">
        <v>1</v>
      </c>
      <c r="AA81" s="105">
        <v>1</v>
      </c>
      <c r="AB81" s="105" t="s">
        <v>204</v>
      </c>
      <c r="AC81" s="240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718</v>
      </c>
      <c r="S82" s="105">
        <v>3331568804</v>
      </c>
      <c r="T82" s="864" t="s">
        <v>27</v>
      </c>
      <c r="U82" s="105">
        <v>24142625</v>
      </c>
      <c r="V82" s="1202" t="s">
        <v>572</v>
      </c>
      <c r="W82" s="105" t="s">
        <v>199</v>
      </c>
      <c r="X82" s="209">
        <f>10261.2+13242.984</f>
        <v>23504.184000000001</v>
      </c>
      <c r="Y82" s="105" t="s">
        <v>200</v>
      </c>
      <c r="Z82" s="105">
        <v>1</v>
      </c>
      <c r="AA82" s="105">
        <v>1</v>
      </c>
      <c r="AB82" s="105" t="s">
        <v>204</v>
      </c>
      <c r="AC82" s="240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718</v>
      </c>
      <c r="S83" s="105">
        <v>3331568806</v>
      </c>
      <c r="T83" s="1202" t="s">
        <v>256</v>
      </c>
      <c r="U83" s="1202" t="s">
        <v>256</v>
      </c>
      <c r="V83" s="1202" t="s">
        <v>256</v>
      </c>
      <c r="W83" s="1202" t="s">
        <v>256</v>
      </c>
      <c r="X83" s="209" t="s">
        <v>256</v>
      </c>
      <c r="Y83" s="1202" t="s">
        <v>256</v>
      </c>
      <c r="Z83" s="1202" t="s">
        <v>256</v>
      </c>
      <c r="AA83" s="1202" t="s">
        <v>256</v>
      </c>
      <c r="AB83" s="1202" t="s">
        <v>256</v>
      </c>
      <c r="AC83" s="240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718</v>
      </c>
      <c r="S84" s="105">
        <v>3331568805</v>
      </c>
      <c r="T84" s="864" t="s">
        <v>34</v>
      </c>
      <c r="U84" s="105">
        <v>24142626</v>
      </c>
      <c r="V84" s="1202" t="s">
        <v>572</v>
      </c>
      <c r="W84" s="105" t="s">
        <v>199</v>
      </c>
      <c r="X84" s="209">
        <v>25632.437000000002</v>
      </c>
      <c r="Y84" s="105" t="s">
        <v>200</v>
      </c>
      <c r="Z84" s="105">
        <v>1</v>
      </c>
      <c r="AA84" s="105">
        <v>1</v>
      </c>
      <c r="AB84" s="105" t="s">
        <v>204</v>
      </c>
      <c r="AC84" s="240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74" t="s">
        <v>718</v>
      </c>
      <c r="S85" s="105">
        <v>3331568865</v>
      </c>
      <c r="T85" s="864" t="s">
        <v>27</v>
      </c>
      <c r="U85" s="105">
        <v>24142633</v>
      </c>
      <c r="V85" s="1202" t="s">
        <v>746</v>
      </c>
      <c r="W85" s="105" t="s">
        <v>199</v>
      </c>
      <c r="X85" s="209">
        <f>819.89+19955.016</f>
        <v>20774.905999999999</v>
      </c>
      <c r="Y85" s="105" t="s">
        <v>200</v>
      </c>
      <c r="Z85" s="105">
        <v>1</v>
      </c>
      <c r="AA85" s="105">
        <v>1</v>
      </c>
      <c r="AB85" s="105" t="s">
        <v>204</v>
      </c>
      <c r="AC85" s="269" t="s">
        <v>422</v>
      </c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718</v>
      </c>
      <c r="S86" s="105">
        <v>3331568868</v>
      </c>
      <c r="T86" s="864" t="s">
        <v>256</v>
      </c>
      <c r="U86" s="1202" t="s">
        <v>256</v>
      </c>
      <c r="V86" s="1202" t="s">
        <v>256</v>
      </c>
      <c r="W86" s="1202" t="s">
        <v>256</v>
      </c>
      <c r="X86" s="209" t="s">
        <v>256</v>
      </c>
      <c r="Y86" s="1202" t="s">
        <v>256</v>
      </c>
      <c r="Z86" s="1202" t="s">
        <v>256</v>
      </c>
      <c r="AA86" s="1202" t="s">
        <v>256</v>
      </c>
      <c r="AB86" s="1202" t="s">
        <v>256</v>
      </c>
      <c r="AC86" s="269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736</v>
      </c>
      <c r="S87" s="105">
        <v>3331567799</v>
      </c>
      <c r="T87" s="1202" t="s">
        <v>27</v>
      </c>
      <c r="U87" s="105">
        <v>24142597</v>
      </c>
      <c r="V87" s="1202" t="s">
        <v>150</v>
      </c>
      <c r="W87" s="105" t="s">
        <v>340</v>
      </c>
      <c r="X87" s="209">
        <f>21675.276+3698.56</f>
        <v>25373.836000000003</v>
      </c>
      <c r="Y87" s="105" t="s">
        <v>200</v>
      </c>
      <c r="Z87" s="105">
        <v>1</v>
      </c>
      <c r="AA87" s="105">
        <v>1</v>
      </c>
      <c r="AB87" s="105" t="s">
        <v>204</v>
      </c>
      <c r="AC87" s="8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718</v>
      </c>
      <c r="S88" s="105">
        <v>3331568690</v>
      </c>
      <c r="T88" s="105" t="s">
        <v>256</v>
      </c>
      <c r="U88" s="105" t="s">
        <v>256</v>
      </c>
      <c r="V88" s="105" t="s">
        <v>256</v>
      </c>
      <c r="W88" s="105" t="s">
        <v>256</v>
      </c>
      <c r="X88" s="209" t="s">
        <v>256</v>
      </c>
      <c r="Y88" s="105" t="s">
        <v>256</v>
      </c>
      <c r="Z88" s="105" t="s">
        <v>256</v>
      </c>
      <c r="AA88" s="105" t="s">
        <v>256</v>
      </c>
      <c r="AB88" s="105" t="s">
        <v>256</v>
      </c>
      <c r="AC88" s="8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736</v>
      </c>
      <c r="S89" s="105">
        <v>3331567800</v>
      </c>
      <c r="T89" s="1202" t="s">
        <v>34</v>
      </c>
      <c r="U89" s="105">
        <v>24142598</v>
      </c>
      <c r="V89" s="1202" t="s">
        <v>150</v>
      </c>
      <c r="W89" s="105" t="s">
        <v>340</v>
      </c>
      <c r="X89" s="209">
        <f>1453.67+3723.886+20342.074</f>
        <v>25519.63</v>
      </c>
      <c r="Y89" s="105" t="s">
        <v>200</v>
      </c>
      <c r="Z89" s="105">
        <v>1</v>
      </c>
      <c r="AA89" s="105">
        <v>1</v>
      </c>
      <c r="AB89" s="105" t="s">
        <v>204</v>
      </c>
      <c r="AC89" s="8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74" t="s">
        <v>736</v>
      </c>
      <c r="S90" s="105">
        <v>3331567801</v>
      </c>
      <c r="T90" s="1202" t="s">
        <v>256</v>
      </c>
      <c r="U90" s="105" t="s">
        <v>256</v>
      </c>
      <c r="V90" s="105" t="s">
        <v>256</v>
      </c>
      <c r="W90" s="105" t="s">
        <v>256</v>
      </c>
      <c r="X90" s="209" t="s">
        <v>256</v>
      </c>
      <c r="Y90" s="105" t="s">
        <v>256</v>
      </c>
      <c r="Z90" s="105" t="s">
        <v>256</v>
      </c>
      <c r="AA90" s="105" t="s">
        <v>256</v>
      </c>
      <c r="AB90" s="105" t="s">
        <v>256</v>
      </c>
      <c r="AC90" s="8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74" t="s">
        <v>691</v>
      </c>
      <c r="S91" s="105">
        <v>3331568692</v>
      </c>
      <c r="T91" s="1202" t="s">
        <v>256</v>
      </c>
      <c r="U91" s="105" t="s">
        <v>256</v>
      </c>
      <c r="V91" s="105" t="s">
        <v>256</v>
      </c>
      <c r="W91" s="105" t="s">
        <v>256</v>
      </c>
      <c r="X91" s="209" t="s">
        <v>256</v>
      </c>
      <c r="Y91" s="105" t="s">
        <v>256</v>
      </c>
      <c r="Z91" s="105" t="s">
        <v>256</v>
      </c>
      <c r="AA91" s="105" t="s">
        <v>256</v>
      </c>
      <c r="AB91" s="105" t="s">
        <v>256</v>
      </c>
      <c r="AC91" s="8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74" t="s">
        <v>718</v>
      </c>
      <c r="S92" s="105">
        <v>3331568685</v>
      </c>
      <c r="T92" s="1202" t="s">
        <v>34</v>
      </c>
      <c r="U92" s="105">
        <v>24142592</v>
      </c>
      <c r="V92" s="1202" t="s">
        <v>150</v>
      </c>
      <c r="W92" s="105" t="s">
        <v>340</v>
      </c>
      <c r="X92" s="209">
        <v>25375.344000000001</v>
      </c>
      <c r="Y92" s="105" t="s">
        <v>200</v>
      </c>
      <c r="Z92" s="105">
        <v>1</v>
      </c>
      <c r="AA92" s="105">
        <v>1</v>
      </c>
      <c r="AB92" s="105" t="s">
        <v>204</v>
      </c>
      <c r="AC92" s="8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718</v>
      </c>
      <c r="S93" s="105">
        <v>3331568695</v>
      </c>
      <c r="T93" s="1202" t="s">
        <v>34</v>
      </c>
      <c r="U93" s="105">
        <v>24142600</v>
      </c>
      <c r="V93" s="1202" t="s">
        <v>150</v>
      </c>
      <c r="W93" s="105" t="s">
        <v>340</v>
      </c>
      <c r="X93" s="209">
        <v>26183.072</v>
      </c>
      <c r="Y93" s="105" t="s">
        <v>200</v>
      </c>
      <c r="Z93" s="105">
        <v>1</v>
      </c>
      <c r="AA93" s="105">
        <v>1</v>
      </c>
      <c r="AB93" s="105" t="s">
        <v>204</v>
      </c>
      <c r="AC93" s="8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74" t="s">
        <v>718</v>
      </c>
      <c r="S94" s="105">
        <v>3331568696</v>
      </c>
      <c r="T94" s="1202" t="s">
        <v>11</v>
      </c>
      <c r="U94" s="105">
        <v>24142601</v>
      </c>
      <c r="V94" s="1202" t="s">
        <v>150</v>
      </c>
      <c r="W94" s="105" t="s">
        <v>340</v>
      </c>
      <c r="X94" s="209">
        <v>24660.078000000001</v>
      </c>
      <c r="Y94" s="105" t="s">
        <v>200</v>
      </c>
      <c r="Z94" s="105">
        <v>1</v>
      </c>
      <c r="AA94" s="105">
        <v>1</v>
      </c>
      <c r="AB94" s="105" t="s">
        <v>204</v>
      </c>
      <c r="AC94" s="8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326" t="s">
        <v>718</v>
      </c>
      <c r="S95" s="81">
        <v>3331568700</v>
      </c>
      <c r="T95" s="1190" t="s">
        <v>287</v>
      </c>
      <c r="U95" s="81">
        <v>24142602</v>
      </c>
      <c r="V95" s="1190" t="s">
        <v>158</v>
      </c>
      <c r="W95" s="81" t="s">
        <v>340</v>
      </c>
      <c r="X95" s="191">
        <v>25952.788</v>
      </c>
      <c r="Y95" s="81" t="s">
        <v>200</v>
      </c>
      <c r="Z95" s="81">
        <v>1</v>
      </c>
      <c r="AA95" s="81">
        <v>1</v>
      </c>
      <c r="AB95" s="81" t="s">
        <v>207</v>
      </c>
      <c r="AC95" s="8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81" t="s">
        <v>718</v>
      </c>
      <c r="S96" s="81">
        <v>3331568702</v>
      </c>
      <c r="T96" s="1183" t="s">
        <v>189</v>
      </c>
      <c r="U96" s="81">
        <v>24142603</v>
      </c>
      <c r="V96" s="1190" t="s">
        <v>158</v>
      </c>
      <c r="W96" s="81" t="s">
        <v>340</v>
      </c>
      <c r="X96" s="384">
        <v>24968.92</v>
      </c>
      <c r="Y96" s="81" t="s">
        <v>200</v>
      </c>
      <c r="Z96" s="81">
        <v>1</v>
      </c>
      <c r="AA96" s="81">
        <v>1</v>
      </c>
      <c r="AB96" s="81" t="s">
        <v>207</v>
      </c>
      <c r="AC96" s="8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81" t="s">
        <v>718</v>
      </c>
      <c r="S97" s="81">
        <v>3331568704</v>
      </c>
      <c r="T97" s="1183" t="s">
        <v>189</v>
      </c>
      <c r="U97" s="81">
        <v>24142604</v>
      </c>
      <c r="V97" s="1190" t="s">
        <v>158</v>
      </c>
      <c r="W97" s="81" t="s">
        <v>340</v>
      </c>
      <c r="X97" s="384">
        <v>24797.9</v>
      </c>
      <c r="Y97" s="81" t="s">
        <v>200</v>
      </c>
      <c r="Z97" s="81">
        <v>1</v>
      </c>
      <c r="AA97" s="81">
        <v>1</v>
      </c>
      <c r="AB97" s="81" t="s">
        <v>207</v>
      </c>
      <c r="AC97" s="8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05" t="s">
        <v>718</v>
      </c>
      <c r="S98" s="105">
        <v>3331568706</v>
      </c>
      <c r="T98" s="1202" t="s">
        <v>11</v>
      </c>
      <c r="U98" s="105">
        <v>24142605</v>
      </c>
      <c r="V98" s="105" t="s">
        <v>368</v>
      </c>
      <c r="W98" s="105" t="s">
        <v>340</v>
      </c>
      <c r="X98" s="401">
        <v>24599.455000000002</v>
      </c>
      <c r="Y98" s="105" t="s">
        <v>200</v>
      </c>
      <c r="Z98" s="105">
        <v>1</v>
      </c>
      <c r="AA98" s="105">
        <v>1</v>
      </c>
      <c r="AB98" s="105" t="s">
        <v>204</v>
      </c>
      <c r="AC98" s="8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05" t="s">
        <v>718</v>
      </c>
      <c r="S99" s="105">
        <v>3331568711</v>
      </c>
      <c r="T99" s="1202" t="s">
        <v>27</v>
      </c>
      <c r="U99" s="105">
        <v>24142606</v>
      </c>
      <c r="V99" s="105" t="s">
        <v>368</v>
      </c>
      <c r="W99" s="105" t="s">
        <v>340</v>
      </c>
      <c r="X99" s="401">
        <v>25674.880000000001</v>
      </c>
      <c r="Y99" s="105" t="s">
        <v>200</v>
      </c>
      <c r="Z99" s="105">
        <v>1</v>
      </c>
      <c r="AA99" s="105">
        <v>1</v>
      </c>
      <c r="AB99" s="105" t="s">
        <v>204</v>
      </c>
      <c r="AC99" s="8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718</v>
      </c>
      <c r="S100" s="105">
        <v>3331568714</v>
      </c>
      <c r="T100" s="1202" t="s">
        <v>287</v>
      </c>
      <c r="U100" s="105">
        <v>24142607</v>
      </c>
      <c r="V100" s="105" t="s">
        <v>368</v>
      </c>
      <c r="W100" s="105" t="s">
        <v>340</v>
      </c>
      <c r="X100" s="209">
        <v>25029.784</v>
      </c>
      <c r="Y100" s="105" t="s">
        <v>200</v>
      </c>
      <c r="Z100" s="105">
        <v>1</v>
      </c>
      <c r="AA100" s="105">
        <v>1</v>
      </c>
      <c r="AB100" s="105" t="s">
        <v>204</v>
      </c>
      <c r="AC100" s="8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05" t="s">
        <v>718</v>
      </c>
      <c r="S101" s="105">
        <v>3331568716</v>
      </c>
      <c r="T101" s="1202" t="s">
        <v>34</v>
      </c>
      <c r="U101" s="105">
        <v>24142608</v>
      </c>
      <c r="V101" s="105" t="s">
        <v>368</v>
      </c>
      <c r="W101" s="105" t="s">
        <v>340</v>
      </c>
      <c r="X101" s="401">
        <v>26081.555</v>
      </c>
      <c r="Y101" s="105" t="s">
        <v>200</v>
      </c>
      <c r="Z101" s="105">
        <v>1</v>
      </c>
      <c r="AA101" s="105">
        <v>1</v>
      </c>
      <c r="AB101" s="105" t="s">
        <v>204</v>
      </c>
      <c r="AC101" s="8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81" t="s">
        <v>728</v>
      </c>
      <c r="S102" s="81">
        <v>3331567952</v>
      </c>
      <c r="T102" s="81"/>
      <c r="U102" s="81">
        <v>24142464</v>
      </c>
      <c r="V102" s="81" t="s">
        <v>747</v>
      </c>
      <c r="W102" s="81" t="s">
        <v>748</v>
      </c>
      <c r="X102" s="384">
        <v>24968.92</v>
      </c>
      <c r="Y102" s="81" t="s">
        <v>749</v>
      </c>
      <c r="Z102" s="81"/>
      <c r="AA102" s="81"/>
      <c r="AB102" s="81"/>
      <c r="AC102" s="8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81"/>
      <c r="S103" s="81"/>
      <c r="T103" s="81"/>
      <c r="U103" s="81"/>
      <c r="V103" s="81"/>
      <c r="W103" s="81"/>
      <c r="X103" s="81" t="str">
        <f>RIGHT(Y102,5)</f>
        <v>HC 07</v>
      </c>
      <c r="Y103" s="81"/>
      <c r="Z103" s="81"/>
      <c r="AA103" s="81"/>
      <c r="AB103" s="81"/>
      <c r="AC103" s="8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339"/>
      <c r="S114" s="1339"/>
      <c r="T114" s="1190"/>
      <c r="U114" s="1293"/>
      <c r="V114" s="1190"/>
      <c r="W114" s="1293"/>
      <c r="X114" s="1191"/>
      <c r="Y114" s="1190"/>
      <c r="Z114" s="1190"/>
      <c r="AA114" s="1190"/>
      <c r="AB114" s="1110"/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90"/>
      <c r="S115" s="1190"/>
      <c r="T115" s="1190"/>
      <c r="U115" s="1190"/>
      <c r="V115" s="1190"/>
      <c r="W115" s="1293"/>
      <c r="X115" s="1191"/>
      <c r="Y115" s="1190"/>
      <c r="Z115" s="1190"/>
      <c r="AA115" s="1190"/>
      <c r="AB115" s="1241"/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293"/>
      <c r="X116" s="1191"/>
      <c r="Y116" s="1190"/>
      <c r="Z116" s="1190"/>
      <c r="AA116" s="1190"/>
      <c r="AB116" s="1241"/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353"/>
      <c r="S117" s="1339"/>
      <c r="T117" s="1190"/>
      <c r="U117" s="1190"/>
      <c r="V117" s="1190"/>
      <c r="W117" s="1293"/>
      <c r="X117" s="1191"/>
      <c r="Y117" s="1190"/>
      <c r="Z117" s="1190"/>
      <c r="AA117" s="1190"/>
      <c r="AB117" s="1241"/>
      <c r="AC117" s="1217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90"/>
      <c r="S118" s="1224"/>
      <c r="T118" s="1190"/>
      <c r="U118" s="1224"/>
      <c r="V118" s="1224"/>
      <c r="W118" s="1293"/>
      <c r="X118" s="1225"/>
      <c r="Y118" s="1190"/>
      <c r="Z118" s="1190"/>
      <c r="AA118" s="1190"/>
      <c r="AB118" s="1241"/>
      <c r="AC118" s="1217"/>
      <c r="AD118" s="1326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224"/>
      <c r="T119" s="1294"/>
      <c r="U119" s="1224"/>
      <c r="V119" s="1224"/>
      <c r="W119" s="1293"/>
      <c r="X119" s="1225"/>
      <c r="Y119" s="1190"/>
      <c r="Z119" s="1190"/>
      <c r="AA119" s="1190"/>
      <c r="AB119" s="1241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224"/>
      <c r="T120" s="1294"/>
      <c r="U120" s="1224"/>
      <c r="V120" s="1224"/>
      <c r="W120" s="1293"/>
      <c r="X120" s="1225"/>
      <c r="Y120" s="1190"/>
      <c r="Z120" s="1190"/>
      <c r="AA120" s="1190"/>
      <c r="AB120" s="1241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224"/>
      <c r="T121" s="1279"/>
      <c r="U121" s="1224"/>
      <c r="V121" s="1224"/>
      <c r="W121" s="1293"/>
      <c r="X121" s="1225"/>
      <c r="Y121" s="1190"/>
      <c r="Z121" s="1190"/>
      <c r="AA121" s="1190"/>
      <c r="AB121" s="1241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190"/>
      <c r="T122" s="1217"/>
      <c r="U122" s="1190"/>
      <c r="V122" s="1224"/>
      <c r="W122" s="1293"/>
      <c r="X122" s="1191"/>
      <c r="Y122" s="1190"/>
      <c r="Z122" s="1217"/>
      <c r="AA122" s="1217"/>
      <c r="AB122" s="1218"/>
      <c r="AC122" s="1190"/>
      <c r="AD122" s="1329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17"/>
      <c r="S123" s="1217"/>
      <c r="T123" s="1294"/>
      <c r="U123" s="1294"/>
      <c r="V123" s="1224"/>
      <c r="W123" s="1293"/>
      <c r="X123" s="1191"/>
      <c r="Y123" s="1294"/>
      <c r="Z123" s="1294"/>
      <c r="AA123" s="1294"/>
      <c r="AB123" s="1294"/>
      <c r="AC123" s="1217"/>
      <c r="AD123" s="1326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17"/>
      <c r="S124" s="1217"/>
      <c r="T124" s="1294"/>
      <c r="U124" s="1294"/>
      <c r="V124" s="1224"/>
      <c r="W124" s="1293"/>
      <c r="X124" s="1191"/>
      <c r="Y124" s="1294"/>
      <c r="Z124" s="1294"/>
      <c r="AA124" s="1294"/>
      <c r="AB124" s="1294"/>
      <c r="AC124" s="1217"/>
      <c r="AD124" s="1326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17"/>
      <c r="S125" s="1217"/>
      <c r="T125" s="1294"/>
      <c r="U125" s="1190"/>
      <c r="V125" s="1294"/>
      <c r="W125" s="1294"/>
      <c r="X125" s="1191"/>
      <c r="Y125" s="1294"/>
      <c r="Z125" s="1190"/>
      <c r="AA125" s="1190"/>
      <c r="AB125" s="1294"/>
      <c r="AC125" s="1217"/>
      <c r="AD125" s="1326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17"/>
      <c r="S126" s="1217"/>
      <c r="T126" s="1294"/>
      <c r="U126" s="1190"/>
      <c r="V126" s="1294"/>
      <c r="W126" s="1294"/>
      <c r="X126" s="1191"/>
      <c r="Y126" s="1294"/>
      <c r="Z126" s="1190"/>
      <c r="AA126" s="1190"/>
      <c r="AB126" s="1294"/>
      <c r="AC126" s="1217"/>
      <c r="AD126" s="13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17"/>
      <c r="S127" s="1217"/>
      <c r="T127" s="1217"/>
      <c r="U127" s="1190"/>
      <c r="V127" s="1294"/>
      <c r="W127" s="1294"/>
      <c r="X127" s="1191"/>
      <c r="Y127" s="1294"/>
      <c r="Z127" s="1190"/>
      <c r="AA127" s="1190"/>
      <c r="AB127" s="1294"/>
      <c r="AC127" s="1217"/>
      <c r="AD127" s="13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190"/>
      <c r="V128" s="1294"/>
      <c r="W128" s="1294"/>
      <c r="X128" s="1191"/>
      <c r="Y128" s="1294"/>
      <c r="Z128" s="1190"/>
      <c r="AA128" s="1190"/>
      <c r="AB128" s="1200"/>
      <c r="AC128" s="1217"/>
      <c r="AD128" s="1326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17"/>
      <c r="S129" s="1217"/>
      <c r="T129" s="1217"/>
      <c r="U129" s="1190"/>
      <c r="V129" s="1294"/>
      <c r="W129" s="1294"/>
      <c r="X129" s="1191"/>
      <c r="Y129" s="1190"/>
      <c r="Z129" s="1190"/>
      <c r="AA129" s="1190"/>
      <c r="AB129" s="1200"/>
      <c r="AC129" s="1217"/>
      <c r="AD129" s="1326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17"/>
      <c r="S130" s="1217"/>
      <c r="T130" s="1294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17"/>
      <c r="S131" s="1217"/>
      <c r="T131" s="1294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17"/>
      <c r="S132" s="1217"/>
      <c r="T132" s="1294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17"/>
      <c r="S133" s="1217"/>
      <c r="T133" s="1217"/>
      <c r="U133" s="1190"/>
      <c r="V133" s="1190"/>
      <c r="W133" s="1294"/>
      <c r="X133" s="1191"/>
      <c r="Y133" s="1190"/>
      <c r="Z133" s="1190"/>
      <c r="AA133" s="1190"/>
      <c r="AB133" s="1200"/>
      <c r="AC133" s="1217"/>
      <c r="AD133" s="1326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17"/>
      <c r="S134" s="1217"/>
      <c r="T134" s="1217"/>
      <c r="U134" s="1190"/>
      <c r="V134" s="1190"/>
      <c r="W134" s="1294"/>
      <c r="X134" s="1191"/>
      <c r="Y134" s="1190"/>
      <c r="Z134" s="1190"/>
      <c r="AA134" s="1190"/>
      <c r="AB134" s="1200"/>
      <c r="AC134" s="1217"/>
      <c r="AD134" s="1326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17"/>
      <c r="S135" s="1217"/>
      <c r="T135" s="1294"/>
      <c r="U135" s="1190"/>
      <c r="V135" s="1190"/>
      <c r="W135" s="1190"/>
      <c r="X135" s="1191"/>
      <c r="Y135" s="1190"/>
      <c r="Z135" s="1190"/>
      <c r="AA135" s="1190"/>
      <c r="AB135" s="1200"/>
      <c r="AC135" s="1217"/>
      <c r="AD135" s="1326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294"/>
      <c r="T136" s="1217"/>
      <c r="U136" s="1190"/>
      <c r="V136" s="1190"/>
      <c r="W136" s="1294"/>
      <c r="X136" s="1191"/>
      <c r="Y136" s="1190"/>
      <c r="Z136" s="1190"/>
      <c r="AA136" s="1190"/>
      <c r="AB136" s="1200"/>
      <c r="AC136" s="1217"/>
      <c r="AD136" s="132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294"/>
      <c r="T137" s="1294"/>
      <c r="U137" s="1190"/>
      <c r="V137" s="1190"/>
      <c r="W137" s="1294"/>
      <c r="X137" s="1191"/>
      <c r="Y137" s="1190"/>
      <c r="Z137" s="1190"/>
      <c r="AA137" s="1190"/>
      <c r="AB137" s="1200"/>
      <c r="AC137" s="1217"/>
      <c r="AD137" s="1326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224"/>
      <c r="T138" s="1279"/>
      <c r="U138" s="1224"/>
      <c r="V138" s="1224"/>
      <c r="W138" s="1294"/>
      <c r="X138" s="1225"/>
      <c r="Y138" s="1190"/>
      <c r="Z138" s="1190"/>
      <c r="AA138" s="1190"/>
      <c r="AB138" s="1241"/>
      <c r="AC138" s="1217"/>
      <c r="AD138" s="1326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224"/>
      <c r="T139" s="1279"/>
      <c r="U139" s="1224"/>
      <c r="V139" s="1224"/>
      <c r="W139" s="1224"/>
      <c r="X139" s="1225"/>
      <c r="Y139" s="1190"/>
      <c r="Z139" s="1190"/>
      <c r="AA139" s="1190"/>
      <c r="AB139" s="1241"/>
      <c r="AC139" s="1217"/>
      <c r="AD139" s="1326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224"/>
      <c r="T140" s="1279"/>
      <c r="U140" s="1224"/>
      <c r="V140" s="1224"/>
      <c r="W140" s="1294"/>
      <c r="X140" s="1225"/>
      <c r="Y140" s="1190"/>
      <c r="Z140" s="1190"/>
      <c r="AA140" s="1190"/>
      <c r="AB140" s="1241"/>
      <c r="AC140" s="1217"/>
      <c r="AD140" s="1326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190"/>
      <c r="S141" s="1224"/>
      <c r="T141" s="1279"/>
      <c r="U141" s="1224"/>
      <c r="V141" s="1224"/>
      <c r="W141" s="1224"/>
      <c r="X141" s="1225"/>
      <c r="Y141" s="1190"/>
      <c r="Z141" s="1190"/>
      <c r="AA141" s="1190"/>
      <c r="AB141" s="1241"/>
      <c r="AC141" s="1217"/>
      <c r="AD141" s="1326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190"/>
      <c r="S142" s="1224"/>
      <c r="T142" s="1279"/>
      <c r="U142" s="1224"/>
      <c r="V142" s="1224"/>
      <c r="W142" s="1224"/>
      <c r="X142" s="1225"/>
      <c r="Y142" s="1190"/>
      <c r="Z142" s="1190"/>
      <c r="AA142" s="1190"/>
      <c r="AB142" s="1241"/>
      <c r="AC142" s="1217"/>
      <c r="AD142" s="1326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190"/>
      <c r="S143" s="1224"/>
      <c r="T143" s="1279"/>
      <c r="U143" s="1224"/>
      <c r="V143" s="1224"/>
      <c r="W143" s="1224"/>
      <c r="X143" s="1225"/>
      <c r="Y143" s="1190"/>
      <c r="Z143" s="1190"/>
      <c r="AA143" s="1190"/>
      <c r="AB143" s="1241"/>
      <c r="AC143" s="1217"/>
      <c r="AD143" s="1326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190"/>
      <c r="S144" s="1224"/>
      <c r="T144" s="1279"/>
      <c r="U144" s="1224"/>
      <c r="V144" s="1224"/>
      <c r="W144" s="1224"/>
      <c r="X144" s="1225"/>
      <c r="Y144" s="1190"/>
      <c r="Z144" s="1190"/>
      <c r="AA144" s="1190"/>
      <c r="AB144" s="1241"/>
      <c r="AC144" s="1217"/>
      <c r="AD144" s="1326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190"/>
      <c r="S145" s="1224"/>
      <c r="T145" s="1279"/>
      <c r="U145" s="1224"/>
      <c r="V145" s="1224"/>
      <c r="W145" s="1190"/>
      <c r="X145" s="1225"/>
      <c r="Y145" s="1190"/>
      <c r="Z145" s="1190"/>
      <c r="AA145" s="1190"/>
      <c r="AB145" s="1241"/>
      <c r="AC145" s="1217"/>
      <c r="AD145" s="1326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190"/>
      <c r="S146" s="1224"/>
      <c r="T146" s="1279"/>
      <c r="U146" s="1224"/>
      <c r="V146" s="1224"/>
      <c r="W146" s="1294"/>
      <c r="X146" s="1225"/>
      <c r="Y146" s="1190"/>
      <c r="Z146" s="1190"/>
      <c r="AA146" s="1190"/>
      <c r="AB146" s="1241"/>
      <c r="AC146" s="1217"/>
      <c r="AD146" s="1326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190"/>
      <c r="S147" s="1224"/>
      <c r="T147" s="1279"/>
      <c r="U147" s="1224"/>
      <c r="V147" s="1224"/>
      <c r="W147" s="1294"/>
      <c r="X147" s="1225"/>
      <c r="Y147" s="1190"/>
      <c r="Z147" s="1190"/>
      <c r="AA147" s="1190"/>
      <c r="AB147" s="1241"/>
      <c r="AC147" s="1217"/>
      <c r="AD147" s="1326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190"/>
      <c r="S148" s="1224"/>
      <c r="T148" s="1279"/>
      <c r="U148" s="1224"/>
      <c r="V148" s="1224"/>
      <c r="W148" s="1294"/>
      <c r="X148" s="1225"/>
      <c r="Y148" s="1190"/>
      <c r="Z148" s="1190"/>
      <c r="AA148" s="1190"/>
      <c r="AB148" s="1241"/>
      <c r="AC148" s="1217"/>
      <c r="AD148" s="1326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190"/>
      <c r="S149" s="1224"/>
      <c r="T149" s="1279"/>
      <c r="U149" s="1224"/>
      <c r="V149" s="1224"/>
      <c r="W149" s="1190"/>
      <c r="X149" s="1225"/>
      <c r="Y149" s="1190"/>
      <c r="Z149" s="1190"/>
      <c r="AA149" s="1190"/>
      <c r="AB149" s="1241"/>
      <c r="AC149" s="1217"/>
      <c r="AD149" s="1326"/>
    </row>
    <row r="150" spans="1:30" s="44" customFormat="1" ht="15.6">
      <c r="R150" s="1190"/>
      <c r="S150" s="1224"/>
      <c r="T150" s="1279"/>
      <c r="U150" s="1224"/>
      <c r="V150" s="1224"/>
      <c r="W150" s="1190"/>
      <c r="X150" s="1225"/>
      <c r="Y150" s="1190"/>
      <c r="Z150" s="1190"/>
      <c r="AA150" s="1190"/>
      <c r="AB150" s="1241"/>
      <c r="AC150" s="1217"/>
      <c r="AD150" s="1326"/>
    </row>
    <row r="151" spans="1:30" s="44" customFormat="1" ht="15.6">
      <c r="R151" s="1190"/>
      <c r="S151" s="1224"/>
      <c r="T151" s="1279"/>
      <c r="U151" s="1224"/>
      <c r="V151" s="1224"/>
      <c r="W151" s="1294"/>
      <c r="X151" s="1225"/>
      <c r="Y151" s="1190"/>
      <c r="Z151" s="1190"/>
      <c r="AA151" s="1190"/>
      <c r="AB151" s="1241"/>
      <c r="AC151" s="1217"/>
      <c r="AD151" s="1326"/>
    </row>
    <row r="152" spans="1:30" s="44" customFormat="1" ht="15.6">
      <c r="R152" s="1190"/>
      <c r="S152" s="1224"/>
      <c r="T152" s="1279"/>
      <c r="U152" s="1224"/>
      <c r="V152" s="1224"/>
      <c r="W152" s="1294"/>
      <c r="X152" s="1225"/>
      <c r="Y152" s="1190"/>
      <c r="Z152" s="1190"/>
      <c r="AA152" s="1190"/>
      <c r="AB152" s="1241"/>
      <c r="AC152" s="1217"/>
      <c r="AD152" s="1326"/>
    </row>
    <row r="153" spans="1:30" s="44" customFormat="1" ht="15.6">
      <c r="R153" s="1190"/>
      <c r="S153" s="1224"/>
      <c r="T153" s="1279"/>
      <c r="U153" s="1224"/>
      <c r="V153" s="1224"/>
      <c r="W153" s="1294"/>
      <c r="X153" s="1225"/>
      <c r="Y153" s="1190"/>
      <c r="Z153" s="1190"/>
      <c r="AA153" s="1190"/>
      <c r="AB153" s="1241"/>
      <c r="AC153" s="1217"/>
      <c r="AD153" s="1326"/>
    </row>
    <row r="154" spans="1:30" s="44" customFormat="1" ht="15.6">
      <c r="R154" s="1190"/>
      <c r="S154" s="1224"/>
      <c r="T154" s="1279"/>
      <c r="U154" s="1224"/>
      <c r="V154" s="1224"/>
      <c r="W154" s="1294"/>
      <c r="X154" s="1225"/>
      <c r="Y154" s="1190"/>
      <c r="Z154" s="1190"/>
      <c r="AA154" s="1190"/>
      <c r="AB154" s="1241"/>
      <c r="AC154" s="1217"/>
      <c r="AD154" s="1326"/>
    </row>
    <row r="155" spans="1:30" s="44" customFormat="1" ht="15.6">
      <c r="R155" s="1190"/>
      <c r="S155" s="1224"/>
      <c r="T155" s="1279"/>
      <c r="U155" s="1224"/>
      <c r="V155" s="1224"/>
      <c r="W155" s="1294"/>
      <c r="X155" s="1225"/>
      <c r="Y155" s="1190"/>
      <c r="Z155" s="1190"/>
      <c r="AA155" s="1190"/>
      <c r="AB155" s="1241"/>
      <c r="AC155" s="1217"/>
      <c r="AD155" s="1326"/>
    </row>
    <row r="156" spans="1:30" s="44" customFormat="1" ht="15.6">
      <c r="R156" s="1190"/>
      <c r="S156" s="1224"/>
      <c r="T156" s="1279"/>
      <c r="U156" s="1224"/>
      <c r="V156" s="1224"/>
      <c r="W156" s="1294"/>
      <c r="X156" s="1225"/>
      <c r="Y156" s="1190"/>
      <c r="Z156" s="1190"/>
      <c r="AA156" s="1190"/>
      <c r="AB156" s="1241"/>
      <c r="AC156" s="1217"/>
      <c r="AD156" s="1326"/>
    </row>
    <row r="157" spans="1:30" s="44" customFormat="1" ht="15.6">
      <c r="R157" s="1190"/>
      <c r="S157" s="1224"/>
      <c r="T157" s="1279"/>
      <c r="U157" s="1224"/>
      <c r="V157" s="1224"/>
      <c r="W157" s="1294"/>
      <c r="X157" s="1225"/>
      <c r="Y157" s="1190"/>
      <c r="Z157" s="1190"/>
      <c r="AA157" s="1190"/>
      <c r="AB157" s="1241"/>
      <c r="AC157" s="1217"/>
      <c r="AD157" s="1326"/>
    </row>
    <row r="158" spans="1:30" s="44" customFormat="1" ht="15.6">
      <c r="R158" s="1190"/>
      <c r="S158" s="1224"/>
      <c r="T158" s="1279"/>
      <c r="U158" s="1224"/>
      <c r="V158" s="1224"/>
      <c r="W158" s="1294"/>
      <c r="X158" s="1225"/>
      <c r="Y158" s="1190"/>
      <c r="Z158" s="1190"/>
      <c r="AA158" s="1190"/>
      <c r="AB158" s="1241"/>
      <c r="AC158" s="1217"/>
      <c r="AD158" s="1326"/>
    </row>
    <row r="159" spans="1:30" s="44" customFormat="1" ht="15.6">
      <c r="R159" s="1190"/>
      <c r="S159" s="1224"/>
      <c r="T159" s="1279"/>
      <c r="U159" s="1224"/>
      <c r="V159" s="1224"/>
      <c r="W159" s="1294"/>
      <c r="X159" s="1225"/>
      <c r="Y159" s="1190"/>
      <c r="Z159" s="1190"/>
      <c r="AA159" s="1190"/>
      <c r="AB159" s="1241"/>
      <c r="AC159" s="1217"/>
      <c r="AD159" s="1326"/>
    </row>
    <row r="160" spans="1:30" s="44" customFormat="1" ht="15.6">
      <c r="R160" s="1190"/>
      <c r="S160" s="1224"/>
      <c r="T160" s="1279"/>
      <c r="U160" s="1224"/>
      <c r="V160" s="1224"/>
      <c r="W160" s="1294"/>
      <c r="X160" s="1225"/>
      <c r="Y160" s="1190"/>
      <c r="Z160" s="1190"/>
      <c r="AA160" s="1190"/>
      <c r="AB160" s="1241"/>
      <c r="AC160" s="1217"/>
      <c r="AD160" s="1326"/>
    </row>
    <row r="161" spans="18:30" s="44" customFormat="1" ht="15.6">
      <c r="R161" s="1190"/>
      <c r="S161" s="1224"/>
      <c r="T161" s="1279"/>
      <c r="U161" s="1224"/>
      <c r="V161" s="1224"/>
      <c r="W161" s="1294"/>
      <c r="X161" s="1225"/>
      <c r="Y161" s="1190"/>
      <c r="Z161" s="1190"/>
      <c r="AA161" s="1190"/>
      <c r="AB161" s="1241"/>
      <c r="AC161" s="1217"/>
      <c r="AD161" s="1326"/>
    </row>
    <row r="162" spans="18:30" s="44" customFormat="1" ht="15.6">
      <c r="R162" s="1190"/>
      <c r="S162" s="1294"/>
      <c r="T162" s="1293"/>
      <c r="U162" s="1190"/>
      <c r="V162" s="1217"/>
      <c r="W162" s="1190"/>
      <c r="X162" s="1191"/>
      <c r="Y162" s="1190"/>
      <c r="Z162" s="1190"/>
      <c r="AA162" s="1190"/>
      <c r="AB162" s="1241"/>
      <c r="AC162" s="1217"/>
      <c r="AD162" s="1326"/>
    </row>
    <row r="163" spans="18:30" s="44" customFormat="1" ht="15.6">
      <c r="R163" s="1190"/>
      <c r="S163" s="1294"/>
      <c r="T163" s="1293"/>
      <c r="U163" s="1190"/>
      <c r="V163" s="1217"/>
      <c r="W163" s="1190"/>
      <c r="X163" s="1191"/>
      <c r="Y163" s="1190"/>
      <c r="Z163" s="1190"/>
      <c r="AA163" s="1190"/>
      <c r="AB163" s="1241"/>
      <c r="AC163" s="1217"/>
      <c r="AD163" s="1326"/>
    </row>
    <row r="164" spans="18:30" s="44" customFormat="1" ht="15.6">
      <c r="R164" s="1190"/>
      <c r="S164" s="1294"/>
      <c r="T164" s="1293"/>
      <c r="U164" s="1190"/>
      <c r="V164" s="1217"/>
      <c r="W164" s="1190"/>
      <c r="X164" s="1191"/>
      <c r="Y164" s="1190"/>
      <c r="Z164" s="1190"/>
      <c r="AA164" s="1190"/>
      <c r="AB164" s="1200"/>
      <c r="AC164" s="1217"/>
      <c r="AD164" s="1326"/>
    </row>
    <row r="165" spans="18:30" s="44" customFormat="1" ht="15.6">
      <c r="R165" s="1190"/>
      <c r="S165" s="1190"/>
      <c r="T165" s="1293"/>
      <c r="U165" s="1190"/>
      <c r="V165" s="1190"/>
      <c r="W165" s="1190"/>
      <c r="X165" s="1191"/>
      <c r="Y165" s="1190"/>
      <c r="Z165" s="1190"/>
      <c r="AA165" s="1190"/>
      <c r="AB165" s="1200"/>
      <c r="AC165" s="1217"/>
      <c r="AD165" s="1326"/>
    </row>
    <row r="166" spans="18:30" s="44" customFormat="1" ht="15.6">
      <c r="R166" s="1190"/>
      <c r="S166" s="1190"/>
      <c r="T166" s="1293"/>
      <c r="U166" s="1190"/>
      <c r="V166" s="1190"/>
      <c r="W166" s="1190"/>
      <c r="X166" s="1191"/>
      <c r="Y166" s="1190"/>
      <c r="Z166" s="1190"/>
      <c r="AA166" s="1190"/>
      <c r="AB166" s="1200"/>
      <c r="AC166" s="1217"/>
      <c r="AD166" s="1326"/>
    </row>
    <row r="167" spans="18:30" s="44" customFormat="1" ht="15.6">
      <c r="R167" s="1190"/>
      <c r="S167" s="1190"/>
      <c r="T167" s="1293"/>
      <c r="U167" s="1190"/>
      <c r="V167" s="1190"/>
      <c r="W167" s="1190"/>
      <c r="X167" s="1191"/>
      <c r="Y167" s="1190"/>
      <c r="Z167" s="1190"/>
      <c r="AA167" s="1190"/>
      <c r="AB167" s="1200"/>
      <c r="AC167" s="1217"/>
      <c r="AD167" s="1326"/>
    </row>
    <row r="168" spans="18:30" s="44" customFormat="1" ht="15.6">
      <c r="R168" s="1190"/>
      <c r="S168" s="1190"/>
      <c r="T168" s="1293"/>
      <c r="U168" s="1190"/>
      <c r="V168" s="1190"/>
      <c r="W168" s="1190"/>
      <c r="X168" s="1191"/>
      <c r="Y168" s="1190"/>
      <c r="Z168" s="1190"/>
      <c r="AA168" s="1190"/>
      <c r="AB168" s="1200"/>
      <c r="AC168" s="1217"/>
      <c r="AD168" s="1326"/>
    </row>
    <row r="169" spans="18:30" s="44" customFormat="1" ht="15.6">
      <c r="R169" s="1190"/>
      <c r="S169" s="1190"/>
      <c r="T169" s="1293"/>
      <c r="U169" s="1190"/>
      <c r="V169" s="1190"/>
      <c r="W169" s="1190"/>
      <c r="X169" s="1191"/>
      <c r="Y169" s="1190"/>
      <c r="Z169" s="1190"/>
      <c r="AA169" s="1190"/>
      <c r="AB169" s="1200"/>
      <c r="AC169" s="1217"/>
      <c r="AD169" s="1326"/>
    </row>
    <row r="170" spans="18:30" s="44" customFormat="1" ht="15.6">
      <c r="R170" s="1190"/>
      <c r="S170" s="1190"/>
      <c r="T170" s="1293"/>
      <c r="U170" s="1190"/>
      <c r="V170" s="1190"/>
      <c r="W170" s="1190"/>
      <c r="X170" s="1191"/>
      <c r="Y170" s="1190"/>
      <c r="Z170" s="1190"/>
      <c r="AA170" s="1190"/>
      <c r="AB170" s="1200"/>
      <c r="AC170" s="1217"/>
      <c r="AD170" s="1326"/>
    </row>
    <row r="171" spans="18:30" s="44" customFormat="1" ht="15.6">
      <c r="R171" s="1190"/>
      <c r="S171" s="1190"/>
      <c r="T171" s="1293"/>
      <c r="U171" s="1190"/>
      <c r="V171" s="1190"/>
      <c r="W171" s="1190"/>
      <c r="X171" s="1191"/>
      <c r="Y171" s="1190"/>
      <c r="Z171" s="1190"/>
      <c r="AA171" s="1190"/>
      <c r="AB171" s="1200"/>
      <c r="AC171" s="1217"/>
      <c r="AD171" s="1326"/>
    </row>
    <row r="172" spans="18:30" s="44" customFormat="1" ht="15.6">
      <c r="R172" s="1190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200"/>
      <c r="AC172" s="1217"/>
      <c r="AD172" s="1326"/>
    </row>
    <row r="173" spans="18:30" s="44" customFormat="1" ht="15.6">
      <c r="R173" s="1190"/>
      <c r="S173" s="1190"/>
      <c r="T173" s="1293"/>
      <c r="U173" s="1190"/>
      <c r="V173" s="1190"/>
      <c r="W173" s="1190"/>
      <c r="X173" s="1191"/>
      <c r="Y173" s="1190"/>
      <c r="Z173" s="1190"/>
      <c r="AA173" s="1190"/>
      <c r="AB173" s="1200"/>
      <c r="AC173" s="1217"/>
      <c r="AD173" s="1326"/>
    </row>
    <row r="174" spans="18:30" s="44" customFormat="1" ht="15.6">
      <c r="R174" s="1190"/>
      <c r="S174" s="1190"/>
      <c r="T174" s="1293"/>
      <c r="U174" s="1190"/>
      <c r="V174" s="1190"/>
      <c r="W174" s="1190"/>
      <c r="X174" s="1191"/>
      <c r="Y174" s="1190"/>
      <c r="Z174" s="1190"/>
      <c r="AA174" s="1190"/>
      <c r="AB174" s="1200"/>
      <c r="AC174" s="1217"/>
      <c r="AD174" s="1326"/>
    </row>
    <row r="175" spans="18:30" s="44" customFormat="1" ht="15.6">
      <c r="R175" s="1190"/>
      <c r="S175" s="1190"/>
      <c r="T175" s="1293"/>
      <c r="U175" s="1190"/>
      <c r="V175" s="1190"/>
      <c r="W175" s="1190"/>
      <c r="X175" s="1191"/>
      <c r="Y175" s="1190"/>
      <c r="Z175" s="1190"/>
      <c r="AA175" s="1190"/>
      <c r="AB175" s="1200"/>
      <c r="AC175" s="1217"/>
      <c r="AD175" s="1326"/>
    </row>
    <row r="176" spans="18:30" s="44" customFormat="1">
      <c r="R176" s="1190"/>
      <c r="S176" s="1190"/>
      <c r="T176" s="1293"/>
      <c r="U176" s="1190"/>
      <c r="V176" s="1190"/>
      <c r="W176" s="1190"/>
      <c r="X176" s="1191"/>
      <c r="Y176" s="1190"/>
      <c r="Z176" s="1190"/>
      <c r="AA176" s="1190"/>
      <c r="AB176" s="1190"/>
      <c r="AC176" s="1217"/>
      <c r="AD176" s="1326"/>
    </row>
    <row r="177" spans="18:30" s="44" customFormat="1" ht="15.6">
      <c r="R177" s="1190"/>
      <c r="S177" s="1190"/>
      <c r="T177" s="1224"/>
      <c r="U177" s="1190"/>
      <c r="V177" s="1190"/>
      <c r="W177" s="1190"/>
      <c r="X177" s="1191"/>
      <c r="Y177" s="1190"/>
      <c r="Z177" s="1217"/>
      <c r="AA177" s="1217"/>
      <c r="AB177" s="1218"/>
      <c r="AC177" s="1190"/>
      <c r="AD177" s="1326"/>
    </row>
    <row r="178" spans="18:30" s="44" customFormat="1" ht="15.6">
      <c r="R178" s="1190"/>
      <c r="S178" s="1190"/>
      <c r="T178" s="1190"/>
      <c r="U178" s="1190"/>
      <c r="V178" s="1190"/>
      <c r="W178" s="1190"/>
      <c r="X178" s="1191"/>
      <c r="Y178" s="1190"/>
      <c r="Z178" s="1217"/>
      <c r="AA178" s="1217"/>
      <c r="AB178" s="1218"/>
      <c r="AC178" s="1190"/>
      <c r="AD178" s="1326"/>
    </row>
    <row r="179" spans="18:30" s="44" customFormat="1" ht="15.6">
      <c r="R179" s="1190"/>
      <c r="S179" s="1190"/>
      <c r="T179" s="1190"/>
      <c r="U179" s="1190"/>
      <c r="V179" s="1190"/>
      <c r="W179" s="1190"/>
      <c r="X179" s="1191"/>
      <c r="Y179" s="1190"/>
      <c r="Z179" s="1217"/>
      <c r="AA179" s="1217"/>
      <c r="AB179" s="1218"/>
      <c r="AC179" s="1190"/>
      <c r="AD179" s="1326"/>
    </row>
    <row r="180" spans="18:30" s="44" customFormat="1" ht="15.6">
      <c r="R180" s="1190"/>
      <c r="S180" s="1190"/>
      <c r="T180" s="1217"/>
      <c r="U180" s="1190"/>
      <c r="V180" s="1190"/>
      <c r="W180" s="1190"/>
      <c r="X180" s="1191"/>
      <c r="Y180" s="1190"/>
      <c r="Z180" s="1217"/>
      <c r="AA180" s="1217"/>
      <c r="AB180" s="1218"/>
      <c r="AC180" s="1190"/>
      <c r="AD180" s="1326"/>
    </row>
    <row r="181" spans="18:30" s="44" customFormat="1" ht="15.6">
      <c r="R181" s="1190"/>
      <c r="S181" s="1190"/>
      <c r="T181" s="1217"/>
      <c r="U181" s="1190"/>
      <c r="V181" s="1190"/>
      <c r="W181" s="1190"/>
      <c r="X181" s="1191"/>
      <c r="Y181" s="1190"/>
      <c r="Z181" s="1217"/>
      <c r="AA181" s="1217"/>
      <c r="AB181" s="1218"/>
      <c r="AC181" s="1190"/>
      <c r="AD181" s="1326"/>
    </row>
    <row r="182" spans="18:30" s="44" customFormat="1" ht="15.6">
      <c r="R182" s="1190"/>
      <c r="S182" s="1190"/>
      <c r="T182" s="1217"/>
      <c r="U182" s="1190"/>
      <c r="V182" s="1190"/>
      <c r="W182" s="1190"/>
      <c r="X182" s="1191"/>
      <c r="Y182" s="1190"/>
      <c r="Z182" s="1217"/>
      <c r="AA182" s="1217"/>
      <c r="AB182" s="1218"/>
      <c r="AC182" s="1190"/>
      <c r="AD182" s="1326"/>
    </row>
    <row r="183" spans="18:30" s="44" customFormat="1" ht="15.6">
      <c r="R183" s="1190"/>
      <c r="S183" s="1190"/>
      <c r="T183" s="1217"/>
      <c r="U183" s="1190"/>
      <c r="V183" s="1190"/>
      <c r="W183" s="1190"/>
      <c r="X183" s="1191"/>
      <c r="Y183" s="1190"/>
      <c r="Z183" s="1217"/>
      <c r="AA183" s="1217"/>
      <c r="AB183" s="1218"/>
      <c r="AC183" s="1190"/>
      <c r="AD183" s="1326"/>
    </row>
    <row r="184" spans="18:30" s="44" customFormat="1" ht="15.6">
      <c r="R184" s="1190"/>
      <c r="S184" s="1190"/>
      <c r="T184" s="1217"/>
      <c r="U184" s="1190"/>
      <c r="V184" s="1190"/>
      <c r="W184" s="1190"/>
      <c r="X184" s="1191"/>
      <c r="Y184" s="1190"/>
      <c r="Z184" s="1217"/>
      <c r="AA184" s="1217"/>
      <c r="AB184" s="1218"/>
      <c r="AC184" s="1190"/>
      <c r="AD184" s="1326"/>
    </row>
    <row r="185" spans="18:30" s="44" customFormat="1" ht="15.6">
      <c r="R185" s="81"/>
      <c r="S185" s="81"/>
      <c r="T185" s="81"/>
      <c r="U185" s="81"/>
      <c r="V185" s="1190"/>
      <c r="W185" s="1190"/>
      <c r="X185" s="191"/>
      <c r="Y185" s="81"/>
      <c r="Z185" s="1217"/>
      <c r="AA185" s="1217"/>
      <c r="AB185" s="1218"/>
      <c r="AC185" s="1190"/>
      <c r="AD185" s="1326"/>
    </row>
    <row r="186" spans="18:30" s="44" customFormat="1" ht="15.6">
      <c r="R186" s="81"/>
      <c r="S186" s="81"/>
      <c r="T186" s="81"/>
      <c r="U186" s="81"/>
      <c r="V186" s="1190"/>
      <c r="W186" s="1190"/>
      <c r="X186" s="1325"/>
      <c r="Y186" s="1190"/>
      <c r="Z186" s="1190"/>
      <c r="AA186" s="1190"/>
      <c r="AB186" s="1218"/>
      <c r="AC186" s="1190"/>
      <c r="AD186" s="1326"/>
    </row>
    <row r="187" spans="18:30" s="44" customFormat="1" ht="15.6">
      <c r="R187" s="1190"/>
      <c r="S187" s="1190"/>
      <c r="T187" s="1217"/>
      <c r="U187" s="1190"/>
      <c r="V187" s="1190"/>
      <c r="W187" s="1190"/>
      <c r="X187" s="1325"/>
      <c r="Y187" s="1190"/>
      <c r="Z187" s="1190"/>
      <c r="AA187" s="1190"/>
      <c r="AB187" s="1218"/>
      <c r="AC187" s="1190"/>
      <c r="AD187" s="1326"/>
    </row>
    <row r="188" spans="18:30" s="44" customFormat="1" ht="15.6">
      <c r="R188" s="1190"/>
      <c r="S188" s="1190"/>
      <c r="T188" s="1190"/>
      <c r="U188" s="1190"/>
      <c r="V188" s="1190"/>
      <c r="W188" s="1190"/>
      <c r="X188" s="1190"/>
      <c r="Y188" s="1190"/>
      <c r="Z188" s="1190"/>
      <c r="AA188" s="1190"/>
      <c r="AB188" s="1218"/>
      <c r="AC188" s="1190"/>
      <c r="AD188" s="1326"/>
    </row>
    <row r="189" spans="18:30" s="44" customFormat="1" ht="15.6">
      <c r="R189" s="1190"/>
      <c r="S189" s="1190"/>
      <c r="T189" s="1217"/>
      <c r="U189" s="1190"/>
      <c r="V189" s="1190"/>
      <c r="W189" s="1190"/>
      <c r="X189" s="1191"/>
      <c r="Y189" s="1190"/>
      <c r="Z189" s="1217"/>
      <c r="AA189" s="1217"/>
      <c r="AB189" s="1218"/>
      <c r="AC189" s="1190"/>
      <c r="AD189" s="1326"/>
    </row>
    <row r="190" spans="18:30" s="44" customFormat="1" ht="15.6">
      <c r="R190" s="1330"/>
      <c r="S190" s="1331"/>
      <c r="T190" s="1332"/>
      <c r="U190" s="1331"/>
      <c r="V190" s="1331"/>
      <c r="W190" s="1331"/>
      <c r="X190" s="1333"/>
      <c r="Y190" s="1331"/>
      <c r="Z190" s="1332"/>
      <c r="AA190" s="1332"/>
      <c r="AB190" s="1334"/>
      <c r="AC190" s="1335"/>
      <c r="AD190" s="81"/>
    </row>
    <row r="191" spans="18:30" s="44" customFormat="1" ht="15.6">
      <c r="R191" s="1189"/>
      <c r="S191" s="1190"/>
      <c r="T191" s="1217"/>
      <c r="U191" s="1190"/>
      <c r="V191" s="1190"/>
      <c r="W191" s="1190"/>
      <c r="X191" s="1191"/>
      <c r="Y191" s="1190"/>
      <c r="Z191" s="1217"/>
      <c r="AA191" s="1217"/>
      <c r="AB191" s="1218"/>
      <c r="AC191" s="1192"/>
      <c r="AD191" s="81"/>
    </row>
    <row r="192" spans="18:30" s="44" customFormat="1" ht="15.6">
      <c r="R192" s="1189"/>
      <c r="S192" s="1190"/>
      <c r="T192" s="1217"/>
      <c r="U192" s="1190"/>
      <c r="V192" s="1190"/>
      <c r="W192" s="1190"/>
      <c r="X192" s="1191"/>
      <c r="Y192" s="1190"/>
      <c r="Z192" s="1217"/>
      <c r="AA192" s="1217"/>
      <c r="AB192" s="1218"/>
      <c r="AC192" s="1192"/>
      <c r="AD192" s="81"/>
    </row>
    <row r="193" spans="18:30" s="44" customFormat="1" ht="15.6">
      <c r="R193" s="1189"/>
      <c r="S193" s="1190"/>
      <c r="T193" s="1190"/>
      <c r="U193" s="1190"/>
      <c r="V193" s="1190"/>
      <c r="W193" s="1190"/>
      <c r="X193" s="1191"/>
      <c r="Y193" s="1190"/>
      <c r="Z193" s="1217"/>
      <c r="AA193" s="1217"/>
      <c r="AB193" s="1218"/>
      <c r="AC193" s="1192"/>
      <c r="AD193" s="81"/>
    </row>
    <row r="194" spans="18:30" s="44" customFormat="1" ht="15.6">
      <c r="R194" s="1189"/>
      <c r="S194" s="1190"/>
      <c r="T194" s="1217"/>
      <c r="U194" s="1190"/>
      <c r="V194" s="1190"/>
      <c r="W194" s="1190"/>
      <c r="X194" s="1191"/>
      <c r="Y194" s="1190"/>
      <c r="Z194" s="1217"/>
      <c r="AA194" s="1217"/>
      <c r="AB194" s="1218"/>
      <c r="AC194" s="1192"/>
      <c r="AD194" s="81"/>
    </row>
    <row r="195" spans="18:30" s="44" customFormat="1" ht="15.6">
      <c r="R195" s="1189"/>
      <c r="S195" s="1190"/>
      <c r="T195" s="1217"/>
      <c r="U195" s="1190"/>
      <c r="V195" s="1190"/>
      <c r="W195" s="1190"/>
      <c r="X195" s="1191"/>
      <c r="Y195" s="1190"/>
      <c r="Z195" s="1217"/>
      <c r="AA195" s="1217"/>
      <c r="AB195" s="1218"/>
      <c r="AC195" s="1192"/>
      <c r="AD195" s="81"/>
    </row>
    <row r="196" spans="18:30" s="44" customFormat="1" ht="15.6">
      <c r="R196" s="1189"/>
      <c r="S196" s="1190"/>
      <c r="T196" s="1190"/>
      <c r="U196" s="1190"/>
      <c r="V196" s="1190"/>
      <c r="W196" s="1190"/>
      <c r="X196" s="1191"/>
      <c r="Y196" s="1190"/>
      <c r="Z196" s="1217"/>
      <c r="AA196" s="1217"/>
      <c r="AB196" s="1218"/>
      <c r="AC196" s="1192"/>
      <c r="AD196" s="81"/>
    </row>
    <row r="197" spans="18:30" s="44" customFormat="1" ht="15.6">
      <c r="R197" s="1189"/>
      <c r="S197" s="1190"/>
      <c r="T197" s="1217"/>
      <c r="U197" s="1190"/>
      <c r="V197" s="1190"/>
      <c r="W197" s="1190"/>
      <c r="X197" s="1191"/>
      <c r="Y197" s="1190"/>
      <c r="Z197" s="1217"/>
      <c r="AA197" s="1217"/>
      <c r="AB197" s="1218"/>
      <c r="AC197" s="1192"/>
      <c r="AD197" s="81"/>
    </row>
    <row r="198" spans="18:30" s="44" customFormat="1" ht="15.6">
      <c r="R198" s="1189"/>
      <c r="S198" s="1190"/>
      <c r="T198" s="1217"/>
      <c r="U198" s="1190"/>
      <c r="V198" s="1190"/>
      <c r="W198" s="1190"/>
      <c r="X198" s="1191"/>
      <c r="Y198" s="1190"/>
      <c r="Z198" s="1217"/>
      <c r="AA198" s="1217"/>
      <c r="AB198" s="1218"/>
      <c r="AC198" s="1192"/>
      <c r="AD198" s="81"/>
    </row>
    <row r="199" spans="18:30" s="44" customFormat="1" ht="15.6">
      <c r="R199" s="1189"/>
      <c r="S199" s="1190"/>
      <c r="T199" s="1217"/>
      <c r="U199" s="1190"/>
      <c r="V199" s="1190"/>
      <c r="W199" s="1190"/>
      <c r="X199" s="1191"/>
      <c r="Y199" s="1190"/>
      <c r="Z199" s="1217"/>
      <c r="AA199" s="1217"/>
      <c r="AB199" s="1218"/>
      <c r="AC199" s="1192"/>
      <c r="AD199" s="81"/>
    </row>
    <row r="200" spans="18:30" s="44" customFormat="1" ht="15.6">
      <c r="R200" s="1189"/>
      <c r="S200" s="1190"/>
      <c r="T200" s="1217"/>
      <c r="U200" s="1190"/>
      <c r="V200" s="1190"/>
      <c r="W200" s="1190"/>
      <c r="X200" s="1191"/>
      <c r="Y200" s="1190"/>
      <c r="Z200" s="1217"/>
      <c r="AA200" s="1217"/>
      <c r="AB200" s="1218"/>
      <c r="AC200" s="1192"/>
      <c r="AD200" s="81"/>
    </row>
    <row r="201" spans="18:30" s="44" customFormat="1" ht="15.6">
      <c r="R201" s="1189"/>
      <c r="S201" s="1190"/>
      <c r="T201" s="1190"/>
      <c r="U201" s="1190"/>
      <c r="V201" s="1190"/>
      <c r="W201" s="1190"/>
      <c r="X201" s="1191"/>
      <c r="Y201" s="1190"/>
      <c r="Z201" s="1217"/>
      <c r="AA201" s="1217"/>
      <c r="AB201" s="1218"/>
      <c r="AC201" s="1192"/>
      <c r="AD201" s="81"/>
    </row>
    <row r="202" spans="18:30" ht="15.6">
      <c r="R202" s="1189"/>
      <c r="S202" s="1190"/>
      <c r="T202" s="1190"/>
      <c r="U202" s="1190"/>
      <c r="V202" s="1190"/>
      <c r="W202" s="1190"/>
      <c r="X202" s="1191"/>
      <c r="Y202" s="1190"/>
      <c r="Z202" s="1217"/>
      <c r="AA202" s="1217"/>
      <c r="AB202" s="1218"/>
      <c r="AC202" s="1192"/>
      <c r="AD202" s="81"/>
    </row>
    <row r="203" spans="18:30" ht="15.6">
      <c r="R203" s="1189"/>
      <c r="S203" s="1190"/>
      <c r="T203" s="1190"/>
      <c r="U203" s="1190"/>
      <c r="V203" s="1190"/>
      <c r="W203" s="1190"/>
      <c r="X203" s="1191"/>
      <c r="Y203" s="1190"/>
      <c r="Z203" s="1217"/>
      <c r="AA203" s="1217"/>
      <c r="AB203" s="1218"/>
      <c r="AC203" s="1192"/>
      <c r="AD203" s="81"/>
    </row>
    <row r="204" spans="18:30" ht="15.6">
      <c r="R204" s="1189"/>
      <c r="S204" s="1190"/>
      <c r="T204" s="1217"/>
      <c r="U204" s="1190"/>
      <c r="V204" s="1190"/>
      <c r="W204" s="1190"/>
      <c r="X204" s="1191"/>
      <c r="Y204" s="1190"/>
      <c r="Z204" s="1217"/>
      <c r="AA204" s="1217"/>
      <c r="AB204" s="1218"/>
      <c r="AC204" s="1192"/>
      <c r="AD204" s="81"/>
    </row>
    <row r="205" spans="18:30" ht="15.6">
      <c r="R205" s="1189"/>
      <c r="S205" s="1190"/>
      <c r="T205" s="1217"/>
      <c r="U205" s="1190"/>
      <c r="V205" s="1190"/>
      <c r="W205" s="1190"/>
      <c r="X205" s="1191"/>
      <c r="Y205" s="1190"/>
      <c r="Z205" s="1217"/>
      <c r="AA205" s="1217"/>
      <c r="AB205" s="1218"/>
      <c r="AC205" s="1192"/>
      <c r="AD205" s="81"/>
    </row>
    <row r="206" spans="18:30" ht="15.6">
      <c r="R206" s="1189"/>
      <c r="S206" s="1190"/>
      <c r="T206" s="1190"/>
      <c r="U206" s="1190"/>
      <c r="V206" s="1190"/>
      <c r="W206" s="1190"/>
      <c r="X206" s="1191"/>
      <c r="Y206" s="1190"/>
      <c r="Z206" s="1217"/>
      <c r="AA206" s="1217"/>
      <c r="AB206" s="1218"/>
      <c r="AC206" s="1192"/>
      <c r="AD206" s="81"/>
    </row>
    <row r="207" spans="18:30" ht="15.6">
      <c r="R207" s="1189"/>
      <c r="S207" s="1190"/>
      <c r="T207" s="1190"/>
      <c r="U207" s="1190"/>
      <c r="V207" s="1190"/>
      <c r="W207" s="1190"/>
      <c r="X207" s="1191"/>
      <c r="Y207" s="1190"/>
      <c r="Z207" s="1217"/>
      <c r="AA207" s="1217"/>
      <c r="AB207" s="1218"/>
      <c r="AC207" s="1192"/>
      <c r="AD207" s="81"/>
    </row>
    <row r="208" spans="18:30" ht="15.6">
      <c r="R208" s="1189"/>
      <c r="S208" s="1190"/>
      <c r="T208" s="1111"/>
      <c r="U208" s="1190"/>
      <c r="V208" s="1190"/>
      <c r="W208" s="1190"/>
      <c r="X208" s="1191"/>
      <c r="Y208" s="1190"/>
      <c r="Z208" s="1106"/>
      <c r="AA208" s="1106"/>
      <c r="AB208" s="1110"/>
      <c r="AC208" s="1192"/>
      <c r="AD208" s="81"/>
    </row>
    <row r="209" spans="18:30" s="44" customFormat="1" ht="15.6">
      <c r="R209" s="1189"/>
      <c r="S209" s="1190"/>
      <c r="T209" s="1111"/>
      <c r="U209" s="1190"/>
      <c r="V209" s="1190"/>
      <c r="W209" s="1190"/>
      <c r="X209" s="1191"/>
      <c r="Y209" s="1190"/>
      <c r="Z209" s="1190"/>
      <c r="AA209" s="1190"/>
      <c r="AB209" s="1110"/>
      <c r="AC209" s="1192"/>
      <c r="AD209" s="81"/>
    </row>
    <row r="210" spans="18:30" s="44" customFormat="1">
      <c r="R210" s="1189"/>
      <c r="S210" s="1190"/>
      <c r="T210" s="1106"/>
      <c r="U210" s="1190"/>
      <c r="V210" s="1190"/>
      <c r="W210" s="1190"/>
      <c r="X210" s="1191"/>
      <c r="Y210" s="1190"/>
      <c r="Z210" s="1190"/>
      <c r="AA210" s="1190"/>
      <c r="AB210" s="1190"/>
      <c r="AC210" s="1192"/>
      <c r="AD210" s="81"/>
    </row>
    <row r="211" spans="18:30" s="44" customFormat="1">
      <c r="R211" s="1189"/>
      <c r="S211" s="1190"/>
      <c r="T211" s="1190"/>
      <c r="U211" s="1190"/>
      <c r="V211" s="1190"/>
      <c r="W211" s="1190"/>
      <c r="X211" s="1191"/>
      <c r="Y211" s="1190"/>
      <c r="Z211" s="1190"/>
      <c r="AA211" s="1190"/>
      <c r="AB211" s="1190"/>
      <c r="AC211" s="1192"/>
      <c r="AD211" s="81"/>
    </row>
    <row r="212" spans="18:30" s="44" customFormat="1">
      <c r="R212" s="1189"/>
      <c r="S212" s="1190"/>
      <c r="T212" s="1190"/>
      <c r="U212" s="1190"/>
      <c r="V212" s="1190"/>
      <c r="W212" s="1190"/>
      <c r="X212" s="1191"/>
      <c r="Y212" s="1190"/>
      <c r="Z212" s="1190"/>
      <c r="AA212" s="1190"/>
      <c r="AB212" s="1190"/>
      <c r="AC212" s="1192"/>
      <c r="AD212" s="81"/>
    </row>
    <row r="213" spans="18:30" s="44" customFormat="1">
      <c r="R213" s="1189"/>
      <c r="S213" s="1190"/>
      <c r="T213" s="1106"/>
      <c r="U213" s="1190"/>
      <c r="V213" s="1190"/>
      <c r="W213" s="1190"/>
      <c r="X213" s="1191"/>
      <c r="Y213" s="1190"/>
      <c r="Z213" s="1190"/>
      <c r="AA213" s="1190"/>
      <c r="AB213" s="1190"/>
      <c r="AC213" s="1192"/>
      <c r="AD213" s="81"/>
    </row>
    <row r="214" spans="18:30" s="44" customFormat="1">
      <c r="R214" s="1189"/>
      <c r="S214" s="1190"/>
      <c r="T214" s="1106"/>
      <c r="U214" s="1190"/>
      <c r="V214" s="1190"/>
      <c r="W214" s="1190"/>
      <c r="X214" s="1191"/>
      <c r="Y214" s="1190"/>
      <c r="Z214" s="1190"/>
      <c r="AA214" s="1190"/>
      <c r="AB214" s="1190"/>
      <c r="AC214" s="1192"/>
      <c r="AD214" s="26"/>
    </row>
    <row r="215" spans="18:30" s="44" customFormat="1">
      <c r="R215" s="1189"/>
      <c r="S215" s="1190"/>
      <c r="T215" s="1111"/>
      <c r="U215" s="1190"/>
      <c r="V215" s="1190"/>
      <c r="W215" s="1190"/>
      <c r="X215" s="1191"/>
      <c r="Y215" s="1190"/>
      <c r="Z215" s="1190"/>
      <c r="AA215" s="1190"/>
      <c r="AB215" s="1190"/>
      <c r="AC215" s="1192"/>
      <c r="AD215" s="26"/>
    </row>
    <row r="216" spans="18:30" s="44" customFormat="1">
      <c r="R216" s="1189"/>
      <c r="S216" s="1190"/>
      <c r="T216" s="1106"/>
      <c r="U216" s="1190"/>
      <c r="V216" s="1190"/>
      <c r="W216" s="1190"/>
      <c r="X216" s="1191"/>
      <c r="Y216" s="1190"/>
      <c r="Z216" s="1190"/>
      <c r="AA216" s="1190"/>
      <c r="AB216" s="1190"/>
      <c r="AC216" s="1192"/>
      <c r="AD216" s="26"/>
    </row>
    <row r="217" spans="18:30">
      <c r="R217" s="1189"/>
      <c r="S217" s="1190"/>
      <c r="T217" s="1111"/>
      <c r="U217" s="1190"/>
      <c r="V217" s="1190"/>
      <c r="W217" s="1190"/>
      <c r="X217" s="1191"/>
      <c r="Y217" s="1190"/>
      <c r="Z217" s="1190"/>
      <c r="AA217" s="1190"/>
      <c r="AB217" s="1190"/>
      <c r="AC217" s="1192"/>
      <c r="AD217" s="26"/>
    </row>
    <row r="218" spans="18:30">
      <c r="R218" s="1189"/>
      <c r="S218" s="1190"/>
      <c r="T218" s="1106"/>
      <c r="U218" s="1190"/>
      <c r="V218" s="1190"/>
      <c r="W218" s="1190"/>
      <c r="X218" s="1191"/>
      <c r="Y218" s="1190"/>
      <c r="Z218" s="1190"/>
      <c r="AA218" s="1190"/>
      <c r="AB218" s="1190"/>
      <c r="AC218" s="1192"/>
      <c r="AD218" s="26"/>
    </row>
    <row r="219" spans="18:30">
      <c r="R219" s="1189"/>
      <c r="S219" s="1190"/>
      <c r="T219" s="1106"/>
      <c r="U219" s="1190"/>
      <c r="V219" s="1190"/>
      <c r="W219" s="1190"/>
      <c r="X219" s="1191"/>
      <c r="Y219" s="1190"/>
      <c r="Z219" s="1190"/>
      <c r="AA219" s="1190"/>
      <c r="AB219" s="1190"/>
      <c r="AC219" s="1192"/>
      <c r="AD219" s="26"/>
    </row>
    <row r="220" spans="18:30">
      <c r="R220" s="1189"/>
      <c r="S220" s="1190"/>
      <c r="T220" s="1111"/>
      <c r="U220" s="1190"/>
      <c r="V220" s="1190"/>
      <c r="W220" s="1190"/>
      <c r="X220" s="1191"/>
      <c r="Y220" s="1190"/>
      <c r="Z220" s="1190"/>
      <c r="AA220" s="1190"/>
      <c r="AB220" s="1190"/>
      <c r="AC220" s="1192"/>
      <c r="AD220" s="26"/>
    </row>
    <row r="221" spans="18:30">
      <c r="R221" s="1189"/>
      <c r="S221" s="1190"/>
      <c r="T221" s="1106"/>
      <c r="U221" s="1190"/>
      <c r="V221" s="1190"/>
      <c r="W221" s="1190"/>
      <c r="X221" s="1191"/>
      <c r="Y221" s="1190"/>
      <c r="Z221" s="1190"/>
      <c r="AA221" s="1190"/>
      <c r="AB221" s="1190"/>
      <c r="AC221" s="1192"/>
      <c r="AD221" s="26"/>
    </row>
    <row r="222" spans="18:30">
      <c r="R222" s="1189"/>
      <c r="S222" s="1190"/>
      <c r="T222" s="1190"/>
      <c r="U222" s="1190"/>
      <c r="V222" s="1190"/>
      <c r="W222" s="1190"/>
      <c r="X222" s="1191"/>
      <c r="Y222" s="1190"/>
      <c r="Z222" s="1190"/>
      <c r="AA222" s="1190"/>
      <c r="AB222" s="1190"/>
      <c r="AC222" s="1192"/>
      <c r="AD222" s="26"/>
    </row>
    <row r="223" spans="18:30">
      <c r="R223" s="1189"/>
      <c r="S223" s="1190"/>
      <c r="T223" s="1106"/>
      <c r="U223" s="1190"/>
      <c r="V223" s="1190"/>
      <c r="W223" s="1190"/>
      <c r="X223" s="1191"/>
      <c r="Y223" s="1190"/>
      <c r="Z223" s="1190"/>
      <c r="AA223" s="1190"/>
      <c r="AB223" s="1190"/>
      <c r="AC223" s="1192"/>
      <c r="AD223" s="26"/>
    </row>
    <row r="224" spans="18:30">
      <c r="R224" s="1189"/>
      <c r="S224" s="1190"/>
      <c r="T224" s="1106"/>
      <c r="U224" s="1190"/>
      <c r="V224" s="1190"/>
      <c r="W224" s="1190"/>
      <c r="X224" s="1191"/>
      <c r="Y224" s="1190"/>
      <c r="Z224" s="1190"/>
      <c r="AA224" s="1190"/>
      <c r="AB224" s="1190"/>
      <c r="AC224" s="1192"/>
      <c r="AD224" s="26"/>
    </row>
    <row r="225" spans="18:30">
      <c r="R225" s="1189"/>
      <c r="S225" s="1190"/>
      <c r="T225" s="1106"/>
      <c r="U225" s="1190"/>
      <c r="V225" s="1190"/>
      <c r="W225" s="1190"/>
      <c r="X225" s="1191"/>
      <c r="Y225" s="1190"/>
      <c r="Z225" s="1190"/>
      <c r="AA225" s="1190"/>
      <c r="AB225" s="1190"/>
      <c r="AC225" s="1192"/>
      <c r="AD225" s="26"/>
    </row>
    <row r="226" spans="18:30">
      <c r="R226" s="1189"/>
      <c r="S226" s="1190"/>
      <c r="T226" s="1106"/>
      <c r="U226" s="1190"/>
      <c r="V226" s="1190"/>
      <c r="W226" s="1190"/>
      <c r="X226" s="1193"/>
      <c r="Y226" s="1190"/>
      <c r="Z226" s="1190"/>
      <c r="AA226" s="1190"/>
      <c r="AB226" s="1190"/>
      <c r="AC226" s="1192"/>
      <c r="AD226" s="26"/>
    </row>
    <row r="227" spans="18:30">
      <c r="R227" s="1189"/>
      <c r="S227" s="1190"/>
      <c r="T227" s="1111"/>
      <c r="U227" s="1190"/>
      <c r="V227" s="1190"/>
      <c r="W227" s="1190"/>
      <c r="X227" s="1191"/>
      <c r="Y227" s="1190"/>
      <c r="Z227" s="1190"/>
      <c r="AA227" s="1190"/>
      <c r="AB227" s="1190"/>
      <c r="AC227" s="1192"/>
      <c r="AD227" s="26"/>
    </row>
    <row r="228" spans="18:30">
      <c r="R228" s="1194"/>
      <c r="S228" s="1195"/>
      <c r="T228" s="1111"/>
      <c r="U228" s="1195"/>
      <c r="V228" s="1190"/>
      <c r="W228" s="1190"/>
      <c r="X228" s="1196"/>
      <c r="Y228" s="1195"/>
      <c r="Z228" s="1195"/>
      <c r="AA228" s="1195"/>
      <c r="AB228" s="1195"/>
      <c r="AC228" s="1192"/>
      <c r="AD228" s="26"/>
    </row>
    <row r="229" spans="18:30">
      <c r="R229" s="1194"/>
      <c r="S229" s="1195"/>
      <c r="T229" s="1111"/>
      <c r="U229" s="1195"/>
      <c r="V229" s="1190"/>
      <c r="W229" s="1190"/>
      <c r="X229" s="1196"/>
      <c r="Y229" s="1195"/>
      <c r="Z229" s="1195"/>
      <c r="AA229" s="1195"/>
      <c r="AB229" s="1195"/>
      <c r="AC229" s="1192"/>
      <c r="AD229" s="26"/>
    </row>
    <row r="230" spans="18:30">
      <c r="R230" s="1189"/>
      <c r="S230" s="1190"/>
      <c r="T230" s="1111"/>
      <c r="U230" s="1190"/>
      <c r="V230" s="1190"/>
      <c r="W230" s="1190"/>
      <c r="X230" s="1191"/>
      <c r="Y230" s="1195"/>
      <c r="Z230" s="1190"/>
      <c r="AA230" s="1190"/>
      <c r="AB230" s="1190"/>
      <c r="AC230" s="1192"/>
      <c r="AD230" s="26"/>
    </row>
    <row r="231" spans="18:30">
      <c r="R231" s="1189"/>
      <c r="S231" s="1190"/>
      <c r="T231" s="1111"/>
      <c r="U231" s="1190"/>
      <c r="V231" s="1190"/>
      <c r="W231" s="1190"/>
      <c r="X231" s="1191"/>
      <c r="Y231" s="1195"/>
      <c r="Z231" s="1190"/>
      <c r="AA231" s="1190"/>
      <c r="AB231" s="1190"/>
      <c r="AC231" s="1192"/>
      <c r="AD231" s="26"/>
    </row>
    <row r="232" spans="18:30">
      <c r="R232" s="1194"/>
      <c r="S232" s="1195"/>
      <c r="T232" s="1111"/>
      <c r="U232" s="1195"/>
      <c r="V232" s="1195"/>
      <c r="W232" s="1190"/>
      <c r="X232" s="1196"/>
      <c r="Y232" s="1195"/>
      <c r="Z232" s="1195"/>
      <c r="AA232" s="1195"/>
      <c r="AB232" s="1190"/>
      <c r="AC232" s="1192"/>
      <c r="AD232" s="26"/>
    </row>
    <row r="233" spans="18:30">
      <c r="R233" s="1194"/>
      <c r="S233" s="1195"/>
      <c r="T233" s="1106"/>
      <c r="U233" s="1195"/>
      <c r="V233" s="1195"/>
      <c r="W233" s="1195"/>
      <c r="X233" s="1196"/>
      <c r="Y233" s="1195"/>
      <c r="Z233" s="1195"/>
      <c r="AA233" s="1195"/>
      <c r="AB233" s="1195"/>
      <c r="AC233" s="1197"/>
      <c r="AD233" s="26"/>
    </row>
    <row r="234" spans="18:30">
      <c r="R234" s="1189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190"/>
      <c r="AC234" s="1192"/>
      <c r="AD234" s="26"/>
    </row>
    <row r="235" spans="18:30">
      <c r="R235" s="1189"/>
      <c r="S235" s="1190"/>
      <c r="T235" s="1190"/>
      <c r="U235" s="1190"/>
      <c r="V235" s="1195"/>
      <c r="W235" s="1190"/>
      <c r="X235" s="1191"/>
      <c r="Y235" s="1190"/>
      <c r="Z235" s="1190"/>
      <c r="AA235" s="1190"/>
      <c r="AB235" s="1190"/>
      <c r="AC235" s="1192"/>
      <c r="AD235" s="26"/>
    </row>
    <row r="236" spans="18:30">
      <c r="R236" s="1189"/>
      <c r="S236" s="1190"/>
      <c r="T236" s="1190"/>
      <c r="U236" s="1190"/>
      <c r="V236" s="1195"/>
      <c r="W236" s="1190"/>
      <c r="X236" s="1191"/>
      <c r="Y236" s="1190"/>
      <c r="Z236" s="1190"/>
      <c r="AA236" s="1190"/>
      <c r="AB236" s="1190"/>
      <c r="AC236" s="1192"/>
      <c r="AD236" s="26"/>
    </row>
    <row r="237" spans="18:30">
      <c r="R237" s="1189"/>
      <c r="S237" s="1190"/>
      <c r="T237" s="1190"/>
      <c r="U237" s="1190"/>
      <c r="V237" s="1190"/>
      <c r="W237" s="1190"/>
      <c r="X237" s="1191"/>
      <c r="Y237" s="1190"/>
      <c r="Z237" s="1190"/>
      <c r="AA237" s="1190"/>
      <c r="AB237" s="1190"/>
      <c r="AC237" s="1192"/>
      <c r="AD237" s="26"/>
    </row>
    <row r="238" spans="18:30">
      <c r="R238" s="1189"/>
      <c r="S238" s="1190"/>
      <c r="T238" s="1190"/>
      <c r="U238" s="1190"/>
      <c r="V238" s="1190"/>
      <c r="W238" s="1190"/>
      <c r="X238" s="1191"/>
      <c r="Y238" s="1190"/>
      <c r="Z238" s="1190"/>
      <c r="AA238" s="1190"/>
      <c r="AB238" s="1190"/>
      <c r="AC238" s="1192"/>
      <c r="AD238" s="26"/>
    </row>
    <row r="239" spans="18:30">
      <c r="R239" s="1189"/>
      <c r="S239" s="1190"/>
      <c r="T239" s="1190"/>
      <c r="U239" s="1190"/>
      <c r="V239" s="1195"/>
      <c r="W239" s="1190"/>
      <c r="X239" s="1191"/>
      <c r="Y239" s="1190"/>
      <c r="Z239" s="1190"/>
      <c r="AA239" s="1190"/>
      <c r="AB239" s="1190"/>
      <c r="AC239" s="1192"/>
      <c r="AD239" s="81"/>
    </row>
    <row r="240" spans="18:30">
      <c r="R240" s="1189"/>
      <c r="S240" s="1190"/>
      <c r="T240" s="1190"/>
      <c r="U240" s="1190"/>
      <c r="V240" s="1195"/>
      <c r="W240" s="1190"/>
      <c r="X240" s="1191"/>
      <c r="Y240" s="1190"/>
      <c r="Z240" s="1190"/>
      <c r="AA240" s="1190"/>
      <c r="AB240" s="1190"/>
      <c r="AC240" s="1192"/>
      <c r="AD240" s="203"/>
    </row>
    <row r="241" spans="18:30">
      <c r="R241" s="1194"/>
      <c r="S241" s="1195"/>
      <c r="T241" s="1195"/>
      <c r="U241" s="1195"/>
      <c r="V241" s="1195"/>
      <c r="W241" s="1195"/>
      <c r="X241" s="1196"/>
      <c r="Y241" s="1195"/>
      <c r="Z241" s="1195"/>
      <c r="AA241" s="1195"/>
      <c r="AB241" s="1195"/>
      <c r="AC241" s="1197"/>
      <c r="AD241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9" name="Range1_65_32_32_30_30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9" name="Range2_5_2_2_2_2_2_2_2_2_2_2_2_2_2_2_2"/>
    <protectedRange algorithmName="SHA-512" hashValue="24Yg3M703G5L8OyJWxlkx8c1Gwfrkael5W/l3TUk/Rcz5tR8QOgCx5v0Ebb/UGz+9BDKPJ5wV4hH8uuxvmtGIw==" saltValue="ZSJQ8EEnwGxsiYzxIw6K0Q==" spinCount="100000" sqref="B24:D14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_5_2"/>
    <protectedRange algorithmName="SHA-512" hashValue="24Yg3M703G5L8OyJWxlkx8c1Gwfrkael5W/l3TUk/Rcz5tR8QOgCx5v0Ebb/UGz+9BDKPJ5wV4hH8uuxvmtGIw==" saltValue="ZSJQ8EEnwGxsiYzxIw6K0Q==" spinCount="100000" sqref="B19:D21" name="Range1_65_32_2_2_2_2_2_2_3_3_2_2_3_3_3_5_2"/>
  </protectedRanges>
  <mergeCells count="22"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1:S1048576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6BDF-2C4C-43B4-BAC9-FD1D07A2C14A}">
  <dimension ref="A1:AG227"/>
  <sheetViews>
    <sheetView showGridLines="0" topLeftCell="K62" zoomScale="55" zoomScaleNormal="55" workbookViewId="0">
      <selection activeCell="P81" sqref="P8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750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751</v>
      </c>
      <c r="B2" s="733"/>
      <c r="C2" s="733"/>
      <c r="D2" s="733"/>
      <c r="E2" s="735"/>
      <c r="F2" s="1525" t="s">
        <v>752</v>
      </c>
      <c r="G2" s="1525"/>
      <c r="H2" s="1525"/>
      <c r="I2" s="742"/>
      <c r="J2" s="1525" t="s">
        <v>753</v>
      </c>
      <c r="K2" s="1525"/>
      <c r="L2" s="1525"/>
      <c r="M2" s="735"/>
      <c r="N2" s="1526"/>
      <c r="O2" s="1526"/>
      <c r="P2" s="1526"/>
      <c r="R2" s="1202" t="s">
        <v>736</v>
      </c>
      <c r="S2" s="1261">
        <v>3331567921</v>
      </c>
      <c r="T2" s="1209" t="s">
        <v>424</v>
      </c>
      <c r="U2" s="1202">
        <v>24142454</v>
      </c>
      <c r="V2" s="1202" t="s">
        <v>565</v>
      </c>
      <c r="W2" s="1202" t="s">
        <v>703</v>
      </c>
      <c r="X2" s="1203">
        <v>25040.164000000001</v>
      </c>
      <c r="Y2" s="1261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7.399999999999999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261" t="s">
        <v>736</v>
      </c>
      <c r="S3" s="1261">
        <v>3331567923</v>
      </c>
      <c r="T3" s="1209" t="s">
        <v>424</v>
      </c>
      <c r="U3" s="1261">
        <v>24142455</v>
      </c>
      <c r="V3" s="1202" t="s">
        <v>565</v>
      </c>
      <c r="W3" s="1202" t="s">
        <v>703</v>
      </c>
      <c r="X3" s="1267">
        <v>24852.334999999999</v>
      </c>
      <c r="Y3" s="1261" t="s">
        <v>426</v>
      </c>
      <c r="Z3" s="1369">
        <v>1</v>
      </c>
      <c r="AA3" s="1369">
        <v>1</v>
      </c>
      <c r="AB3" s="1369" t="s">
        <v>204</v>
      </c>
      <c r="AC3" s="1271"/>
      <c r="AD3" s="81"/>
      <c r="AE3" s="44"/>
      <c r="AF3" s="44"/>
      <c r="AG3" s="44"/>
    </row>
    <row r="4" spans="1:33" ht="16.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190" t="s">
        <v>691</v>
      </c>
      <c r="S4" s="1293">
        <v>3331567924</v>
      </c>
      <c r="T4" s="1217" t="s">
        <v>424</v>
      </c>
      <c r="U4" s="1190">
        <v>24142456</v>
      </c>
      <c r="V4" s="1190" t="s">
        <v>565</v>
      </c>
      <c r="W4" s="1190" t="s">
        <v>703</v>
      </c>
      <c r="X4" s="1438">
        <v>25011.674999999999</v>
      </c>
      <c r="Y4" s="1293" t="s">
        <v>426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SUMPRODUCT(--ISNUMBER(MATCH(TRIM(W1:W323), {"JABODETABEK","JAWA TENGAH","JAWA TIMUR","LUAR PULAU"}, 0)), --(AC1:AC323=""))</f>
        <v>22</v>
      </c>
      <c r="C5" s="1303" cm="1">
        <f t="array" ref="C5">SUMPRODUCT(--(LOWER(TRIM(AB1:AB349))="masuk"), --(ISNUMBER(MATCH(TRIM(W1:W349), {"JABODETABEK","JAWA TENGAH","JAWA TIMUR","LUAR PULAU"}, 0))), --(LOWER(AC1:AC349)&lt;&gt;"add"))</f>
        <v>22</v>
      </c>
      <c r="D5" s="1304">
        <f>C5+-B5</f>
        <v>0</v>
      </c>
      <c r="E5" s="734"/>
      <c r="F5" s="1306" cm="1">
        <f t="array" ref="F5">SUMPRODUCT(--(LOWER(AC1:AC349)="add"), --(ISNUMBER(MATCH(W1:W349, {"JABODETABEK","JAWA TENGAH","JAWA TIMUR","LUAR PULAU"}, 0))))</f>
        <v>17</v>
      </c>
      <c r="G5" s="1303" cm="1">
        <f t="array" ref="G5">SUMPRODUCT(--(LOWER(AB1:AB349)="masuk"), --(LOWER(AC1:AC349)="add"))</f>
        <v>13</v>
      </c>
      <c r="H5" s="1304">
        <f>G5+-F5</f>
        <v>-4</v>
      </c>
      <c r="I5" s="734"/>
      <c r="J5" s="1306" cm="1">
        <f t="array" ref="J5">SUMPRODUCT(--(ISNUMBER(SEARCH("next day",LOWER(W1:W349)))+ISNUMBER(SEARCH("nextday",LOWER(W1:W349)))&gt; 0))</f>
        <v>40</v>
      </c>
      <c r="K5" s="1303" cm="1">
        <f t="array" ref="K5">SUMPRODUCT(--(LOWER(AB1:AB349)="masuk"), --ISNUMBER(SEARCH("next day", LOWER(W1:W349))))</f>
        <v>10</v>
      </c>
      <c r="L5" s="1304">
        <f>K5+-J5</f>
        <v>-30</v>
      </c>
      <c r="M5" s="734"/>
      <c r="N5" s="1306">
        <f>B5+F5+J5</f>
        <v>79</v>
      </c>
      <c r="O5" s="1303">
        <f>C5+G5+K5</f>
        <v>45</v>
      </c>
      <c r="P5" s="1304">
        <f>D5+H5+L5</f>
        <v>-34</v>
      </c>
      <c r="R5" s="1190" t="s">
        <v>691</v>
      </c>
      <c r="S5" s="1293">
        <v>3331567925</v>
      </c>
      <c r="T5" s="1217" t="s">
        <v>424</v>
      </c>
      <c r="U5" s="1190">
        <v>24142457</v>
      </c>
      <c r="V5" s="1190" t="s">
        <v>565</v>
      </c>
      <c r="W5" s="1190" t="s">
        <v>703</v>
      </c>
      <c r="X5" s="1295">
        <v>24071.064999999999</v>
      </c>
      <c r="Y5" s="1293" t="s">
        <v>426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22</v>
      </c>
      <c r="C6" s="733">
        <f>SUM(C5)</f>
        <v>22</v>
      </c>
      <c r="D6" s="739">
        <f>SUM(D5)</f>
        <v>0</v>
      </c>
      <c r="E6" s="734"/>
      <c r="F6" s="733">
        <f>SUM(F5)</f>
        <v>17</v>
      </c>
      <c r="G6" s="733">
        <f>SUM(G5)</f>
        <v>13</v>
      </c>
      <c r="H6" s="739">
        <f>SUM(H5)</f>
        <v>-4</v>
      </c>
      <c r="I6" s="733"/>
      <c r="J6" s="733">
        <f>SUM(J5)</f>
        <v>40</v>
      </c>
      <c r="K6" s="733">
        <f>SUM(K5)</f>
        <v>10</v>
      </c>
      <c r="L6" s="739">
        <f>SUM(L5)</f>
        <v>-30</v>
      </c>
      <c r="M6" s="733"/>
      <c r="N6" s="760">
        <f>SUM(N5:N5)</f>
        <v>79</v>
      </c>
      <c r="O6" s="760">
        <f>SUM(O5:O5)</f>
        <v>45</v>
      </c>
      <c r="P6" s="761">
        <f>SUM(P5:P5)</f>
        <v>-34</v>
      </c>
      <c r="R6" s="1189" t="s">
        <v>736</v>
      </c>
      <c r="S6" s="1293">
        <v>3331567938</v>
      </c>
      <c r="T6" s="1217" t="s">
        <v>424</v>
      </c>
      <c r="U6" s="1190">
        <v>24142458</v>
      </c>
      <c r="V6" s="1190" t="s">
        <v>565</v>
      </c>
      <c r="W6" s="1190" t="s">
        <v>703</v>
      </c>
      <c r="X6" s="1295">
        <v>24587.286</v>
      </c>
      <c r="Y6" s="1293" t="s">
        <v>426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189" t="s">
        <v>736</v>
      </c>
      <c r="S7" s="1293">
        <v>3331567945</v>
      </c>
      <c r="T7" s="1217" t="s">
        <v>424</v>
      </c>
      <c r="U7" s="1190">
        <v>24142460</v>
      </c>
      <c r="V7" s="1190" t="s">
        <v>429</v>
      </c>
      <c r="W7" s="1190" t="s">
        <v>703</v>
      </c>
      <c r="X7" s="1295">
        <v>24626.880000000001</v>
      </c>
      <c r="Y7" s="1293" t="s">
        <v>426</v>
      </c>
      <c r="Z7" s="1361">
        <v>1</v>
      </c>
      <c r="AA7" s="1361">
        <v>1</v>
      </c>
      <c r="AB7" s="1361" t="s">
        <v>207</v>
      </c>
      <c r="AC7" s="1271"/>
      <c r="AD7" s="81"/>
      <c r="AE7" s="44"/>
      <c r="AF7" s="44"/>
      <c r="AG7" s="44"/>
    </row>
    <row r="8" spans="1:33" ht="17.399999999999999">
      <c r="A8" s="763" t="str">
        <f>A1</f>
        <v>Plan Delivery 05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89" t="s">
        <v>691</v>
      </c>
      <c r="S8" s="1293">
        <v>3331567946</v>
      </c>
      <c r="T8" s="1217" t="s">
        <v>424</v>
      </c>
      <c r="U8" s="1190">
        <v>24142461</v>
      </c>
      <c r="V8" s="1190" t="s">
        <v>429</v>
      </c>
      <c r="W8" s="1190" t="s">
        <v>703</v>
      </c>
      <c r="X8" s="1295">
        <v>25162.575000000001</v>
      </c>
      <c r="Y8" s="1293" t="s">
        <v>426</v>
      </c>
      <c r="Z8" s="1361">
        <v>1</v>
      </c>
      <c r="AA8" s="1361">
        <v>1</v>
      </c>
      <c r="AB8" s="1361" t="s">
        <v>207</v>
      </c>
      <c r="AC8" s="1271"/>
      <c r="AD8" s="81"/>
      <c r="AE8" s="44"/>
      <c r="AF8" s="44"/>
      <c r="AG8" s="44"/>
    </row>
    <row r="9" spans="1:33" ht="18">
      <c r="A9" s="763" t="str">
        <f>A2</f>
        <v>Realz update 06 Nov’25 jam 07.00</v>
      </c>
      <c r="B9" s="825"/>
      <c r="C9" s="825"/>
      <c r="D9" s="825"/>
      <c r="E9" s="734"/>
      <c r="F9" s="1525" t="str">
        <f>F2</f>
        <v>Tgl 05 Nov’25 diatas jam 15.00</v>
      </c>
      <c r="G9" s="1525"/>
      <c r="H9" s="1525"/>
      <c r="I9" s="826"/>
      <c r="J9" s="1525" t="str">
        <f>J2</f>
        <v>Tgl 05 Nov’25</v>
      </c>
      <c r="K9" s="1525"/>
      <c r="L9" s="1525"/>
      <c r="M9" s="734"/>
      <c r="N9" s="1526"/>
      <c r="O9" s="1526"/>
      <c r="P9" s="1526"/>
      <c r="R9" s="1189" t="s">
        <v>691</v>
      </c>
      <c r="S9" s="1293">
        <v>3331567949</v>
      </c>
      <c r="T9" s="1217" t="s">
        <v>424</v>
      </c>
      <c r="U9" s="1190">
        <v>24142462</v>
      </c>
      <c r="V9" s="1190" t="s">
        <v>429</v>
      </c>
      <c r="W9" s="1190" t="s">
        <v>703</v>
      </c>
      <c r="X9" s="1295">
        <v>24455.86</v>
      </c>
      <c r="Y9" s="1293" t="s">
        <v>426</v>
      </c>
      <c r="Z9" s="1361">
        <v>1</v>
      </c>
      <c r="AA9" s="1361">
        <v>1</v>
      </c>
      <c r="AB9" s="1361" t="s">
        <v>207</v>
      </c>
      <c r="AC9" s="1271"/>
      <c r="AD9" s="81"/>
      <c r="AE9" s="44"/>
      <c r="AF9" s="44"/>
      <c r="AG9" s="44"/>
    </row>
    <row r="10" spans="1:33" ht="17.399999999999999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189" t="s">
        <v>691</v>
      </c>
      <c r="S10" s="1293">
        <v>3331567951</v>
      </c>
      <c r="T10" s="1217" t="s">
        <v>424</v>
      </c>
      <c r="U10" s="1190">
        <v>24142463</v>
      </c>
      <c r="V10" s="1190" t="s">
        <v>429</v>
      </c>
      <c r="W10" s="1190" t="s">
        <v>703</v>
      </c>
      <c r="X10" s="1295">
        <v>24755.145</v>
      </c>
      <c r="Y10" s="1293" t="s">
        <v>426</v>
      </c>
      <c r="Z10" s="1361">
        <v>1</v>
      </c>
      <c r="AA10" s="1361">
        <v>1</v>
      </c>
      <c r="AB10" s="1361" t="s">
        <v>207</v>
      </c>
      <c r="AC10" s="1271"/>
      <c r="AD10" s="81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189" t="s">
        <v>691</v>
      </c>
      <c r="S11" s="1293">
        <v>3331567952</v>
      </c>
      <c r="T11" s="1217" t="s">
        <v>424</v>
      </c>
      <c r="U11" s="1190">
        <v>24142464</v>
      </c>
      <c r="V11" s="1190" t="s">
        <v>429</v>
      </c>
      <c r="W11" s="1190" t="s">
        <v>703</v>
      </c>
      <c r="X11" s="1295">
        <v>24968.92</v>
      </c>
      <c r="Y11" s="1293" t="s">
        <v>426</v>
      </c>
      <c r="Z11" s="1361">
        <v>1</v>
      </c>
      <c r="AA11" s="1361">
        <v>1</v>
      </c>
      <c r="AB11" s="1361" t="s">
        <v>207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SUMPRODUCT(--(TRIM(LOWER(W1:W349))="jabodetabek"), --(LOWER(AC1:AC349)&lt;&gt;"add"))</f>
        <v>15</v>
      </c>
      <c r="C12" s="748" cm="1">
        <f t="array" ref="C12">SUMPRODUCT(--(LOWER(AB1:AB349)="masuk"), --(TRIM(LOWER(W1:W349))="jabodetabek"), --(LOWER(AC1:AC349)&lt;&gt;"add"))</f>
        <v>15</v>
      </c>
      <c r="D12" s="973">
        <f>C12+-B12</f>
        <v>0</v>
      </c>
      <c r="E12" s="734"/>
      <c r="F12" s="748" cm="1">
        <f t="array" ref="F12">SUMPRODUCT(--(LOWER(AC1:AC349)="add"), --(TRIM(LOWER(W1:W349))="jabodetabek"))</f>
        <v>10</v>
      </c>
      <c r="G12" s="747" cm="1">
        <f t="array" ref="G12">SUMPRODUCT(--(LOWER(AB1:AB349)="masuk"), --(LOWER(AC1:AC349)="add"), --(TRIM(LOWER(W1:W349))="jabodetabek"))</f>
        <v>10</v>
      </c>
      <c r="H12" s="740">
        <f>G12+-F12</f>
        <v>0</v>
      </c>
      <c r="I12" s="734"/>
      <c r="J12" s="748" cm="1">
        <f t="array" ref="J12">SUMPRODUCT(--(ISNUMBER(SEARCH("jabodetabek next day",LOWER(W1:W349)))+ISNUMBER(SEARCH("jabodetabek nextday",LOWER(W1:W349)))&gt; 0))</f>
        <v>0</v>
      </c>
      <c r="K12" s="747" cm="1">
        <f t="array" ref="K12">SUMPRODUCT(--(LOWER(AB1:AB349)="masuk"), --(LOWER(TRIM(W1:W349))="jabodetabek next day"))</f>
        <v>0</v>
      </c>
      <c r="L12" s="740">
        <f>K12+-J12</f>
        <v>0</v>
      </c>
      <c r="M12" s="734"/>
      <c r="N12" s="748">
        <f t="shared" ref="N12:P16" si="0">B12+F12+J12</f>
        <v>25</v>
      </c>
      <c r="O12" s="747">
        <f t="shared" si="0"/>
        <v>25</v>
      </c>
      <c r="P12" s="740">
        <f t="shared" si="0"/>
        <v>0</v>
      </c>
      <c r="R12" s="1201" t="s">
        <v>728</v>
      </c>
      <c r="S12" s="1261">
        <v>3331568113</v>
      </c>
      <c r="T12" s="1202" t="s">
        <v>459</v>
      </c>
      <c r="U12" s="1202">
        <v>24142476</v>
      </c>
      <c r="V12" s="1202" t="s">
        <v>224</v>
      </c>
      <c r="W12" s="1202" t="s">
        <v>344</v>
      </c>
      <c r="X12" s="1267">
        <f>3810.488+14023.64+10509.682</f>
        <v>28343.81</v>
      </c>
      <c r="Y12" s="1261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SUMPRODUCT(--(TRIM(LOWER(W1:W349))="jawa tengah"), --(LOWER(AC1:AC349)&lt;&gt;"add"))</f>
        <v>0</v>
      </c>
      <c r="C13" s="750" cm="1">
        <f t="array" ref="C13">SUMPRODUCT(--(LOWER(AB1:AB349)="masuk"), --(TRIM(LOWER(W1:W349))="jawa tengah"), --(LOWER(AC1:AC349)&lt;&gt;"add"))</f>
        <v>0</v>
      </c>
      <c r="D13" s="846">
        <f>C13+-B13</f>
        <v>0</v>
      </c>
      <c r="E13" s="734"/>
      <c r="F13" s="751" cm="1">
        <f t="array" ref="F13">SUMPRODUCT(--(LOWER(AC1:AC349)="add"), --(TRIM(LOWER(W1:W349))="jawa tengah"))</f>
        <v>6</v>
      </c>
      <c r="G13" s="747" cm="1">
        <f t="array" ref="G13">SUMPRODUCT(--(LOWER(AB1:AB349)="masuk"), --(LOWER(AC1:AC349)="add"), --(TRIM(LOWER(W1:W349))="jawa tengah"))</f>
        <v>2</v>
      </c>
      <c r="H13" s="740">
        <f>G13+-F13</f>
        <v>-4</v>
      </c>
      <c r="I13" s="734"/>
      <c r="J13" s="748" cm="1">
        <f t="array" ref="J13">SUMPRODUCT(--((LOWER(TRIM(W1:W349))="jawa tengah next day")+(LOWER(TRIM(W1:W349))="jawa tengah nextday")))</f>
        <v>16</v>
      </c>
      <c r="K13" s="747" cm="1">
        <f t="array" ref="K13">SUMPRODUCT(--(LOWER(AB1:AB349)="masuk"), --(LOWER(TRIM(W1:W349))="jawa tengah next day"))</f>
        <v>8</v>
      </c>
      <c r="L13" s="740">
        <f>K13+-J13</f>
        <v>-8</v>
      </c>
      <c r="M13" s="734"/>
      <c r="N13" s="748">
        <f t="shared" si="0"/>
        <v>22</v>
      </c>
      <c r="O13" s="747">
        <f t="shared" si="0"/>
        <v>10</v>
      </c>
      <c r="P13" s="740">
        <f t="shared" si="0"/>
        <v>-12</v>
      </c>
      <c r="R13" s="1201" t="s">
        <v>728</v>
      </c>
      <c r="S13" s="1261">
        <v>3331568114</v>
      </c>
      <c r="T13" s="1202" t="s">
        <v>256</v>
      </c>
      <c r="U13" s="1202" t="s">
        <v>256</v>
      </c>
      <c r="V13" s="1202" t="s">
        <v>256</v>
      </c>
      <c r="W13" s="1202" t="s">
        <v>256</v>
      </c>
      <c r="X13" s="1267" t="s">
        <v>256</v>
      </c>
      <c r="Y13" s="1261" t="s">
        <v>256</v>
      </c>
      <c r="Z13" s="1369" t="s">
        <v>256</v>
      </c>
      <c r="AA13" s="1369" t="s">
        <v>256</v>
      </c>
      <c r="AB13" s="1369" t="s">
        <v>256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SUMPRODUCT(--(TRIM(LOWER(W1:W349))="jawa timur"), --(LOWER(AC1:AC349)&lt;&gt;"add"))</f>
        <v>3</v>
      </c>
      <c r="C14" s="750" cm="1">
        <f t="array" ref="C14">SUMPRODUCT(--(LOWER(AB1:AB349)="masuk"), --(TRIM(LOWER(W1:W349))="jawa timur"), --(LOWER(AC1:AC349)&lt;&gt;"add"))</f>
        <v>3</v>
      </c>
      <c r="D14" s="846">
        <f>C14+-B14</f>
        <v>0</v>
      </c>
      <c r="E14" s="734"/>
      <c r="F14" s="750" cm="1">
        <f t="array" ref="F14">SUMPRODUCT(--(LOWER(AC1:AC349)="add"), --(TRIM(LOWER(W1:W349))="jawa timur"))</f>
        <v>1</v>
      </c>
      <c r="G14" s="747" cm="1">
        <f t="array" ref="G14">SUMPRODUCT(--(LOWER(AB1:AB349)="masuk"), --(LOWER(AC1:AC349)="add"), --(TRIM(LOWER(W1:W349))="jawa timur"))</f>
        <v>1</v>
      </c>
      <c r="H14" s="740">
        <f>G14+-F14</f>
        <v>0</v>
      </c>
      <c r="I14" s="734"/>
      <c r="J14" s="748" cm="1">
        <f t="array" ref="J14">SUMPRODUCT(--((LOWER(TRIM(W1:W349))="jawa timur next day")+(LOWER(TRIM(W1:W349))="jawa timur nextday")))</f>
        <v>0</v>
      </c>
      <c r="K14" s="747" cm="1">
        <f t="array" ref="K14">SUMPRODUCT(--(LOWER(AB1:AB349)="masuk"), --(LOWER(TRIM(W1:W349))="jawa timur next day"))</f>
        <v>0</v>
      </c>
      <c r="L14" s="740">
        <f>K14+-J14</f>
        <v>0</v>
      </c>
      <c r="M14" s="734"/>
      <c r="N14" s="748">
        <f t="shared" si="0"/>
        <v>4</v>
      </c>
      <c r="O14" s="747">
        <f t="shared" si="0"/>
        <v>4</v>
      </c>
      <c r="P14" s="740">
        <f t="shared" si="0"/>
        <v>0</v>
      </c>
      <c r="R14" s="1201" t="s">
        <v>728</v>
      </c>
      <c r="S14" s="1261">
        <v>3331568117</v>
      </c>
      <c r="T14" s="1202" t="s">
        <v>256</v>
      </c>
      <c r="U14" s="1202" t="s">
        <v>256</v>
      </c>
      <c r="V14" s="1202" t="s">
        <v>256</v>
      </c>
      <c r="W14" s="1202" t="s">
        <v>256</v>
      </c>
      <c r="X14" s="1267" t="s">
        <v>256</v>
      </c>
      <c r="Y14" s="1261" t="s">
        <v>256</v>
      </c>
      <c r="Z14" s="1369" t="s">
        <v>256</v>
      </c>
      <c r="AA14" s="1369" t="s">
        <v>256</v>
      </c>
      <c r="AB14" s="1369" t="s">
        <v>256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SUMPRODUCT(--(TRIM(LOWER(W1:W349))="luar pulau"), --(LOWER(AC1:AC349)&lt;&gt;"add"))</f>
        <v>4</v>
      </c>
      <c r="C15" s="750" cm="1">
        <f t="array" ref="C15">SUMPRODUCT(--(LOWER(AB1:AB349)="masuk"), --(TRIM(LOWER(W1:W349))="luar pulau"), --(LOWER(AC1:AC349)&lt;&gt;"add"))</f>
        <v>4</v>
      </c>
      <c r="D15" s="846">
        <f>C15+-B15</f>
        <v>0</v>
      </c>
      <c r="E15" s="734"/>
      <c r="F15" s="748" cm="1">
        <f t="array" ref="F15">SUMPRODUCT(--(LOWER(AC1:AC349)="add"), --(TRIM(LOWER(W1:W349))="luar pulau"))</f>
        <v>0</v>
      </c>
      <c r="G15" s="747" cm="1">
        <f t="array" ref="G15">SUMPRODUCT(--(LOWER(AB1:AB349)="masuk"), --(LOWER(AC1:AC349)="add"), --(TRIM(LOWER(W1:W349))="luar pulau"))</f>
        <v>0</v>
      </c>
      <c r="H15" s="740">
        <f>G15+-F15</f>
        <v>0</v>
      </c>
      <c r="I15" s="734"/>
      <c r="J15" s="748" cm="1">
        <f t="array" ref="J15">SUMPRODUCT(--((LOWER(TRIM(W1:W349))="luar pulau next day")+(LOWER(TRIM(W1:W349))="luar pulau nextday")))</f>
        <v>24</v>
      </c>
      <c r="K15" s="747" cm="1">
        <f t="array" ref="K15">SUMPRODUCT(--(LOWER(AB1:AB349)="masuk"), --(LOWER(TRIM(W1:W349))="luar pulau next day"))</f>
        <v>2</v>
      </c>
      <c r="L15" s="740">
        <f>K15+-J15</f>
        <v>-22</v>
      </c>
      <c r="M15" s="734"/>
      <c r="N15" s="748">
        <f t="shared" si="0"/>
        <v>28</v>
      </c>
      <c r="O15" s="747">
        <f t="shared" si="0"/>
        <v>6</v>
      </c>
      <c r="P15" s="740">
        <f t="shared" si="0"/>
        <v>-22</v>
      </c>
      <c r="R15" s="1201" t="s">
        <v>728</v>
      </c>
      <c r="S15" s="1261">
        <v>3331568119</v>
      </c>
      <c r="T15" s="1202" t="s">
        <v>459</v>
      </c>
      <c r="U15" s="1202">
        <v>24142480</v>
      </c>
      <c r="V15" s="1202" t="s">
        <v>224</v>
      </c>
      <c r="W15" s="1202" t="s">
        <v>344</v>
      </c>
      <c r="X15" s="1267">
        <v>27008.082999999999</v>
      </c>
      <c r="Y15" s="1261" t="s">
        <v>426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22</v>
      </c>
      <c r="C16" s="733">
        <f>SUM(C12:C15)</f>
        <v>22</v>
      </c>
      <c r="D16" s="739">
        <f>SUM(D12:D15)</f>
        <v>0</v>
      </c>
      <c r="E16" s="734"/>
      <c r="F16" s="733">
        <f>SUM(F12:F15)</f>
        <v>17</v>
      </c>
      <c r="G16" s="733">
        <f>SUM(G12:G15)</f>
        <v>13</v>
      </c>
      <c r="H16" s="739">
        <f>SUM(H12:H15)</f>
        <v>-4</v>
      </c>
      <c r="I16" s="734"/>
      <c r="J16" s="733">
        <f>SUM(J12:J15)</f>
        <v>40</v>
      </c>
      <c r="K16" s="733">
        <f>SUM(K12:K15)</f>
        <v>10</v>
      </c>
      <c r="L16" s="739">
        <f>SUM(L12:L15)</f>
        <v>-30</v>
      </c>
      <c r="M16" s="734"/>
      <c r="N16" s="760">
        <f t="shared" si="0"/>
        <v>79</v>
      </c>
      <c r="O16" s="760">
        <f t="shared" si="0"/>
        <v>45</v>
      </c>
      <c r="P16" s="761">
        <f t="shared" si="0"/>
        <v>-34</v>
      </c>
      <c r="R16" s="1201" t="s">
        <v>728</v>
      </c>
      <c r="S16" s="1261">
        <v>3331568129</v>
      </c>
      <c r="T16" s="1202" t="s">
        <v>459</v>
      </c>
      <c r="U16" s="1202">
        <v>24142484</v>
      </c>
      <c r="V16" s="1202" t="s">
        <v>224</v>
      </c>
      <c r="W16" s="1202" t="s">
        <v>344</v>
      </c>
      <c r="X16" s="1267">
        <f>13336.708+13934.106</f>
        <v>27270.813999999998</v>
      </c>
      <c r="Y16" s="1261" t="s">
        <v>426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1" t="s">
        <v>728</v>
      </c>
      <c r="S17" s="1261">
        <v>3331568130</v>
      </c>
      <c r="T17" s="1202" t="s">
        <v>256</v>
      </c>
      <c r="U17" s="1202" t="s">
        <v>256</v>
      </c>
      <c r="V17" s="1202" t="s">
        <v>256</v>
      </c>
      <c r="W17" s="1202" t="s">
        <v>256</v>
      </c>
      <c r="X17" s="1267" t="s">
        <v>256</v>
      </c>
      <c r="Y17" s="1261" t="s">
        <v>256</v>
      </c>
      <c r="Z17" s="1369" t="s">
        <v>256</v>
      </c>
      <c r="AA17" s="1369" t="s">
        <v>256</v>
      </c>
      <c r="AB17" s="1369" t="s">
        <v>256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1" t="s">
        <v>744</v>
      </c>
      <c r="S18" s="1261">
        <v>3331568141</v>
      </c>
      <c r="T18" s="1202" t="s">
        <v>336</v>
      </c>
      <c r="U18" s="1202">
        <v>24142483</v>
      </c>
      <c r="V18" s="1202" t="s">
        <v>529</v>
      </c>
      <c r="W18" s="1202" t="s">
        <v>434</v>
      </c>
      <c r="X18" s="1267">
        <v>38840.997000000003</v>
      </c>
      <c r="Y18" s="1261" t="s">
        <v>128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744</v>
      </c>
      <c r="S19" s="1261">
        <v>3331568142</v>
      </c>
      <c r="T19" s="1202" t="s">
        <v>336</v>
      </c>
      <c r="U19" s="1261">
        <v>24142485</v>
      </c>
      <c r="V19" s="1202" t="s">
        <v>529</v>
      </c>
      <c r="W19" s="1202" t="s">
        <v>434</v>
      </c>
      <c r="X19" s="1267">
        <f>18812.2+21933.315</f>
        <v>40745.514999999999</v>
      </c>
      <c r="Y19" s="1261" t="s">
        <v>128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61" t="s">
        <v>744</v>
      </c>
      <c r="S20" s="1261">
        <v>3331568143</v>
      </c>
      <c r="T20" s="1202" t="s">
        <v>256</v>
      </c>
      <c r="U20" s="1209" t="s">
        <v>256</v>
      </c>
      <c r="V20" s="1209" t="s">
        <v>256</v>
      </c>
      <c r="W20" s="1209" t="s">
        <v>256</v>
      </c>
      <c r="X20" s="1267" t="s">
        <v>256</v>
      </c>
      <c r="Y20" s="1209" t="s">
        <v>256</v>
      </c>
      <c r="Z20" s="1209" t="s">
        <v>256</v>
      </c>
      <c r="AA20" s="1209" t="s">
        <v>256</v>
      </c>
      <c r="AB20" s="1209" t="s">
        <v>256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SUMPRODUCT(--((LOWER(TRIM($W$2:$W$254))="ambil sendiri")+(LOWER(TRIM($W$2:$W$254))="cokot sorangan")))</f>
        <v>2</v>
      </c>
      <c r="C21" s="969" cm="1">
        <f t="array" ref="C21">SUMPRODUCT(--(LOWER(AB6:AB284)="masuk"), --((LOWER(TRIM($W$2:$W$280))="cokot sorangan") + (LOWER(TRIM(W6:W284))="ambil sendiri")))</f>
        <v>2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368" t="s">
        <v>728</v>
      </c>
      <c r="S21" s="1373">
        <v>3331568216</v>
      </c>
      <c r="T21" s="1369" t="s">
        <v>459</v>
      </c>
      <c r="U21" s="1373">
        <v>24142499</v>
      </c>
      <c r="V21" s="1077" t="s">
        <v>224</v>
      </c>
      <c r="W21" s="1202" t="s">
        <v>344</v>
      </c>
      <c r="X21" s="1374">
        <v>30202.876</v>
      </c>
      <c r="Y21" s="1202" t="s">
        <v>426</v>
      </c>
      <c r="Z21" s="1369">
        <v>1</v>
      </c>
      <c r="AA21" s="1369">
        <v>1</v>
      </c>
      <c r="AB21" s="1369" t="s">
        <v>204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8" t="s">
        <v>728</v>
      </c>
      <c r="S22" s="1373">
        <v>3331568220</v>
      </c>
      <c r="T22" s="1369" t="s">
        <v>459</v>
      </c>
      <c r="U22" s="1373">
        <v>24142501</v>
      </c>
      <c r="V22" s="1077" t="s">
        <v>224</v>
      </c>
      <c r="W22" s="1202" t="s">
        <v>344</v>
      </c>
      <c r="X22" s="1374">
        <v>30635.216</v>
      </c>
      <c r="Y22" s="1202" t="s">
        <v>426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368" t="s">
        <v>744</v>
      </c>
      <c r="S23" s="1373">
        <v>3331568248</v>
      </c>
      <c r="T23" s="1369" t="s">
        <v>459</v>
      </c>
      <c r="U23" s="1373">
        <v>24142505</v>
      </c>
      <c r="V23" s="1227" t="s">
        <v>226</v>
      </c>
      <c r="W23" s="1202" t="s">
        <v>344</v>
      </c>
      <c r="X23" s="1374">
        <v>29757.913</v>
      </c>
      <c r="Y23" s="1202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8" t="s">
        <v>691</v>
      </c>
      <c r="S24" s="1373">
        <v>3331568249</v>
      </c>
      <c r="T24" s="1369" t="s">
        <v>459</v>
      </c>
      <c r="U24" s="1369">
        <v>24142506</v>
      </c>
      <c r="V24" s="1227" t="s">
        <v>226</v>
      </c>
      <c r="W24" s="1202" t="s">
        <v>344</v>
      </c>
      <c r="X24" s="1374">
        <v>28814.355</v>
      </c>
      <c r="Y24" s="1202" t="s">
        <v>426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9" t="s">
        <v>744</v>
      </c>
      <c r="S25" s="1369">
        <v>3331568251</v>
      </c>
      <c r="T25" s="1369" t="s">
        <v>459</v>
      </c>
      <c r="U25" s="1369">
        <v>24142507</v>
      </c>
      <c r="V25" s="1227" t="s">
        <v>226</v>
      </c>
      <c r="W25" s="1202" t="s">
        <v>344</v>
      </c>
      <c r="X25" s="1370">
        <v>30244.741000000002</v>
      </c>
      <c r="Y25" s="1202" t="s">
        <v>426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0" t="s">
        <v>744</v>
      </c>
      <c r="S26" s="1362">
        <v>3331568252</v>
      </c>
      <c r="T26" s="1361" t="s">
        <v>459</v>
      </c>
      <c r="U26" s="1362">
        <v>24142508</v>
      </c>
      <c r="V26" s="1224" t="s">
        <v>226</v>
      </c>
      <c r="W26" s="1190" t="s">
        <v>344</v>
      </c>
      <c r="X26" s="1363">
        <v>29890.971000000001</v>
      </c>
      <c r="Y26" s="1190" t="s">
        <v>426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744</v>
      </c>
      <c r="S27" s="1362">
        <v>3331568254</v>
      </c>
      <c r="T27" s="1361" t="s">
        <v>459</v>
      </c>
      <c r="U27" s="1362">
        <v>24142509</v>
      </c>
      <c r="V27" s="1224" t="s">
        <v>226</v>
      </c>
      <c r="W27" s="1190" t="s">
        <v>344</v>
      </c>
      <c r="X27" s="1363">
        <v>30092.152999999998</v>
      </c>
      <c r="Y27" s="1190" t="s">
        <v>426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0" t="s">
        <v>744</v>
      </c>
      <c r="S28" s="1362">
        <v>3331568255</v>
      </c>
      <c r="T28" s="1361" t="s">
        <v>459</v>
      </c>
      <c r="U28" s="1362">
        <v>24142510</v>
      </c>
      <c r="V28" s="1224" t="s">
        <v>226</v>
      </c>
      <c r="W28" s="1190" t="s">
        <v>344</v>
      </c>
      <c r="X28" s="1363">
        <v>29588.472000000002</v>
      </c>
      <c r="Y28" s="1190" t="s">
        <v>426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90" t="s">
        <v>744</v>
      </c>
      <c r="S29" s="1190">
        <v>3331568256</v>
      </c>
      <c r="T29" s="1361" t="s">
        <v>459</v>
      </c>
      <c r="U29" s="1190">
        <v>24142511</v>
      </c>
      <c r="V29" s="1224" t="s">
        <v>226</v>
      </c>
      <c r="W29" s="1190" t="s">
        <v>344</v>
      </c>
      <c r="X29" s="1191">
        <v>29588.472000000002</v>
      </c>
      <c r="Y29" s="1190" t="s">
        <v>426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8" t="s">
        <v>728</v>
      </c>
      <c r="S30" s="1373">
        <v>3331568381</v>
      </c>
      <c r="T30" s="1369" t="s">
        <v>441</v>
      </c>
      <c r="U30" s="1373">
        <v>24142532</v>
      </c>
      <c r="V30" s="1227" t="s">
        <v>486</v>
      </c>
      <c r="W30" s="1373" t="s">
        <v>205</v>
      </c>
      <c r="X30" s="1374">
        <v>40617.25</v>
      </c>
      <c r="Y30" s="1202" t="s">
        <v>128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8" t="s">
        <v>728</v>
      </c>
      <c r="S31" s="1373">
        <v>3331568382</v>
      </c>
      <c r="T31" s="1369" t="s">
        <v>27</v>
      </c>
      <c r="U31" s="1373">
        <v>24142533</v>
      </c>
      <c r="V31" s="1227" t="s">
        <v>486</v>
      </c>
      <c r="W31" s="1373" t="s">
        <v>205</v>
      </c>
      <c r="X31" s="1374">
        <v>26085.949000000001</v>
      </c>
      <c r="Y31" s="1202" t="s">
        <v>200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368" t="s">
        <v>691</v>
      </c>
      <c r="S32" s="1373">
        <v>3331568411</v>
      </c>
      <c r="T32" s="1369" t="s">
        <v>754</v>
      </c>
      <c r="U32" s="1373">
        <v>24142534</v>
      </c>
      <c r="V32" s="1227" t="s">
        <v>561</v>
      </c>
      <c r="W32" s="1373" t="s">
        <v>362</v>
      </c>
      <c r="X32" s="1374">
        <v>23663.957999999999</v>
      </c>
      <c r="Y32" s="1202" t="s">
        <v>200</v>
      </c>
      <c r="Z32" s="1369">
        <v>1</v>
      </c>
      <c r="AA32" s="1369">
        <v>1</v>
      </c>
      <c r="AB32" s="1369" t="s">
        <v>204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68" t="s">
        <v>691</v>
      </c>
      <c r="S33" s="1373">
        <v>3331568412</v>
      </c>
      <c r="T33" s="1369" t="s">
        <v>754</v>
      </c>
      <c r="U33" s="1369">
        <v>24142535</v>
      </c>
      <c r="V33" s="1227" t="s">
        <v>561</v>
      </c>
      <c r="W33" s="1373" t="s">
        <v>362</v>
      </c>
      <c r="X33" s="1374">
        <v>22911.399000000001</v>
      </c>
      <c r="Y33" s="1202" t="s">
        <v>200</v>
      </c>
      <c r="Z33" s="1369">
        <v>1</v>
      </c>
      <c r="AA33" s="1369">
        <v>1</v>
      </c>
      <c r="AB33" s="1369" t="s">
        <v>204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68" t="s">
        <v>691</v>
      </c>
      <c r="S34" s="1373">
        <v>3331568415</v>
      </c>
      <c r="T34" s="1369" t="s">
        <v>27</v>
      </c>
      <c r="U34" s="1373">
        <v>24142536</v>
      </c>
      <c r="V34" s="1227" t="s">
        <v>561</v>
      </c>
      <c r="W34" s="1373" t="s">
        <v>362</v>
      </c>
      <c r="X34" s="1374">
        <v>22578.412</v>
      </c>
      <c r="Y34" s="1202" t="s">
        <v>200</v>
      </c>
      <c r="Z34" s="1369">
        <v>1</v>
      </c>
      <c r="AA34" s="1369">
        <v>1</v>
      </c>
      <c r="AB34" s="1369" t="s">
        <v>204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8" t="s">
        <v>691</v>
      </c>
      <c r="S35" s="1373">
        <v>3331568417</v>
      </c>
      <c r="T35" s="1369" t="s">
        <v>27</v>
      </c>
      <c r="U35" s="1369">
        <v>24142537</v>
      </c>
      <c r="V35" s="1227" t="s">
        <v>561</v>
      </c>
      <c r="W35" s="1373" t="s">
        <v>362</v>
      </c>
      <c r="X35" s="1374">
        <v>22879.457999999999</v>
      </c>
      <c r="Y35" s="1202" t="s">
        <v>200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74" t="s">
        <v>728</v>
      </c>
      <c r="S36" s="105">
        <v>3331568414</v>
      </c>
      <c r="T36" s="1202" t="s">
        <v>441</v>
      </c>
      <c r="U36" s="1202">
        <v>24142538</v>
      </c>
      <c r="V36" s="1202" t="s">
        <v>413</v>
      </c>
      <c r="W36" s="1202" t="s">
        <v>205</v>
      </c>
      <c r="X36" s="209">
        <v>42382.025000000001</v>
      </c>
      <c r="Y36" s="1202" t="s">
        <v>128</v>
      </c>
      <c r="Z36" s="1369">
        <v>1</v>
      </c>
      <c r="AA36" s="1369">
        <v>1</v>
      </c>
      <c r="AB36" s="1369" t="s">
        <v>204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89" t="s">
        <v>691</v>
      </c>
      <c r="S37" s="1190">
        <v>3331568419</v>
      </c>
      <c r="T37" s="1190" t="s">
        <v>424</v>
      </c>
      <c r="U37" s="1190">
        <v>24142539</v>
      </c>
      <c r="V37" s="1190" t="s">
        <v>429</v>
      </c>
      <c r="W37" s="1362" t="s">
        <v>703</v>
      </c>
      <c r="X37" s="1191">
        <v>24303.512999999999</v>
      </c>
      <c r="Y37" s="1190" t="s">
        <v>426</v>
      </c>
      <c r="Z37" s="1361">
        <v>1</v>
      </c>
      <c r="AA37" s="1361">
        <v>1</v>
      </c>
      <c r="AB37" s="1361" t="s">
        <v>207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691</v>
      </c>
      <c r="S38" s="1190">
        <v>3331568427</v>
      </c>
      <c r="T38" s="1190" t="s">
        <v>424</v>
      </c>
      <c r="U38" s="1190">
        <v>24142540</v>
      </c>
      <c r="V38" s="1190" t="s">
        <v>429</v>
      </c>
      <c r="W38" s="1362" t="s">
        <v>703</v>
      </c>
      <c r="X38" s="1325">
        <v>24813.817999999999</v>
      </c>
      <c r="Y38" s="1190" t="s">
        <v>426</v>
      </c>
      <c r="Z38" s="1361">
        <v>1</v>
      </c>
      <c r="AA38" s="1361">
        <v>1</v>
      </c>
      <c r="AB38" s="1361" t="s">
        <v>207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691</v>
      </c>
      <c r="S39" s="1190">
        <v>3331568431</v>
      </c>
      <c r="T39" s="1190" t="s">
        <v>424</v>
      </c>
      <c r="U39" s="1190">
        <v>24142541</v>
      </c>
      <c r="V39" s="1190" t="s">
        <v>429</v>
      </c>
      <c r="W39" s="1362" t="s">
        <v>703</v>
      </c>
      <c r="X39" s="1325">
        <v>23997.019</v>
      </c>
      <c r="Y39" s="1190" t="s">
        <v>426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89" t="s">
        <v>691</v>
      </c>
      <c r="S40" s="1190">
        <v>3331568432</v>
      </c>
      <c r="T40" s="1190" t="s">
        <v>424</v>
      </c>
      <c r="U40" s="1190">
        <v>24142542</v>
      </c>
      <c r="V40" s="1190" t="s">
        <v>429</v>
      </c>
      <c r="W40" s="1362" t="s">
        <v>703</v>
      </c>
      <c r="X40" s="1325">
        <v>24976.735000000001</v>
      </c>
      <c r="Y40" s="1190" t="s">
        <v>426</v>
      </c>
      <c r="Z40" s="1361">
        <v>1</v>
      </c>
      <c r="AA40" s="1361">
        <v>1</v>
      </c>
      <c r="AB40" s="1361" t="s">
        <v>207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89" t="s">
        <v>691</v>
      </c>
      <c r="S41" s="1190">
        <v>3331568433</v>
      </c>
      <c r="T41" s="1190" t="s">
        <v>424</v>
      </c>
      <c r="U41" s="1190">
        <v>24142543</v>
      </c>
      <c r="V41" s="1190" t="s">
        <v>429</v>
      </c>
      <c r="W41" s="1362" t="s">
        <v>703</v>
      </c>
      <c r="X41" s="1325">
        <v>23352.53</v>
      </c>
      <c r="Y41" s="1190" t="s">
        <v>426</v>
      </c>
      <c r="Z41" s="1361">
        <v>1</v>
      </c>
      <c r="AA41" s="1361">
        <v>1</v>
      </c>
      <c r="AB41" s="1361" t="s">
        <v>207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189" t="s">
        <v>691</v>
      </c>
      <c r="S42" s="1190">
        <v>3331568434</v>
      </c>
      <c r="T42" s="1190" t="s">
        <v>424</v>
      </c>
      <c r="U42" s="1190">
        <v>24142544</v>
      </c>
      <c r="V42" s="1190" t="s">
        <v>429</v>
      </c>
      <c r="W42" s="1362" t="s">
        <v>703</v>
      </c>
      <c r="X42" s="1191">
        <v>24200.280999999999</v>
      </c>
      <c r="Y42" s="1190" t="s">
        <v>426</v>
      </c>
      <c r="Z42" s="1361">
        <v>1</v>
      </c>
      <c r="AA42" s="1361">
        <v>1</v>
      </c>
      <c r="AB42" s="1361" t="s">
        <v>207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89" t="s">
        <v>691</v>
      </c>
      <c r="S43" s="1190">
        <v>3331568436</v>
      </c>
      <c r="T43" s="1190" t="s">
        <v>424</v>
      </c>
      <c r="U43" s="1190">
        <v>24142545</v>
      </c>
      <c r="V43" s="1190" t="s">
        <v>429</v>
      </c>
      <c r="W43" s="1362" t="s">
        <v>703</v>
      </c>
      <c r="X43" s="1191">
        <v>23794.667000000001</v>
      </c>
      <c r="Y43" s="1190" t="s">
        <v>426</v>
      </c>
      <c r="Z43" s="1361">
        <v>1</v>
      </c>
      <c r="AA43" s="1361">
        <v>1</v>
      </c>
      <c r="AB43" s="1361" t="s">
        <v>207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189" t="s">
        <v>691</v>
      </c>
      <c r="S44" s="1190">
        <v>3331568438</v>
      </c>
      <c r="T44" s="1190" t="s">
        <v>424</v>
      </c>
      <c r="U44" s="1190">
        <v>24142546</v>
      </c>
      <c r="V44" s="1190" t="s">
        <v>429</v>
      </c>
      <c r="W44" s="1362" t="s">
        <v>703</v>
      </c>
      <c r="X44" s="1191">
        <v>24169.652999999998</v>
      </c>
      <c r="Y44" s="1190" t="s">
        <v>426</v>
      </c>
      <c r="Z44" s="1361">
        <v>1</v>
      </c>
      <c r="AA44" s="1361">
        <v>1</v>
      </c>
      <c r="AB44" s="1361" t="s">
        <v>207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89" t="s">
        <v>691</v>
      </c>
      <c r="S45" s="1190">
        <v>3331568439</v>
      </c>
      <c r="T45" s="1190" t="s">
        <v>424</v>
      </c>
      <c r="U45" s="1190">
        <v>24142547</v>
      </c>
      <c r="V45" s="1190" t="s">
        <v>429</v>
      </c>
      <c r="W45" s="1362" t="s">
        <v>703</v>
      </c>
      <c r="X45" s="1191">
        <v>25016.202000000001</v>
      </c>
      <c r="Y45" s="1190" t="s">
        <v>426</v>
      </c>
      <c r="Z45" s="1361">
        <v>1</v>
      </c>
      <c r="AA45" s="1361">
        <v>1</v>
      </c>
      <c r="AB45" s="1361" t="s">
        <v>207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20" t="s">
        <v>691</v>
      </c>
      <c r="S46" s="1217">
        <v>3331568441</v>
      </c>
      <c r="T46" s="1190" t="s">
        <v>424</v>
      </c>
      <c r="U46" s="1217">
        <v>24142548</v>
      </c>
      <c r="V46" s="1190" t="s">
        <v>429</v>
      </c>
      <c r="W46" s="1362" t="s">
        <v>703</v>
      </c>
      <c r="X46" s="1296">
        <v>24176.695</v>
      </c>
      <c r="Y46" s="1190" t="s">
        <v>426</v>
      </c>
      <c r="Z46" s="1361">
        <v>1</v>
      </c>
      <c r="AA46" s="1361">
        <v>1</v>
      </c>
      <c r="AB46" s="1361" t="s">
        <v>207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89" t="s">
        <v>691</v>
      </c>
      <c r="S47" s="1190">
        <v>3331568443</v>
      </c>
      <c r="T47" s="1190" t="s">
        <v>424</v>
      </c>
      <c r="U47" s="1190">
        <v>24142549</v>
      </c>
      <c r="V47" s="1190" t="s">
        <v>429</v>
      </c>
      <c r="W47" s="1362" t="s">
        <v>703</v>
      </c>
      <c r="X47" s="1191">
        <v>24591.669000000002</v>
      </c>
      <c r="Y47" s="1190" t="s">
        <v>426</v>
      </c>
      <c r="Z47" s="1361">
        <v>1</v>
      </c>
      <c r="AA47" s="1361">
        <v>1</v>
      </c>
      <c r="AB47" s="1361" t="s">
        <v>207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728</v>
      </c>
      <c r="S48" s="1209">
        <v>3331568435</v>
      </c>
      <c r="T48" s="1209" t="s">
        <v>27</v>
      </c>
      <c r="U48" s="1202">
        <v>24142550</v>
      </c>
      <c r="V48" s="1202" t="s">
        <v>224</v>
      </c>
      <c r="W48" s="1202" t="s">
        <v>203</v>
      </c>
      <c r="X48" s="1203">
        <f>21873.71+3810.488</f>
        <v>25684.198</v>
      </c>
      <c r="Y48" s="1202" t="s">
        <v>200</v>
      </c>
      <c r="Z48" s="1369">
        <v>1</v>
      </c>
      <c r="AA48" s="1369">
        <v>1</v>
      </c>
      <c r="AB48" s="1369" t="s">
        <v>204</v>
      </c>
      <c r="AC48" s="1308" t="s">
        <v>422</v>
      </c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01" t="s">
        <v>728</v>
      </c>
      <c r="S49" s="1202">
        <v>3331568440</v>
      </c>
      <c r="T49" s="1202" t="s">
        <v>256</v>
      </c>
      <c r="U49" s="1202" t="s">
        <v>256</v>
      </c>
      <c r="V49" s="1202" t="s">
        <v>256</v>
      </c>
      <c r="W49" s="1209" t="s">
        <v>256</v>
      </c>
      <c r="X49" s="1203" t="s">
        <v>256</v>
      </c>
      <c r="Y49" s="1209" t="s">
        <v>256</v>
      </c>
      <c r="Z49" s="1209" t="s">
        <v>256</v>
      </c>
      <c r="AA49" s="1209" t="s">
        <v>256</v>
      </c>
      <c r="AB49" s="1208" t="s">
        <v>256</v>
      </c>
      <c r="AC49" s="1308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737</v>
      </c>
      <c r="S50" s="1190">
        <v>3331568444</v>
      </c>
      <c r="T50" s="1190" t="s">
        <v>459</v>
      </c>
      <c r="U50" s="1190">
        <v>24142551</v>
      </c>
      <c r="V50" s="1190" t="s">
        <v>224</v>
      </c>
      <c r="W50" s="1190" t="s">
        <v>344</v>
      </c>
      <c r="X50" s="1191">
        <v>28348.074000000001</v>
      </c>
      <c r="Y50" s="1217" t="s">
        <v>426</v>
      </c>
      <c r="Z50" s="1361">
        <v>1</v>
      </c>
      <c r="AA50" s="1361">
        <v>1</v>
      </c>
      <c r="AB50" s="1361" t="s">
        <v>207</v>
      </c>
      <c r="AC50" s="1271" t="s">
        <v>422</v>
      </c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728</v>
      </c>
      <c r="S51" s="1190">
        <v>3331568456</v>
      </c>
      <c r="T51" s="1190" t="s">
        <v>424</v>
      </c>
      <c r="U51" s="1190">
        <v>24142552</v>
      </c>
      <c r="V51" s="1190" t="s">
        <v>429</v>
      </c>
      <c r="W51" s="1362" t="s">
        <v>703</v>
      </c>
      <c r="X51" s="1191">
        <v>24421.763999999999</v>
      </c>
      <c r="Y51" s="1217" t="s">
        <v>426</v>
      </c>
      <c r="Z51" s="1361">
        <v>1</v>
      </c>
      <c r="AA51" s="1361">
        <v>1</v>
      </c>
      <c r="AB51" s="1361" t="s">
        <v>207</v>
      </c>
      <c r="AC51" s="1271" t="s">
        <v>422</v>
      </c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 t="s">
        <v>728</v>
      </c>
      <c r="S52" s="1190">
        <v>3331568460</v>
      </c>
      <c r="T52" s="1190" t="s">
        <v>424</v>
      </c>
      <c r="U52" s="1190">
        <v>24142553</v>
      </c>
      <c r="V52" s="1190" t="s">
        <v>429</v>
      </c>
      <c r="W52" s="1362" t="s">
        <v>703</v>
      </c>
      <c r="X52" s="1191">
        <v>23815.55</v>
      </c>
      <c r="Y52" s="1217" t="s">
        <v>426</v>
      </c>
      <c r="Z52" s="1361">
        <v>1</v>
      </c>
      <c r="AA52" s="1361">
        <v>1</v>
      </c>
      <c r="AB52" s="1361" t="s">
        <v>207</v>
      </c>
      <c r="AC52" s="1271" t="s">
        <v>422</v>
      </c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 t="s">
        <v>728</v>
      </c>
      <c r="S53" s="1190">
        <v>3331568463</v>
      </c>
      <c r="T53" s="1190" t="s">
        <v>424</v>
      </c>
      <c r="U53" s="1190">
        <v>24142554</v>
      </c>
      <c r="V53" s="1190" t="s">
        <v>429</v>
      </c>
      <c r="W53" s="1362" t="s">
        <v>703</v>
      </c>
      <c r="X53" s="1191">
        <f>18277.763+4763.11</f>
        <v>23040.873</v>
      </c>
      <c r="Y53" s="1217" t="s">
        <v>426</v>
      </c>
      <c r="Z53" s="1361">
        <v>1</v>
      </c>
      <c r="AA53" s="1361">
        <v>1</v>
      </c>
      <c r="AB53" s="1361" t="s">
        <v>207</v>
      </c>
      <c r="AC53" s="1271" t="s">
        <v>422</v>
      </c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189" t="s">
        <v>691</v>
      </c>
      <c r="S54" s="1190">
        <v>3331568464</v>
      </c>
      <c r="T54" s="1293" t="s">
        <v>256</v>
      </c>
      <c r="U54" s="1190" t="s">
        <v>256</v>
      </c>
      <c r="V54" s="1190" t="s">
        <v>256</v>
      </c>
      <c r="W54" s="1217" t="s">
        <v>256</v>
      </c>
      <c r="X54" s="1191" t="s">
        <v>256</v>
      </c>
      <c r="Y54" s="1217" t="s">
        <v>256</v>
      </c>
      <c r="Z54" s="1217" t="s">
        <v>256</v>
      </c>
      <c r="AA54" s="1217" t="s">
        <v>256</v>
      </c>
      <c r="AB54" s="1200" t="s">
        <v>256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737</v>
      </c>
      <c r="S55" s="1190">
        <v>3331568468</v>
      </c>
      <c r="T55" s="1293" t="s">
        <v>459</v>
      </c>
      <c r="U55" s="1190">
        <v>24142555</v>
      </c>
      <c r="V55" s="1190" t="s">
        <v>224</v>
      </c>
      <c r="W55" s="1190" t="s">
        <v>203</v>
      </c>
      <c r="X55" s="1191">
        <v>29574.89</v>
      </c>
      <c r="Y55" s="1217" t="s">
        <v>426</v>
      </c>
      <c r="Z55" s="1361">
        <v>1</v>
      </c>
      <c r="AA55" s="1361">
        <v>1</v>
      </c>
      <c r="AB55" s="1361" t="s">
        <v>207</v>
      </c>
      <c r="AC55" s="1271" t="s">
        <v>422</v>
      </c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189" t="s">
        <v>737</v>
      </c>
      <c r="S56" s="1190">
        <v>3331568470</v>
      </c>
      <c r="T56" s="1293" t="s">
        <v>459</v>
      </c>
      <c r="U56" s="1190">
        <v>24142557</v>
      </c>
      <c r="V56" s="1190" t="s">
        <v>224</v>
      </c>
      <c r="W56" s="1190" t="s">
        <v>203</v>
      </c>
      <c r="X56" s="1191">
        <v>27610.172999999999</v>
      </c>
      <c r="Y56" s="1217" t="s">
        <v>426</v>
      </c>
      <c r="Z56" s="1361">
        <v>1</v>
      </c>
      <c r="AA56" s="1361">
        <v>1</v>
      </c>
      <c r="AB56" s="1361" t="s">
        <v>207</v>
      </c>
      <c r="AC56" s="1271" t="s">
        <v>422</v>
      </c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737</v>
      </c>
      <c r="S57" s="1190">
        <v>3331568475</v>
      </c>
      <c r="T57" s="1293" t="s">
        <v>459</v>
      </c>
      <c r="U57" s="1190">
        <v>24142559</v>
      </c>
      <c r="V57" s="1190" t="s">
        <v>224</v>
      </c>
      <c r="W57" s="1190" t="s">
        <v>203</v>
      </c>
      <c r="X57" s="1325">
        <v>26364.493999999999</v>
      </c>
      <c r="Y57" s="1217" t="s">
        <v>426</v>
      </c>
      <c r="Z57" s="1361">
        <v>1</v>
      </c>
      <c r="AA57" s="1361">
        <v>1</v>
      </c>
      <c r="AB57" s="1361" t="s">
        <v>207</v>
      </c>
      <c r="AC57" s="1271" t="s">
        <v>422</v>
      </c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737</v>
      </c>
      <c r="S58" s="1190">
        <v>3331568489</v>
      </c>
      <c r="T58" s="1293" t="s">
        <v>459</v>
      </c>
      <c r="U58" s="1190">
        <v>24142564</v>
      </c>
      <c r="V58" s="1190" t="s">
        <v>224</v>
      </c>
      <c r="W58" s="1190" t="s">
        <v>203</v>
      </c>
      <c r="X58" s="1325">
        <v>30830.312000000002</v>
      </c>
      <c r="Y58" s="1217" t="s">
        <v>426</v>
      </c>
      <c r="Z58" s="1361">
        <v>1</v>
      </c>
      <c r="AA58" s="1361">
        <v>1</v>
      </c>
      <c r="AB58" s="1361" t="s">
        <v>207</v>
      </c>
      <c r="AC58" s="1271" t="s">
        <v>422</v>
      </c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737</v>
      </c>
      <c r="S59" s="1419">
        <v>3331568499</v>
      </c>
      <c r="T59" s="1202" t="s">
        <v>441</v>
      </c>
      <c r="U59" s="1202">
        <v>24142565</v>
      </c>
      <c r="V59" s="1202" t="s">
        <v>226</v>
      </c>
      <c r="W59" s="1202" t="s">
        <v>203</v>
      </c>
      <c r="X59" s="1231">
        <v>41290.932999999997</v>
      </c>
      <c r="Y59" s="1202" t="s">
        <v>128</v>
      </c>
      <c r="Z59" s="1369">
        <v>1</v>
      </c>
      <c r="AA59" s="1369">
        <v>1</v>
      </c>
      <c r="AB59" s="1369" t="s">
        <v>204</v>
      </c>
      <c r="AC59" s="1308" t="s">
        <v>422</v>
      </c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728</v>
      </c>
      <c r="S60" s="1202">
        <v>3331568490</v>
      </c>
      <c r="T60" s="1202" t="s">
        <v>27</v>
      </c>
      <c r="U60" s="1202">
        <v>24142566</v>
      </c>
      <c r="V60" s="1202" t="s">
        <v>430</v>
      </c>
      <c r="W60" s="1202" t="s">
        <v>205</v>
      </c>
      <c r="X60" s="1231">
        <f>7483.131+10392.24+6928.16</f>
        <v>24803.530999999999</v>
      </c>
      <c r="Y60" s="1202" t="s">
        <v>200</v>
      </c>
      <c r="Z60" s="1369">
        <v>1</v>
      </c>
      <c r="AA60" s="1369">
        <v>1</v>
      </c>
      <c r="AB60" s="1369" t="s">
        <v>204</v>
      </c>
      <c r="AC60" s="1308" t="s">
        <v>422</v>
      </c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728</v>
      </c>
      <c r="S61" s="1202">
        <v>3331568491</v>
      </c>
      <c r="T61" s="1202" t="s">
        <v>256</v>
      </c>
      <c r="U61" s="1202" t="s">
        <v>256</v>
      </c>
      <c r="V61" s="1202" t="s">
        <v>256</v>
      </c>
      <c r="W61" s="1202" t="s">
        <v>256</v>
      </c>
      <c r="X61" s="1231" t="s">
        <v>256</v>
      </c>
      <c r="Y61" s="1202" t="s">
        <v>256</v>
      </c>
      <c r="Z61" s="1202" t="s">
        <v>256</v>
      </c>
      <c r="AA61" s="1202" t="s">
        <v>256</v>
      </c>
      <c r="AB61" s="1202" t="s">
        <v>256</v>
      </c>
      <c r="AC61" s="1308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728</v>
      </c>
      <c r="S62" s="1202">
        <v>3331568493</v>
      </c>
      <c r="T62" s="1202" t="s">
        <v>256</v>
      </c>
      <c r="U62" s="1202" t="s">
        <v>256</v>
      </c>
      <c r="V62" s="1202" t="s">
        <v>256</v>
      </c>
      <c r="W62" s="1202" t="s">
        <v>256</v>
      </c>
      <c r="X62" s="1231" t="s">
        <v>256</v>
      </c>
      <c r="Y62" s="1202" t="s">
        <v>256</v>
      </c>
      <c r="Z62" s="1202" t="s">
        <v>256</v>
      </c>
      <c r="AA62" s="1202" t="s">
        <v>256</v>
      </c>
      <c r="AB62" s="1202" t="s">
        <v>256</v>
      </c>
      <c r="AC62" s="1308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737</v>
      </c>
      <c r="S63" s="1190">
        <v>3331568511</v>
      </c>
      <c r="T63" s="1190" t="s">
        <v>459</v>
      </c>
      <c r="U63" s="1190">
        <v>24142567</v>
      </c>
      <c r="V63" s="1190" t="s">
        <v>226</v>
      </c>
      <c r="W63" s="1190" t="s">
        <v>344</v>
      </c>
      <c r="X63" s="1191">
        <v>30551.105</v>
      </c>
      <c r="Y63" s="1217" t="s">
        <v>426</v>
      </c>
      <c r="Z63" s="1361">
        <v>1</v>
      </c>
      <c r="AA63" s="1361">
        <v>1</v>
      </c>
      <c r="AB63" s="1361" t="s">
        <v>207</v>
      </c>
      <c r="AC63" s="1271" t="s">
        <v>422</v>
      </c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189" t="s">
        <v>737</v>
      </c>
      <c r="S64" s="1190">
        <v>3331568536</v>
      </c>
      <c r="T64" s="1190" t="s">
        <v>459</v>
      </c>
      <c r="U64" s="1190">
        <v>24142570</v>
      </c>
      <c r="V64" s="1190" t="s">
        <v>226</v>
      </c>
      <c r="W64" s="1190" t="s">
        <v>344</v>
      </c>
      <c r="X64" s="1191">
        <v>30628.835999999999</v>
      </c>
      <c r="Y64" s="1217" t="s">
        <v>426</v>
      </c>
      <c r="Z64" s="1361">
        <v>1</v>
      </c>
      <c r="AA64" s="1361">
        <v>1</v>
      </c>
      <c r="AB64" s="1361" t="s">
        <v>207</v>
      </c>
      <c r="AC64" s="1271" t="s">
        <v>422</v>
      </c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737</v>
      </c>
      <c r="S65" s="1190">
        <v>3331568544</v>
      </c>
      <c r="T65" s="1190" t="s">
        <v>459</v>
      </c>
      <c r="U65" s="1190">
        <v>24142574</v>
      </c>
      <c r="V65" s="1190" t="s">
        <v>226</v>
      </c>
      <c r="W65" s="1190" t="s">
        <v>344</v>
      </c>
      <c r="X65" s="1191">
        <v>28375.991000000002</v>
      </c>
      <c r="Y65" s="1217" t="s">
        <v>426</v>
      </c>
      <c r="Z65" s="1361">
        <v>1</v>
      </c>
      <c r="AA65" s="1361">
        <v>1</v>
      </c>
      <c r="AB65" s="1361" t="s">
        <v>207</v>
      </c>
      <c r="AC65" s="1271" t="s">
        <v>422</v>
      </c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2" t="s">
        <v>744</v>
      </c>
      <c r="S66" s="1202">
        <v>3331568361</v>
      </c>
      <c r="T66" s="1202" t="s">
        <v>287</v>
      </c>
      <c r="U66" s="1261">
        <v>24142519</v>
      </c>
      <c r="V66" s="1227" t="s">
        <v>368</v>
      </c>
      <c r="W66" s="1261" t="s">
        <v>199</v>
      </c>
      <c r="X66" s="1203">
        <v>25170.12</v>
      </c>
      <c r="Y66" s="1261" t="s">
        <v>200</v>
      </c>
      <c r="Z66" s="1264">
        <v>1</v>
      </c>
      <c r="AA66" s="1264">
        <v>1</v>
      </c>
      <c r="AB66" s="1264" t="s">
        <v>204</v>
      </c>
      <c r="AC66" s="1270"/>
      <c r="AD66" s="1293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1" t="s">
        <v>728</v>
      </c>
      <c r="S67" s="1202">
        <v>3331568362</v>
      </c>
      <c r="T67" s="1202" t="s">
        <v>287</v>
      </c>
      <c r="U67" s="1261">
        <v>24142520</v>
      </c>
      <c r="V67" s="1227" t="s">
        <v>368</v>
      </c>
      <c r="W67" s="1261" t="s">
        <v>199</v>
      </c>
      <c r="X67" s="1267">
        <v>24883.41</v>
      </c>
      <c r="Y67" s="1261" t="s">
        <v>200</v>
      </c>
      <c r="Z67" s="1264">
        <v>1</v>
      </c>
      <c r="AA67" s="1264">
        <v>1</v>
      </c>
      <c r="AB67" s="1264" t="s">
        <v>204</v>
      </c>
      <c r="AC67" s="1270"/>
      <c r="AD67" s="1293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728</v>
      </c>
      <c r="S68" s="1202">
        <v>3331568363</v>
      </c>
      <c r="T68" s="1202" t="s">
        <v>462</v>
      </c>
      <c r="U68" s="1261">
        <v>24142521</v>
      </c>
      <c r="V68" s="1227" t="s">
        <v>368</v>
      </c>
      <c r="W68" s="1261" t="s">
        <v>199</v>
      </c>
      <c r="X68" s="1267">
        <v>25225.45</v>
      </c>
      <c r="Y68" s="1261" t="s">
        <v>200</v>
      </c>
      <c r="Z68" s="1264">
        <v>1</v>
      </c>
      <c r="AA68" s="1264">
        <v>1</v>
      </c>
      <c r="AB68" s="1264" t="s">
        <v>204</v>
      </c>
      <c r="AC68" s="1270"/>
      <c r="AD68" s="1293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728</v>
      </c>
      <c r="S69" s="1202">
        <v>3331568364</v>
      </c>
      <c r="T69" s="1202" t="s">
        <v>11</v>
      </c>
      <c r="U69" s="1261">
        <v>24142522</v>
      </c>
      <c r="V69" s="1227" t="s">
        <v>368</v>
      </c>
      <c r="W69" s="1261" t="s">
        <v>199</v>
      </c>
      <c r="X69" s="1203">
        <v>24797.9</v>
      </c>
      <c r="Y69" s="1261" t="s">
        <v>200</v>
      </c>
      <c r="Z69" s="1264">
        <v>1</v>
      </c>
      <c r="AA69" s="1264">
        <v>1</v>
      </c>
      <c r="AB69" s="1264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728</v>
      </c>
      <c r="S70" s="1202">
        <v>3331568366</v>
      </c>
      <c r="T70" s="1202" t="s">
        <v>27</v>
      </c>
      <c r="U70" s="1261">
        <v>24142523</v>
      </c>
      <c r="V70" s="1227" t="s">
        <v>368</v>
      </c>
      <c r="W70" s="1261" t="s">
        <v>199</v>
      </c>
      <c r="X70" s="1203">
        <v>24327.595000000001</v>
      </c>
      <c r="Y70" s="1261" t="s">
        <v>200</v>
      </c>
      <c r="Z70" s="1264">
        <v>1</v>
      </c>
      <c r="AA70" s="1264">
        <v>1</v>
      </c>
      <c r="AB70" s="1264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728</v>
      </c>
      <c r="S71" s="1202">
        <v>3331568368</v>
      </c>
      <c r="T71" s="1202" t="s">
        <v>287</v>
      </c>
      <c r="U71" s="1261">
        <v>24142524</v>
      </c>
      <c r="V71" s="1202" t="s">
        <v>150</v>
      </c>
      <c r="W71" s="1261" t="s">
        <v>199</v>
      </c>
      <c r="X71" s="1203">
        <v>24913.123</v>
      </c>
      <c r="Y71" s="1261" t="s">
        <v>200</v>
      </c>
      <c r="Z71" s="1264">
        <v>1</v>
      </c>
      <c r="AA71" s="1264">
        <v>1</v>
      </c>
      <c r="AB71" s="1264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728</v>
      </c>
      <c r="S72" s="1202">
        <v>3331568370</v>
      </c>
      <c r="T72" s="1202" t="s">
        <v>287</v>
      </c>
      <c r="U72" s="1261">
        <v>24142525</v>
      </c>
      <c r="V72" s="1202" t="s">
        <v>150</v>
      </c>
      <c r="W72" s="1261" t="s">
        <v>199</v>
      </c>
      <c r="X72" s="1203">
        <v>25201.809000000001</v>
      </c>
      <c r="Y72" s="1261" t="s">
        <v>200</v>
      </c>
      <c r="Z72" s="1264">
        <v>1</v>
      </c>
      <c r="AA72" s="1264">
        <v>1</v>
      </c>
      <c r="AB72" s="1264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691</v>
      </c>
      <c r="S73" s="1202">
        <v>3331568371</v>
      </c>
      <c r="T73" s="1202" t="s">
        <v>27</v>
      </c>
      <c r="U73" s="1261">
        <v>24142526</v>
      </c>
      <c r="V73" s="1202" t="s">
        <v>150</v>
      </c>
      <c r="W73" s="1261" t="s">
        <v>199</v>
      </c>
      <c r="X73" s="1203">
        <v>25201.809000000001</v>
      </c>
      <c r="Y73" s="1261" t="s">
        <v>200</v>
      </c>
      <c r="Z73" s="1264">
        <v>1</v>
      </c>
      <c r="AA73" s="1264">
        <v>1</v>
      </c>
      <c r="AB73" s="1264" t="s">
        <v>204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728</v>
      </c>
      <c r="S74" s="1202">
        <v>3331568373</v>
      </c>
      <c r="T74" s="1202" t="s">
        <v>34</v>
      </c>
      <c r="U74" s="1261">
        <v>24142527</v>
      </c>
      <c r="V74" s="1202" t="s">
        <v>150</v>
      </c>
      <c r="W74" s="1261" t="s">
        <v>199</v>
      </c>
      <c r="X74" s="1203">
        <v>24465.064999999999</v>
      </c>
      <c r="Y74" s="1261" t="s">
        <v>200</v>
      </c>
      <c r="Z74" s="1264">
        <v>1</v>
      </c>
      <c r="AA74" s="1264">
        <v>1</v>
      </c>
      <c r="AB74" s="1264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728</v>
      </c>
      <c r="S75" s="1202">
        <v>3331568376</v>
      </c>
      <c r="T75" s="1202" t="s">
        <v>27</v>
      </c>
      <c r="U75" s="1261">
        <v>24142528</v>
      </c>
      <c r="V75" s="1202" t="s">
        <v>219</v>
      </c>
      <c r="W75" s="1261" t="s">
        <v>199</v>
      </c>
      <c r="X75" s="1203">
        <v>25400.241000000002</v>
      </c>
      <c r="Y75" s="1261" t="s">
        <v>200</v>
      </c>
      <c r="Z75" s="1264">
        <v>1</v>
      </c>
      <c r="AA75" s="1264">
        <v>1</v>
      </c>
      <c r="AB75" s="1264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728</v>
      </c>
      <c r="S76" s="1202">
        <v>3331568377</v>
      </c>
      <c r="T76" s="1202" t="s">
        <v>34</v>
      </c>
      <c r="U76" s="1261">
        <v>24142529</v>
      </c>
      <c r="V76" s="1202" t="s">
        <v>219</v>
      </c>
      <c r="W76" s="1261" t="s">
        <v>199</v>
      </c>
      <c r="X76" s="1203">
        <v>25755.371999999999</v>
      </c>
      <c r="Y76" s="1261" t="s">
        <v>200</v>
      </c>
      <c r="Z76" s="1264">
        <v>1</v>
      </c>
      <c r="AA76" s="1264">
        <v>1</v>
      </c>
      <c r="AB76" s="1264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728</v>
      </c>
      <c r="S77" s="1202">
        <v>3331568375</v>
      </c>
      <c r="T77" s="1202" t="s">
        <v>27</v>
      </c>
      <c r="U77" s="1261">
        <v>24142530</v>
      </c>
      <c r="V77" s="1202" t="s">
        <v>366</v>
      </c>
      <c r="W77" s="1261" t="s">
        <v>199</v>
      </c>
      <c r="X77" s="1203">
        <v>26063.448</v>
      </c>
      <c r="Y77" s="1261" t="s">
        <v>200</v>
      </c>
      <c r="Z77" s="1264">
        <v>1</v>
      </c>
      <c r="AA77" s="1264">
        <v>1</v>
      </c>
      <c r="AB77" s="1264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728</v>
      </c>
      <c r="S78" s="1202">
        <v>3331568378</v>
      </c>
      <c r="T78" s="1202" t="s">
        <v>34</v>
      </c>
      <c r="U78" s="1261">
        <v>24142531</v>
      </c>
      <c r="V78" s="1202" t="s">
        <v>366</v>
      </c>
      <c r="W78" s="1261" t="s">
        <v>199</v>
      </c>
      <c r="X78" s="1203">
        <v>25653</v>
      </c>
      <c r="Y78" s="1261" t="s">
        <v>200</v>
      </c>
      <c r="Z78" s="1264">
        <v>1</v>
      </c>
      <c r="AA78" s="1264">
        <v>1</v>
      </c>
      <c r="AB78" s="1264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728</v>
      </c>
      <c r="S79" s="1202">
        <v>3331568469</v>
      </c>
      <c r="T79" s="1202" t="s">
        <v>34</v>
      </c>
      <c r="U79" s="1261">
        <v>24142556</v>
      </c>
      <c r="V79" s="1070" t="s">
        <v>675</v>
      </c>
      <c r="W79" s="1261" t="s">
        <v>199</v>
      </c>
      <c r="X79" s="1203">
        <v>25812.146000000001</v>
      </c>
      <c r="Y79" s="1261" t="s">
        <v>200</v>
      </c>
      <c r="Z79" s="1264">
        <v>1</v>
      </c>
      <c r="AA79" s="1264">
        <v>1</v>
      </c>
      <c r="AB79" s="1264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728</v>
      </c>
      <c r="S80" s="1202">
        <v>3331568471</v>
      </c>
      <c r="T80" s="1202" t="s">
        <v>11</v>
      </c>
      <c r="U80" s="1261">
        <v>24142558</v>
      </c>
      <c r="V80" s="1070" t="s">
        <v>675</v>
      </c>
      <c r="W80" s="1261" t="s">
        <v>199</v>
      </c>
      <c r="X80" s="1203">
        <v>26018.933000000001</v>
      </c>
      <c r="Y80" s="1261" t="s">
        <v>200</v>
      </c>
      <c r="Z80" s="1264">
        <v>1</v>
      </c>
      <c r="AA80" s="1264">
        <v>1</v>
      </c>
      <c r="AB80" s="1264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728</v>
      </c>
      <c r="S81" s="1202">
        <v>3331568476</v>
      </c>
      <c r="T81" s="1202" t="s">
        <v>34</v>
      </c>
      <c r="U81" s="1261">
        <v>24142560</v>
      </c>
      <c r="V81" s="1077" t="s">
        <v>676</v>
      </c>
      <c r="W81" s="1261" t="s">
        <v>199</v>
      </c>
      <c r="X81" s="1203">
        <v>20283.856</v>
      </c>
      <c r="Y81" s="1261" t="s">
        <v>200</v>
      </c>
      <c r="Z81" s="1264">
        <v>1</v>
      </c>
      <c r="AA81" s="1264">
        <v>1</v>
      </c>
      <c r="AB81" s="1264" t="s">
        <v>204</v>
      </c>
      <c r="AC81" s="1308" t="s">
        <v>422</v>
      </c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728</v>
      </c>
      <c r="S82" s="1202">
        <v>3331568474</v>
      </c>
      <c r="T82" s="1202" t="s">
        <v>287</v>
      </c>
      <c r="U82" s="1261">
        <v>24142561</v>
      </c>
      <c r="V82" s="1202" t="s">
        <v>243</v>
      </c>
      <c r="W82" s="1261" t="s">
        <v>199</v>
      </c>
      <c r="X82" s="1203">
        <v>24915.482</v>
      </c>
      <c r="Y82" s="1261" t="s">
        <v>200</v>
      </c>
      <c r="Z82" s="1264">
        <v>1</v>
      </c>
      <c r="AA82" s="1264">
        <v>1</v>
      </c>
      <c r="AB82" s="1264" t="s">
        <v>204</v>
      </c>
      <c r="AC82" s="1308" t="s">
        <v>422</v>
      </c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691</v>
      </c>
      <c r="S83" s="1202">
        <v>3331568477</v>
      </c>
      <c r="T83" s="1202" t="s">
        <v>287</v>
      </c>
      <c r="U83" s="1261">
        <v>24142562</v>
      </c>
      <c r="V83" s="1202" t="s">
        <v>572</v>
      </c>
      <c r="W83" s="1261" t="s">
        <v>199</v>
      </c>
      <c r="X83" s="1203">
        <v>25430.421999999999</v>
      </c>
      <c r="Y83" s="1261" t="s">
        <v>200</v>
      </c>
      <c r="Z83" s="1264">
        <v>1</v>
      </c>
      <c r="AA83" s="1264">
        <v>1</v>
      </c>
      <c r="AB83" s="1264" t="s">
        <v>204</v>
      </c>
      <c r="AC83" s="1308" t="s">
        <v>422</v>
      </c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691</v>
      </c>
      <c r="S84" s="1202">
        <v>3331568478</v>
      </c>
      <c r="T84" s="1202" t="s">
        <v>11</v>
      </c>
      <c r="U84" s="1261">
        <v>24142563</v>
      </c>
      <c r="V84" s="1202" t="s">
        <v>572</v>
      </c>
      <c r="W84" s="1261" t="s">
        <v>199</v>
      </c>
      <c r="X84" s="1203">
        <v>25153.149000000001</v>
      </c>
      <c r="Y84" s="1261" t="s">
        <v>200</v>
      </c>
      <c r="Z84" s="1264">
        <v>1</v>
      </c>
      <c r="AA84" s="1264">
        <v>1</v>
      </c>
      <c r="AB84" s="1264" t="s">
        <v>204</v>
      </c>
      <c r="AC84" s="1308" t="s">
        <v>422</v>
      </c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691</v>
      </c>
      <c r="S85" s="1202">
        <v>3331568532</v>
      </c>
      <c r="T85" s="1202" t="s">
        <v>287</v>
      </c>
      <c r="U85" s="1261">
        <v>24142568</v>
      </c>
      <c r="V85" s="1202" t="s">
        <v>572</v>
      </c>
      <c r="W85" s="1261" t="s">
        <v>199</v>
      </c>
      <c r="X85" s="1203">
        <v>25331.084999999999</v>
      </c>
      <c r="Y85" s="1261" t="s">
        <v>200</v>
      </c>
      <c r="Z85" s="1264">
        <v>1</v>
      </c>
      <c r="AA85" s="1264">
        <v>1</v>
      </c>
      <c r="AB85" s="1264" t="s">
        <v>204</v>
      </c>
      <c r="AC85" s="1308" t="s">
        <v>422</v>
      </c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728</v>
      </c>
      <c r="S86" s="1202">
        <v>3331568534</v>
      </c>
      <c r="T86" s="1202" t="s">
        <v>287</v>
      </c>
      <c r="U86" s="1261">
        <v>24142569</v>
      </c>
      <c r="V86" s="1077" t="s">
        <v>675</v>
      </c>
      <c r="W86" s="1261" t="s">
        <v>199</v>
      </c>
      <c r="X86" s="1203">
        <v>25330.83</v>
      </c>
      <c r="Y86" s="1261" t="s">
        <v>200</v>
      </c>
      <c r="Z86" s="1264">
        <v>1</v>
      </c>
      <c r="AA86" s="1264">
        <v>1</v>
      </c>
      <c r="AB86" s="1264" t="s">
        <v>204</v>
      </c>
      <c r="AC86" s="1308" t="s">
        <v>422</v>
      </c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718</v>
      </c>
      <c r="S87" s="1202">
        <v>3331568213</v>
      </c>
      <c r="T87" s="1202" t="s">
        <v>27</v>
      </c>
      <c r="U87" s="1261">
        <v>24142571</v>
      </c>
      <c r="V87" s="1202" t="s">
        <v>464</v>
      </c>
      <c r="W87" s="1261" t="s">
        <v>199</v>
      </c>
      <c r="X87" s="1203">
        <f>3391.885+10436.804+4678.403+1775.835</f>
        <v>20282.927</v>
      </c>
      <c r="Y87" s="1261" t="s">
        <v>200</v>
      </c>
      <c r="Z87" s="1264">
        <v>1</v>
      </c>
      <c r="AA87" s="1264">
        <v>1</v>
      </c>
      <c r="AB87" s="1264" t="s">
        <v>204</v>
      </c>
      <c r="AC87" s="1308" t="s">
        <v>422</v>
      </c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744</v>
      </c>
      <c r="S88" s="1202">
        <v>3331568215</v>
      </c>
      <c r="T88" s="1202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2" t="s">
        <v>256</v>
      </c>
      <c r="AC88" s="1209"/>
      <c r="AD88" s="1326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744</v>
      </c>
      <c r="S89" s="1202">
        <v>3331568217</v>
      </c>
      <c r="T89" s="1202" t="s">
        <v>256</v>
      </c>
      <c r="U89" s="1202" t="s">
        <v>256</v>
      </c>
      <c r="V89" s="1202" t="s">
        <v>256</v>
      </c>
      <c r="W89" s="1202" t="s">
        <v>256</v>
      </c>
      <c r="X89" s="1231" t="s">
        <v>256</v>
      </c>
      <c r="Y89" s="1202" t="s">
        <v>256</v>
      </c>
      <c r="Z89" s="1202" t="s">
        <v>256</v>
      </c>
      <c r="AA89" s="1202" t="s">
        <v>256</v>
      </c>
      <c r="AB89" s="1202" t="s">
        <v>256</v>
      </c>
      <c r="AC89" s="1209"/>
      <c r="AD89" s="1326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744</v>
      </c>
      <c r="S90" s="1202">
        <v>3331568218</v>
      </c>
      <c r="T90" s="1202" t="s">
        <v>256</v>
      </c>
      <c r="U90" s="1202" t="s">
        <v>256</v>
      </c>
      <c r="V90" s="1202" t="s">
        <v>256</v>
      </c>
      <c r="W90" s="1202" t="s">
        <v>256</v>
      </c>
      <c r="X90" s="1231" t="s">
        <v>256</v>
      </c>
      <c r="Y90" s="1202" t="s">
        <v>256</v>
      </c>
      <c r="Z90" s="1202" t="s">
        <v>256</v>
      </c>
      <c r="AA90" s="1202" t="s">
        <v>256</v>
      </c>
      <c r="AB90" s="1202" t="s">
        <v>256</v>
      </c>
      <c r="AC90" s="1209"/>
      <c r="AD90" s="1326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728</v>
      </c>
      <c r="S91" s="1202">
        <v>3331568545</v>
      </c>
      <c r="T91" s="1202" t="s">
        <v>27</v>
      </c>
      <c r="U91" s="1202">
        <v>24142572</v>
      </c>
      <c r="V91" s="1202" t="s">
        <v>535</v>
      </c>
      <c r="W91" s="1261" t="s">
        <v>199</v>
      </c>
      <c r="X91" s="1231">
        <v>22160.752</v>
      </c>
      <c r="Y91" s="1261" t="s">
        <v>200</v>
      </c>
      <c r="Z91" s="1264">
        <v>1</v>
      </c>
      <c r="AA91" s="1264">
        <v>1</v>
      </c>
      <c r="AB91" s="1264" t="s">
        <v>204</v>
      </c>
      <c r="AC91" s="1308" t="s">
        <v>422</v>
      </c>
      <c r="AD91" s="1326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728</v>
      </c>
      <c r="S92" s="1202">
        <v>3331568550</v>
      </c>
      <c r="T92" s="1202" t="s">
        <v>27</v>
      </c>
      <c r="U92" s="1261">
        <v>24142573</v>
      </c>
      <c r="V92" s="1202" t="s">
        <v>12</v>
      </c>
      <c r="W92" s="1261" t="s">
        <v>199</v>
      </c>
      <c r="X92" s="1203">
        <f>11575.231+9798.751+3802.68</f>
        <v>25176.662</v>
      </c>
      <c r="Y92" s="1261" t="s">
        <v>200</v>
      </c>
      <c r="Z92" s="1264">
        <v>1</v>
      </c>
      <c r="AA92" s="1264">
        <v>1</v>
      </c>
      <c r="AB92" s="1264" t="s">
        <v>204</v>
      </c>
      <c r="AC92" s="1308" t="s">
        <v>422</v>
      </c>
      <c r="AD92" s="1326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728</v>
      </c>
      <c r="S93" s="1202">
        <v>3331568557</v>
      </c>
      <c r="T93" s="1202" t="s">
        <v>256</v>
      </c>
      <c r="U93" s="1202" t="s">
        <v>256</v>
      </c>
      <c r="V93" s="1202" t="s">
        <v>256</v>
      </c>
      <c r="W93" s="1202" t="s">
        <v>256</v>
      </c>
      <c r="X93" s="1203" t="s">
        <v>256</v>
      </c>
      <c r="Y93" s="1202" t="s">
        <v>256</v>
      </c>
      <c r="Z93" s="1202" t="s">
        <v>256</v>
      </c>
      <c r="AA93" s="1202" t="s">
        <v>256</v>
      </c>
      <c r="AB93" s="1202" t="s">
        <v>256</v>
      </c>
      <c r="AC93" s="1209"/>
      <c r="AD93" s="1326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2" t="s">
        <v>452</v>
      </c>
      <c r="S94" s="1261">
        <v>3331567125</v>
      </c>
      <c r="T94" s="1202" t="s">
        <v>256</v>
      </c>
      <c r="U94" s="1202" t="s">
        <v>256</v>
      </c>
      <c r="V94" s="1202" t="s">
        <v>256</v>
      </c>
      <c r="W94" s="1202" t="s">
        <v>256</v>
      </c>
      <c r="X94" s="1202" t="s">
        <v>256</v>
      </c>
      <c r="Y94" s="1202" t="s">
        <v>256</v>
      </c>
      <c r="Z94" s="1202" t="s">
        <v>256</v>
      </c>
      <c r="AA94" s="1202" t="s">
        <v>256</v>
      </c>
      <c r="AB94" s="1202" t="s">
        <v>256</v>
      </c>
      <c r="AC94" s="1209"/>
      <c r="AD94" s="1326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2" t="s">
        <v>691</v>
      </c>
      <c r="S95" s="1202">
        <v>3331568561</v>
      </c>
      <c r="T95" s="1202" t="s">
        <v>27</v>
      </c>
      <c r="U95" s="1261">
        <v>24142575</v>
      </c>
      <c r="V95" s="1202" t="s">
        <v>572</v>
      </c>
      <c r="W95" s="1261" t="s">
        <v>199</v>
      </c>
      <c r="X95" s="1203">
        <v>23382.54</v>
      </c>
      <c r="Y95" s="1261" t="s">
        <v>200</v>
      </c>
      <c r="Z95" s="1264">
        <v>1</v>
      </c>
      <c r="AA95" s="1264">
        <v>1</v>
      </c>
      <c r="AB95" s="1264" t="s">
        <v>204</v>
      </c>
      <c r="AC95" s="1308" t="s">
        <v>422</v>
      </c>
      <c r="AD95" s="1326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224"/>
      <c r="T96" s="1217"/>
      <c r="U96" s="1224"/>
      <c r="V96" s="1190"/>
      <c r="W96" s="1293"/>
      <c r="X96" s="1225"/>
      <c r="Y96" s="1294"/>
      <c r="Z96" s="1190"/>
      <c r="AA96" s="1190"/>
      <c r="AB96" s="1190"/>
      <c r="AC96" s="1217"/>
      <c r="AD96" s="1326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359"/>
      <c r="T97" s="1217"/>
      <c r="U97" s="1224"/>
      <c r="V97" s="1217"/>
      <c r="W97" s="1224"/>
      <c r="X97" s="1225"/>
      <c r="Y97" s="1190"/>
      <c r="Z97" s="1190"/>
      <c r="AA97" s="1190"/>
      <c r="AB97" s="1241"/>
      <c r="AC97" s="1270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90"/>
      <c r="S98" s="1190"/>
      <c r="T98" s="1293"/>
      <c r="U98" s="1293"/>
      <c r="V98" s="1190"/>
      <c r="W98" s="1293"/>
      <c r="X98" s="1191"/>
      <c r="Y98" s="1190"/>
      <c r="Z98" s="1190"/>
      <c r="AA98" s="1190"/>
      <c r="AB98" s="1241"/>
      <c r="AC98" s="1217"/>
      <c r="AD98" s="1326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/>
      <c r="S99" s="1190"/>
      <c r="T99" s="1293"/>
      <c r="U99" s="1293"/>
      <c r="V99" s="1190"/>
      <c r="W99" s="1293"/>
      <c r="X99" s="1191"/>
      <c r="Y99" s="1190"/>
      <c r="Z99" s="1190"/>
      <c r="AA99" s="1190"/>
      <c r="AB99" s="1241"/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39"/>
      <c r="S100" s="1339"/>
      <c r="T100" s="1190"/>
      <c r="U100" s="1293"/>
      <c r="V100" s="1190"/>
      <c r="W100" s="1293"/>
      <c r="X100" s="1191"/>
      <c r="Y100" s="1190"/>
      <c r="Z100" s="1190"/>
      <c r="AA100" s="1190"/>
      <c r="AB100" s="1110"/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90"/>
      <c r="S101" s="1190"/>
      <c r="T101" s="1190"/>
      <c r="U101" s="1190"/>
      <c r="V101" s="1190"/>
      <c r="W101" s="1293"/>
      <c r="X101" s="1191"/>
      <c r="Y101" s="1190"/>
      <c r="Z101" s="1190"/>
      <c r="AA101" s="1190"/>
      <c r="AB101" s="1241"/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89"/>
      <c r="S102" s="1190"/>
      <c r="T102" s="1190"/>
      <c r="U102" s="1190"/>
      <c r="V102" s="1190"/>
      <c r="W102" s="1293"/>
      <c r="X102" s="1191"/>
      <c r="Y102" s="1190"/>
      <c r="Z102" s="1190"/>
      <c r="AA102" s="1190"/>
      <c r="AB102" s="1241"/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353"/>
      <c r="S103" s="1339"/>
      <c r="T103" s="1190"/>
      <c r="U103" s="1190"/>
      <c r="V103" s="1190"/>
      <c r="W103" s="1293"/>
      <c r="X103" s="1191"/>
      <c r="Y103" s="1190"/>
      <c r="Z103" s="1190"/>
      <c r="AA103" s="1190"/>
      <c r="AB103" s="1241"/>
      <c r="AC103" s="1217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90"/>
      <c r="S104" s="1224"/>
      <c r="T104" s="1190"/>
      <c r="U104" s="1224"/>
      <c r="V104" s="1224"/>
      <c r="W104" s="1293"/>
      <c r="X104" s="1225"/>
      <c r="Y104" s="1190"/>
      <c r="Z104" s="1190"/>
      <c r="AA104" s="1190"/>
      <c r="AB104" s="1241"/>
      <c r="AC104" s="1217"/>
      <c r="AD104" s="1326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224"/>
      <c r="T105" s="1294"/>
      <c r="U105" s="1224"/>
      <c r="V105" s="1224"/>
      <c r="W105" s="1293"/>
      <c r="X105" s="1225"/>
      <c r="Y105" s="1190"/>
      <c r="Z105" s="1190"/>
      <c r="AA105" s="1190"/>
      <c r="AB105" s="1241"/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224"/>
      <c r="T106" s="1294"/>
      <c r="U106" s="1224"/>
      <c r="V106" s="1224"/>
      <c r="W106" s="1293"/>
      <c r="X106" s="1225"/>
      <c r="Y106" s="1190"/>
      <c r="Z106" s="1190"/>
      <c r="AA106" s="1190"/>
      <c r="AB106" s="1241"/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224"/>
      <c r="T107" s="1279"/>
      <c r="U107" s="1224"/>
      <c r="V107" s="1224"/>
      <c r="W107" s="1293"/>
      <c r="X107" s="1225"/>
      <c r="Y107" s="1190"/>
      <c r="Z107" s="1190"/>
      <c r="AA107" s="1190"/>
      <c r="AB107" s="1241"/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90"/>
      <c r="S108" s="1190"/>
      <c r="T108" s="1217"/>
      <c r="U108" s="1190"/>
      <c r="V108" s="1224"/>
      <c r="W108" s="1293"/>
      <c r="X108" s="1191"/>
      <c r="Y108" s="1190"/>
      <c r="Z108" s="1217"/>
      <c r="AA108" s="1217"/>
      <c r="AB108" s="1218"/>
      <c r="AC108" s="1190"/>
      <c r="AD108" s="1329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17"/>
      <c r="S109" s="1217"/>
      <c r="T109" s="1294"/>
      <c r="U109" s="1294"/>
      <c r="V109" s="1224"/>
      <c r="W109" s="1293"/>
      <c r="X109" s="1191"/>
      <c r="Y109" s="1294"/>
      <c r="Z109" s="1294"/>
      <c r="AA109" s="1294"/>
      <c r="AB109" s="1294"/>
      <c r="AC109" s="1217"/>
      <c r="AD109" s="1326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17"/>
      <c r="S110" s="1217"/>
      <c r="T110" s="1294"/>
      <c r="U110" s="1294"/>
      <c r="V110" s="1224"/>
      <c r="W110" s="1293"/>
      <c r="X110" s="1191"/>
      <c r="Y110" s="1294"/>
      <c r="Z110" s="1294"/>
      <c r="AA110" s="1294"/>
      <c r="AB110" s="1294"/>
      <c r="AC110" s="1217"/>
      <c r="AD110" s="1326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17"/>
      <c r="S111" s="1217"/>
      <c r="T111" s="1294"/>
      <c r="U111" s="1190"/>
      <c r="V111" s="1294"/>
      <c r="W111" s="1294"/>
      <c r="X111" s="1191"/>
      <c r="Y111" s="1294"/>
      <c r="Z111" s="1190"/>
      <c r="AA111" s="1190"/>
      <c r="AB111" s="1294"/>
      <c r="AC111" s="1217"/>
      <c r="AD111" s="1326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17"/>
      <c r="S112" s="1217"/>
      <c r="T112" s="1294"/>
      <c r="U112" s="1190"/>
      <c r="V112" s="1294"/>
      <c r="W112" s="1294"/>
      <c r="X112" s="1191"/>
      <c r="Y112" s="1294"/>
      <c r="Z112" s="1190"/>
      <c r="AA112" s="1190"/>
      <c r="AB112" s="1294"/>
      <c r="AC112" s="1217"/>
      <c r="AD112" s="1326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17"/>
      <c r="S113" s="1217"/>
      <c r="T113" s="1217"/>
      <c r="U113" s="1190"/>
      <c r="V113" s="1294"/>
      <c r="W113" s="1294"/>
      <c r="X113" s="1191"/>
      <c r="Y113" s="1294"/>
      <c r="Z113" s="1190"/>
      <c r="AA113" s="1190"/>
      <c r="AB113" s="1294"/>
      <c r="AC113" s="1217"/>
      <c r="AD113" s="1326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17"/>
      <c r="S114" s="1217"/>
      <c r="T114" s="1217"/>
      <c r="U114" s="1190"/>
      <c r="V114" s="1294"/>
      <c r="W114" s="1294"/>
      <c r="X114" s="1191"/>
      <c r="Y114" s="1294"/>
      <c r="Z114" s="1190"/>
      <c r="AA114" s="1190"/>
      <c r="AB114" s="1200"/>
      <c r="AC114" s="1217"/>
      <c r="AD114" s="1326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17"/>
      <c r="S115" s="1217"/>
      <c r="T115" s="1217"/>
      <c r="U115" s="1190"/>
      <c r="V115" s="1294"/>
      <c r="W115" s="1294"/>
      <c r="X115" s="1191"/>
      <c r="Y115" s="1190"/>
      <c r="Z115" s="1190"/>
      <c r="AA115" s="1190"/>
      <c r="AB115" s="1200"/>
      <c r="AC115" s="1217"/>
      <c r="AD115" s="1326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17"/>
      <c r="S116" s="1217"/>
      <c r="T116" s="1294"/>
      <c r="U116" s="1190"/>
      <c r="V116" s="1190"/>
      <c r="W116" s="1190"/>
      <c r="X116" s="1191"/>
      <c r="Y116" s="1190"/>
      <c r="Z116" s="1190"/>
      <c r="AA116" s="1190"/>
      <c r="AB116" s="1200"/>
      <c r="AC116" s="1217"/>
      <c r="AD116" s="1326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17"/>
      <c r="S117" s="1217"/>
      <c r="T117" s="1294"/>
      <c r="U117" s="1190"/>
      <c r="V117" s="1190"/>
      <c r="W117" s="1190"/>
      <c r="X117" s="1191"/>
      <c r="Y117" s="1190"/>
      <c r="Z117" s="1190"/>
      <c r="AA117" s="1190"/>
      <c r="AB117" s="1200"/>
      <c r="AC117" s="1217"/>
      <c r="AD117" s="1326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17"/>
      <c r="S118" s="1217"/>
      <c r="T118" s="1294"/>
      <c r="U118" s="1190"/>
      <c r="V118" s="1190"/>
      <c r="W118" s="1190"/>
      <c r="X118" s="1191"/>
      <c r="Y118" s="1190"/>
      <c r="Z118" s="1190"/>
      <c r="AA118" s="1190"/>
      <c r="AB118" s="1200"/>
      <c r="AC118" s="1217"/>
      <c r="AD118" s="1326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17"/>
      <c r="S119" s="1217"/>
      <c r="T119" s="1217"/>
      <c r="U119" s="1190"/>
      <c r="V119" s="1190"/>
      <c r="W119" s="1294"/>
      <c r="X119" s="1191"/>
      <c r="Y119" s="1190"/>
      <c r="Z119" s="1190"/>
      <c r="AA119" s="1190"/>
      <c r="AB119" s="1200"/>
      <c r="AC119" s="1217"/>
      <c r="AD119" s="1326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17"/>
      <c r="S120" s="1217"/>
      <c r="T120" s="1217"/>
      <c r="U120" s="1190"/>
      <c r="V120" s="1190"/>
      <c r="W120" s="1294"/>
      <c r="X120" s="1191"/>
      <c r="Y120" s="1190"/>
      <c r="Z120" s="1190"/>
      <c r="AA120" s="1190"/>
      <c r="AB120" s="1200"/>
      <c r="AC120" s="1217"/>
      <c r="AD120" s="1326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17"/>
      <c r="S121" s="1217"/>
      <c r="T121" s="1294"/>
      <c r="U121" s="1190"/>
      <c r="V121" s="1190"/>
      <c r="W121" s="1190"/>
      <c r="X121" s="1191"/>
      <c r="Y121" s="1190"/>
      <c r="Z121" s="1190"/>
      <c r="AA121" s="1190"/>
      <c r="AB121" s="1200"/>
      <c r="AC121" s="1217"/>
      <c r="AD121" s="1326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90"/>
      <c r="S122" s="1294"/>
      <c r="T122" s="1217"/>
      <c r="U122" s="1190"/>
      <c r="V122" s="1190"/>
      <c r="W122" s="1294"/>
      <c r="X122" s="1191"/>
      <c r="Y122" s="1190"/>
      <c r="Z122" s="1190"/>
      <c r="AA122" s="1190"/>
      <c r="AB122" s="1200"/>
      <c r="AC122" s="1217"/>
      <c r="AD122" s="1326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90"/>
      <c r="S123" s="1294"/>
      <c r="T123" s="1294"/>
      <c r="U123" s="1190"/>
      <c r="V123" s="1190"/>
      <c r="W123" s="1294"/>
      <c r="X123" s="1191"/>
      <c r="Y123" s="1190"/>
      <c r="Z123" s="1190"/>
      <c r="AA123" s="1190"/>
      <c r="AB123" s="1200"/>
      <c r="AC123" s="1217"/>
      <c r="AD123" s="1326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224"/>
      <c r="T124" s="1279"/>
      <c r="U124" s="1224"/>
      <c r="V124" s="1224"/>
      <c r="W124" s="1294"/>
      <c r="X124" s="1225"/>
      <c r="Y124" s="1190"/>
      <c r="Z124" s="1190"/>
      <c r="AA124" s="1190"/>
      <c r="AB124" s="1241"/>
      <c r="AC124" s="1217"/>
      <c r="AD124" s="1326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90"/>
      <c r="S125" s="1224"/>
      <c r="T125" s="1279"/>
      <c r="U125" s="1224"/>
      <c r="V125" s="1224"/>
      <c r="W125" s="1224"/>
      <c r="X125" s="1225"/>
      <c r="Y125" s="1190"/>
      <c r="Z125" s="1190"/>
      <c r="AA125" s="1190"/>
      <c r="AB125" s="1241"/>
      <c r="AC125" s="1217"/>
      <c r="AD125" s="1326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224"/>
      <c r="T126" s="1279"/>
      <c r="U126" s="1224"/>
      <c r="V126" s="1224"/>
      <c r="W126" s="1294"/>
      <c r="X126" s="1225"/>
      <c r="Y126" s="1190"/>
      <c r="Z126" s="1190"/>
      <c r="AA126" s="1190"/>
      <c r="AB126" s="1241"/>
      <c r="AC126" s="1217"/>
      <c r="AD126" s="13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224"/>
      <c r="T127" s="1279"/>
      <c r="U127" s="1224"/>
      <c r="V127" s="1224"/>
      <c r="W127" s="1224"/>
      <c r="X127" s="1225"/>
      <c r="Y127" s="1190"/>
      <c r="Z127" s="1190"/>
      <c r="AA127" s="1190"/>
      <c r="AB127" s="1241"/>
      <c r="AC127" s="1217"/>
      <c r="AD127" s="13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90"/>
      <c r="S128" s="1224"/>
      <c r="T128" s="1279"/>
      <c r="U128" s="1224"/>
      <c r="V128" s="1224"/>
      <c r="W128" s="1224"/>
      <c r="X128" s="1225"/>
      <c r="Y128" s="1190"/>
      <c r="Z128" s="1190"/>
      <c r="AA128" s="1190"/>
      <c r="AB128" s="1241"/>
      <c r="AC128" s="1217"/>
      <c r="AD128" s="1326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90"/>
      <c r="S129" s="1224"/>
      <c r="T129" s="1279"/>
      <c r="U129" s="1224"/>
      <c r="V129" s="1224"/>
      <c r="W129" s="1224"/>
      <c r="X129" s="1225"/>
      <c r="Y129" s="1190"/>
      <c r="Z129" s="1190"/>
      <c r="AA129" s="1190"/>
      <c r="AB129" s="1241"/>
      <c r="AC129" s="1217"/>
      <c r="AD129" s="1326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90"/>
      <c r="S130" s="1224"/>
      <c r="T130" s="1279"/>
      <c r="U130" s="1224"/>
      <c r="V130" s="1224"/>
      <c r="W130" s="1224"/>
      <c r="X130" s="1225"/>
      <c r="Y130" s="1190"/>
      <c r="Z130" s="1190"/>
      <c r="AA130" s="1190"/>
      <c r="AB130" s="1241"/>
      <c r="AC130" s="1217"/>
      <c r="AD130" s="1326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90"/>
      <c r="S131" s="1224"/>
      <c r="T131" s="1279"/>
      <c r="U131" s="1224"/>
      <c r="V131" s="1224"/>
      <c r="W131" s="1190"/>
      <c r="X131" s="1225"/>
      <c r="Y131" s="1190"/>
      <c r="Z131" s="1190"/>
      <c r="AA131" s="1190"/>
      <c r="AB131" s="1241"/>
      <c r="AC131" s="1217"/>
      <c r="AD131" s="1326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90"/>
      <c r="S132" s="1224"/>
      <c r="T132" s="1279"/>
      <c r="U132" s="1224"/>
      <c r="V132" s="1224"/>
      <c r="W132" s="1294"/>
      <c r="X132" s="1225"/>
      <c r="Y132" s="1190"/>
      <c r="Z132" s="1190"/>
      <c r="AA132" s="1190"/>
      <c r="AB132" s="1241"/>
      <c r="AC132" s="1217"/>
      <c r="AD132" s="1326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90"/>
      <c r="S133" s="1224"/>
      <c r="T133" s="1279"/>
      <c r="U133" s="1224"/>
      <c r="V133" s="1224"/>
      <c r="W133" s="1294"/>
      <c r="X133" s="1225"/>
      <c r="Y133" s="1190"/>
      <c r="Z133" s="1190"/>
      <c r="AA133" s="1190"/>
      <c r="AB133" s="1241"/>
      <c r="AC133" s="1217"/>
      <c r="AD133" s="1326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90"/>
      <c r="S134" s="1224"/>
      <c r="T134" s="1279"/>
      <c r="U134" s="1224"/>
      <c r="V134" s="1224"/>
      <c r="W134" s="1294"/>
      <c r="X134" s="1225"/>
      <c r="Y134" s="1190"/>
      <c r="Z134" s="1190"/>
      <c r="AA134" s="1190"/>
      <c r="AB134" s="1241"/>
      <c r="AC134" s="1217"/>
      <c r="AD134" s="1326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90"/>
      <c r="S135" s="1224"/>
      <c r="T135" s="1279"/>
      <c r="U135" s="1224"/>
      <c r="V135" s="1224"/>
      <c r="W135" s="1190"/>
      <c r="X135" s="1225"/>
      <c r="Y135" s="1190"/>
      <c r="Z135" s="1190"/>
      <c r="AA135" s="1190"/>
      <c r="AB135" s="1241"/>
      <c r="AC135" s="1217"/>
      <c r="AD135" s="1326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90"/>
      <c r="S136" s="1224"/>
      <c r="T136" s="1279"/>
      <c r="U136" s="1224"/>
      <c r="V136" s="1224"/>
      <c r="W136" s="1190"/>
      <c r="X136" s="1225"/>
      <c r="Y136" s="1190"/>
      <c r="Z136" s="1190"/>
      <c r="AA136" s="1190"/>
      <c r="AB136" s="1241"/>
      <c r="AC136" s="1217"/>
      <c r="AD136" s="1326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90"/>
      <c r="S137" s="1224"/>
      <c r="T137" s="1279"/>
      <c r="U137" s="1224"/>
      <c r="V137" s="1224"/>
      <c r="W137" s="1294"/>
      <c r="X137" s="1225"/>
      <c r="Y137" s="1190"/>
      <c r="Z137" s="1190"/>
      <c r="AA137" s="1190"/>
      <c r="AB137" s="1241"/>
      <c r="AC137" s="1217"/>
      <c r="AD137" s="1326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190"/>
      <c r="S138" s="1224"/>
      <c r="T138" s="1279"/>
      <c r="U138" s="1224"/>
      <c r="V138" s="1224"/>
      <c r="W138" s="1294"/>
      <c r="X138" s="1225"/>
      <c r="Y138" s="1190"/>
      <c r="Z138" s="1190"/>
      <c r="AA138" s="1190"/>
      <c r="AB138" s="1241"/>
      <c r="AC138" s="1217"/>
      <c r="AD138" s="1326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90"/>
      <c r="S139" s="1224"/>
      <c r="T139" s="1279"/>
      <c r="U139" s="1224"/>
      <c r="V139" s="1224"/>
      <c r="W139" s="1294"/>
      <c r="X139" s="1225"/>
      <c r="Y139" s="1190"/>
      <c r="Z139" s="1190"/>
      <c r="AA139" s="1190"/>
      <c r="AB139" s="1241"/>
      <c r="AC139" s="1217"/>
      <c r="AD139" s="1326"/>
    </row>
    <row r="140" spans="1:30" s="44" customFormat="1" ht="15.6">
      <c r="R140" s="1190"/>
      <c r="S140" s="1224"/>
      <c r="T140" s="1279"/>
      <c r="U140" s="1224"/>
      <c r="V140" s="1224"/>
      <c r="W140" s="1294"/>
      <c r="X140" s="1225"/>
      <c r="Y140" s="1190"/>
      <c r="Z140" s="1190"/>
      <c r="AA140" s="1190"/>
      <c r="AB140" s="1241"/>
      <c r="AC140" s="1217"/>
      <c r="AD140" s="1326"/>
    </row>
    <row r="141" spans="1:30" s="44" customFormat="1" ht="15.6">
      <c r="R141" s="1190"/>
      <c r="S141" s="1224"/>
      <c r="T141" s="1279"/>
      <c r="U141" s="1224"/>
      <c r="V141" s="1224"/>
      <c r="W141" s="1294"/>
      <c r="X141" s="1225"/>
      <c r="Y141" s="1190"/>
      <c r="Z141" s="1190"/>
      <c r="AA141" s="1190"/>
      <c r="AB141" s="1241"/>
      <c r="AC141" s="1217"/>
      <c r="AD141" s="1326"/>
    </row>
    <row r="142" spans="1:30" s="44" customFormat="1" ht="15.6">
      <c r="R142" s="1190"/>
      <c r="S142" s="1224"/>
      <c r="T142" s="1279"/>
      <c r="U142" s="1224"/>
      <c r="V142" s="1224"/>
      <c r="W142" s="1294"/>
      <c r="X142" s="1225"/>
      <c r="Y142" s="1190"/>
      <c r="Z142" s="1190"/>
      <c r="AA142" s="1190"/>
      <c r="AB142" s="1241"/>
      <c r="AC142" s="1217"/>
      <c r="AD142" s="1326"/>
    </row>
    <row r="143" spans="1:30" s="44" customFormat="1" ht="15.6">
      <c r="R143" s="1190"/>
      <c r="S143" s="1224"/>
      <c r="T143" s="1279"/>
      <c r="U143" s="1224"/>
      <c r="V143" s="1224"/>
      <c r="W143" s="1294"/>
      <c r="X143" s="1225"/>
      <c r="Y143" s="1190"/>
      <c r="Z143" s="1190"/>
      <c r="AA143" s="1190"/>
      <c r="AB143" s="1241"/>
      <c r="AC143" s="1217"/>
      <c r="AD143" s="1326"/>
    </row>
    <row r="144" spans="1:30" s="44" customFormat="1" ht="15.6">
      <c r="R144" s="1190"/>
      <c r="S144" s="1224"/>
      <c r="T144" s="1279"/>
      <c r="U144" s="1224"/>
      <c r="V144" s="1224"/>
      <c r="W144" s="1294"/>
      <c r="X144" s="1225"/>
      <c r="Y144" s="1190"/>
      <c r="Z144" s="1190"/>
      <c r="AA144" s="1190"/>
      <c r="AB144" s="1241"/>
      <c r="AC144" s="1217"/>
      <c r="AD144" s="1326"/>
    </row>
    <row r="145" spans="18:30" s="44" customFormat="1" ht="15.6">
      <c r="R145" s="1190"/>
      <c r="S145" s="1224"/>
      <c r="T145" s="1279"/>
      <c r="U145" s="1224"/>
      <c r="V145" s="1224"/>
      <c r="W145" s="1294"/>
      <c r="X145" s="1225"/>
      <c r="Y145" s="1190"/>
      <c r="Z145" s="1190"/>
      <c r="AA145" s="1190"/>
      <c r="AB145" s="1241"/>
      <c r="AC145" s="1217"/>
      <c r="AD145" s="1326"/>
    </row>
    <row r="146" spans="18:30" s="44" customFormat="1" ht="15.6">
      <c r="R146" s="1190"/>
      <c r="S146" s="1224"/>
      <c r="T146" s="1279"/>
      <c r="U146" s="1224"/>
      <c r="V146" s="1224"/>
      <c r="W146" s="1294"/>
      <c r="X146" s="1225"/>
      <c r="Y146" s="1190"/>
      <c r="Z146" s="1190"/>
      <c r="AA146" s="1190"/>
      <c r="AB146" s="1241"/>
      <c r="AC146" s="1217"/>
      <c r="AD146" s="1326"/>
    </row>
    <row r="147" spans="18:30" s="44" customFormat="1" ht="15.6">
      <c r="R147" s="1190"/>
      <c r="S147" s="1224"/>
      <c r="T147" s="1279"/>
      <c r="U147" s="1224"/>
      <c r="V147" s="1224"/>
      <c r="W147" s="1294"/>
      <c r="X147" s="1225"/>
      <c r="Y147" s="1190"/>
      <c r="Z147" s="1190"/>
      <c r="AA147" s="1190"/>
      <c r="AB147" s="1241"/>
      <c r="AC147" s="1217"/>
      <c r="AD147" s="1326"/>
    </row>
    <row r="148" spans="18:30" s="44" customFormat="1" ht="15.6">
      <c r="R148" s="1190"/>
      <c r="S148" s="1294"/>
      <c r="T148" s="1293"/>
      <c r="U148" s="1190"/>
      <c r="V148" s="1217"/>
      <c r="W148" s="1190"/>
      <c r="X148" s="1191"/>
      <c r="Y148" s="1190"/>
      <c r="Z148" s="1190"/>
      <c r="AA148" s="1190"/>
      <c r="AB148" s="1241"/>
      <c r="AC148" s="1217"/>
      <c r="AD148" s="1326"/>
    </row>
    <row r="149" spans="18:30" s="44" customFormat="1" ht="15.6">
      <c r="R149" s="1190"/>
      <c r="S149" s="1294"/>
      <c r="T149" s="1293"/>
      <c r="U149" s="1190"/>
      <c r="V149" s="1217"/>
      <c r="W149" s="1190"/>
      <c r="X149" s="1191"/>
      <c r="Y149" s="1190"/>
      <c r="Z149" s="1190"/>
      <c r="AA149" s="1190"/>
      <c r="AB149" s="1241"/>
      <c r="AC149" s="1217"/>
      <c r="AD149" s="1326"/>
    </row>
    <row r="150" spans="18:30" s="44" customFormat="1" ht="15.6">
      <c r="R150" s="1190"/>
      <c r="S150" s="1294"/>
      <c r="T150" s="1293"/>
      <c r="U150" s="1190"/>
      <c r="V150" s="1217"/>
      <c r="W150" s="1190"/>
      <c r="X150" s="1191"/>
      <c r="Y150" s="1190"/>
      <c r="Z150" s="1190"/>
      <c r="AA150" s="1190"/>
      <c r="AB150" s="1200"/>
      <c r="AC150" s="1217"/>
      <c r="AD150" s="1326"/>
    </row>
    <row r="151" spans="18:30" s="44" customFormat="1" ht="15.6">
      <c r="R151" s="1190"/>
      <c r="S151" s="1190"/>
      <c r="T151" s="1293"/>
      <c r="U151" s="1190"/>
      <c r="V151" s="1190"/>
      <c r="W151" s="1190"/>
      <c r="X151" s="1191"/>
      <c r="Y151" s="1190"/>
      <c r="Z151" s="1190"/>
      <c r="AA151" s="1190"/>
      <c r="AB151" s="1200"/>
      <c r="AC151" s="1217"/>
      <c r="AD151" s="1326"/>
    </row>
    <row r="152" spans="18:30" s="44" customFormat="1" ht="15.6">
      <c r="R152" s="1190"/>
      <c r="S152" s="1190"/>
      <c r="T152" s="1293"/>
      <c r="U152" s="1190"/>
      <c r="V152" s="1190"/>
      <c r="W152" s="1190"/>
      <c r="X152" s="1191"/>
      <c r="Y152" s="1190"/>
      <c r="Z152" s="1190"/>
      <c r="AA152" s="1190"/>
      <c r="AB152" s="1200"/>
      <c r="AC152" s="1217"/>
      <c r="AD152" s="1326"/>
    </row>
    <row r="153" spans="18:30" s="44" customFormat="1" ht="15.6">
      <c r="R153" s="1190"/>
      <c r="S153" s="1190"/>
      <c r="T153" s="1293"/>
      <c r="U153" s="1190"/>
      <c r="V153" s="1190"/>
      <c r="W153" s="1190"/>
      <c r="X153" s="1191"/>
      <c r="Y153" s="1190"/>
      <c r="Z153" s="1190"/>
      <c r="AA153" s="1190"/>
      <c r="AB153" s="1200"/>
      <c r="AC153" s="1217"/>
      <c r="AD153" s="1326"/>
    </row>
    <row r="154" spans="18:30" s="44" customFormat="1" ht="15.6">
      <c r="R154" s="1190"/>
      <c r="S154" s="1190"/>
      <c r="T154" s="1293"/>
      <c r="U154" s="1190"/>
      <c r="V154" s="1190"/>
      <c r="W154" s="1190"/>
      <c r="X154" s="1191"/>
      <c r="Y154" s="1190"/>
      <c r="Z154" s="1190"/>
      <c r="AA154" s="1190"/>
      <c r="AB154" s="1200"/>
      <c r="AC154" s="1217"/>
      <c r="AD154" s="1326"/>
    </row>
    <row r="155" spans="18:30" s="44" customFormat="1" ht="15.6">
      <c r="R155" s="1190"/>
      <c r="S155" s="1190"/>
      <c r="T155" s="1293"/>
      <c r="U155" s="1190"/>
      <c r="V155" s="1190"/>
      <c r="W155" s="1190"/>
      <c r="X155" s="1191"/>
      <c r="Y155" s="1190"/>
      <c r="Z155" s="1190"/>
      <c r="AA155" s="1190"/>
      <c r="AB155" s="1200"/>
      <c r="AC155" s="1217"/>
      <c r="AD155" s="1326"/>
    </row>
    <row r="156" spans="18:30" s="44" customFormat="1" ht="15.6">
      <c r="R156" s="1190"/>
      <c r="S156" s="1190"/>
      <c r="T156" s="1293"/>
      <c r="U156" s="1190"/>
      <c r="V156" s="1190"/>
      <c r="W156" s="1190"/>
      <c r="X156" s="1191"/>
      <c r="Y156" s="1190"/>
      <c r="Z156" s="1190"/>
      <c r="AA156" s="1190"/>
      <c r="AB156" s="1200"/>
      <c r="AC156" s="1217"/>
      <c r="AD156" s="1326"/>
    </row>
    <row r="157" spans="18:30" s="44" customFormat="1" ht="15.6">
      <c r="R157" s="1190"/>
      <c r="S157" s="1190"/>
      <c r="T157" s="1293"/>
      <c r="U157" s="1190"/>
      <c r="V157" s="1190"/>
      <c r="W157" s="1190"/>
      <c r="X157" s="1191"/>
      <c r="Y157" s="1190"/>
      <c r="Z157" s="1190"/>
      <c r="AA157" s="1190"/>
      <c r="AB157" s="1200"/>
      <c r="AC157" s="1217"/>
      <c r="AD157" s="1326"/>
    </row>
    <row r="158" spans="18:30" s="44" customFormat="1" ht="15.6">
      <c r="R158" s="1190"/>
      <c r="S158" s="1190"/>
      <c r="T158" s="1190"/>
      <c r="U158" s="1190"/>
      <c r="V158" s="1190"/>
      <c r="W158" s="1190"/>
      <c r="X158" s="1191"/>
      <c r="Y158" s="1190"/>
      <c r="Z158" s="1190"/>
      <c r="AA158" s="1190"/>
      <c r="AB158" s="1200"/>
      <c r="AC158" s="1217"/>
      <c r="AD158" s="1326"/>
    </row>
    <row r="159" spans="18:30" s="44" customFormat="1" ht="15.6">
      <c r="R159" s="1190"/>
      <c r="S159" s="1190"/>
      <c r="T159" s="1293"/>
      <c r="U159" s="1190"/>
      <c r="V159" s="1190"/>
      <c r="W159" s="1190"/>
      <c r="X159" s="1191"/>
      <c r="Y159" s="1190"/>
      <c r="Z159" s="1190"/>
      <c r="AA159" s="1190"/>
      <c r="AB159" s="1200"/>
      <c r="AC159" s="1217"/>
      <c r="AD159" s="1326"/>
    </row>
    <row r="160" spans="18:30" s="44" customFormat="1" ht="15.6">
      <c r="R160" s="1190"/>
      <c r="S160" s="1190"/>
      <c r="T160" s="1293"/>
      <c r="U160" s="1190"/>
      <c r="V160" s="1190"/>
      <c r="W160" s="1190"/>
      <c r="X160" s="1191"/>
      <c r="Y160" s="1190"/>
      <c r="Z160" s="1190"/>
      <c r="AA160" s="1190"/>
      <c r="AB160" s="1200"/>
      <c r="AC160" s="1217"/>
      <c r="AD160" s="1326"/>
    </row>
    <row r="161" spans="18:30" s="44" customFormat="1" ht="15.6">
      <c r="R161" s="1190"/>
      <c r="S161" s="1190"/>
      <c r="T161" s="1293"/>
      <c r="U161" s="1190"/>
      <c r="V161" s="1190"/>
      <c r="W161" s="1190"/>
      <c r="X161" s="1191"/>
      <c r="Y161" s="1190"/>
      <c r="Z161" s="1190"/>
      <c r="AA161" s="1190"/>
      <c r="AB161" s="1200"/>
      <c r="AC161" s="1217"/>
      <c r="AD161" s="1326"/>
    </row>
    <row r="162" spans="18:30" s="44" customFormat="1">
      <c r="R162" s="1190"/>
      <c r="S162" s="1190"/>
      <c r="T162" s="1293"/>
      <c r="U162" s="1190"/>
      <c r="V162" s="1190"/>
      <c r="W162" s="1190"/>
      <c r="X162" s="1191"/>
      <c r="Y162" s="1190"/>
      <c r="Z162" s="1190"/>
      <c r="AA162" s="1190"/>
      <c r="AB162" s="1190"/>
      <c r="AC162" s="1217"/>
      <c r="AD162" s="1326"/>
    </row>
    <row r="163" spans="18:30" s="44" customFormat="1" ht="15.6">
      <c r="R163" s="1190"/>
      <c r="S163" s="1190"/>
      <c r="T163" s="1224"/>
      <c r="U163" s="1190"/>
      <c r="V163" s="1190"/>
      <c r="W163" s="1190"/>
      <c r="X163" s="1191"/>
      <c r="Y163" s="1190"/>
      <c r="Z163" s="1217"/>
      <c r="AA163" s="1217"/>
      <c r="AB163" s="1218"/>
      <c r="AC163" s="1190"/>
      <c r="AD163" s="1326"/>
    </row>
    <row r="164" spans="18:30" s="44" customFormat="1" ht="15.6">
      <c r="R164" s="1190"/>
      <c r="S164" s="1190"/>
      <c r="T164" s="1190"/>
      <c r="U164" s="1190"/>
      <c r="V164" s="1190"/>
      <c r="W164" s="1190"/>
      <c r="X164" s="1191"/>
      <c r="Y164" s="1190"/>
      <c r="Z164" s="1217"/>
      <c r="AA164" s="1217"/>
      <c r="AB164" s="1218"/>
      <c r="AC164" s="1190"/>
      <c r="AD164" s="1326"/>
    </row>
    <row r="165" spans="18:30" s="44" customFormat="1" ht="15.6">
      <c r="R165" s="1190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0"/>
      <c r="AD165" s="1326"/>
    </row>
    <row r="166" spans="18:30" s="44" customFormat="1" ht="15.6">
      <c r="R166" s="1190"/>
      <c r="S166" s="1190"/>
      <c r="T166" s="1217"/>
      <c r="U166" s="1190"/>
      <c r="V166" s="1190"/>
      <c r="W166" s="1190"/>
      <c r="X166" s="1191"/>
      <c r="Y166" s="1190"/>
      <c r="Z166" s="1217"/>
      <c r="AA166" s="1217"/>
      <c r="AB166" s="1218"/>
      <c r="AC166" s="1190"/>
      <c r="AD166" s="1326"/>
    </row>
    <row r="167" spans="18:30" s="44" customFormat="1" ht="15.6">
      <c r="R167" s="1190"/>
      <c r="S167" s="1190"/>
      <c r="T167" s="1217"/>
      <c r="U167" s="1190"/>
      <c r="V167" s="1190"/>
      <c r="W167" s="1190"/>
      <c r="X167" s="1191"/>
      <c r="Y167" s="1190"/>
      <c r="Z167" s="1217"/>
      <c r="AA167" s="1217"/>
      <c r="AB167" s="1218"/>
      <c r="AC167" s="1190"/>
      <c r="AD167" s="1326"/>
    </row>
    <row r="168" spans="18:30" s="44" customFormat="1" ht="15.6">
      <c r="R168" s="1190"/>
      <c r="S168" s="1190"/>
      <c r="T168" s="1217"/>
      <c r="U168" s="1190"/>
      <c r="V168" s="1190"/>
      <c r="W168" s="1190"/>
      <c r="X168" s="1191"/>
      <c r="Y168" s="1190"/>
      <c r="Z168" s="1217"/>
      <c r="AA168" s="1217"/>
      <c r="AB168" s="1218"/>
      <c r="AC168" s="1190"/>
      <c r="AD168" s="1326"/>
    </row>
    <row r="169" spans="18:30" s="44" customFormat="1" ht="15.6">
      <c r="R169" s="1190"/>
      <c r="S169" s="1190"/>
      <c r="T169" s="1217"/>
      <c r="U169" s="1190"/>
      <c r="V169" s="1190"/>
      <c r="W169" s="1190"/>
      <c r="X169" s="1191"/>
      <c r="Y169" s="1190"/>
      <c r="Z169" s="1217"/>
      <c r="AA169" s="1217"/>
      <c r="AB169" s="1218"/>
      <c r="AC169" s="1190"/>
      <c r="AD169" s="1326"/>
    </row>
    <row r="170" spans="18:30" s="44" customFormat="1" ht="15.6">
      <c r="R170" s="1190"/>
      <c r="S170" s="1190"/>
      <c r="T170" s="1217"/>
      <c r="U170" s="1190"/>
      <c r="V170" s="1190"/>
      <c r="W170" s="1190"/>
      <c r="X170" s="1191"/>
      <c r="Y170" s="1190"/>
      <c r="Z170" s="1217"/>
      <c r="AA170" s="1217"/>
      <c r="AB170" s="1218"/>
      <c r="AC170" s="1190"/>
      <c r="AD170" s="1326"/>
    </row>
    <row r="171" spans="18:30" s="44" customFormat="1" ht="15.6">
      <c r="R171" s="81"/>
      <c r="S171" s="81"/>
      <c r="T171" s="81"/>
      <c r="U171" s="81"/>
      <c r="V171" s="1190"/>
      <c r="W171" s="1190"/>
      <c r="X171" s="191"/>
      <c r="Y171" s="81"/>
      <c r="Z171" s="1217"/>
      <c r="AA171" s="1217"/>
      <c r="AB171" s="1218"/>
      <c r="AC171" s="1190"/>
      <c r="AD171" s="1326"/>
    </row>
    <row r="172" spans="18:30" s="44" customFormat="1" ht="15.6">
      <c r="R172" s="81"/>
      <c r="S172" s="81"/>
      <c r="T172" s="81"/>
      <c r="U172" s="81"/>
      <c r="V172" s="1190"/>
      <c r="W172" s="1190"/>
      <c r="X172" s="1325"/>
      <c r="Y172" s="1190"/>
      <c r="Z172" s="1190"/>
      <c r="AA172" s="1190"/>
      <c r="AB172" s="1218"/>
      <c r="AC172" s="1190"/>
      <c r="AD172" s="1326"/>
    </row>
    <row r="173" spans="18:30" s="44" customFormat="1" ht="15.6">
      <c r="R173" s="1190"/>
      <c r="S173" s="1190"/>
      <c r="T173" s="1217"/>
      <c r="U173" s="1190"/>
      <c r="V173" s="1190"/>
      <c r="W173" s="1190"/>
      <c r="X173" s="1325"/>
      <c r="Y173" s="1190"/>
      <c r="Z173" s="1190"/>
      <c r="AA173" s="1190"/>
      <c r="AB173" s="1218"/>
      <c r="AC173" s="1190"/>
      <c r="AD173" s="1326"/>
    </row>
    <row r="174" spans="18:30" s="44" customFormat="1" ht="15.6">
      <c r="R174" s="1190"/>
      <c r="S174" s="1190"/>
      <c r="T174" s="1190"/>
      <c r="U174" s="1190"/>
      <c r="V174" s="1190"/>
      <c r="W174" s="1190"/>
      <c r="X174" s="1190"/>
      <c r="Y174" s="1190"/>
      <c r="Z174" s="1190"/>
      <c r="AA174" s="1190"/>
      <c r="AB174" s="1218"/>
      <c r="AC174" s="1190"/>
      <c r="AD174" s="1326"/>
    </row>
    <row r="175" spans="18:30" s="44" customFormat="1" ht="15.6">
      <c r="R175" s="1190"/>
      <c r="S175" s="1190"/>
      <c r="T175" s="1217"/>
      <c r="U175" s="1190"/>
      <c r="V175" s="1190"/>
      <c r="W175" s="1190"/>
      <c r="X175" s="1191"/>
      <c r="Y175" s="1190"/>
      <c r="Z175" s="1217"/>
      <c r="AA175" s="1217"/>
      <c r="AB175" s="1218"/>
      <c r="AC175" s="1190"/>
      <c r="AD175" s="1326"/>
    </row>
    <row r="176" spans="18:30" s="44" customFormat="1" ht="15.6">
      <c r="R176" s="1330"/>
      <c r="S176" s="1331"/>
      <c r="T176" s="1332"/>
      <c r="U176" s="1331"/>
      <c r="V176" s="1331"/>
      <c r="W176" s="1331"/>
      <c r="X176" s="1333"/>
      <c r="Y176" s="1331"/>
      <c r="Z176" s="1332"/>
      <c r="AA176" s="1332"/>
      <c r="AB176" s="1334"/>
      <c r="AC176" s="1335"/>
      <c r="AD176" s="81"/>
    </row>
    <row r="177" spans="18:30" s="44" customFormat="1" ht="15.6">
      <c r="R177" s="1189"/>
      <c r="S177" s="1190"/>
      <c r="T177" s="1217"/>
      <c r="U177" s="1190"/>
      <c r="V177" s="1190"/>
      <c r="W177" s="1190"/>
      <c r="X177" s="1191"/>
      <c r="Y177" s="1190"/>
      <c r="Z177" s="1217"/>
      <c r="AA177" s="1217"/>
      <c r="AB177" s="1218"/>
      <c r="AC177" s="1192"/>
      <c r="AD177" s="81"/>
    </row>
    <row r="178" spans="18:30" s="44" customFormat="1" ht="15.6">
      <c r="R178" s="1189"/>
      <c r="S178" s="1190"/>
      <c r="T178" s="1217"/>
      <c r="U178" s="1190"/>
      <c r="V178" s="1190"/>
      <c r="W178" s="1190"/>
      <c r="X178" s="1191"/>
      <c r="Y178" s="1190"/>
      <c r="Z178" s="1217"/>
      <c r="AA178" s="1217"/>
      <c r="AB178" s="1218"/>
      <c r="AC178" s="1192"/>
      <c r="AD178" s="81"/>
    </row>
    <row r="179" spans="18:30" s="44" customFormat="1" ht="15.6">
      <c r="R179" s="1189"/>
      <c r="S179" s="1190"/>
      <c r="T179" s="1190"/>
      <c r="U179" s="1190"/>
      <c r="V179" s="1190"/>
      <c r="W179" s="1190"/>
      <c r="X179" s="1191"/>
      <c r="Y179" s="1190"/>
      <c r="Z179" s="1217"/>
      <c r="AA179" s="1217"/>
      <c r="AB179" s="1218"/>
      <c r="AC179" s="1192"/>
      <c r="AD179" s="81"/>
    </row>
    <row r="180" spans="18:30" s="44" customFormat="1" ht="15.6">
      <c r="R180" s="1189"/>
      <c r="S180" s="1190"/>
      <c r="T180" s="1217"/>
      <c r="U180" s="1190"/>
      <c r="V180" s="1190"/>
      <c r="W180" s="1190"/>
      <c r="X180" s="1191"/>
      <c r="Y180" s="1190"/>
      <c r="Z180" s="1217"/>
      <c r="AA180" s="1217"/>
      <c r="AB180" s="1218"/>
      <c r="AC180" s="1192"/>
      <c r="AD180" s="81"/>
    </row>
    <row r="181" spans="18:30" s="44" customFormat="1" ht="15.6">
      <c r="R181" s="1189"/>
      <c r="S181" s="1190"/>
      <c r="T181" s="1217"/>
      <c r="U181" s="1190"/>
      <c r="V181" s="1190"/>
      <c r="W181" s="1190"/>
      <c r="X181" s="1191"/>
      <c r="Y181" s="1190"/>
      <c r="Z181" s="1217"/>
      <c r="AA181" s="1217"/>
      <c r="AB181" s="1218"/>
      <c r="AC181" s="1192"/>
      <c r="AD181" s="81"/>
    </row>
    <row r="182" spans="18:30" s="44" customFormat="1" ht="15.6">
      <c r="R182" s="1189"/>
      <c r="S182" s="1190"/>
      <c r="T182" s="1190"/>
      <c r="U182" s="1190"/>
      <c r="V182" s="1190"/>
      <c r="W182" s="1190"/>
      <c r="X182" s="1191"/>
      <c r="Y182" s="1190"/>
      <c r="Z182" s="1217"/>
      <c r="AA182" s="1217"/>
      <c r="AB182" s="1218"/>
      <c r="AC182" s="1192"/>
      <c r="AD182" s="81"/>
    </row>
    <row r="183" spans="18:30" s="44" customFormat="1" ht="15.6">
      <c r="R183" s="1189"/>
      <c r="S183" s="1190"/>
      <c r="T183" s="1217"/>
      <c r="U183" s="1190"/>
      <c r="V183" s="1190"/>
      <c r="W183" s="1190"/>
      <c r="X183" s="1191"/>
      <c r="Y183" s="1190"/>
      <c r="Z183" s="1217"/>
      <c r="AA183" s="1217"/>
      <c r="AB183" s="1218"/>
      <c r="AC183" s="1192"/>
      <c r="AD183" s="81"/>
    </row>
    <row r="184" spans="18:30" s="44" customFormat="1" ht="15.6">
      <c r="R184" s="1189"/>
      <c r="S184" s="1190"/>
      <c r="T184" s="1217"/>
      <c r="U184" s="1190"/>
      <c r="V184" s="1190"/>
      <c r="W184" s="1190"/>
      <c r="X184" s="1191"/>
      <c r="Y184" s="1190"/>
      <c r="Z184" s="1217"/>
      <c r="AA184" s="1217"/>
      <c r="AB184" s="1218"/>
      <c r="AC184" s="1192"/>
      <c r="AD184" s="81"/>
    </row>
    <row r="185" spans="18:30" s="44" customFormat="1" ht="15.6">
      <c r="R185" s="1189"/>
      <c r="S185" s="1190"/>
      <c r="T185" s="1217"/>
      <c r="U185" s="1190"/>
      <c r="V185" s="1190"/>
      <c r="W185" s="1190"/>
      <c r="X185" s="1191"/>
      <c r="Y185" s="1190"/>
      <c r="Z185" s="1217"/>
      <c r="AA185" s="1217"/>
      <c r="AB185" s="1218"/>
      <c r="AC185" s="1192"/>
      <c r="AD185" s="81"/>
    </row>
    <row r="186" spans="18:30" s="44" customFormat="1" ht="15.6">
      <c r="R186" s="1189"/>
      <c r="S186" s="1190"/>
      <c r="T186" s="1217"/>
      <c r="U186" s="1190"/>
      <c r="V186" s="1190"/>
      <c r="W186" s="1190"/>
      <c r="X186" s="1191"/>
      <c r="Y186" s="1190"/>
      <c r="Z186" s="1217"/>
      <c r="AA186" s="1217"/>
      <c r="AB186" s="1218"/>
      <c r="AC186" s="1192"/>
      <c r="AD186" s="81"/>
    </row>
    <row r="187" spans="18:30" s="44" customFormat="1" ht="15.6">
      <c r="R187" s="1189"/>
      <c r="S187" s="1190"/>
      <c r="T187" s="1190"/>
      <c r="U187" s="1190"/>
      <c r="V187" s="1190"/>
      <c r="W187" s="1190"/>
      <c r="X187" s="1191"/>
      <c r="Y187" s="1190"/>
      <c r="Z187" s="1217"/>
      <c r="AA187" s="1217"/>
      <c r="AB187" s="1218"/>
      <c r="AC187" s="1192"/>
      <c r="AD187" s="81"/>
    </row>
    <row r="188" spans="18:30" s="44" customFormat="1" ht="15.6">
      <c r="R188" s="1189"/>
      <c r="S188" s="1190"/>
      <c r="T188" s="1190"/>
      <c r="U188" s="1190"/>
      <c r="V188" s="1190"/>
      <c r="W188" s="1190"/>
      <c r="X188" s="1191"/>
      <c r="Y188" s="1190"/>
      <c r="Z188" s="1217"/>
      <c r="AA188" s="1217"/>
      <c r="AB188" s="1218"/>
      <c r="AC188" s="1192"/>
      <c r="AD188" s="81"/>
    </row>
    <row r="189" spans="18:30" s="44" customFormat="1" ht="15.6">
      <c r="R189" s="1189"/>
      <c r="S189" s="1190"/>
      <c r="T189" s="1190"/>
      <c r="U189" s="1190"/>
      <c r="V189" s="1190"/>
      <c r="W189" s="1190"/>
      <c r="X189" s="1191"/>
      <c r="Y189" s="1190"/>
      <c r="Z189" s="1217"/>
      <c r="AA189" s="1217"/>
      <c r="AB189" s="1218"/>
      <c r="AC189" s="1192"/>
      <c r="AD189" s="81"/>
    </row>
    <row r="190" spans="18:30" s="44" customFormat="1" ht="15.6">
      <c r="R190" s="1189"/>
      <c r="S190" s="1190"/>
      <c r="T190" s="1217"/>
      <c r="U190" s="1190"/>
      <c r="V190" s="1190"/>
      <c r="W190" s="1190"/>
      <c r="X190" s="1191"/>
      <c r="Y190" s="1190"/>
      <c r="Z190" s="1217"/>
      <c r="AA190" s="1217"/>
      <c r="AB190" s="1218"/>
      <c r="AC190" s="1192"/>
      <c r="AD190" s="81"/>
    </row>
    <row r="191" spans="18:30" s="44" customFormat="1" ht="15.6">
      <c r="R191" s="1189"/>
      <c r="S191" s="1190"/>
      <c r="T191" s="1217"/>
      <c r="U191" s="1190"/>
      <c r="V191" s="1190"/>
      <c r="W191" s="1190"/>
      <c r="X191" s="1191"/>
      <c r="Y191" s="1190"/>
      <c r="Z191" s="1217"/>
      <c r="AA191" s="1217"/>
      <c r="AB191" s="1218"/>
      <c r="AC191" s="1192"/>
      <c r="AD191" s="81"/>
    </row>
    <row r="192" spans="18:30" ht="15.6">
      <c r="R192" s="1189"/>
      <c r="S192" s="1190"/>
      <c r="T192" s="1190"/>
      <c r="U192" s="1190"/>
      <c r="V192" s="1190"/>
      <c r="W192" s="1190"/>
      <c r="X192" s="1191"/>
      <c r="Y192" s="1190"/>
      <c r="Z192" s="1217"/>
      <c r="AA192" s="1217"/>
      <c r="AB192" s="1218"/>
      <c r="AC192" s="1192"/>
      <c r="AD192" s="81"/>
    </row>
    <row r="193" spans="18:30" ht="15.6">
      <c r="R193" s="1189"/>
      <c r="S193" s="1190"/>
      <c r="T193" s="1190"/>
      <c r="U193" s="1190"/>
      <c r="V193" s="1190"/>
      <c r="W193" s="1190"/>
      <c r="X193" s="1191"/>
      <c r="Y193" s="1190"/>
      <c r="Z193" s="1217"/>
      <c r="AA193" s="1217"/>
      <c r="AB193" s="1218"/>
      <c r="AC193" s="1192"/>
      <c r="AD193" s="81"/>
    </row>
    <row r="194" spans="18:30" ht="15.6">
      <c r="R194" s="1189"/>
      <c r="S194" s="1190"/>
      <c r="T194" s="1111"/>
      <c r="U194" s="1190"/>
      <c r="V194" s="1190"/>
      <c r="W194" s="1190"/>
      <c r="X194" s="1191"/>
      <c r="Y194" s="1190"/>
      <c r="Z194" s="1106"/>
      <c r="AA194" s="1106"/>
      <c r="AB194" s="1110"/>
      <c r="AC194" s="1192"/>
      <c r="AD194" s="81"/>
    </row>
    <row r="195" spans="18:30" ht="15.6">
      <c r="R195" s="1189"/>
      <c r="S195" s="1190"/>
      <c r="T195" s="1111"/>
      <c r="U195" s="1190"/>
      <c r="V195" s="1190"/>
      <c r="W195" s="1190"/>
      <c r="X195" s="1191"/>
      <c r="Y195" s="1190"/>
      <c r="Z195" s="1190"/>
      <c r="AA195" s="1190"/>
      <c r="AB195" s="1110"/>
      <c r="AC195" s="1192"/>
      <c r="AD195" s="81"/>
    </row>
    <row r="196" spans="18:30">
      <c r="R196" s="1189"/>
      <c r="S196" s="1190"/>
      <c r="T196" s="1106"/>
      <c r="U196" s="1190"/>
      <c r="V196" s="1190"/>
      <c r="W196" s="1190"/>
      <c r="X196" s="1191"/>
      <c r="Y196" s="1190"/>
      <c r="Z196" s="1190"/>
      <c r="AA196" s="1190"/>
      <c r="AB196" s="1190"/>
      <c r="AC196" s="1192"/>
      <c r="AD196" s="81"/>
    </row>
    <row r="197" spans="18:30">
      <c r="R197" s="1189"/>
      <c r="S197" s="1190"/>
      <c r="T197" s="1190"/>
      <c r="U197" s="1190"/>
      <c r="V197" s="1190"/>
      <c r="W197" s="1190"/>
      <c r="X197" s="1191"/>
      <c r="Y197" s="1190"/>
      <c r="Z197" s="1190"/>
      <c r="AA197" s="1190"/>
      <c r="AB197" s="1190"/>
      <c r="AC197" s="1192"/>
      <c r="AD197" s="81"/>
    </row>
    <row r="198" spans="18:30">
      <c r="R198" s="1189"/>
      <c r="S198" s="1190"/>
      <c r="T198" s="1190"/>
      <c r="U198" s="1190"/>
      <c r="V198" s="1190"/>
      <c r="W198" s="1190"/>
      <c r="X198" s="1191"/>
      <c r="Y198" s="1190"/>
      <c r="Z198" s="1190"/>
      <c r="AA198" s="1190"/>
      <c r="AB198" s="1190"/>
      <c r="AC198" s="1192"/>
      <c r="AD198" s="81"/>
    </row>
    <row r="199" spans="18:30" s="44" customFormat="1">
      <c r="R199" s="1189"/>
      <c r="S199" s="1190"/>
      <c r="T199" s="1106"/>
      <c r="U199" s="1190"/>
      <c r="V199" s="1190"/>
      <c r="W199" s="1190"/>
      <c r="X199" s="1191"/>
      <c r="Y199" s="1190"/>
      <c r="Z199" s="1190"/>
      <c r="AA199" s="1190"/>
      <c r="AB199" s="1190"/>
      <c r="AC199" s="1192"/>
      <c r="AD199" s="81"/>
    </row>
    <row r="200" spans="18:30" s="44" customFormat="1">
      <c r="R200" s="1189"/>
      <c r="S200" s="1190"/>
      <c r="T200" s="1106"/>
      <c r="U200" s="1190"/>
      <c r="V200" s="1190"/>
      <c r="W200" s="1190"/>
      <c r="X200" s="1191"/>
      <c r="Y200" s="1190"/>
      <c r="Z200" s="1190"/>
      <c r="AA200" s="1190"/>
      <c r="AB200" s="1190"/>
      <c r="AC200" s="1192"/>
      <c r="AD200" s="26"/>
    </row>
    <row r="201" spans="18:30" s="44" customFormat="1">
      <c r="R201" s="1189"/>
      <c r="S201" s="1190"/>
      <c r="T201" s="1111"/>
      <c r="U201" s="1190"/>
      <c r="V201" s="1190"/>
      <c r="W201" s="1190"/>
      <c r="X201" s="1191"/>
      <c r="Y201" s="1190"/>
      <c r="Z201" s="1190"/>
      <c r="AA201" s="1190"/>
      <c r="AB201" s="1190"/>
      <c r="AC201" s="1192"/>
      <c r="AD201" s="26"/>
    </row>
    <row r="202" spans="18:30" s="44" customFormat="1">
      <c r="R202" s="1189"/>
      <c r="S202" s="1190"/>
      <c r="T202" s="1106"/>
      <c r="U202" s="1190"/>
      <c r="V202" s="1190"/>
      <c r="W202" s="1190"/>
      <c r="X202" s="1191"/>
      <c r="Y202" s="1190"/>
      <c r="Z202" s="1190"/>
      <c r="AA202" s="1190"/>
      <c r="AB202" s="1190"/>
      <c r="AC202" s="1192"/>
      <c r="AD202" s="26"/>
    </row>
    <row r="203" spans="18:30" s="44" customFormat="1">
      <c r="R203" s="1189"/>
      <c r="S203" s="1190"/>
      <c r="T203" s="1111"/>
      <c r="U203" s="1190"/>
      <c r="V203" s="1190"/>
      <c r="W203" s="1190"/>
      <c r="X203" s="1191"/>
      <c r="Y203" s="1190"/>
      <c r="Z203" s="1190"/>
      <c r="AA203" s="1190"/>
      <c r="AB203" s="1190"/>
      <c r="AC203" s="1192"/>
      <c r="AD203" s="26"/>
    </row>
    <row r="204" spans="18:30" s="44" customFormat="1">
      <c r="R204" s="1189"/>
      <c r="S204" s="1190"/>
      <c r="T204" s="1106"/>
      <c r="U204" s="1190"/>
      <c r="V204" s="1190"/>
      <c r="W204" s="1190"/>
      <c r="X204" s="1191"/>
      <c r="Y204" s="1190"/>
      <c r="Z204" s="1190"/>
      <c r="AA204" s="1190"/>
      <c r="AB204" s="1190"/>
      <c r="AC204" s="1192"/>
      <c r="AD204" s="26"/>
    </row>
    <row r="205" spans="18:30" s="44" customFormat="1">
      <c r="R205" s="1189"/>
      <c r="S205" s="1190"/>
      <c r="T205" s="1106"/>
      <c r="U205" s="1190"/>
      <c r="V205" s="1190"/>
      <c r="W205" s="1190"/>
      <c r="X205" s="1191"/>
      <c r="Y205" s="1190"/>
      <c r="Z205" s="1190"/>
      <c r="AA205" s="1190"/>
      <c r="AB205" s="1190"/>
      <c r="AC205" s="1192"/>
      <c r="AD205" s="26"/>
    </row>
    <row r="206" spans="18:30" s="44" customFormat="1">
      <c r="R206" s="1189"/>
      <c r="S206" s="1190"/>
      <c r="T206" s="1111"/>
      <c r="U206" s="1190"/>
      <c r="V206" s="1190"/>
      <c r="W206" s="1190"/>
      <c r="X206" s="1191"/>
      <c r="Y206" s="1190"/>
      <c r="Z206" s="1190"/>
      <c r="AA206" s="1190"/>
      <c r="AB206" s="1190"/>
      <c r="AC206" s="1192"/>
      <c r="AD206" s="26"/>
    </row>
    <row r="207" spans="18:30">
      <c r="R207" s="1189"/>
      <c r="S207" s="1190"/>
      <c r="T207" s="1106"/>
      <c r="U207" s="1190"/>
      <c r="V207" s="1190"/>
      <c r="W207" s="1190"/>
      <c r="X207" s="1191"/>
      <c r="Y207" s="1190"/>
      <c r="Z207" s="1190"/>
      <c r="AA207" s="1190"/>
      <c r="AB207" s="1190"/>
      <c r="AC207" s="1192"/>
      <c r="AD207" s="26"/>
    </row>
    <row r="208" spans="18:30">
      <c r="R208" s="1189"/>
      <c r="S208" s="1190"/>
      <c r="T208" s="1190"/>
      <c r="U208" s="1190"/>
      <c r="V208" s="1190"/>
      <c r="W208" s="1190"/>
      <c r="X208" s="1191"/>
      <c r="Y208" s="1190"/>
      <c r="Z208" s="1190"/>
      <c r="AA208" s="1190"/>
      <c r="AB208" s="1190"/>
      <c r="AC208" s="1192"/>
      <c r="AD208" s="26"/>
    </row>
    <row r="209" spans="18:30">
      <c r="R209" s="1189"/>
      <c r="S209" s="1190"/>
      <c r="T209" s="1106"/>
      <c r="U209" s="1190"/>
      <c r="V209" s="1190"/>
      <c r="W209" s="1190"/>
      <c r="X209" s="1191"/>
      <c r="Y209" s="1190"/>
      <c r="Z209" s="1190"/>
      <c r="AA209" s="1190"/>
      <c r="AB209" s="1190"/>
      <c r="AC209" s="1192"/>
      <c r="AD209" s="26"/>
    </row>
    <row r="210" spans="18:30">
      <c r="R210" s="1189"/>
      <c r="S210" s="1190"/>
      <c r="T210" s="1106"/>
      <c r="U210" s="1190"/>
      <c r="V210" s="1190"/>
      <c r="W210" s="1190"/>
      <c r="X210" s="1191"/>
      <c r="Y210" s="1190"/>
      <c r="Z210" s="1190"/>
      <c r="AA210" s="1190"/>
      <c r="AB210" s="1190"/>
      <c r="AC210" s="1192"/>
      <c r="AD210" s="26"/>
    </row>
    <row r="211" spans="18:30">
      <c r="R211" s="1189"/>
      <c r="S211" s="1190"/>
      <c r="T211" s="1106"/>
      <c r="U211" s="1190"/>
      <c r="V211" s="1190"/>
      <c r="W211" s="1190"/>
      <c r="X211" s="1191"/>
      <c r="Y211" s="1190"/>
      <c r="Z211" s="1190"/>
      <c r="AA211" s="1190"/>
      <c r="AB211" s="1190"/>
      <c r="AC211" s="1192"/>
      <c r="AD211" s="26"/>
    </row>
    <row r="212" spans="18:30">
      <c r="R212" s="1189"/>
      <c r="S212" s="1190"/>
      <c r="T212" s="1106"/>
      <c r="U212" s="1190"/>
      <c r="V212" s="1190"/>
      <c r="W212" s="1190"/>
      <c r="X212" s="1193"/>
      <c r="Y212" s="1190"/>
      <c r="Z212" s="1190"/>
      <c r="AA212" s="1190"/>
      <c r="AB212" s="1190"/>
      <c r="AC212" s="1192"/>
      <c r="AD212" s="26"/>
    </row>
    <row r="213" spans="18:30">
      <c r="R213" s="1189"/>
      <c r="S213" s="1190"/>
      <c r="T213" s="1111"/>
      <c r="U213" s="1190"/>
      <c r="V213" s="1190"/>
      <c r="W213" s="1190"/>
      <c r="X213" s="1191"/>
      <c r="Y213" s="1190"/>
      <c r="Z213" s="1190"/>
      <c r="AA213" s="1190"/>
      <c r="AB213" s="1190"/>
      <c r="AC213" s="1192"/>
      <c r="AD213" s="26"/>
    </row>
    <row r="214" spans="18:30">
      <c r="R214" s="1194"/>
      <c r="S214" s="1195"/>
      <c r="T214" s="1111"/>
      <c r="U214" s="1195"/>
      <c r="V214" s="1190"/>
      <c r="W214" s="1190"/>
      <c r="X214" s="1196"/>
      <c r="Y214" s="1195"/>
      <c r="Z214" s="1195"/>
      <c r="AA214" s="1195"/>
      <c r="AB214" s="1195"/>
      <c r="AC214" s="1192"/>
      <c r="AD214" s="26"/>
    </row>
    <row r="215" spans="18:30">
      <c r="R215" s="1194"/>
      <c r="S215" s="1195"/>
      <c r="T215" s="1111"/>
      <c r="U215" s="1195"/>
      <c r="V215" s="1190"/>
      <c r="W215" s="1190"/>
      <c r="X215" s="1196"/>
      <c r="Y215" s="1195"/>
      <c r="Z215" s="1195"/>
      <c r="AA215" s="1195"/>
      <c r="AB215" s="1195"/>
      <c r="AC215" s="1192"/>
      <c r="AD215" s="26"/>
    </row>
    <row r="216" spans="18:30">
      <c r="R216" s="1189"/>
      <c r="S216" s="1190"/>
      <c r="T216" s="1111"/>
      <c r="U216" s="1190"/>
      <c r="V216" s="1190"/>
      <c r="W216" s="1190"/>
      <c r="X216" s="1191"/>
      <c r="Y216" s="1195"/>
      <c r="Z216" s="1190"/>
      <c r="AA216" s="1190"/>
      <c r="AB216" s="1190"/>
      <c r="AC216" s="1192"/>
      <c r="AD216" s="26"/>
    </row>
    <row r="217" spans="18:30">
      <c r="R217" s="1189"/>
      <c r="S217" s="1190"/>
      <c r="T217" s="1111"/>
      <c r="U217" s="1190"/>
      <c r="V217" s="1190"/>
      <c r="W217" s="1190"/>
      <c r="X217" s="1191"/>
      <c r="Y217" s="1195"/>
      <c r="Z217" s="1190"/>
      <c r="AA217" s="1190"/>
      <c r="AB217" s="1190"/>
      <c r="AC217" s="1192"/>
      <c r="AD217" s="26"/>
    </row>
    <row r="218" spans="18:30">
      <c r="R218" s="1194"/>
      <c r="S218" s="1195"/>
      <c r="T218" s="1111"/>
      <c r="U218" s="1195"/>
      <c r="V218" s="1195"/>
      <c r="W218" s="1190"/>
      <c r="X218" s="1196"/>
      <c r="Y218" s="1195"/>
      <c r="Z218" s="1195"/>
      <c r="AA218" s="1195"/>
      <c r="AB218" s="1190"/>
      <c r="AC218" s="1192"/>
      <c r="AD218" s="26"/>
    </row>
    <row r="219" spans="18:30">
      <c r="R219" s="1194"/>
      <c r="S219" s="1195"/>
      <c r="T219" s="1106"/>
      <c r="U219" s="1195"/>
      <c r="V219" s="1195"/>
      <c r="W219" s="1195"/>
      <c r="X219" s="1196"/>
      <c r="Y219" s="1195"/>
      <c r="Z219" s="1195"/>
      <c r="AA219" s="1195"/>
      <c r="AB219" s="1195"/>
      <c r="AC219" s="1197"/>
      <c r="AD219" s="26"/>
    </row>
    <row r="220" spans="18:30">
      <c r="R220" s="1189"/>
      <c r="S220" s="1190"/>
      <c r="T220" s="1190"/>
      <c r="U220" s="1190"/>
      <c r="V220" s="1190"/>
      <c r="W220" s="1190"/>
      <c r="X220" s="1191"/>
      <c r="Y220" s="1190"/>
      <c r="Z220" s="1190"/>
      <c r="AA220" s="1190"/>
      <c r="AB220" s="1190"/>
      <c r="AC220" s="1192"/>
      <c r="AD220" s="26"/>
    </row>
    <row r="221" spans="18:30">
      <c r="R221" s="1189"/>
      <c r="S221" s="1190"/>
      <c r="T221" s="1190"/>
      <c r="U221" s="1190"/>
      <c r="V221" s="1195"/>
      <c r="W221" s="1190"/>
      <c r="X221" s="1191"/>
      <c r="Y221" s="1190"/>
      <c r="Z221" s="1190"/>
      <c r="AA221" s="1190"/>
      <c r="AB221" s="1190"/>
      <c r="AC221" s="1192"/>
      <c r="AD221" s="26"/>
    </row>
    <row r="222" spans="18:30">
      <c r="R222" s="1189"/>
      <c r="S222" s="1190"/>
      <c r="T222" s="1190"/>
      <c r="U222" s="1190"/>
      <c r="V222" s="1195"/>
      <c r="W222" s="1190"/>
      <c r="X222" s="1191"/>
      <c r="Y222" s="1190"/>
      <c r="Z222" s="1190"/>
      <c r="AA222" s="1190"/>
      <c r="AB222" s="1190"/>
      <c r="AC222" s="1192"/>
      <c r="AD222" s="26"/>
    </row>
    <row r="223" spans="18:30">
      <c r="R223" s="1189"/>
      <c r="S223" s="1190"/>
      <c r="T223" s="1190"/>
      <c r="U223" s="1190"/>
      <c r="V223" s="1190"/>
      <c r="W223" s="1190"/>
      <c r="X223" s="1191"/>
      <c r="Y223" s="1190"/>
      <c r="Z223" s="1190"/>
      <c r="AA223" s="1190"/>
      <c r="AB223" s="1190"/>
      <c r="AC223" s="1192"/>
      <c r="AD223" s="26"/>
    </row>
    <row r="224" spans="18:30">
      <c r="R224" s="1189"/>
      <c r="S224" s="1190"/>
      <c r="T224" s="1190"/>
      <c r="U224" s="1190"/>
      <c r="V224" s="1190"/>
      <c r="W224" s="1190"/>
      <c r="X224" s="1191"/>
      <c r="Y224" s="1190"/>
      <c r="Z224" s="1190"/>
      <c r="AA224" s="1190"/>
      <c r="AB224" s="1190"/>
      <c r="AC224" s="1192"/>
      <c r="AD224" s="26"/>
    </row>
    <row r="225" spans="18:30">
      <c r="R225" s="1189"/>
      <c r="S225" s="1190"/>
      <c r="T225" s="1190"/>
      <c r="U225" s="1190"/>
      <c r="V225" s="1195"/>
      <c r="W225" s="1190"/>
      <c r="X225" s="1191"/>
      <c r="Y225" s="1190"/>
      <c r="Z225" s="1190"/>
      <c r="AA225" s="1190"/>
      <c r="AB225" s="1190"/>
      <c r="AC225" s="1192"/>
      <c r="AD225" s="81"/>
    </row>
    <row r="226" spans="18:30">
      <c r="R226" s="1189"/>
      <c r="S226" s="1190"/>
      <c r="T226" s="1190"/>
      <c r="U226" s="1190"/>
      <c r="V226" s="1195"/>
      <c r="W226" s="1190"/>
      <c r="X226" s="1191"/>
      <c r="Y226" s="1190"/>
      <c r="Z226" s="1190"/>
      <c r="AA226" s="1190"/>
      <c r="AB226" s="1190"/>
      <c r="AC226" s="1192"/>
      <c r="AD226" s="203"/>
    </row>
    <row r="227" spans="18:30">
      <c r="R227" s="1194"/>
      <c r="S227" s="1195"/>
      <c r="T227" s="1195"/>
      <c r="U227" s="1195"/>
      <c r="V227" s="1195"/>
      <c r="W227" s="1195"/>
      <c r="X227" s="1196"/>
      <c r="Y227" s="1195"/>
      <c r="Z227" s="1195"/>
      <c r="AA227" s="1195"/>
      <c r="AB227" s="1195"/>
      <c r="AC227" s="1197"/>
      <c r="AD227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39" name="Range1_65_32_32_30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39" name="Range2_5_2_2_2_2_2_2_2_2_2_2_2_2_2_2_2"/>
    <protectedRange algorithmName="SHA-512" hashValue="24Yg3M703G5L8OyJWxlkx8c1Gwfrkael5W/l3TUk/Rcz5tR8QOgCx5v0Ebb/UGz+9BDKPJ5wV4hH8uuxvmtGIw==" saltValue="ZSJQ8EEnwGxsiYzxIw6K0Q==" spinCount="100000" sqref="B24:D13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_3"/>
    <protectedRange algorithmName="SHA-512" hashValue="24Yg3M703G5L8OyJWxlkx8c1Gwfrkael5W/l3TUk/Rcz5tR8QOgCx5v0Ebb/UGz+9BDKPJ5wV4hH8uuxvmtGIw==" saltValue="ZSJQ8EEnwGxsiYzxIw6K0Q==" spinCount="100000" sqref="B19:D21" name="Range1_65_32_2_2_2_2_2_2_3_3_2_2_3_3_3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F994-4CAE-4785-8B8E-03F2BB1951AB}">
  <dimension ref="A1:AG287"/>
  <sheetViews>
    <sheetView showGridLines="0" topLeftCell="N1" zoomScale="55" zoomScaleNormal="55" workbookViewId="0">
      <selection activeCell="S53" sqref="S5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755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756</v>
      </c>
      <c r="B2" s="733"/>
      <c r="C2" s="733"/>
      <c r="D2" s="733"/>
      <c r="E2" s="735"/>
      <c r="F2" s="1525" t="s">
        <v>757</v>
      </c>
      <c r="G2" s="1525"/>
      <c r="H2" s="1525"/>
      <c r="I2" s="742"/>
      <c r="J2" s="1525" t="s">
        <v>758</v>
      </c>
      <c r="K2" s="1525"/>
      <c r="L2" s="1525"/>
      <c r="M2" s="735"/>
      <c r="N2" s="1526"/>
      <c r="O2" s="1526"/>
      <c r="P2" s="1526"/>
      <c r="R2" s="1369" t="s">
        <v>744</v>
      </c>
      <c r="S2" s="1372">
        <v>3331567791</v>
      </c>
      <c r="T2" s="1264" t="s">
        <v>459</v>
      </c>
      <c r="U2" s="1373">
        <v>24142405</v>
      </c>
      <c r="V2" s="1373" t="s">
        <v>224</v>
      </c>
      <c r="W2" s="1373" t="s">
        <v>344</v>
      </c>
      <c r="X2" s="1374">
        <f>3505.91+4687.709+19412.908</f>
        <v>27606.526999999998</v>
      </c>
      <c r="Y2" s="1369" t="s">
        <v>426</v>
      </c>
      <c r="Z2" s="1369">
        <v>1</v>
      </c>
      <c r="AA2" s="1369">
        <v>1</v>
      </c>
      <c r="AB2" s="1369" t="s">
        <v>204</v>
      </c>
      <c r="AC2" s="1271"/>
      <c r="AD2" s="81"/>
      <c r="AE2" s="1243"/>
      <c r="AF2" s="1243"/>
      <c r="AG2" s="1243"/>
    </row>
    <row r="3" spans="1:33" ht="17.399999999999999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369" t="s">
        <v>744</v>
      </c>
      <c r="S3" s="1372">
        <v>3331567793</v>
      </c>
      <c r="T3" s="1369" t="s">
        <v>256</v>
      </c>
      <c r="U3" s="1373" t="s">
        <v>256</v>
      </c>
      <c r="V3" s="1373" t="s">
        <v>256</v>
      </c>
      <c r="W3" s="1373" t="s">
        <v>256</v>
      </c>
      <c r="X3" s="1374" t="s">
        <v>256</v>
      </c>
      <c r="Y3" s="1369" t="s">
        <v>256</v>
      </c>
      <c r="Z3" s="1369" t="s">
        <v>256</v>
      </c>
      <c r="AA3" s="1369" t="s">
        <v>256</v>
      </c>
      <c r="AB3" s="1369" t="s">
        <v>256</v>
      </c>
      <c r="AC3" s="1271"/>
      <c r="AD3" s="81"/>
      <c r="AE3" s="44"/>
      <c r="AF3" s="44"/>
      <c r="AG3" s="44"/>
    </row>
    <row r="4" spans="1:33" ht="16.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744</v>
      </c>
      <c r="S4" s="1372">
        <v>3331567794</v>
      </c>
      <c r="T4" s="1369" t="s">
        <v>256</v>
      </c>
      <c r="U4" s="1373" t="s">
        <v>256</v>
      </c>
      <c r="V4" s="1373" t="s">
        <v>256</v>
      </c>
      <c r="W4" s="1373" t="s">
        <v>256</v>
      </c>
      <c r="X4" s="1374" t="s">
        <v>256</v>
      </c>
      <c r="Y4" s="1369" t="s">
        <v>256</v>
      </c>
      <c r="Z4" s="1369" t="s">
        <v>256</v>
      </c>
      <c r="AA4" s="1369" t="s">
        <v>256</v>
      </c>
      <c r="AB4" s="1369" t="s">
        <v>256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SUMPRODUCT(--ISNUMBER(MATCH(TRIM(W1:W383), {"JABODETABEK","JAWA TENGAH","JAWA TIMUR","LUAR PULAU"}, 0)), --(AC1:AC383=""))</f>
        <v>25</v>
      </c>
      <c r="C5" s="1303" cm="1">
        <f t="array" ref="C5">SUMPRODUCT(--(LOWER(TRIM(AB1:AB409))="masuk"), --(ISNUMBER(MATCH(TRIM(W1:W409), {"JABODETABEK","JAWA TENGAH","JAWA TIMUR","LUAR PULAU"}, 0))), --(LOWER(AC1:AC409)&lt;&gt;"add"))</f>
        <v>25</v>
      </c>
      <c r="D5" s="1304">
        <f>C5+-B5</f>
        <v>0</v>
      </c>
      <c r="E5" s="734"/>
      <c r="F5" s="1306" cm="1">
        <f t="array" ref="F5">SUMPRODUCT(--(LOWER(AC1:AC409)="add"), --(ISNUMBER(MATCH(W1:W409, {"JABODETABEK","JAWA TENGAH","JAWA TIMUR","LUAR PULAU"}, 0))))</f>
        <v>2</v>
      </c>
      <c r="G5" s="1303" cm="1">
        <f t="array" ref="G5">SUMPRODUCT(--(LOWER(AB1:AB409)="masuk"), --(LOWER(AC1:AC409)="add"))</f>
        <v>2</v>
      </c>
      <c r="H5" s="1304">
        <f>G5+-F5</f>
        <v>0</v>
      </c>
      <c r="I5" s="734"/>
      <c r="J5" s="1306" cm="1">
        <f t="array" ref="J5">SUMPRODUCT(--(ISNUMBER(SEARCH("next day",LOWER(W1:W409)))+ISNUMBER(SEARCH("nextday",LOWER(W1:W409)))&gt; 0))</f>
        <v>40</v>
      </c>
      <c r="K5" s="1303" cm="1">
        <f t="array" ref="K5">SUMPRODUCT(--(LOWER(AB1:AB409)="masuk"), --ISNUMBER(SEARCH("next day", LOWER(W1:W409))))</f>
        <v>28</v>
      </c>
      <c r="L5" s="1304">
        <f>K5+-J5</f>
        <v>-12</v>
      </c>
      <c r="M5" s="734"/>
      <c r="N5" s="1306">
        <f>B5+F5+J5</f>
        <v>67</v>
      </c>
      <c r="O5" s="1303">
        <f>C5+G5+K5</f>
        <v>55</v>
      </c>
      <c r="P5" s="1304">
        <f>D5+H5+L5</f>
        <v>-12</v>
      </c>
      <c r="R5" s="1369" t="s">
        <v>736</v>
      </c>
      <c r="S5" s="1372">
        <v>3331567814</v>
      </c>
      <c r="T5" s="1264" t="s">
        <v>459</v>
      </c>
      <c r="U5" s="1373">
        <v>24142413</v>
      </c>
      <c r="V5" s="1373" t="s">
        <v>224</v>
      </c>
      <c r="W5" s="1373" t="s">
        <v>344</v>
      </c>
      <c r="X5" s="1374">
        <v>29800.235000000001</v>
      </c>
      <c r="Y5" s="1369" t="s">
        <v>426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25</v>
      </c>
      <c r="C6" s="733">
        <f>SUM(C5)</f>
        <v>25</v>
      </c>
      <c r="D6" s="739">
        <f>SUM(D5)</f>
        <v>0</v>
      </c>
      <c r="E6" s="734"/>
      <c r="F6" s="733">
        <f>SUM(F5)</f>
        <v>2</v>
      </c>
      <c r="G6" s="733">
        <f>SUM(G5)</f>
        <v>2</v>
      </c>
      <c r="H6" s="739">
        <f>SUM(H5)</f>
        <v>0</v>
      </c>
      <c r="I6" s="733"/>
      <c r="J6" s="733">
        <f>SUM(J5)</f>
        <v>40</v>
      </c>
      <c r="K6" s="733">
        <f>SUM(K5)</f>
        <v>28</v>
      </c>
      <c r="L6" s="739">
        <f>SUM(L5)</f>
        <v>-12</v>
      </c>
      <c r="M6" s="733"/>
      <c r="N6" s="760">
        <f>SUM(N5:N5)</f>
        <v>67</v>
      </c>
      <c r="O6" s="760">
        <f>SUM(O5:O5)</f>
        <v>55</v>
      </c>
      <c r="P6" s="761">
        <f>SUM(P5:P5)</f>
        <v>-12</v>
      </c>
      <c r="R6" s="1369" t="s">
        <v>736</v>
      </c>
      <c r="S6" s="1372">
        <v>3331567856</v>
      </c>
      <c r="T6" s="1369" t="s">
        <v>470</v>
      </c>
      <c r="U6" s="1373">
        <v>24142430</v>
      </c>
      <c r="V6" s="1373" t="s">
        <v>354</v>
      </c>
      <c r="W6" s="1373" t="s">
        <v>703</v>
      </c>
      <c r="X6" s="1374">
        <v>23266.517</v>
      </c>
      <c r="Y6" s="1261" t="s">
        <v>426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736</v>
      </c>
      <c r="S7" s="1372">
        <v>3331567859</v>
      </c>
      <c r="T7" s="1369" t="s">
        <v>470</v>
      </c>
      <c r="U7" s="1373">
        <v>24142431</v>
      </c>
      <c r="V7" s="1373" t="s">
        <v>354</v>
      </c>
      <c r="W7" s="1373" t="s">
        <v>703</v>
      </c>
      <c r="X7" s="1374">
        <v>23094.49</v>
      </c>
      <c r="Y7" s="1261" t="s">
        <v>426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Delivery 04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434" t="s">
        <v>736</v>
      </c>
      <c r="S8" s="1434">
        <v>3331567861</v>
      </c>
      <c r="T8" s="1369" t="s">
        <v>470</v>
      </c>
      <c r="U8" s="1434">
        <v>24142432</v>
      </c>
      <c r="V8" s="1373" t="s">
        <v>354</v>
      </c>
      <c r="W8" s="1373" t="s">
        <v>703</v>
      </c>
      <c r="X8" s="1435">
        <f>10063.521+14365.68</f>
        <v>24429.201000000001</v>
      </c>
      <c r="Y8" s="1261" t="s">
        <v>426</v>
      </c>
      <c r="Z8" s="1369">
        <v>1</v>
      </c>
      <c r="AA8" s="1369">
        <v>1</v>
      </c>
      <c r="AB8" s="1369" t="s">
        <v>204</v>
      </c>
      <c r="AC8" s="1365"/>
      <c r="AD8" s="81"/>
      <c r="AE8" s="44"/>
      <c r="AF8" s="44"/>
      <c r="AG8" s="44"/>
    </row>
    <row r="9" spans="1:33" ht="18">
      <c r="A9" s="763" t="str">
        <f>A2</f>
        <v>Realz update 05 Nov’25 jam 07.00</v>
      </c>
      <c r="B9" s="825"/>
      <c r="C9" s="825"/>
      <c r="D9" s="825"/>
      <c r="E9" s="734"/>
      <c r="F9" s="1525" t="str">
        <f>F2</f>
        <v>Tgl 04 Nov’25 diatas jam 15.00</v>
      </c>
      <c r="G9" s="1525"/>
      <c r="H9" s="1525"/>
      <c r="I9" s="826"/>
      <c r="J9" s="1525" t="str">
        <f>J2</f>
        <v>Tgl 04 Nov’25</v>
      </c>
      <c r="K9" s="1525"/>
      <c r="L9" s="1525"/>
      <c r="M9" s="734"/>
      <c r="N9" s="1526"/>
      <c r="O9" s="1526"/>
      <c r="P9" s="1526"/>
      <c r="R9" s="1261" t="s">
        <v>736</v>
      </c>
      <c r="S9" s="1261">
        <v>3331567863</v>
      </c>
      <c r="T9" s="1264" t="s">
        <v>256</v>
      </c>
      <c r="U9" s="1261" t="s">
        <v>256</v>
      </c>
      <c r="V9" s="1202" t="s">
        <v>256</v>
      </c>
      <c r="W9" s="1373" t="s">
        <v>256</v>
      </c>
      <c r="X9" s="1267" t="s">
        <v>256</v>
      </c>
      <c r="Y9" s="1261" t="s">
        <v>256</v>
      </c>
      <c r="Z9" s="1261" t="s">
        <v>256</v>
      </c>
      <c r="AA9" s="1261" t="s">
        <v>256</v>
      </c>
      <c r="AB9" s="1369" t="s">
        <v>256</v>
      </c>
      <c r="AC9" s="1271"/>
      <c r="AD9" s="81"/>
      <c r="AE9" s="44"/>
      <c r="AF9" s="44"/>
      <c r="AG9" s="44"/>
    </row>
    <row r="10" spans="1:33" ht="17.399999999999999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202" t="s">
        <v>736</v>
      </c>
      <c r="S10" s="1202">
        <v>3331567904</v>
      </c>
      <c r="T10" s="1264" t="s">
        <v>459</v>
      </c>
      <c r="U10" s="1202">
        <v>24142446</v>
      </c>
      <c r="V10" s="1202" t="s">
        <v>226</v>
      </c>
      <c r="W10" s="1202" t="s">
        <v>344</v>
      </c>
      <c r="X10" s="1203">
        <v>29774.909</v>
      </c>
      <c r="Y10" s="1261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202" t="s">
        <v>736</v>
      </c>
      <c r="S11" s="1261">
        <v>3331567905</v>
      </c>
      <c r="T11" s="1264" t="s">
        <v>459</v>
      </c>
      <c r="U11" s="1202">
        <v>24142447</v>
      </c>
      <c r="V11" s="1202" t="s">
        <v>226</v>
      </c>
      <c r="W11" s="1202" t="s">
        <v>344</v>
      </c>
      <c r="X11" s="1203">
        <v>30448.601999999999</v>
      </c>
      <c r="Y11" s="1261" t="s">
        <v>426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SUMPRODUCT(--(TRIM(LOWER(W1:W409))="jabodetabek"), --(LOWER(AC1:AC409)&lt;&gt;"add"))</f>
        <v>17</v>
      </c>
      <c r="C12" s="748" cm="1">
        <f t="array" ref="C12">SUMPRODUCT(--(LOWER(AB1:AB409)="masuk"), --(TRIM(LOWER(W1:W409))="jabodetabek"), --(LOWER(AC1:AC409)&lt;&gt;"add"))</f>
        <v>17</v>
      </c>
      <c r="D12" s="973">
        <f>C12+-B12</f>
        <v>0</v>
      </c>
      <c r="E12" s="734"/>
      <c r="F12" s="748" cm="1">
        <f t="array" ref="F12">SUMPRODUCT(--(LOWER(AC1:AC409)="add"), --(TRIM(LOWER(W1:W409))="jabodetabek"))</f>
        <v>2</v>
      </c>
      <c r="G12" s="747" cm="1">
        <f t="array" ref="G12">SUMPRODUCT(--(LOWER(AB1:AB409)="masuk"), --(LOWER(AC1:AC409)="add"), --(TRIM(LOWER(W1:W409))="jabodetabek"))</f>
        <v>2</v>
      </c>
      <c r="H12" s="740">
        <f>G12+-F12</f>
        <v>0</v>
      </c>
      <c r="I12" s="734"/>
      <c r="J12" s="748" cm="1">
        <f t="array" ref="J12">SUMPRODUCT(--(ISNUMBER(SEARCH("jabodetabek next day",LOWER(W1:W409)))+ISNUMBER(SEARCH("jabodetabek nextday",LOWER(W1:W409)))&gt; 0))</f>
        <v>0</v>
      </c>
      <c r="K12" s="747" cm="1">
        <f t="array" ref="K12">SUMPRODUCT(--(LOWER(AB1:AB409)="masuk"), --(LOWER(TRIM(W1:W409))="jabodetabek next day"))</f>
        <v>0</v>
      </c>
      <c r="L12" s="740">
        <f>K12+-J12</f>
        <v>0</v>
      </c>
      <c r="M12" s="734"/>
      <c r="N12" s="748">
        <f t="shared" ref="N12:P16" si="0">B12+F12+J12</f>
        <v>19</v>
      </c>
      <c r="O12" s="747">
        <f t="shared" si="0"/>
        <v>19</v>
      </c>
      <c r="P12" s="740">
        <f t="shared" si="0"/>
        <v>0</v>
      </c>
      <c r="R12" s="1202" t="s">
        <v>736</v>
      </c>
      <c r="S12" s="1261">
        <v>3331567906</v>
      </c>
      <c r="T12" s="1264" t="s">
        <v>459</v>
      </c>
      <c r="U12" s="1202">
        <v>24142448</v>
      </c>
      <c r="V12" s="1202" t="s">
        <v>226</v>
      </c>
      <c r="W12" s="1202" t="s">
        <v>344</v>
      </c>
      <c r="X12" s="1203">
        <v>30276.576000000001</v>
      </c>
      <c r="Y12" s="1261" t="s">
        <v>426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SUMPRODUCT(--(TRIM(LOWER(W1:W409))="jawa tengah"), --(LOWER(AC1:AC409)&lt;&gt;"add"))</f>
        <v>2</v>
      </c>
      <c r="C13" s="750" cm="1">
        <f t="array" ref="C13">SUMPRODUCT(--(LOWER(AB1:AB409)="masuk"), --(TRIM(LOWER(W1:W409))="jawa tengah"), --(LOWER(AC1:AC409)&lt;&gt;"add"))</f>
        <v>2</v>
      </c>
      <c r="D13" s="846">
        <f>C13+-B13</f>
        <v>0</v>
      </c>
      <c r="E13" s="734"/>
      <c r="F13" s="751" cm="1">
        <f t="array" ref="F13">SUMPRODUCT(--(LOWER(AC1:AC409)="add"), --(TRIM(LOWER(W1:W409))="jawa tengah"))</f>
        <v>0</v>
      </c>
      <c r="G13" s="747" cm="1">
        <f t="array" ref="G13">SUMPRODUCT(--(LOWER(AB1:AB409)="masuk"), --(LOWER(AC1:AC409)="add"), --(TRIM(LOWER(W1:W409))="jawa tengah"))</f>
        <v>0</v>
      </c>
      <c r="H13" s="740">
        <f>G13+-F13</f>
        <v>0</v>
      </c>
      <c r="I13" s="734"/>
      <c r="J13" s="748" cm="1">
        <f t="array" ref="J13">SUMPRODUCT(--((LOWER(TRIM(W1:W409))="jawa tengah next day")+(LOWER(TRIM(W1:W409))="jawa tengah nextday")))</f>
        <v>25</v>
      </c>
      <c r="K13" s="747" cm="1">
        <f t="array" ref="K13">SUMPRODUCT(--(LOWER(AB1:AB409)="masuk"), --(LOWER(TRIM(W1:W409))="jawa tengah next day"))</f>
        <v>21</v>
      </c>
      <c r="L13" s="740">
        <f>K13+-J13</f>
        <v>-4</v>
      </c>
      <c r="M13" s="734"/>
      <c r="N13" s="748">
        <f t="shared" si="0"/>
        <v>27</v>
      </c>
      <c r="O13" s="747">
        <f t="shared" si="0"/>
        <v>23</v>
      </c>
      <c r="P13" s="740">
        <f t="shared" si="0"/>
        <v>-4</v>
      </c>
      <c r="R13" s="1202" t="s">
        <v>736</v>
      </c>
      <c r="S13" s="1261">
        <v>3331567907</v>
      </c>
      <c r="T13" s="1264" t="s">
        <v>459</v>
      </c>
      <c r="U13" s="1202">
        <v>24142449</v>
      </c>
      <c r="V13" s="1202" t="s">
        <v>226</v>
      </c>
      <c r="W13" s="1202" t="s">
        <v>344</v>
      </c>
      <c r="X13" s="1203">
        <v>29588.472000000002</v>
      </c>
      <c r="Y13" s="1261" t="s">
        <v>426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SUMPRODUCT(--(TRIM(LOWER(W1:W409))="jawa timur"), --(LOWER(AC1:AC409)&lt;&gt;"add"))</f>
        <v>1</v>
      </c>
      <c r="C14" s="750" cm="1">
        <f t="array" ref="C14">SUMPRODUCT(--(LOWER(AB1:AB409)="masuk"), --(TRIM(LOWER(W1:W409))="jawa timur"), --(LOWER(AC1:AC409)&lt;&gt;"add"))</f>
        <v>1</v>
      </c>
      <c r="D14" s="846">
        <f>C14+-B14</f>
        <v>0</v>
      </c>
      <c r="E14" s="734"/>
      <c r="F14" s="750" cm="1">
        <f t="array" ref="F14">SUMPRODUCT(--(LOWER(AC1:AC409)="add"), --(TRIM(LOWER(W1:W409))="jawa timur"))</f>
        <v>0</v>
      </c>
      <c r="G14" s="747" cm="1">
        <f t="array" ref="G14">SUMPRODUCT(--(LOWER(AB1:AB409)="masuk"), --(LOWER(AC1:AC409)="add"), --(TRIM(LOWER(W1:W409))="jawa timur"))</f>
        <v>0</v>
      </c>
      <c r="H14" s="740">
        <f>G14+-F14</f>
        <v>0</v>
      </c>
      <c r="I14" s="734"/>
      <c r="J14" s="748" cm="1">
        <f t="array" ref="J14">SUMPRODUCT(--((LOWER(TRIM(W1:W409))="jawa timur next day")+(LOWER(TRIM(W1:W409))="jawa timur nextday")))</f>
        <v>0</v>
      </c>
      <c r="K14" s="747" cm="1">
        <f t="array" ref="K14">SUMPRODUCT(--(LOWER(AB1:AB409)="masuk"), --(LOWER(TRIM(W1:W409))="jawa timur next day"))</f>
        <v>0</v>
      </c>
      <c r="L14" s="740">
        <f>K14+-J14</f>
        <v>0</v>
      </c>
      <c r="M14" s="734"/>
      <c r="N14" s="748">
        <f t="shared" si="0"/>
        <v>1</v>
      </c>
      <c r="O14" s="747">
        <f t="shared" si="0"/>
        <v>1</v>
      </c>
      <c r="P14" s="740">
        <f t="shared" si="0"/>
        <v>0</v>
      </c>
      <c r="R14" s="1202" t="s">
        <v>736</v>
      </c>
      <c r="S14" s="1261">
        <v>3331567909</v>
      </c>
      <c r="T14" s="1264" t="s">
        <v>459</v>
      </c>
      <c r="U14" s="1202">
        <v>24142450</v>
      </c>
      <c r="V14" s="1202" t="s">
        <v>226</v>
      </c>
      <c r="W14" s="1202" t="s">
        <v>344</v>
      </c>
      <c r="X14" s="1203">
        <v>29588.472000000002</v>
      </c>
      <c r="Y14" s="1261" t="s">
        <v>426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SUMPRODUCT(--(TRIM(LOWER(W1:W409))="luar pulau"), --(LOWER(AC1:AC409)&lt;&gt;"add"))</f>
        <v>5</v>
      </c>
      <c r="C15" s="750" cm="1">
        <f t="array" ref="C15">SUMPRODUCT(--(LOWER(AB1:AB409)="masuk"), --(TRIM(LOWER(W1:W409))="luar pulau"), --(LOWER(AC1:AC409)&lt;&gt;"add"))</f>
        <v>5</v>
      </c>
      <c r="D15" s="846">
        <f>C15+-B15</f>
        <v>0</v>
      </c>
      <c r="E15" s="734"/>
      <c r="F15" s="748" cm="1">
        <f t="array" ref="F15">SUMPRODUCT(--(LOWER(AC1:AC409)="add"), --(TRIM(LOWER(W1:W409))="luar pulau"))</f>
        <v>0</v>
      </c>
      <c r="G15" s="747" cm="1">
        <f t="array" ref="G15">SUMPRODUCT(--(LOWER(AB1:AB409)="masuk"), --(LOWER(AC1:AC409)="add"), --(TRIM(LOWER(W1:W409))="luar pulau"))</f>
        <v>0</v>
      </c>
      <c r="H15" s="740">
        <f>G15+-F15</f>
        <v>0</v>
      </c>
      <c r="I15" s="734"/>
      <c r="J15" s="748" cm="1">
        <f t="array" ref="J15">SUMPRODUCT(--((LOWER(TRIM(W1:W409))="luar pulau next day")+(LOWER(TRIM(W1:W409))="luar pulau nextday")))</f>
        <v>15</v>
      </c>
      <c r="K15" s="747" cm="1">
        <f t="array" ref="K15">SUMPRODUCT(--(LOWER(AB1:AB409)="masuk"), --(LOWER(TRIM(W1:W409))="luar pulau next day"))</f>
        <v>7</v>
      </c>
      <c r="L15" s="740">
        <f>K15+-J15</f>
        <v>-8</v>
      </c>
      <c r="M15" s="734"/>
      <c r="N15" s="748">
        <f t="shared" si="0"/>
        <v>20</v>
      </c>
      <c r="O15" s="747">
        <f t="shared" si="0"/>
        <v>12</v>
      </c>
      <c r="P15" s="740">
        <f t="shared" si="0"/>
        <v>-8</v>
      </c>
      <c r="R15" s="1202" t="s">
        <v>736</v>
      </c>
      <c r="S15" s="1261">
        <v>3331567910</v>
      </c>
      <c r="T15" s="1264" t="s">
        <v>459</v>
      </c>
      <c r="U15" s="1202">
        <v>24142451</v>
      </c>
      <c r="V15" s="1202" t="s">
        <v>226</v>
      </c>
      <c r="W15" s="1202" t="s">
        <v>344</v>
      </c>
      <c r="X15" s="1203">
        <v>29588.472000000002</v>
      </c>
      <c r="Y15" s="1261" t="s">
        <v>426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25</v>
      </c>
      <c r="C16" s="733">
        <f>SUM(C12:C15)</f>
        <v>25</v>
      </c>
      <c r="D16" s="739">
        <f>SUM(D12:D15)</f>
        <v>0</v>
      </c>
      <c r="E16" s="734"/>
      <c r="F16" s="733">
        <f>SUM(F12:F15)</f>
        <v>2</v>
      </c>
      <c r="G16" s="733">
        <f>SUM(G12:G15)</f>
        <v>2</v>
      </c>
      <c r="H16" s="739">
        <f>SUM(H12:H15)</f>
        <v>0</v>
      </c>
      <c r="I16" s="734"/>
      <c r="J16" s="733">
        <f>SUM(J12:J15)</f>
        <v>40</v>
      </c>
      <c r="K16" s="733">
        <f>SUM(K12:K15)</f>
        <v>28</v>
      </c>
      <c r="L16" s="739">
        <f>SUM(L12:L15)</f>
        <v>-12</v>
      </c>
      <c r="M16" s="734"/>
      <c r="N16" s="760">
        <f t="shared" si="0"/>
        <v>67</v>
      </c>
      <c r="O16" s="760">
        <f t="shared" si="0"/>
        <v>55</v>
      </c>
      <c r="P16" s="761">
        <f t="shared" si="0"/>
        <v>-12</v>
      </c>
      <c r="R16" s="1202" t="s">
        <v>736</v>
      </c>
      <c r="S16" s="1261">
        <v>3331567912</v>
      </c>
      <c r="T16" s="1264" t="s">
        <v>459</v>
      </c>
      <c r="U16" s="1202">
        <v>24142452</v>
      </c>
      <c r="V16" s="1202" t="s">
        <v>226</v>
      </c>
      <c r="W16" s="1202" t="s">
        <v>344</v>
      </c>
      <c r="X16" s="1203">
        <v>29588.472000000002</v>
      </c>
      <c r="Y16" s="1261" t="s">
        <v>426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2" t="s">
        <v>736</v>
      </c>
      <c r="S17" s="1261">
        <v>3331567919</v>
      </c>
      <c r="T17" s="1209" t="s">
        <v>424</v>
      </c>
      <c r="U17" s="1202">
        <v>24142453</v>
      </c>
      <c r="V17" s="1202" t="s">
        <v>565</v>
      </c>
      <c r="W17" s="1202" t="s">
        <v>703</v>
      </c>
      <c r="X17" s="1203">
        <v>24411.243999999999</v>
      </c>
      <c r="Y17" s="1261" t="s">
        <v>426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736</v>
      </c>
      <c r="S18" s="1261">
        <v>3331567921</v>
      </c>
      <c r="T18" s="1209" t="s">
        <v>424</v>
      </c>
      <c r="U18" s="1202">
        <v>24142454</v>
      </c>
      <c r="V18" s="1202" t="s">
        <v>565</v>
      </c>
      <c r="W18" s="1202" t="s">
        <v>703</v>
      </c>
      <c r="X18" s="1203">
        <v>25040.164000000001</v>
      </c>
      <c r="Y18" s="1261" t="s">
        <v>426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736</v>
      </c>
      <c r="S19" s="1261">
        <v>3331567923</v>
      </c>
      <c r="T19" s="1209" t="s">
        <v>424</v>
      </c>
      <c r="U19" s="1261">
        <v>24142455</v>
      </c>
      <c r="V19" s="1202" t="s">
        <v>565</v>
      </c>
      <c r="W19" s="1202" t="s">
        <v>703</v>
      </c>
      <c r="X19" s="1267">
        <v>24852.334999999999</v>
      </c>
      <c r="Y19" s="1261" t="s">
        <v>426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190" t="s">
        <v>691</v>
      </c>
      <c r="S20" s="1293">
        <v>3331567924</v>
      </c>
      <c r="T20" s="1217" t="s">
        <v>424</v>
      </c>
      <c r="U20" s="1190">
        <v>24142456</v>
      </c>
      <c r="V20" s="1190" t="s">
        <v>565</v>
      </c>
      <c r="W20" s="1190" t="s">
        <v>703</v>
      </c>
      <c r="X20" s="1438">
        <v>25011.674999999999</v>
      </c>
      <c r="Y20" s="1293" t="s">
        <v>426</v>
      </c>
      <c r="Z20" s="1361">
        <v>1</v>
      </c>
      <c r="AA20" s="1361">
        <v>1</v>
      </c>
      <c r="AB20" s="1361" t="s">
        <v>207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SUMPRODUCT(--((LOWER(TRIM($W$2:$W$258))="ambil sendiri")+(LOWER(TRIM($W$2:$W$258))="cokot sorangan")))</f>
        <v>8</v>
      </c>
      <c r="C21" s="969" cm="1">
        <f t="array" ref="C21">SUMPRODUCT(--(LOWER(AB6:AB288)="masuk"), --((LOWER(TRIM($W$2:$W$284))="cokot sorangan") + (LOWER(TRIM(W6:W288))="ambil sendiri")))</f>
        <v>3</v>
      </c>
      <c r="D21" s="741">
        <f>C21+-B21</f>
        <v>-5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190" t="s">
        <v>691</v>
      </c>
      <c r="S21" s="1293">
        <v>3331567925</v>
      </c>
      <c r="T21" s="1217" t="s">
        <v>424</v>
      </c>
      <c r="U21" s="1190">
        <v>24142457</v>
      </c>
      <c r="V21" s="1190" t="s">
        <v>565</v>
      </c>
      <c r="W21" s="1190" t="s">
        <v>703</v>
      </c>
      <c r="X21" s="1295">
        <v>24071.064999999999</v>
      </c>
      <c r="Y21" s="1293" t="s">
        <v>426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736</v>
      </c>
      <c r="S22" s="1293">
        <v>3331567938</v>
      </c>
      <c r="T22" s="1217" t="s">
        <v>424</v>
      </c>
      <c r="U22" s="1190">
        <v>24142458</v>
      </c>
      <c r="V22" s="1190" t="s">
        <v>565</v>
      </c>
      <c r="W22" s="1190" t="s">
        <v>703</v>
      </c>
      <c r="X22" s="1295">
        <v>24587.286</v>
      </c>
      <c r="Y22" s="1293" t="s">
        <v>426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1" t="s">
        <v>736</v>
      </c>
      <c r="S23" s="1261">
        <v>3331567942</v>
      </c>
      <c r="T23" s="1209" t="s">
        <v>424</v>
      </c>
      <c r="U23" s="1202">
        <v>24142459</v>
      </c>
      <c r="V23" s="1202" t="s">
        <v>429</v>
      </c>
      <c r="W23" s="1202" t="s">
        <v>703</v>
      </c>
      <c r="X23" s="1267">
        <v>23728.505000000001</v>
      </c>
      <c r="Y23" s="1261" t="s">
        <v>426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736</v>
      </c>
      <c r="S24" s="1293">
        <v>3331567945</v>
      </c>
      <c r="T24" s="1217" t="s">
        <v>424</v>
      </c>
      <c r="U24" s="1190">
        <v>24142460</v>
      </c>
      <c r="V24" s="1190" t="s">
        <v>429</v>
      </c>
      <c r="W24" s="1190" t="s">
        <v>703</v>
      </c>
      <c r="X24" s="1295">
        <v>24626.880000000001</v>
      </c>
      <c r="Y24" s="1293" t="s">
        <v>426</v>
      </c>
      <c r="Z24" s="1361">
        <v>1</v>
      </c>
      <c r="AA24" s="1361">
        <v>1</v>
      </c>
      <c r="AB24" s="1361" t="s">
        <v>207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691</v>
      </c>
      <c r="S25" s="1293">
        <v>3331567946</v>
      </c>
      <c r="T25" s="1217" t="s">
        <v>424</v>
      </c>
      <c r="U25" s="1190">
        <v>24142461</v>
      </c>
      <c r="V25" s="1190" t="s">
        <v>429</v>
      </c>
      <c r="W25" s="1190" t="s">
        <v>703</v>
      </c>
      <c r="X25" s="1295">
        <v>25162.575000000001</v>
      </c>
      <c r="Y25" s="1293" t="s">
        <v>426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691</v>
      </c>
      <c r="S26" s="1293">
        <v>3331567949</v>
      </c>
      <c r="T26" s="1217" t="s">
        <v>424</v>
      </c>
      <c r="U26" s="1190">
        <v>24142462</v>
      </c>
      <c r="V26" s="1190" t="s">
        <v>429</v>
      </c>
      <c r="W26" s="1190" t="s">
        <v>703</v>
      </c>
      <c r="X26" s="1295">
        <v>24455.86</v>
      </c>
      <c r="Y26" s="1293" t="s">
        <v>426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691</v>
      </c>
      <c r="S27" s="1293">
        <v>3331567951</v>
      </c>
      <c r="T27" s="1217" t="s">
        <v>424</v>
      </c>
      <c r="U27" s="1190">
        <v>24142463</v>
      </c>
      <c r="V27" s="1190" t="s">
        <v>429</v>
      </c>
      <c r="W27" s="1190" t="s">
        <v>703</v>
      </c>
      <c r="X27" s="1295">
        <v>24755.145</v>
      </c>
      <c r="Y27" s="1293" t="s">
        <v>426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691</v>
      </c>
      <c r="S28" s="1293">
        <v>3331567952</v>
      </c>
      <c r="T28" s="1217" t="s">
        <v>424</v>
      </c>
      <c r="U28" s="1190">
        <v>24142464</v>
      </c>
      <c r="V28" s="1190" t="s">
        <v>429</v>
      </c>
      <c r="W28" s="1190" t="s">
        <v>703</v>
      </c>
      <c r="X28" s="1295">
        <v>24968.92</v>
      </c>
      <c r="Y28" s="1293" t="s">
        <v>426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01" t="s">
        <v>744</v>
      </c>
      <c r="S29" s="1261">
        <v>3331568105</v>
      </c>
      <c r="T29" s="1202" t="s">
        <v>698</v>
      </c>
      <c r="U29" s="1202">
        <v>24142466</v>
      </c>
      <c r="V29" s="1202" t="s">
        <v>561</v>
      </c>
      <c r="W29" s="1202" t="s">
        <v>362</v>
      </c>
      <c r="X29" s="1267">
        <v>26492.004000000001</v>
      </c>
      <c r="Y29" s="1261" t="s">
        <v>200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1" t="s">
        <v>728</v>
      </c>
      <c r="S30" s="1261">
        <v>3331568113</v>
      </c>
      <c r="T30" s="1202" t="s">
        <v>459</v>
      </c>
      <c r="U30" s="1202">
        <v>24142476</v>
      </c>
      <c r="V30" s="1202" t="s">
        <v>224</v>
      </c>
      <c r="W30" s="1202" t="s">
        <v>344</v>
      </c>
      <c r="X30" s="1267">
        <f>3810.488+14023.64+10509.682</f>
        <v>28343.81</v>
      </c>
      <c r="Y30" s="1261" t="s">
        <v>426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1" t="s">
        <v>728</v>
      </c>
      <c r="S31" s="1261">
        <v>3331568114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67" t="s">
        <v>256</v>
      </c>
      <c r="Y31" s="1261" t="s">
        <v>256</v>
      </c>
      <c r="Z31" s="1369" t="s">
        <v>256</v>
      </c>
      <c r="AA31" s="1369" t="s">
        <v>256</v>
      </c>
      <c r="AB31" s="1369" t="s">
        <v>256</v>
      </c>
      <c r="AC31" s="1271" t="s">
        <v>256</v>
      </c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728</v>
      </c>
      <c r="S32" s="1261">
        <v>3331568117</v>
      </c>
      <c r="T32" s="1202" t="s">
        <v>256</v>
      </c>
      <c r="U32" s="1202" t="s">
        <v>256</v>
      </c>
      <c r="V32" s="1202" t="s">
        <v>256</v>
      </c>
      <c r="W32" s="1202" t="s">
        <v>256</v>
      </c>
      <c r="X32" s="1267" t="s">
        <v>256</v>
      </c>
      <c r="Y32" s="1261" t="s">
        <v>256</v>
      </c>
      <c r="Z32" s="1369" t="s">
        <v>256</v>
      </c>
      <c r="AA32" s="1369" t="s">
        <v>256</v>
      </c>
      <c r="AB32" s="1369" t="s">
        <v>256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1" t="s">
        <v>728</v>
      </c>
      <c r="S33" s="1261">
        <v>3331568119</v>
      </c>
      <c r="T33" s="1202" t="s">
        <v>459</v>
      </c>
      <c r="U33" s="1202">
        <v>24142480</v>
      </c>
      <c r="V33" s="1202" t="s">
        <v>224</v>
      </c>
      <c r="W33" s="1202" t="s">
        <v>344</v>
      </c>
      <c r="X33" s="1267">
        <v>27008.082999999999</v>
      </c>
      <c r="Y33" s="1261" t="s">
        <v>426</v>
      </c>
      <c r="Z33" s="1369">
        <v>1</v>
      </c>
      <c r="AA33" s="1369">
        <v>1</v>
      </c>
      <c r="AB33" s="1369" t="s">
        <v>204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1" t="s">
        <v>728</v>
      </c>
      <c r="S34" s="1261">
        <v>3331568128</v>
      </c>
      <c r="T34" s="1202" t="s">
        <v>459</v>
      </c>
      <c r="U34" s="1202">
        <v>24142481</v>
      </c>
      <c r="V34" s="1202" t="s">
        <v>224</v>
      </c>
      <c r="W34" s="1202" t="s">
        <v>344</v>
      </c>
      <c r="X34" s="1267">
        <v>30442.566999999999</v>
      </c>
      <c r="Y34" s="1261" t="s">
        <v>426</v>
      </c>
      <c r="Z34" s="1369">
        <v>1</v>
      </c>
      <c r="AA34" s="1369">
        <v>1</v>
      </c>
      <c r="AB34" s="1369" t="s">
        <v>204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1" t="s">
        <v>728</v>
      </c>
      <c r="S35" s="1261">
        <v>3331568129</v>
      </c>
      <c r="T35" s="1202" t="s">
        <v>459</v>
      </c>
      <c r="U35" s="1202">
        <v>24142484</v>
      </c>
      <c r="V35" s="1202" t="s">
        <v>224</v>
      </c>
      <c r="W35" s="1202" t="s">
        <v>344</v>
      </c>
      <c r="X35" s="1267">
        <f>13336.708+13934.106</f>
        <v>27270.813999999998</v>
      </c>
      <c r="Y35" s="1261" t="s">
        <v>426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1" t="s">
        <v>728</v>
      </c>
      <c r="S36" s="1261">
        <v>3331568130</v>
      </c>
      <c r="T36" s="1202" t="s">
        <v>256</v>
      </c>
      <c r="U36" s="1202" t="s">
        <v>256</v>
      </c>
      <c r="V36" s="1202" t="s">
        <v>256</v>
      </c>
      <c r="W36" s="1202" t="s">
        <v>256</v>
      </c>
      <c r="X36" s="1267" t="s">
        <v>256</v>
      </c>
      <c r="Y36" s="1261" t="s">
        <v>256</v>
      </c>
      <c r="Z36" s="1369" t="s">
        <v>256</v>
      </c>
      <c r="AA36" s="1369" t="s">
        <v>256</v>
      </c>
      <c r="AB36" s="1369" t="s">
        <v>256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1" t="s">
        <v>744</v>
      </c>
      <c r="S37" s="1261">
        <v>3331568140</v>
      </c>
      <c r="T37" s="1202" t="s">
        <v>336</v>
      </c>
      <c r="U37" s="1202">
        <v>24142482</v>
      </c>
      <c r="V37" s="1202" t="s">
        <v>529</v>
      </c>
      <c r="W37" s="1202" t="s">
        <v>434</v>
      </c>
      <c r="X37" s="1267">
        <v>38840.997000000003</v>
      </c>
      <c r="Y37" s="1261" t="s">
        <v>128</v>
      </c>
      <c r="Z37" s="1369">
        <v>1</v>
      </c>
      <c r="AA37" s="1369">
        <v>1</v>
      </c>
      <c r="AB37" s="1369" t="s">
        <v>204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744</v>
      </c>
      <c r="S38" s="1293">
        <v>3331568141</v>
      </c>
      <c r="T38" s="1190" t="s">
        <v>336</v>
      </c>
      <c r="U38" s="1190">
        <v>24142483</v>
      </c>
      <c r="V38" s="1190" t="s">
        <v>529</v>
      </c>
      <c r="W38" s="1190" t="s">
        <v>434</v>
      </c>
      <c r="X38" s="1295">
        <v>38840.997000000003</v>
      </c>
      <c r="Y38" s="1293" t="s">
        <v>128</v>
      </c>
      <c r="Z38" s="1361">
        <v>1</v>
      </c>
      <c r="AA38" s="1361">
        <v>1</v>
      </c>
      <c r="AB38" s="1361" t="s">
        <v>207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93" t="s">
        <v>744</v>
      </c>
      <c r="S39" s="1293">
        <v>3331568142</v>
      </c>
      <c r="T39" s="1190" t="s">
        <v>336</v>
      </c>
      <c r="U39" s="1293">
        <v>24142485</v>
      </c>
      <c r="V39" s="1190" t="s">
        <v>529</v>
      </c>
      <c r="W39" s="1190" t="s">
        <v>434</v>
      </c>
      <c r="X39" s="1295">
        <f>18812.2+21933.315</f>
        <v>40745.514999999999</v>
      </c>
      <c r="Y39" s="1293" t="s">
        <v>128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93" t="s">
        <v>744</v>
      </c>
      <c r="S40" s="1293">
        <v>3331568143</v>
      </c>
      <c r="T40" s="1190" t="s">
        <v>256</v>
      </c>
      <c r="U40" s="1217" t="s">
        <v>256</v>
      </c>
      <c r="V40" s="1217" t="s">
        <v>256</v>
      </c>
      <c r="W40" s="1217" t="s">
        <v>256</v>
      </c>
      <c r="X40" s="1295" t="s">
        <v>256</v>
      </c>
      <c r="Y40" s="1217" t="s">
        <v>256</v>
      </c>
      <c r="Z40" s="1217" t="s">
        <v>256</v>
      </c>
      <c r="AA40" s="1217" t="s">
        <v>256</v>
      </c>
      <c r="AB40" s="1217" t="s">
        <v>256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2" t="s">
        <v>744</v>
      </c>
      <c r="S41" s="1261">
        <v>3331568144</v>
      </c>
      <c r="T41" s="1202" t="s">
        <v>336</v>
      </c>
      <c r="U41" s="1202">
        <v>24142487</v>
      </c>
      <c r="V41" s="1202" t="s">
        <v>529</v>
      </c>
      <c r="W41" s="1202" t="s">
        <v>434</v>
      </c>
      <c r="X41" s="1203">
        <f>11994.377+32340.888</f>
        <v>44335.264999999999</v>
      </c>
      <c r="Y41" s="1261" t="s">
        <v>128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744</v>
      </c>
      <c r="S42" s="1261">
        <v>3331568145</v>
      </c>
      <c r="T42" s="1202" t="s">
        <v>256</v>
      </c>
      <c r="U42" s="1209" t="s">
        <v>256</v>
      </c>
      <c r="V42" s="1209" t="s">
        <v>256</v>
      </c>
      <c r="W42" s="1209" t="s">
        <v>256</v>
      </c>
      <c r="X42" s="1203" t="s">
        <v>256</v>
      </c>
      <c r="Y42" s="1209" t="s">
        <v>256</v>
      </c>
      <c r="Z42" s="1209" t="s">
        <v>256</v>
      </c>
      <c r="AA42" s="1209" t="s">
        <v>256</v>
      </c>
      <c r="AB42" s="1209" t="s">
        <v>256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744</v>
      </c>
      <c r="S43" s="1261">
        <v>3331568201</v>
      </c>
      <c r="T43" s="1202" t="s">
        <v>698</v>
      </c>
      <c r="U43" s="1202">
        <v>24142492</v>
      </c>
      <c r="V43" s="1202" t="s">
        <v>561</v>
      </c>
      <c r="W43" s="1202" t="s">
        <v>362</v>
      </c>
      <c r="X43" s="1203">
        <v>23091.472000000002</v>
      </c>
      <c r="Y43" s="1202" t="s">
        <v>200</v>
      </c>
      <c r="Z43" s="1369">
        <v>1</v>
      </c>
      <c r="AA43" s="1369">
        <v>1</v>
      </c>
      <c r="AB43" s="1369" t="s">
        <v>204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744</v>
      </c>
      <c r="S44" s="1261">
        <v>3331568204</v>
      </c>
      <c r="T44" s="1202" t="s">
        <v>698</v>
      </c>
      <c r="U44" s="1202">
        <v>24142493</v>
      </c>
      <c r="V44" s="1202" t="s">
        <v>561</v>
      </c>
      <c r="W44" s="1202" t="s">
        <v>362</v>
      </c>
      <c r="X44" s="1203">
        <v>22750.437999999998</v>
      </c>
      <c r="Y44" s="1202" t="s">
        <v>200</v>
      </c>
      <c r="Z44" s="1369">
        <v>1</v>
      </c>
      <c r="AA44" s="1369">
        <v>1</v>
      </c>
      <c r="AB44" s="1369" t="s">
        <v>204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02" t="s">
        <v>744</v>
      </c>
      <c r="S45" s="1261">
        <v>3331568205</v>
      </c>
      <c r="T45" s="1202" t="s">
        <v>27</v>
      </c>
      <c r="U45" s="1202">
        <v>24142495</v>
      </c>
      <c r="V45" s="1202" t="s">
        <v>561</v>
      </c>
      <c r="W45" s="1202" t="s">
        <v>362</v>
      </c>
      <c r="X45" s="1203">
        <v>22363.38</v>
      </c>
      <c r="Y45" s="1202" t="s">
        <v>200</v>
      </c>
      <c r="Z45" s="1369">
        <v>1</v>
      </c>
      <c r="AA45" s="1369">
        <v>1</v>
      </c>
      <c r="AB45" s="1369" t="s">
        <v>204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61" t="s">
        <v>744</v>
      </c>
      <c r="S46" s="1261">
        <v>3331568207</v>
      </c>
      <c r="T46" s="1202" t="s">
        <v>27</v>
      </c>
      <c r="U46" s="1261">
        <v>24142496</v>
      </c>
      <c r="V46" s="1202" t="s">
        <v>561</v>
      </c>
      <c r="W46" s="1202" t="s">
        <v>362</v>
      </c>
      <c r="X46" s="1267">
        <v>22191.353999999999</v>
      </c>
      <c r="Y46" s="1202" t="s">
        <v>200</v>
      </c>
      <c r="Z46" s="1369">
        <v>1</v>
      </c>
      <c r="AA46" s="1369">
        <v>1</v>
      </c>
      <c r="AB46" s="1369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68" t="s">
        <v>744</v>
      </c>
      <c r="S47" s="1373">
        <v>3331568209</v>
      </c>
      <c r="T47" s="1369" t="s">
        <v>441</v>
      </c>
      <c r="U47" s="1373">
        <v>24142497</v>
      </c>
      <c r="V47" s="1077" t="s">
        <v>224</v>
      </c>
      <c r="W47" s="1202" t="s">
        <v>203</v>
      </c>
      <c r="X47" s="1374">
        <v>41271.938999999998</v>
      </c>
      <c r="Y47" s="1202" t="s">
        <v>128</v>
      </c>
      <c r="Z47" s="1369">
        <v>1</v>
      </c>
      <c r="AA47" s="1369">
        <v>1</v>
      </c>
      <c r="AB47" s="1369" t="s">
        <v>204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68" t="s">
        <v>744</v>
      </c>
      <c r="S48" s="1373">
        <v>3331568212</v>
      </c>
      <c r="T48" s="1369" t="s">
        <v>441</v>
      </c>
      <c r="U48" s="1373">
        <v>24142498</v>
      </c>
      <c r="V48" s="1077" t="s">
        <v>224</v>
      </c>
      <c r="W48" s="1202" t="s">
        <v>203</v>
      </c>
      <c r="X48" s="1374">
        <v>44638.92</v>
      </c>
      <c r="Y48" s="1202" t="s">
        <v>128</v>
      </c>
      <c r="Z48" s="1369">
        <v>1</v>
      </c>
      <c r="AA48" s="1369">
        <v>1</v>
      </c>
      <c r="AB48" s="1369" t="s">
        <v>204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68" t="s">
        <v>728</v>
      </c>
      <c r="S49" s="1373">
        <v>3331568216</v>
      </c>
      <c r="T49" s="1369" t="s">
        <v>459</v>
      </c>
      <c r="U49" s="1373">
        <v>24142499</v>
      </c>
      <c r="V49" s="1077" t="s">
        <v>224</v>
      </c>
      <c r="W49" s="1202" t="s">
        <v>344</v>
      </c>
      <c r="X49" s="1374">
        <v>30202.876</v>
      </c>
      <c r="Y49" s="1202" t="s">
        <v>426</v>
      </c>
      <c r="Z49" s="1369">
        <v>1</v>
      </c>
      <c r="AA49" s="1369">
        <v>1</v>
      </c>
      <c r="AB49" s="1369" t="s">
        <v>204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68" t="s">
        <v>728</v>
      </c>
      <c r="S50" s="1373">
        <v>3331568220</v>
      </c>
      <c r="T50" s="1369" t="s">
        <v>459</v>
      </c>
      <c r="U50" s="1373">
        <v>24142501</v>
      </c>
      <c r="V50" s="1077" t="s">
        <v>224</v>
      </c>
      <c r="W50" s="1202" t="s">
        <v>344</v>
      </c>
      <c r="X50" s="1374">
        <v>30635.216</v>
      </c>
      <c r="Y50" s="1202" t="s">
        <v>426</v>
      </c>
      <c r="Z50" s="1369">
        <v>1</v>
      </c>
      <c r="AA50" s="1369">
        <v>1</v>
      </c>
      <c r="AB50" s="1369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8" t="s">
        <v>744</v>
      </c>
      <c r="S51" s="1373">
        <v>3331568221</v>
      </c>
      <c r="T51" s="1369" t="s">
        <v>11</v>
      </c>
      <c r="U51" s="1373">
        <v>24142502</v>
      </c>
      <c r="V51" s="1077" t="s">
        <v>413</v>
      </c>
      <c r="W51" s="1202" t="s">
        <v>481</v>
      </c>
      <c r="X51" s="1374">
        <v>40856.175000000003</v>
      </c>
      <c r="Y51" s="1202" t="s">
        <v>128</v>
      </c>
      <c r="Z51" s="1369">
        <v>1</v>
      </c>
      <c r="AA51" s="1369">
        <v>1</v>
      </c>
      <c r="AB51" s="1369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8" t="s">
        <v>744</v>
      </c>
      <c r="S52" s="1373">
        <v>3331568248</v>
      </c>
      <c r="T52" s="1369" t="s">
        <v>459</v>
      </c>
      <c r="U52" s="1373">
        <v>24142505</v>
      </c>
      <c r="V52" s="1227" t="s">
        <v>226</v>
      </c>
      <c r="W52" s="1202" t="s">
        <v>344</v>
      </c>
      <c r="X52" s="1374">
        <v>29757.913</v>
      </c>
      <c r="Y52" s="1202" t="s">
        <v>426</v>
      </c>
      <c r="Z52" s="1369">
        <v>1</v>
      </c>
      <c r="AA52" s="1369">
        <v>1</v>
      </c>
      <c r="AB52" s="1369" t="s">
        <v>204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68" t="s">
        <v>691</v>
      </c>
      <c r="S53" s="1373">
        <v>3331568249</v>
      </c>
      <c r="T53" s="1369" t="s">
        <v>459</v>
      </c>
      <c r="U53" s="1369">
        <v>24142506</v>
      </c>
      <c r="V53" s="1227" t="s">
        <v>226</v>
      </c>
      <c r="W53" s="1202" t="s">
        <v>344</v>
      </c>
      <c r="X53" s="1374">
        <v>28814.355</v>
      </c>
      <c r="Y53" s="1202" t="s">
        <v>426</v>
      </c>
      <c r="Z53" s="1369">
        <v>1</v>
      </c>
      <c r="AA53" s="1369">
        <v>1</v>
      </c>
      <c r="AB53" s="1369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69" t="s">
        <v>744</v>
      </c>
      <c r="S54" s="1369">
        <v>3331568251</v>
      </c>
      <c r="T54" s="1369" t="s">
        <v>459</v>
      </c>
      <c r="U54" s="1369">
        <v>24142507</v>
      </c>
      <c r="V54" s="1227" t="s">
        <v>226</v>
      </c>
      <c r="W54" s="1202" t="s">
        <v>344</v>
      </c>
      <c r="X54" s="1370">
        <v>30244.741000000002</v>
      </c>
      <c r="Y54" s="1202" t="s">
        <v>426</v>
      </c>
      <c r="Z54" s="1369">
        <v>1</v>
      </c>
      <c r="AA54" s="1369">
        <v>1</v>
      </c>
      <c r="AB54" s="1369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60" t="s">
        <v>744</v>
      </c>
      <c r="S55" s="1362">
        <v>3331568252</v>
      </c>
      <c r="T55" s="1361" t="s">
        <v>459</v>
      </c>
      <c r="U55" s="1362">
        <v>24142508</v>
      </c>
      <c r="V55" s="1224" t="s">
        <v>226</v>
      </c>
      <c r="W55" s="1190" t="s">
        <v>344</v>
      </c>
      <c r="X55" s="1363">
        <v>29890.971000000001</v>
      </c>
      <c r="Y55" s="1190" t="s">
        <v>426</v>
      </c>
      <c r="Z55" s="1361">
        <v>1</v>
      </c>
      <c r="AA55" s="1361">
        <v>1</v>
      </c>
      <c r="AB55" s="1361" t="s">
        <v>207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0" t="s">
        <v>744</v>
      </c>
      <c r="S56" s="1362">
        <v>3331568254</v>
      </c>
      <c r="T56" s="1361" t="s">
        <v>459</v>
      </c>
      <c r="U56" s="1362">
        <v>24142509</v>
      </c>
      <c r="V56" s="1224" t="s">
        <v>226</v>
      </c>
      <c r="W56" s="1190" t="s">
        <v>344</v>
      </c>
      <c r="X56" s="1363">
        <v>30092.152999999998</v>
      </c>
      <c r="Y56" s="1190" t="s">
        <v>426</v>
      </c>
      <c r="Z56" s="1361">
        <v>1</v>
      </c>
      <c r="AA56" s="1361">
        <v>1</v>
      </c>
      <c r="AB56" s="1361" t="s">
        <v>207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60" t="s">
        <v>744</v>
      </c>
      <c r="S57" s="1362">
        <v>3331568255</v>
      </c>
      <c r="T57" s="1361" t="s">
        <v>459</v>
      </c>
      <c r="U57" s="1362">
        <v>24142510</v>
      </c>
      <c r="V57" s="1224" t="s">
        <v>226</v>
      </c>
      <c r="W57" s="1190" t="s">
        <v>344</v>
      </c>
      <c r="X57" s="1363">
        <v>29588.472000000002</v>
      </c>
      <c r="Y57" s="1190" t="s">
        <v>426</v>
      </c>
      <c r="Z57" s="1361">
        <v>1</v>
      </c>
      <c r="AA57" s="1361">
        <v>1</v>
      </c>
      <c r="AB57" s="1361" t="s">
        <v>207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90" t="s">
        <v>744</v>
      </c>
      <c r="S58" s="1190">
        <v>3331568256</v>
      </c>
      <c r="T58" s="1361" t="s">
        <v>459</v>
      </c>
      <c r="U58" s="1190">
        <v>24142511</v>
      </c>
      <c r="V58" s="1224" t="s">
        <v>226</v>
      </c>
      <c r="W58" s="1190" t="s">
        <v>344</v>
      </c>
      <c r="X58" s="1191">
        <v>29588.472000000002</v>
      </c>
      <c r="Y58" s="1190" t="s">
        <v>426</v>
      </c>
      <c r="Z58" s="1361">
        <v>1</v>
      </c>
      <c r="AA58" s="1361">
        <v>1</v>
      </c>
      <c r="AB58" s="1361" t="s">
        <v>207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2" t="s">
        <v>744</v>
      </c>
      <c r="S59" s="1202">
        <v>3331568257</v>
      </c>
      <c r="T59" s="1202" t="s">
        <v>27</v>
      </c>
      <c r="U59" s="1202">
        <v>24142512</v>
      </c>
      <c r="V59" s="1227" t="s">
        <v>226</v>
      </c>
      <c r="W59" s="1202" t="s">
        <v>344</v>
      </c>
      <c r="X59" s="1203">
        <v>25579.562000000002</v>
      </c>
      <c r="Y59" s="1202" t="s">
        <v>200</v>
      </c>
      <c r="Z59" s="1369">
        <v>1</v>
      </c>
      <c r="AA59" s="1369">
        <v>1</v>
      </c>
      <c r="AB59" s="1369" t="s">
        <v>204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74" t="s">
        <v>744</v>
      </c>
      <c r="S60" s="105">
        <v>3331568258</v>
      </c>
      <c r="T60" s="1202" t="s">
        <v>27</v>
      </c>
      <c r="U60" s="105">
        <v>24142513</v>
      </c>
      <c r="V60" s="1227" t="s">
        <v>226</v>
      </c>
      <c r="W60" s="1202" t="s">
        <v>344</v>
      </c>
      <c r="X60" s="209">
        <v>25545.861000000001</v>
      </c>
      <c r="Y60" s="1202" t="s">
        <v>200</v>
      </c>
      <c r="Z60" s="1369">
        <v>1</v>
      </c>
      <c r="AA60" s="1369">
        <v>1</v>
      </c>
      <c r="AB60" s="1369" t="s">
        <v>204</v>
      </c>
      <c r="AC60" s="1365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74" t="s">
        <v>744</v>
      </c>
      <c r="S61" s="105">
        <v>3331568259</v>
      </c>
      <c r="T61" s="1202" t="s">
        <v>27</v>
      </c>
      <c r="U61" s="105">
        <v>24142514</v>
      </c>
      <c r="V61" s="1227" t="s">
        <v>226</v>
      </c>
      <c r="W61" s="1202" t="s">
        <v>344</v>
      </c>
      <c r="X61" s="209">
        <v>24771.743999999999</v>
      </c>
      <c r="Y61" s="1202" t="s">
        <v>200</v>
      </c>
      <c r="Z61" s="1369">
        <v>1</v>
      </c>
      <c r="AA61" s="1369">
        <v>1</v>
      </c>
      <c r="AB61" s="1369" t="s">
        <v>204</v>
      </c>
      <c r="AC61" s="1365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0" t="s">
        <v>744</v>
      </c>
      <c r="S62" s="1362">
        <v>3331568140</v>
      </c>
      <c r="T62" s="1361" t="s">
        <v>336</v>
      </c>
      <c r="U62" s="1362">
        <v>24142482</v>
      </c>
      <c r="V62" s="1224" t="s">
        <v>529</v>
      </c>
      <c r="W62" s="1362" t="s">
        <v>434</v>
      </c>
      <c r="X62" s="1363">
        <v>38840.997000000003</v>
      </c>
      <c r="Y62" s="1190" t="s">
        <v>128</v>
      </c>
      <c r="Z62" s="1190">
        <v>1</v>
      </c>
      <c r="AA62" s="1190">
        <v>1</v>
      </c>
      <c r="AB62" s="1200" t="s">
        <v>207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744</v>
      </c>
      <c r="S63" s="1373">
        <v>3331568141</v>
      </c>
      <c r="T63" s="1369" t="s">
        <v>336</v>
      </c>
      <c r="U63" s="1373">
        <v>24142483</v>
      </c>
      <c r="V63" s="1227" t="s">
        <v>529</v>
      </c>
      <c r="W63" s="1373" t="s">
        <v>434</v>
      </c>
      <c r="X63" s="1374">
        <v>38840.997000000003</v>
      </c>
      <c r="Y63" s="1202" t="s">
        <v>128</v>
      </c>
      <c r="Z63" s="1202">
        <v>1</v>
      </c>
      <c r="AA63" s="1202">
        <v>1</v>
      </c>
      <c r="AB63" s="1208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0" t="s">
        <v>744</v>
      </c>
      <c r="S64" s="1362">
        <v>3331568142</v>
      </c>
      <c r="T64" s="1361" t="s">
        <v>336</v>
      </c>
      <c r="U64" s="1362">
        <v>24142485</v>
      </c>
      <c r="V64" s="1224" t="s">
        <v>529</v>
      </c>
      <c r="W64" s="1362" t="s">
        <v>434</v>
      </c>
      <c r="X64" s="1363">
        <f>18812.2+21933.315</f>
        <v>40745.514999999999</v>
      </c>
      <c r="Y64" s="1190" t="s">
        <v>128</v>
      </c>
      <c r="Z64" s="1190">
        <v>1</v>
      </c>
      <c r="AA64" s="1190">
        <v>1</v>
      </c>
      <c r="AB64" s="1200" t="s">
        <v>207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0" t="s">
        <v>744</v>
      </c>
      <c r="S65" s="1362">
        <v>3331568143</v>
      </c>
      <c r="T65" s="1361" t="s">
        <v>256</v>
      </c>
      <c r="U65" s="1361" t="s">
        <v>256</v>
      </c>
      <c r="V65" s="1361" t="s">
        <v>256</v>
      </c>
      <c r="W65" s="1361" t="s">
        <v>256</v>
      </c>
      <c r="X65" s="1363" t="s">
        <v>256</v>
      </c>
      <c r="Y65" s="1361" t="s">
        <v>256</v>
      </c>
      <c r="Z65" s="1361" t="s">
        <v>256</v>
      </c>
      <c r="AA65" s="1361" t="s">
        <v>256</v>
      </c>
      <c r="AB65" s="1361" t="s">
        <v>256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0" t="s">
        <v>744</v>
      </c>
      <c r="S66" s="1362">
        <v>3331568144</v>
      </c>
      <c r="T66" s="1361" t="s">
        <v>336</v>
      </c>
      <c r="U66" s="1362">
        <v>24142487</v>
      </c>
      <c r="V66" s="1224" t="s">
        <v>529</v>
      </c>
      <c r="W66" s="1362" t="s">
        <v>434</v>
      </c>
      <c r="X66" s="1363">
        <f>11994.377+32340.888</f>
        <v>44335.264999999999</v>
      </c>
      <c r="Y66" s="1190" t="s">
        <v>128</v>
      </c>
      <c r="Z66" s="1190">
        <v>1</v>
      </c>
      <c r="AA66" s="1190">
        <v>1</v>
      </c>
      <c r="AB66" s="1200" t="s">
        <v>207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0" t="s">
        <v>744</v>
      </c>
      <c r="S67" s="1362">
        <v>3331568145</v>
      </c>
      <c r="T67" s="1361" t="s">
        <v>256</v>
      </c>
      <c r="U67" s="1361" t="s">
        <v>256</v>
      </c>
      <c r="V67" s="1361" t="s">
        <v>256</v>
      </c>
      <c r="W67" s="1361" t="s">
        <v>256</v>
      </c>
      <c r="X67" s="1363" t="s">
        <v>256</v>
      </c>
      <c r="Y67" s="1361" t="s">
        <v>256</v>
      </c>
      <c r="Z67" s="1361" t="s">
        <v>256</v>
      </c>
      <c r="AA67" s="1361" t="s">
        <v>256</v>
      </c>
      <c r="AB67" s="1361" t="s">
        <v>256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1" t="s">
        <v>736</v>
      </c>
      <c r="S68" s="1202">
        <v>3331566818</v>
      </c>
      <c r="T68" s="1202" t="s">
        <v>287</v>
      </c>
      <c r="U68" s="1202">
        <v>24142472</v>
      </c>
      <c r="V68" s="1210" t="s">
        <v>368</v>
      </c>
      <c r="W68" s="1373" t="s">
        <v>199</v>
      </c>
      <c r="X68" s="1203">
        <f>21676.785+1539.18</f>
        <v>23215.965</v>
      </c>
      <c r="Y68" s="1202" t="s">
        <v>200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744</v>
      </c>
      <c r="S69" s="1202">
        <v>3331568102</v>
      </c>
      <c r="T69" s="1202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01" t="s">
        <v>744</v>
      </c>
      <c r="S70" s="1202">
        <v>3331568103</v>
      </c>
      <c r="T70" s="1202" t="s">
        <v>287</v>
      </c>
      <c r="U70" s="1202">
        <v>24142469</v>
      </c>
      <c r="V70" s="1210" t="s">
        <v>368</v>
      </c>
      <c r="W70" s="1373" t="s">
        <v>199</v>
      </c>
      <c r="X70" s="1203">
        <f>12569.97+12257.08</f>
        <v>24827.05</v>
      </c>
      <c r="Y70" s="1202" t="s">
        <v>200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1" t="s">
        <v>744</v>
      </c>
      <c r="S71" s="1202">
        <v>3331568104</v>
      </c>
      <c r="T71" s="1202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 t="s">
        <v>256</v>
      </c>
      <c r="AA71" s="1202" t="s">
        <v>256</v>
      </c>
      <c r="AB71" s="1202" t="s">
        <v>256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1" t="s">
        <v>744</v>
      </c>
      <c r="S72" s="1210">
        <v>3331568106</v>
      </c>
      <c r="T72" s="1202" t="s">
        <v>11</v>
      </c>
      <c r="U72" s="1201">
        <v>24142470</v>
      </c>
      <c r="V72" s="1210" t="s">
        <v>368</v>
      </c>
      <c r="W72" s="1373" t="s">
        <v>199</v>
      </c>
      <c r="X72" s="1376">
        <v>26080.643</v>
      </c>
      <c r="Y72" s="1202" t="s">
        <v>200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1" t="s">
        <v>744</v>
      </c>
      <c r="S73" s="1210">
        <v>3331568107</v>
      </c>
      <c r="T73" s="1202" t="s">
        <v>34</v>
      </c>
      <c r="U73" s="1201">
        <v>24142471</v>
      </c>
      <c r="V73" s="1210" t="s">
        <v>368</v>
      </c>
      <c r="W73" s="1373" t="s">
        <v>199</v>
      </c>
      <c r="X73" s="1203">
        <v>26717.61</v>
      </c>
      <c r="Y73" s="1202" t="s">
        <v>200</v>
      </c>
      <c r="Z73" s="1202">
        <v>1</v>
      </c>
      <c r="AA73" s="1202">
        <v>1</v>
      </c>
      <c r="AB73" s="1208" t="s">
        <v>204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1" t="s">
        <v>744</v>
      </c>
      <c r="S74" s="1202">
        <v>3331568109</v>
      </c>
      <c r="T74" s="1202" t="s">
        <v>287</v>
      </c>
      <c r="U74" s="1202">
        <v>24142473</v>
      </c>
      <c r="V74" s="1202" t="s">
        <v>219</v>
      </c>
      <c r="W74" s="1373" t="s">
        <v>199</v>
      </c>
      <c r="X74" s="1203">
        <v>26378.576000000001</v>
      </c>
      <c r="Y74" s="1202" t="s">
        <v>200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736</v>
      </c>
      <c r="S75" s="1202">
        <v>3331567830</v>
      </c>
      <c r="T75" s="1202" t="s">
        <v>34</v>
      </c>
      <c r="U75" s="1202">
        <v>24142474</v>
      </c>
      <c r="V75" s="1202" t="s">
        <v>219</v>
      </c>
      <c r="W75" s="1373" t="s">
        <v>199</v>
      </c>
      <c r="X75" s="1203">
        <f>19699.893+6413.25</f>
        <v>26113.143</v>
      </c>
      <c r="Y75" s="1202" t="s">
        <v>200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2" t="s">
        <v>744</v>
      </c>
      <c r="S76" s="1202">
        <v>3331568110</v>
      </c>
      <c r="T76" s="1202" t="s">
        <v>256</v>
      </c>
      <c r="U76" s="1202" t="s">
        <v>256</v>
      </c>
      <c r="V76" s="1202" t="s">
        <v>256</v>
      </c>
      <c r="W76" s="1202" t="s">
        <v>256</v>
      </c>
      <c r="X76" s="1203" t="s">
        <v>256</v>
      </c>
      <c r="Y76" s="1202" t="s">
        <v>256</v>
      </c>
      <c r="Z76" s="1202" t="s">
        <v>256</v>
      </c>
      <c r="AA76" s="1202" t="s">
        <v>256</v>
      </c>
      <c r="AB76" s="1202" t="s">
        <v>256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2" t="s">
        <v>744</v>
      </c>
      <c r="S77" s="1202">
        <v>3331568111</v>
      </c>
      <c r="T77" s="1202" t="s">
        <v>287</v>
      </c>
      <c r="U77" s="1202">
        <v>24142475</v>
      </c>
      <c r="V77" s="1210" t="s">
        <v>368</v>
      </c>
      <c r="W77" s="1373" t="s">
        <v>199</v>
      </c>
      <c r="X77" s="1203">
        <v>26379.834999999999</v>
      </c>
      <c r="Y77" s="1202" t="s">
        <v>200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744</v>
      </c>
      <c r="S78" s="1202">
        <v>3331568118</v>
      </c>
      <c r="T78" s="1202" t="s">
        <v>287</v>
      </c>
      <c r="U78" s="1202">
        <v>24142477</v>
      </c>
      <c r="V78" s="1070" t="s">
        <v>676</v>
      </c>
      <c r="W78" s="1373" t="s">
        <v>199</v>
      </c>
      <c r="X78" s="1203">
        <v>25699.276000000002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744</v>
      </c>
      <c r="S79" s="1202">
        <v>3331568120</v>
      </c>
      <c r="T79" s="1202" t="s">
        <v>11</v>
      </c>
      <c r="U79" s="1202">
        <v>24142478</v>
      </c>
      <c r="V79" s="1070" t="s">
        <v>676</v>
      </c>
      <c r="W79" s="1373" t="s">
        <v>199</v>
      </c>
      <c r="X79" s="1203">
        <v>25872.491999999998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744</v>
      </c>
      <c r="S80" s="1202">
        <v>3331568123</v>
      </c>
      <c r="T80" s="1202" t="s">
        <v>137</v>
      </c>
      <c r="U80" s="1202">
        <v>24142479</v>
      </c>
      <c r="V80" s="1070" t="s">
        <v>676</v>
      </c>
      <c r="W80" s="1373" t="s">
        <v>199</v>
      </c>
      <c r="X80" s="1203">
        <v>25201.182000000001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744</v>
      </c>
      <c r="S81" s="1202">
        <v>3331568147</v>
      </c>
      <c r="T81" s="1202" t="s">
        <v>34</v>
      </c>
      <c r="U81" s="1202">
        <v>24142488</v>
      </c>
      <c r="V81" s="1202" t="s">
        <v>366</v>
      </c>
      <c r="W81" s="1373" t="s">
        <v>199</v>
      </c>
      <c r="X81" s="1203">
        <v>24883.41</v>
      </c>
      <c r="Y81" s="1202" t="s">
        <v>200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744</v>
      </c>
      <c r="S82" s="105">
        <v>3331568151</v>
      </c>
      <c r="T82" s="1202" t="s">
        <v>34</v>
      </c>
      <c r="U82" s="105">
        <v>24142489</v>
      </c>
      <c r="V82" s="1202" t="s">
        <v>366</v>
      </c>
      <c r="W82" s="1373" t="s">
        <v>199</v>
      </c>
      <c r="X82" s="209">
        <v>26080.55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744</v>
      </c>
      <c r="S83" s="105">
        <v>3331568197</v>
      </c>
      <c r="T83" s="1202" t="s">
        <v>34</v>
      </c>
      <c r="U83" s="1202">
        <v>24142491</v>
      </c>
      <c r="V83" s="1202" t="s">
        <v>150</v>
      </c>
      <c r="W83" s="1373" t="s">
        <v>199</v>
      </c>
      <c r="X83" s="209">
        <v>25867.277999999998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74" t="s">
        <v>744</v>
      </c>
      <c r="S84" s="105">
        <v>3331567091</v>
      </c>
      <c r="T84" s="1202" t="s">
        <v>34</v>
      </c>
      <c r="U84" s="1202">
        <v>24142494</v>
      </c>
      <c r="V84" s="1202" t="s">
        <v>150</v>
      </c>
      <c r="W84" s="1373" t="s">
        <v>199</v>
      </c>
      <c r="X84" s="209">
        <v>25271.724999999999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74" t="s">
        <v>744</v>
      </c>
      <c r="S85" s="105">
        <v>3331567802</v>
      </c>
      <c r="T85" s="1202" t="s">
        <v>11</v>
      </c>
      <c r="U85" s="1202">
        <v>24142500</v>
      </c>
      <c r="V85" s="1202" t="s">
        <v>158</v>
      </c>
      <c r="W85" s="1373" t="s">
        <v>199</v>
      </c>
      <c r="X85" s="209">
        <v>25547.59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74" t="s">
        <v>744</v>
      </c>
      <c r="S86" s="105">
        <v>3331568223</v>
      </c>
      <c r="T86" s="1202" t="s">
        <v>34</v>
      </c>
      <c r="U86" s="1202">
        <v>24142503</v>
      </c>
      <c r="V86" s="1070" t="s">
        <v>675</v>
      </c>
      <c r="W86" s="1373" t="s">
        <v>199</v>
      </c>
      <c r="X86" s="209">
        <v>22621.419000000002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74" t="s">
        <v>744</v>
      </c>
      <c r="S87" s="105">
        <v>3331568226</v>
      </c>
      <c r="T87" s="1202" t="s">
        <v>34</v>
      </c>
      <c r="U87" s="1202">
        <v>24142504</v>
      </c>
      <c r="V87" s="1070" t="s">
        <v>676</v>
      </c>
      <c r="W87" s="1373" t="s">
        <v>199</v>
      </c>
      <c r="X87" s="209">
        <v>21199.25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74" t="s">
        <v>744</v>
      </c>
      <c r="S88" s="105">
        <v>3331568260</v>
      </c>
      <c r="T88" s="1202" t="s">
        <v>34</v>
      </c>
      <c r="U88" s="1202">
        <v>24142515</v>
      </c>
      <c r="V88" s="1202" t="s">
        <v>759</v>
      </c>
      <c r="W88" s="1373" t="s">
        <v>199</v>
      </c>
      <c r="X88" s="209">
        <v>19658.653999999999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 t="s">
        <v>422</v>
      </c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74" t="s">
        <v>744</v>
      </c>
      <c r="S89" s="105">
        <v>3331568277</v>
      </c>
      <c r="T89" s="1202" t="s">
        <v>27</v>
      </c>
      <c r="U89" s="1202">
        <v>24142516</v>
      </c>
      <c r="V89" s="1202" t="s">
        <v>760</v>
      </c>
      <c r="W89" s="1373" t="s">
        <v>199</v>
      </c>
      <c r="X89" s="209">
        <v>24768.171999999999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 t="s">
        <v>422</v>
      </c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326"/>
      <c r="S90" s="81"/>
      <c r="T90" s="1190"/>
      <c r="U90" s="1190"/>
      <c r="V90" s="1190"/>
      <c r="W90" s="1190"/>
      <c r="X90" s="191"/>
      <c r="Y90" s="1190"/>
      <c r="Z90" s="1190"/>
      <c r="AA90" s="1190"/>
      <c r="AB90" s="1190"/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326"/>
      <c r="S91" s="81"/>
      <c r="T91" s="1190"/>
      <c r="U91" s="1190"/>
      <c r="V91" s="1190"/>
      <c r="W91" s="1362"/>
      <c r="X91" s="191"/>
      <c r="Y91" s="1190"/>
      <c r="Z91" s="1190"/>
      <c r="AA91" s="1190"/>
      <c r="AB91" s="1200"/>
      <c r="AC91" s="127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326"/>
      <c r="S92" s="81"/>
      <c r="T92" s="1190"/>
      <c r="U92" s="1190"/>
      <c r="V92" s="1190"/>
      <c r="W92" s="1190"/>
      <c r="X92" s="191"/>
      <c r="Y92" s="1190"/>
      <c r="Z92" s="1190"/>
      <c r="AA92" s="1190"/>
      <c r="AB92" s="1190"/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89"/>
      <c r="S93" s="1190"/>
      <c r="T93" s="1190"/>
      <c r="U93" s="1190"/>
      <c r="V93" s="1190"/>
      <c r="W93" s="1362"/>
      <c r="X93" s="1191"/>
      <c r="Y93" s="1190"/>
      <c r="Z93" s="1190"/>
      <c r="AA93" s="1190"/>
      <c r="AB93" s="1200"/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89"/>
      <c r="S94" s="1190"/>
      <c r="T94" s="1190"/>
      <c r="U94" s="1190"/>
      <c r="V94" s="1190"/>
      <c r="W94" s="1190"/>
      <c r="X94" s="1190"/>
      <c r="Y94" s="1190"/>
      <c r="Z94" s="1190"/>
      <c r="AA94" s="1190"/>
      <c r="AB94" s="1190"/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189"/>
      <c r="S95" s="1190"/>
      <c r="T95" s="1190"/>
      <c r="U95" s="1190"/>
      <c r="V95" s="1190"/>
      <c r="W95" s="1190"/>
      <c r="X95" s="1190"/>
      <c r="Y95" s="1190"/>
      <c r="Z95" s="1190"/>
      <c r="AA95" s="1190"/>
      <c r="AB95" s="1190"/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190"/>
      <c r="T96" s="1190"/>
      <c r="U96" s="1190"/>
      <c r="V96" s="1190"/>
      <c r="W96" s="1190"/>
      <c r="X96" s="1190"/>
      <c r="Y96" s="1190"/>
      <c r="Z96" s="1190"/>
      <c r="AA96" s="1190"/>
      <c r="AB96" s="1190"/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190"/>
      <c r="T97" s="1190"/>
      <c r="U97" s="1190"/>
      <c r="V97" s="1190"/>
      <c r="W97" s="1190"/>
      <c r="X97" s="1190"/>
      <c r="Y97" s="1190"/>
      <c r="Z97" s="1190"/>
      <c r="AA97" s="1190"/>
      <c r="AB97" s="1190"/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89"/>
      <c r="S98" s="1190"/>
      <c r="T98" s="1190"/>
      <c r="U98" s="1190"/>
      <c r="V98" s="1190"/>
      <c r="W98" s="1362"/>
      <c r="X98" s="1191"/>
      <c r="Y98" s="1190"/>
      <c r="Z98" s="1190"/>
      <c r="AA98" s="1190"/>
      <c r="AB98" s="1200"/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89"/>
      <c r="S99" s="1190"/>
      <c r="T99" s="1190"/>
      <c r="U99" s="1190"/>
      <c r="V99" s="1190"/>
      <c r="W99" s="1190"/>
      <c r="X99" s="1191"/>
      <c r="Y99" s="1190"/>
      <c r="Z99" s="1190"/>
      <c r="AA99" s="1190"/>
      <c r="AB99" s="1190"/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89"/>
      <c r="S100" s="1190"/>
      <c r="T100" s="1190"/>
      <c r="U100" s="1190"/>
      <c r="V100" s="1190"/>
      <c r="W100" s="1190"/>
      <c r="X100" s="1191"/>
      <c r="Y100" s="1190"/>
      <c r="Z100" s="1190"/>
      <c r="AA100" s="1190"/>
      <c r="AB100" s="1190"/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89"/>
      <c r="S101" s="1190"/>
      <c r="T101" s="1190"/>
      <c r="U101" s="1190"/>
      <c r="V101" s="1190"/>
      <c r="W101" s="1190"/>
      <c r="X101" s="1191"/>
      <c r="Y101" s="1190"/>
      <c r="Z101" s="1190"/>
      <c r="AA101" s="1190"/>
      <c r="AB101" s="1190"/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217"/>
      <c r="U102" s="1217"/>
      <c r="V102" s="1217"/>
      <c r="W102" s="1217"/>
      <c r="X102" s="1296"/>
      <c r="Y102" s="1217"/>
      <c r="Z102" s="1217"/>
      <c r="AA102" s="1217"/>
      <c r="AB102" s="1200"/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89"/>
      <c r="S103" s="1190"/>
      <c r="T103" s="1190"/>
      <c r="U103" s="1190"/>
      <c r="V103" s="1190"/>
      <c r="W103" s="1190"/>
      <c r="X103" s="1191"/>
      <c r="Y103" s="1190"/>
      <c r="Z103" s="1190"/>
      <c r="AA103" s="1190"/>
      <c r="AB103" s="1190"/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217"/>
      <c r="AA104" s="1217"/>
      <c r="AB104" s="1200"/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89"/>
      <c r="S105" s="1190"/>
      <c r="T105" s="1190"/>
      <c r="U105" s="1190"/>
      <c r="V105" s="1190"/>
      <c r="W105" s="1217"/>
      <c r="X105" s="1191"/>
      <c r="Y105" s="1217"/>
      <c r="Z105" s="1217"/>
      <c r="AA105" s="1217"/>
      <c r="AB105" s="1200"/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89"/>
      <c r="S106" s="1190"/>
      <c r="T106" s="1190"/>
      <c r="U106" s="1190"/>
      <c r="V106" s="1190"/>
      <c r="W106" s="1217"/>
      <c r="X106" s="1191"/>
      <c r="Y106" s="1217"/>
      <c r="Z106" s="1217"/>
      <c r="AA106" s="1217"/>
      <c r="AB106" s="1200"/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89"/>
      <c r="S107" s="1190"/>
      <c r="T107" s="1414"/>
      <c r="U107" s="1190"/>
      <c r="V107" s="1190"/>
      <c r="W107" s="1217"/>
      <c r="X107" s="1191"/>
      <c r="Y107" s="1217"/>
      <c r="Z107" s="1217"/>
      <c r="AA107" s="1217"/>
      <c r="AB107" s="1200"/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89"/>
      <c r="S108" s="1190"/>
      <c r="T108" s="1190"/>
      <c r="U108" s="1190"/>
      <c r="V108" s="1190"/>
      <c r="W108" s="1217"/>
      <c r="X108" s="1191"/>
      <c r="Y108" s="1217"/>
      <c r="Z108" s="1217"/>
      <c r="AA108" s="1217"/>
      <c r="AB108" s="1200"/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217"/>
      <c r="X109" s="1191"/>
      <c r="Y109" s="1217"/>
      <c r="Z109" s="1217"/>
      <c r="AA109" s="1217"/>
      <c r="AB109" s="1200"/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414"/>
      <c r="U110" s="1190"/>
      <c r="V110" s="1190"/>
      <c r="W110" s="1217"/>
      <c r="X110" s="1191"/>
      <c r="Y110" s="1217"/>
      <c r="Z110" s="1217"/>
      <c r="AA110" s="1217"/>
      <c r="AB110" s="1200"/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414"/>
      <c r="U111" s="1190"/>
      <c r="V111" s="1190"/>
      <c r="W111" s="1217"/>
      <c r="X111" s="1191"/>
      <c r="Y111" s="1217"/>
      <c r="Z111" s="1217"/>
      <c r="AA111" s="1217"/>
      <c r="AB111" s="1200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414"/>
      <c r="U112" s="1190"/>
      <c r="V112" s="1190"/>
      <c r="W112" s="1217"/>
      <c r="X112" s="1191"/>
      <c r="Y112" s="1217"/>
      <c r="Z112" s="1217"/>
      <c r="AA112" s="1217"/>
      <c r="AB112" s="1200"/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0"/>
      <c r="Y113" s="1190"/>
      <c r="Z113" s="1190"/>
      <c r="AA113" s="1190"/>
      <c r="AB113" s="1190"/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190"/>
      <c r="X114" s="1190"/>
      <c r="Y114" s="1190"/>
      <c r="Z114" s="1190"/>
      <c r="AA114" s="1190"/>
      <c r="AB114" s="1190"/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0"/>
      <c r="Y115" s="1190"/>
      <c r="Z115" s="1190"/>
      <c r="AA115" s="1190"/>
      <c r="AB115" s="1190"/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0"/>
      <c r="Y116" s="1190"/>
      <c r="Z116" s="1190"/>
      <c r="AA116" s="1190"/>
      <c r="AB116" s="1190"/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0"/>
      <c r="Y117" s="1190"/>
      <c r="Z117" s="1190"/>
      <c r="AA117" s="1190"/>
      <c r="AB117" s="1190"/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89"/>
      <c r="S118" s="1190"/>
      <c r="T118" s="1414"/>
      <c r="U118" s="1190"/>
      <c r="V118" s="1190"/>
      <c r="W118" s="1362"/>
      <c r="X118" s="1191"/>
      <c r="Y118" s="1190"/>
      <c r="Z118" s="1190"/>
      <c r="AA118" s="1190"/>
      <c r="AB118" s="1200"/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190"/>
      <c r="U120" s="1190"/>
      <c r="V120" s="1190"/>
      <c r="W120" s="1190"/>
      <c r="X120" s="1191"/>
      <c r="Y120" s="1190"/>
      <c r="Z120" s="1190"/>
      <c r="AA120" s="1190"/>
      <c r="AB120" s="1190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190"/>
      <c r="X121" s="1191"/>
      <c r="Y121" s="1190"/>
      <c r="Z121" s="1190"/>
      <c r="AA121" s="1190"/>
      <c r="AB121" s="1190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217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190"/>
      <c r="U123" s="1190"/>
      <c r="V123" s="1190"/>
      <c r="W123" s="1362"/>
      <c r="X123" s="1191"/>
      <c r="Y123" s="1190"/>
      <c r="Z123" s="1190"/>
      <c r="AA123" s="1190"/>
      <c r="AB123" s="1200"/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90"/>
      <c r="S124" s="1190"/>
      <c r="T124" s="1217"/>
      <c r="U124" s="1190"/>
      <c r="V124" s="1224"/>
      <c r="W124" s="1293"/>
      <c r="X124" s="1191"/>
      <c r="Y124" s="1190"/>
      <c r="Z124" s="1217"/>
      <c r="AA124" s="1217"/>
      <c r="AB124" s="1218"/>
      <c r="AC124" s="1217"/>
      <c r="AD124" s="1326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17"/>
      <c r="S125" s="1217"/>
      <c r="T125" s="1217"/>
      <c r="U125" s="1294"/>
      <c r="V125" s="1224"/>
      <c r="W125" s="1293"/>
      <c r="X125" s="1191"/>
      <c r="Y125" s="1294"/>
      <c r="Z125" s="1294"/>
      <c r="AA125" s="1294"/>
      <c r="AB125" s="1294"/>
      <c r="AC125" s="1217"/>
      <c r="AD125" s="1326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17"/>
      <c r="S126" s="1217"/>
      <c r="T126" s="1217"/>
      <c r="U126" s="1294"/>
      <c r="V126" s="1224"/>
      <c r="W126" s="1293"/>
      <c r="X126" s="1191"/>
      <c r="Y126" s="1294"/>
      <c r="Z126" s="1294"/>
      <c r="AA126" s="1294"/>
      <c r="AB126" s="1294"/>
      <c r="AC126" s="1270"/>
      <c r="AD126" s="1293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20"/>
      <c r="S127" s="1217"/>
      <c r="T127" s="1217"/>
      <c r="U127" s="1294"/>
      <c r="V127" s="1294"/>
      <c r="W127" s="1294"/>
      <c r="X127" s="1295"/>
      <c r="Y127" s="1294"/>
      <c r="Z127" s="1294"/>
      <c r="AA127" s="1294"/>
      <c r="AB127" s="1294"/>
      <c r="AC127" s="1270"/>
      <c r="AD127" s="1293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20"/>
      <c r="S128" s="1217"/>
      <c r="T128" s="1217"/>
      <c r="U128" s="1294"/>
      <c r="V128" s="1294"/>
      <c r="W128" s="1294"/>
      <c r="X128" s="1295"/>
      <c r="Y128" s="1294"/>
      <c r="Z128" s="1293"/>
      <c r="AA128" s="1293"/>
      <c r="AB128" s="1352"/>
      <c r="AC128" s="1270"/>
      <c r="AD128" s="1293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20"/>
      <c r="S129" s="1217"/>
      <c r="T129" s="1217"/>
      <c r="U129" s="1294"/>
      <c r="V129" s="1294"/>
      <c r="W129" s="1293"/>
      <c r="X129" s="1191"/>
      <c r="Y129" s="1294"/>
      <c r="Z129" s="1190"/>
      <c r="AA129" s="1190"/>
      <c r="AB129" s="1200"/>
      <c r="AC129" s="1271"/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3"/>
      <c r="X130" s="1191"/>
      <c r="Y130" s="1294"/>
      <c r="Z130" s="1190"/>
      <c r="AA130" s="1190"/>
      <c r="AB130" s="1200"/>
      <c r="AC130" s="1271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17"/>
      <c r="W131" s="1294"/>
      <c r="X131" s="1191"/>
      <c r="Y131" s="1294"/>
      <c r="Z131" s="1190"/>
      <c r="AA131" s="1190"/>
      <c r="AB131" s="1200"/>
      <c r="AC131" s="1271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17"/>
      <c r="W132" s="1294"/>
      <c r="X132" s="1191"/>
      <c r="Y132" s="1294"/>
      <c r="Z132" s="1190"/>
      <c r="AA132" s="1190"/>
      <c r="AB132" s="1200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17"/>
      <c r="W133" s="1294"/>
      <c r="X133" s="1191"/>
      <c r="Y133" s="1294"/>
      <c r="Z133" s="1190"/>
      <c r="AA133" s="1190"/>
      <c r="AB133" s="1200"/>
      <c r="AC133" s="1271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220"/>
      <c r="S137" s="1217"/>
      <c r="T137" s="1217"/>
      <c r="U137" s="1294"/>
      <c r="V137" s="1217"/>
      <c r="W137" s="1294"/>
      <c r="X137" s="1191"/>
      <c r="Y137" s="1294"/>
      <c r="Z137" s="1294"/>
      <c r="AA137" s="1294"/>
      <c r="AB137" s="1294"/>
      <c r="AC137" s="1271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294"/>
      <c r="V138" s="1217"/>
      <c r="W138" s="1294"/>
      <c r="X138" s="1191"/>
      <c r="Y138" s="1294"/>
      <c r="Z138" s="1294"/>
      <c r="AA138" s="1294"/>
      <c r="AB138" s="1294"/>
      <c r="AC138" s="1271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220"/>
      <c r="S139" s="1217"/>
      <c r="T139" s="1217"/>
      <c r="U139" s="1294"/>
      <c r="V139" s="1217"/>
      <c r="W139" s="1294"/>
      <c r="X139" s="1191"/>
      <c r="Y139" s="1294"/>
      <c r="Z139" s="1190"/>
      <c r="AA139" s="1190"/>
      <c r="AB139" s="1200"/>
      <c r="AC139" s="1271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220"/>
      <c r="S140" s="1217"/>
      <c r="T140" s="1217"/>
      <c r="U140" s="1294"/>
      <c r="V140" s="1217"/>
      <c r="W140" s="1293"/>
      <c r="X140" s="1191"/>
      <c r="Y140" s="1294"/>
      <c r="Z140" s="1190"/>
      <c r="AA140" s="1190"/>
      <c r="AB140" s="1200"/>
      <c r="AC140" s="1271"/>
      <c r="AD140" s="81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20"/>
      <c r="S141" s="1217"/>
      <c r="T141" s="1217"/>
      <c r="U141" s="1294"/>
      <c r="V141" s="1217"/>
      <c r="W141" s="1293"/>
      <c r="X141" s="1191"/>
      <c r="Y141" s="1294"/>
      <c r="Z141" s="1294"/>
      <c r="AA141" s="1294"/>
      <c r="AB141" s="1294"/>
      <c r="AC141" s="1271"/>
      <c r="AD141" s="8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20"/>
      <c r="S142" s="1217"/>
      <c r="T142" s="1217"/>
      <c r="U142" s="1294"/>
      <c r="V142" s="1217"/>
      <c r="W142" s="1293"/>
      <c r="X142" s="1191"/>
      <c r="Y142" s="1294"/>
      <c r="Z142" s="1190"/>
      <c r="AA142" s="1190"/>
      <c r="AB142" s="1200"/>
      <c r="AC142" s="1271"/>
      <c r="AD142" s="81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17"/>
      <c r="W143" s="1293"/>
      <c r="X143" s="1191"/>
      <c r="Y143" s="1294"/>
      <c r="Z143" s="1294"/>
      <c r="AA143" s="1294"/>
      <c r="AB143" s="1294"/>
      <c r="AC143" s="1271"/>
      <c r="AD143" s="81"/>
    </row>
    <row r="144" spans="1:30" s="44" customFormat="1">
      <c r="R144" s="1220"/>
      <c r="S144" s="1217"/>
      <c r="T144" s="1217"/>
      <c r="U144" s="1294"/>
      <c r="V144" s="1217"/>
      <c r="W144" s="1293"/>
      <c r="X144" s="1191"/>
      <c r="Y144" s="1294"/>
      <c r="Z144" s="1294"/>
      <c r="AA144" s="1294"/>
      <c r="AB144" s="1294"/>
      <c r="AC144" s="1271"/>
      <c r="AD144" s="81"/>
    </row>
    <row r="145" spans="18:30" s="44" customFormat="1">
      <c r="R145" s="1220"/>
      <c r="S145" s="1217"/>
      <c r="T145" s="1217"/>
      <c r="U145" s="1294"/>
      <c r="V145" s="1217"/>
      <c r="W145" s="1293"/>
      <c r="X145" s="1191"/>
      <c r="Y145" s="1294"/>
      <c r="Z145" s="1294"/>
      <c r="AA145" s="1294"/>
      <c r="AB145" s="1294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 ht="15.6">
      <c r="R148" s="1220"/>
      <c r="S148" s="1217"/>
      <c r="T148" s="1217"/>
      <c r="U148" s="1217"/>
      <c r="V148" s="1217"/>
      <c r="W148" s="1293"/>
      <c r="X148" s="1296"/>
      <c r="Y148" s="1294"/>
      <c r="Z148" s="1294"/>
      <c r="AA148" s="1294"/>
      <c r="AB148" s="1099"/>
      <c r="AC148" s="1217"/>
      <c r="AD148" s="1326"/>
    </row>
    <row r="149" spans="18:30" s="44" customFormat="1">
      <c r="R149" s="1189"/>
      <c r="S149" s="1190"/>
      <c r="T149" s="1217"/>
      <c r="U149" s="1190"/>
      <c r="V149" s="1217"/>
      <c r="W149" s="1293"/>
      <c r="X149" s="1325"/>
      <c r="Y149" s="1294"/>
      <c r="Z149" s="1190"/>
      <c r="AA149" s="1190"/>
      <c r="AB149" s="1190"/>
      <c r="AC149" s="1217"/>
      <c r="AD149" s="1326"/>
    </row>
    <row r="150" spans="18:30" s="44" customFormat="1">
      <c r="R150" s="1220"/>
      <c r="S150" s="1217"/>
      <c r="T150" s="1217"/>
      <c r="U150" s="1190"/>
      <c r="V150" s="1190"/>
      <c r="W150" s="1190"/>
      <c r="X150" s="1325"/>
      <c r="Y150" s="1190"/>
      <c r="Z150" s="1190"/>
      <c r="AA150" s="1190"/>
      <c r="AB150" s="1190"/>
      <c r="AC150" s="1217"/>
      <c r="AD150" s="1326"/>
    </row>
    <row r="151" spans="18:30" s="44" customFormat="1">
      <c r="R151" s="1220"/>
      <c r="S151" s="1217"/>
      <c r="T151" s="1217"/>
      <c r="U151" s="1190"/>
      <c r="V151" s="1190"/>
      <c r="W151" s="1293"/>
      <c r="X151" s="1325"/>
      <c r="Y151" s="1294"/>
      <c r="Z151" s="1190"/>
      <c r="AA151" s="1190"/>
      <c r="AB151" s="1190"/>
      <c r="AC151" s="1217"/>
      <c r="AD151" s="1326"/>
    </row>
    <row r="152" spans="18:30" s="44" customFormat="1">
      <c r="R152" s="1190"/>
      <c r="S152" s="1190"/>
      <c r="T152" s="1217"/>
      <c r="U152" s="1293"/>
      <c r="V152" s="1190"/>
      <c r="W152" s="1293"/>
      <c r="X152" s="1191"/>
      <c r="Y152" s="1294"/>
      <c r="Z152" s="1190"/>
      <c r="AA152" s="1190"/>
      <c r="AB152" s="1190"/>
      <c r="AC152" s="1217"/>
      <c r="AD152" s="1326"/>
    </row>
    <row r="153" spans="18:30" s="44" customFormat="1">
      <c r="R153" s="1190"/>
      <c r="S153" s="1190"/>
      <c r="T153" s="1217"/>
      <c r="U153" s="1293"/>
      <c r="V153" s="1190"/>
      <c r="W153" s="1293"/>
      <c r="X153" s="1191"/>
      <c r="Y153" s="1294"/>
      <c r="Z153" s="1190"/>
      <c r="AA153" s="1190"/>
      <c r="AB153" s="1190"/>
      <c r="AC153" s="1217"/>
      <c r="AD153" s="1326"/>
    </row>
    <row r="154" spans="18:30" s="44" customFormat="1">
      <c r="R154" s="1190"/>
      <c r="S154" s="1293"/>
      <c r="T154" s="1217"/>
      <c r="U154" s="1190"/>
      <c r="V154" s="1190"/>
      <c r="W154" s="1293"/>
      <c r="X154" s="1191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89"/>
      <c r="S156" s="1224"/>
      <c r="T156" s="1217"/>
      <c r="U156" s="1224"/>
      <c r="V156" s="1190"/>
      <c r="W156" s="1293"/>
      <c r="X156" s="1225"/>
      <c r="Y156" s="1294"/>
      <c r="Z156" s="1190"/>
      <c r="AA156" s="1190"/>
      <c r="AB156" s="1190"/>
      <c r="AC156" s="1217"/>
      <c r="AD156" s="1326"/>
    </row>
    <row r="157" spans="18:30" s="44" customFormat="1" ht="15.6">
      <c r="R157" s="1189"/>
      <c r="S157" s="1359"/>
      <c r="T157" s="1217"/>
      <c r="U157" s="1224"/>
      <c r="V157" s="1217"/>
      <c r="W157" s="1224"/>
      <c r="X157" s="1225"/>
      <c r="Y157" s="1190"/>
      <c r="Z157" s="1190"/>
      <c r="AA157" s="1190"/>
      <c r="AB157" s="1241"/>
      <c r="AC157" s="1270"/>
      <c r="AD157" s="81"/>
    </row>
    <row r="158" spans="18:30" s="44" customFormat="1" ht="15.6">
      <c r="R158" s="1190"/>
      <c r="S158" s="1190"/>
      <c r="T158" s="1293"/>
      <c r="U158" s="1293"/>
      <c r="V158" s="1190"/>
      <c r="W158" s="1293"/>
      <c r="X158" s="1191"/>
      <c r="Y158" s="1190"/>
      <c r="Z158" s="1190"/>
      <c r="AA158" s="1190"/>
      <c r="AB158" s="1241"/>
      <c r="AC158" s="1217"/>
      <c r="AD158" s="1326"/>
    </row>
    <row r="159" spans="18:30" s="44" customFormat="1" ht="15.6">
      <c r="R159" s="1189"/>
      <c r="S159" s="1190"/>
      <c r="T159" s="1293"/>
      <c r="U159" s="1293"/>
      <c r="V159" s="1190"/>
      <c r="W159" s="1293"/>
      <c r="X159" s="1191"/>
      <c r="Y159" s="1190"/>
      <c r="Z159" s="1190"/>
      <c r="AA159" s="1190"/>
      <c r="AB159" s="1241"/>
      <c r="AC159" s="1271"/>
      <c r="AD159" s="81"/>
    </row>
    <row r="160" spans="18:30" s="44" customFormat="1" ht="15.6">
      <c r="R160" s="1339"/>
      <c r="S160" s="1339"/>
      <c r="T160" s="1190"/>
      <c r="U160" s="1293"/>
      <c r="V160" s="1190"/>
      <c r="W160" s="1293"/>
      <c r="X160" s="1191"/>
      <c r="Y160" s="1190"/>
      <c r="Z160" s="1190"/>
      <c r="AA160" s="1190"/>
      <c r="AB160" s="1110"/>
      <c r="AC160" s="1271"/>
      <c r="AD160" s="81"/>
    </row>
    <row r="161" spans="18:30" s="44" customFormat="1" ht="15.6">
      <c r="R161" s="1190"/>
      <c r="S161" s="1190"/>
      <c r="T161" s="1190"/>
      <c r="U161" s="1190"/>
      <c r="V161" s="1190"/>
      <c r="W161" s="1293"/>
      <c r="X161" s="1191"/>
      <c r="Y161" s="1190"/>
      <c r="Z161" s="1190"/>
      <c r="AA161" s="1190"/>
      <c r="AB161" s="1241"/>
      <c r="AC161" s="1271"/>
      <c r="AD161" s="81"/>
    </row>
    <row r="162" spans="18:30" s="44" customFormat="1" ht="15.6">
      <c r="R162" s="1189"/>
      <c r="S162" s="1190"/>
      <c r="T162" s="1190"/>
      <c r="U162" s="1190"/>
      <c r="V162" s="1190"/>
      <c r="W162" s="1293"/>
      <c r="X162" s="1191"/>
      <c r="Y162" s="1190"/>
      <c r="Z162" s="1190"/>
      <c r="AA162" s="1190"/>
      <c r="AB162" s="1241"/>
      <c r="AC162" s="1271"/>
      <c r="AD162" s="81"/>
    </row>
    <row r="163" spans="18:30" s="44" customFormat="1" ht="15.6">
      <c r="R163" s="1353"/>
      <c r="S163" s="1339"/>
      <c r="T163" s="1190"/>
      <c r="U163" s="1190"/>
      <c r="V163" s="1190"/>
      <c r="W163" s="1293"/>
      <c r="X163" s="1191"/>
      <c r="Y163" s="1190"/>
      <c r="Z163" s="1190"/>
      <c r="AA163" s="1190"/>
      <c r="AB163" s="1241"/>
      <c r="AC163" s="1217"/>
      <c r="AD163" s="81"/>
    </row>
    <row r="164" spans="18:30" s="44" customFormat="1" ht="15.6">
      <c r="R164" s="1190"/>
      <c r="S164" s="1224"/>
      <c r="T164" s="1190"/>
      <c r="U164" s="1224"/>
      <c r="V164" s="1224"/>
      <c r="W164" s="1293"/>
      <c r="X164" s="1225"/>
      <c r="Y164" s="1190"/>
      <c r="Z164" s="1190"/>
      <c r="AA164" s="1190"/>
      <c r="AB164" s="1241"/>
      <c r="AC164" s="1217"/>
      <c r="AD164" s="1326"/>
    </row>
    <row r="165" spans="18:30" s="44" customFormat="1" ht="15.6">
      <c r="R165" s="1189"/>
      <c r="S165" s="1224"/>
      <c r="T165" s="1294"/>
      <c r="U165" s="1224"/>
      <c r="V165" s="1224"/>
      <c r="W165" s="1293"/>
      <c r="X165" s="1225"/>
      <c r="Y165" s="1190"/>
      <c r="Z165" s="1190"/>
      <c r="AA165" s="1190"/>
      <c r="AB165" s="1241"/>
      <c r="AC165" s="1271"/>
      <c r="AD165" s="81"/>
    </row>
    <row r="166" spans="18:30" s="44" customFormat="1" ht="15.6">
      <c r="R166" s="1189"/>
      <c r="S166" s="1224"/>
      <c r="T166" s="1294"/>
      <c r="U166" s="1224"/>
      <c r="V166" s="1224"/>
      <c r="W166" s="1293"/>
      <c r="X166" s="1225"/>
      <c r="Y166" s="1190"/>
      <c r="Z166" s="1190"/>
      <c r="AA166" s="1190"/>
      <c r="AB166" s="1241"/>
      <c r="AC166" s="1271"/>
      <c r="AD166" s="81"/>
    </row>
    <row r="167" spans="18:30" s="44" customFormat="1" ht="15.6">
      <c r="R167" s="1189"/>
      <c r="S167" s="1224"/>
      <c r="T167" s="1279"/>
      <c r="U167" s="1224"/>
      <c r="V167" s="1224"/>
      <c r="W167" s="1293"/>
      <c r="X167" s="1225"/>
      <c r="Y167" s="1190"/>
      <c r="Z167" s="1190"/>
      <c r="AA167" s="1190"/>
      <c r="AB167" s="1241"/>
      <c r="AC167" s="1271"/>
      <c r="AD167" s="81"/>
    </row>
    <row r="168" spans="18:30" s="44" customFormat="1" ht="15.6">
      <c r="R168" s="1190"/>
      <c r="S168" s="1190"/>
      <c r="T168" s="1217"/>
      <c r="U168" s="1190"/>
      <c r="V168" s="1224"/>
      <c r="W168" s="1293"/>
      <c r="X168" s="1191"/>
      <c r="Y168" s="1190"/>
      <c r="Z168" s="1217"/>
      <c r="AA168" s="1217"/>
      <c r="AB168" s="1218"/>
      <c r="AC168" s="1190"/>
      <c r="AD168" s="1329"/>
    </row>
    <row r="169" spans="18:30" s="44" customFormat="1">
      <c r="R169" s="1217"/>
      <c r="S169" s="1217"/>
      <c r="T169" s="1294"/>
      <c r="U169" s="1294"/>
      <c r="V169" s="1224"/>
      <c r="W169" s="1293"/>
      <c r="X169" s="1191"/>
      <c r="Y169" s="1294"/>
      <c r="Z169" s="1294"/>
      <c r="AA169" s="1294"/>
      <c r="AB169" s="1294"/>
      <c r="AC169" s="1217"/>
      <c r="AD169" s="1326"/>
    </row>
    <row r="170" spans="18:30" s="44" customFormat="1">
      <c r="R170" s="1217"/>
      <c r="S170" s="1217"/>
      <c r="T170" s="1294"/>
      <c r="U170" s="1294"/>
      <c r="V170" s="1224"/>
      <c r="W170" s="1293"/>
      <c r="X170" s="1191"/>
      <c r="Y170" s="1294"/>
      <c r="Z170" s="1294"/>
      <c r="AA170" s="1294"/>
      <c r="AB170" s="1294"/>
      <c r="AC170" s="1217"/>
      <c r="AD170" s="1326"/>
    </row>
    <row r="171" spans="18:30" s="44" customFormat="1">
      <c r="R171" s="1217"/>
      <c r="S171" s="1217"/>
      <c r="T171" s="1294"/>
      <c r="U171" s="1190"/>
      <c r="V171" s="1294"/>
      <c r="W171" s="1294"/>
      <c r="X171" s="1191"/>
      <c r="Y171" s="1294"/>
      <c r="Z171" s="1190"/>
      <c r="AA171" s="1190"/>
      <c r="AB171" s="1294"/>
      <c r="AC171" s="1217"/>
      <c r="AD171" s="1326"/>
    </row>
    <row r="172" spans="18:30" s="44" customFormat="1">
      <c r="R172" s="1217"/>
      <c r="S172" s="1217"/>
      <c r="T172" s="1294"/>
      <c r="U172" s="1190"/>
      <c r="V172" s="1294"/>
      <c r="W172" s="1294"/>
      <c r="X172" s="1191"/>
      <c r="Y172" s="1294"/>
      <c r="Z172" s="1190"/>
      <c r="AA172" s="1190"/>
      <c r="AB172" s="1294"/>
      <c r="AC172" s="1217"/>
      <c r="AD172" s="1326"/>
    </row>
    <row r="173" spans="18:30" s="44" customFormat="1">
      <c r="R173" s="1217"/>
      <c r="S173" s="1217"/>
      <c r="T173" s="1217"/>
      <c r="U173" s="1190"/>
      <c r="V173" s="1294"/>
      <c r="W173" s="1294"/>
      <c r="X173" s="1191"/>
      <c r="Y173" s="1294"/>
      <c r="Z173" s="1190"/>
      <c r="AA173" s="1190"/>
      <c r="AB173" s="1294"/>
      <c r="AC173" s="1217"/>
      <c r="AD173" s="1326"/>
    </row>
    <row r="174" spans="18:30" s="44" customFormat="1" ht="15.6">
      <c r="R174" s="1217"/>
      <c r="S174" s="1217"/>
      <c r="T174" s="1217"/>
      <c r="U174" s="1190"/>
      <c r="V174" s="1294"/>
      <c r="W174" s="1294"/>
      <c r="X174" s="1191"/>
      <c r="Y174" s="1294"/>
      <c r="Z174" s="1190"/>
      <c r="AA174" s="1190"/>
      <c r="AB174" s="1200"/>
      <c r="AC174" s="1217"/>
      <c r="AD174" s="1326"/>
    </row>
    <row r="175" spans="18:30" s="44" customFormat="1" ht="15.6">
      <c r="R175" s="1217"/>
      <c r="S175" s="1217"/>
      <c r="T175" s="1217"/>
      <c r="U175" s="1190"/>
      <c r="V175" s="1294"/>
      <c r="W175" s="1294"/>
      <c r="X175" s="1191"/>
      <c r="Y175" s="1190"/>
      <c r="Z175" s="1190"/>
      <c r="AA175" s="1190"/>
      <c r="AB175" s="1200"/>
      <c r="AC175" s="1217"/>
      <c r="AD175" s="1326"/>
    </row>
    <row r="176" spans="18:30" s="44" customFormat="1" ht="15.6">
      <c r="R176" s="1217"/>
      <c r="S176" s="1217"/>
      <c r="T176" s="1294"/>
      <c r="U176" s="1190"/>
      <c r="V176" s="1190"/>
      <c r="W176" s="1190"/>
      <c r="X176" s="1191"/>
      <c r="Y176" s="1190"/>
      <c r="Z176" s="1190"/>
      <c r="AA176" s="1190"/>
      <c r="AB176" s="1200"/>
      <c r="AC176" s="1217"/>
      <c r="AD176" s="1326"/>
    </row>
    <row r="177" spans="18:30" s="44" customFormat="1" ht="15.6">
      <c r="R177" s="1217"/>
      <c r="S177" s="1217"/>
      <c r="T177" s="1294"/>
      <c r="U177" s="1190"/>
      <c r="V177" s="1190"/>
      <c r="W177" s="1190"/>
      <c r="X177" s="1191"/>
      <c r="Y177" s="1190"/>
      <c r="Z177" s="1190"/>
      <c r="AA177" s="1190"/>
      <c r="AB177" s="1200"/>
      <c r="AC177" s="1217"/>
      <c r="AD177" s="1326"/>
    </row>
    <row r="178" spans="18:30" s="44" customFormat="1" ht="15.6">
      <c r="R178" s="1217"/>
      <c r="S178" s="1217"/>
      <c r="T178" s="1294"/>
      <c r="U178" s="1190"/>
      <c r="V178" s="1190"/>
      <c r="W178" s="1190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6">
      <c r="R179" s="1217"/>
      <c r="S179" s="1217"/>
      <c r="T179" s="1217"/>
      <c r="U179" s="1190"/>
      <c r="V179" s="1190"/>
      <c r="W179" s="1294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6">
      <c r="R180" s="1217"/>
      <c r="S180" s="1217"/>
      <c r="T180" s="1217"/>
      <c r="U180" s="1190"/>
      <c r="V180" s="1190"/>
      <c r="W180" s="1294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6">
      <c r="R181" s="1217"/>
      <c r="S181" s="1217"/>
      <c r="T181" s="1294"/>
      <c r="U181" s="1190"/>
      <c r="V181" s="1190"/>
      <c r="W181" s="1190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6">
      <c r="R182" s="1190"/>
      <c r="S182" s="1294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6">
      <c r="R183" s="1190"/>
      <c r="S183" s="1294"/>
      <c r="T183" s="1294"/>
      <c r="U183" s="1190"/>
      <c r="V183" s="1190"/>
      <c r="W183" s="1294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6">
      <c r="R184" s="1190"/>
      <c r="S184" s="1224"/>
      <c r="T184" s="1279"/>
      <c r="U184" s="1224"/>
      <c r="V184" s="1224"/>
      <c r="W184" s="1294"/>
      <c r="X184" s="1225"/>
      <c r="Y184" s="1190"/>
      <c r="Z184" s="1190"/>
      <c r="AA184" s="1190"/>
      <c r="AB184" s="1241"/>
      <c r="AC184" s="1217"/>
      <c r="AD184" s="1326"/>
    </row>
    <row r="185" spans="18:30" s="44" customFormat="1" ht="15.6">
      <c r="R185" s="1190"/>
      <c r="S185" s="1224"/>
      <c r="T185" s="1279"/>
      <c r="U185" s="1224"/>
      <c r="V185" s="1224"/>
      <c r="W185" s="1224"/>
      <c r="X185" s="1225"/>
      <c r="Y185" s="1190"/>
      <c r="Z185" s="1190"/>
      <c r="AA185" s="1190"/>
      <c r="AB185" s="1241"/>
      <c r="AC185" s="1217"/>
      <c r="AD185" s="1326"/>
    </row>
    <row r="186" spans="18:30" s="44" customFormat="1" ht="15.6">
      <c r="R186" s="1190"/>
      <c r="S186" s="1224"/>
      <c r="T186" s="1279"/>
      <c r="U186" s="1224"/>
      <c r="V186" s="1224"/>
      <c r="W186" s="1294"/>
      <c r="X186" s="1225"/>
      <c r="Y186" s="1190"/>
      <c r="Z186" s="1190"/>
      <c r="AA186" s="1190"/>
      <c r="AB186" s="1241"/>
      <c r="AC186" s="1217"/>
      <c r="AD186" s="1326"/>
    </row>
    <row r="187" spans="18:30" s="44" customFormat="1" ht="15.6">
      <c r="R187" s="1190"/>
      <c r="S187" s="1224"/>
      <c r="T187" s="1279"/>
      <c r="U187" s="1224"/>
      <c r="V187" s="1224"/>
      <c r="W187" s="1224"/>
      <c r="X187" s="1225"/>
      <c r="Y187" s="1190"/>
      <c r="Z187" s="1190"/>
      <c r="AA187" s="1190"/>
      <c r="AB187" s="1241"/>
      <c r="AC187" s="1217"/>
      <c r="AD187" s="1326"/>
    </row>
    <row r="188" spans="18:30" s="44" customFormat="1" ht="15.6">
      <c r="R188" s="1190"/>
      <c r="S188" s="1224"/>
      <c r="T188" s="1279"/>
      <c r="U188" s="1224"/>
      <c r="V188" s="1224"/>
      <c r="W188" s="1224"/>
      <c r="X188" s="1225"/>
      <c r="Y188" s="1190"/>
      <c r="Z188" s="1190"/>
      <c r="AA188" s="1190"/>
      <c r="AB188" s="1241"/>
      <c r="AC188" s="1217"/>
      <c r="AD188" s="1326"/>
    </row>
    <row r="189" spans="18:30" s="44" customFormat="1" ht="15.6">
      <c r="R189" s="1190"/>
      <c r="S189" s="1224"/>
      <c r="T189" s="1279"/>
      <c r="U189" s="1224"/>
      <c r="V189" s="1224"/>
      <c r="W189" s="1224"/>
      <c r="X189" s="1225"/>
      <c r="Y189" s="1190"/>
      <c r="Z189" s="1190"/>
      <c r="AA189" s="1190"/>
      <c r="AB189" s="1241"/>
      <c r="AC189" s="1217"/>
      <c r="AD189" s="1326"/>
    </row>
    <row r="190" spans="18:30" s="44" customFormat="1" ht="15.6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s="44" customFormat="1" ht="15.6">
      <c r="R191" s="1190"/>
      <c r="S191" s="1224"/>
      <c r="T191" s="1279"/>
      <c r="U191" s="1224"/>
      <c r="V191" s="1224"/>
      <c r="W191" s="1190"/>
      <c r="X191" s="1225"/>
      <c r="Y191" s="1190"/>
      <c r="Z191" s="1190"/>
      <c r="AA191" s="1190"/>
      <c r="AB191" s="1241"/>
      <c r="AC191" s="1217"/>
      <c r="AD191" s="1326"/>
    </row>
    <row r="192" spans="18:30" s="44" customFormat="1" ht="15.6">
      <c r="R192" s="1190"/>
      <c r="S192" s="1224"/>
      <c r="T192" s="1279"/>
      <c r="U192" s="1224"/>
      <c r="V192" s="1224"/>
      <c r="W192" s="1294"/>
      <c r="X192" s="1225"/>
      <c r="Y192" s="1190"/>
      <c r="Z192" s="1190"/>
      <c r="AA192" s="1190"/>
      <c r="AB192" s="1241"/>
      <c r="AC192" s="1217"/>
      <c r="AD192" s="1326"/>
    </row>
    <row r="193" spans="18:30" s="44" customFormat="1" ht="15.6">
      <c r="R193" s="1190"/>
      <c r="S193" s="1224"/>
      <c r="T193" s="1279"/>
      <c r="U193" s="1224"/>
      <c r="V193" s="1224"/>
      <c r="W193" s="1294"/>
      <c r="X193" s="1225"/>
      <c r="Y193" s="1190"/>
      <c r="Z193" s="1190"/>
      <c r="AA193" s="1190"/>
      <c r="AB193" s="1241"/>
      <c r="AC193" s="1217"/>
      <c r="AD193" s="1326"/>
    </row>
    <row r="194" spans="18:30" s="44" customFormat="1" ht="15.6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6">
      <c r="R195" s="1190"/>
      <c r="S195" s="1224"/>
      <c r="T195" s="1279"/>
      <c r="U195" s="1224"/>
      <c r="V195" s="1224"/>
      <c r="W195" s="1190"/>
      <c r="X195" s="1225"/>
      <c r="Y195" s="1190"/>
      <c r="Z195" s="1190"/>
      <c r="AA195" s="1190"/>
      <c r="AB195" s="1241"/>
      <c r="AC195" s="1217"/>
      <c r="AD195" s="1326"/>
    </row>
    <row r="196" spans="18:30" ht="15.6">
      <c r="R196" s="1190"/>
      <c r="S196" s="1224"/>
      <c r="T196" s="1279"/>
      <c r="U196" s="1224"/>
      <c r="V196" s="1224"/>
      <c r="W196" s="1190"/>
      <c r="X196" s="1225"/>
      <c r="Y196" s="1190"/>
      <c r="Z196" s="1190"/>
      <c r="AA196" s="1190"/>
      <c r="AB196" s="1241"/>
      <c r="AC196" s="1217"/>
      <c r="AD196" s="1326"/>
    </row>
    <row r="197" spans="18:30" ht="15.6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ht="15.6">
      <c r="R198" s="1190"/>
      <c r="S198" s="1224"/>
      <c r="T198" s="1279"/>
      <c r="U198" s="1224"/>
      <c r="V198" s="1224"/>
      <c r="W198" s="1294"/>
      <c r="X198" s="1225"/>
      <c r="Y198" s="1190"/>
      <c r="Z198" s="1190"/>
      <c r="AA198" s="1190"/>
      <c r="AB198" s="1241"/>
      <c r="AC198" s="1217"/>
      <c r="AD198" s="1326"/>
    </row>
    <row r="199" spans="18:30" ht="15.6">
      <c r="R199" s="1190"/>
      <c r="S199" s="1224"/>
      <c r="T199" s="1279"/>
      <c r="U199" s="1224"/>
      <c r="V199" s="1224"/>
      <c r="W199" s="1294"/>
      <c r="X199" s="1225"/>
      <c r="Y199" s="1190"/>
      <c r="Z199" s="1190"/>
      <c r="AA199" s="1190"/>
      <c r="AB199" s="1241"/>
      <c r="AC199" s="1217"/>
      <c r="AD199" s="1326"/>
    </row>
    <row r="200" spans="18:30" ht="15.6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6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ht="15.6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s="44" customFormat="1" ht="15.6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s="44" customFormat="1" ht="15.6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s="44" customFormat="1" ht="15.6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s="44" customFormat="1" ht="15.6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s="44" customFormat="1" ht="15.6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s="44" customFormat="1" ht="15.6">
      <c r="R208" s="1190"/>
      <c r="S208" s="1294"/>
      <c r="T208" s="1293"/>
      <c r="U208" s="1190"/>
      <c r="V208" s="1217"/>
      <c r="W208" s="1190"/>
      <c r="X208" s="1191"/>
      <c r="Y208" s="1190"/>
      <c r="Z208" s="1190"/>
      <c r="AA208" s="1190"/>
      <c r="AB208" s="1241"/>
      <c r="AC208" s="1217"/>
      <c r="AD208" s="1326"/>
    </row>
    <row r="209" spans="18:30" s="44" customFormat="1" ht="15.6">
      <c r="R209" s="1190"/>
      <c r="S209" s="1294"/>
      <c r="T209" s="1293"/>
      <c r="U209" s="1190"/>
      <c r="V209" s="1217"/>
      <c r="W209" s="1190"/>
      <c r="X209" s="1191"/>
      <c r="Y209" s="1190"/>
      <c r="Z209" s="1190"/>
      <c r="AA209" s="1190"/>
      <c r="AB209" s="1241"/>
      <c r="AC209" s="1217"/>
      <c r="AD209" s="1326"/>
    </row>
    <row r="210" spans="18:30" s="44" customFormat="1" ht="15.6">
      <c r="R210" s="1190"/>
      <c r="S210" s="1294"/>
      <c r="T210" s="1293"/>
      <c r="U210" s="1190"/>
      <c r="V210" s="1217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ht="15.6">
      <c r="R211" s="1190"/>
      <c r="S211" s="1190"/>
      <c r="T211" s="1293"/>
      <c r="U211" s="1190"/>
      <c r="V211" s="1190"/>
      <c r="W211" s="1190"/>
      <c r="X211" s="1191"/>
      <c r="Y211" s="1190"/>
      <c r="Z211" s="1190"/>
      <c r="AA211" s="1190"/>
      <c r="AB211" s="1200"/>
      <c r="AC211" s="1217"/>
      <c r="AD211" s="1326"/>
    </row>
    <row r="212" spans="18:30" ht="15.6">
      <c r="R212" s="1190"/>
      <c r="S212" s="1190"/>
      <c r="T212" s="1293"/>
      <c r="U212" s="1190"/>
      <c r="V212" s="1190"/>
      <c r="W212" s="1190"/>
      <c r="X212" s="1191"/>
      <c r="Y212" s="1190"/>
      <c r="Z212" s="1190"/>
      <c r="AA212" s="1190"/>
      <c r="AB212" s="1200"/>
      <c r="AC212" s="1217"/>
      <c r="AD212" s="1326"/>
    </row>
    <row r="213" spans="18:30" ht="15.6">
      <c r="R213" s="1190"/>
      <c r="S213" s="1190"/>
      <c r="T213" s="1293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6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6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6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6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6">
      <c r="R218" s="1190"/>
      <c r="S218" s="1190"/>
      <c r="T218" s="1190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6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6">
      <c r="R220" s="1190"/>
      <c r="S220" s="1190"/>
      <c r="T220" s="1293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6">
      <c r="R221" s="1190"/>
      <c r="S221" s="1190"/>
      <c r="T221" s="1293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190"/>
      <c r="AC222" s="1217"/>
      <c r="AD222" s="1326"/>
    </row>
    <row r="223" spans="18:30" ht="15.6">
      <c r="R223" s="1190"/>
      <c r="S223" s="1190"/>
      <c r="T223" s="1224"/>
      <c r="U223" s="1190"/>
      <c r="V223" s="1190"/>
      <c r="W223" s="1190"/>
      <c r="X223" s="1191"/>
      <c r="Y223" s="1190"/>
      <c r="Z223" s="1217"/>
      <c r="AA223" s="1217"/>
      <c r="AB223" s="1218"/>
      <c r="AC223" s="1190"/>
      <c r="AD223" s="1326"/>
    </row>
    <row r="224" spans="18:30" ht="15.6">
      <c r="R224" s="1190"/>
      <c r="S224" s="1190"/>
      <c r="T224" s="1190"/>
      <c r="U224" s="1190"/>
      <c r="V224" s="1190"/>
      <c r="W224" s="1190"/>
      <c r="X224" s="1191"/>
      <c r="Y224" s="1190"/>
      <c r="Z224" s="1217"/>
      <c r="AA224" s="1217"/>
      <c r="AB224" s="1218"/>
      <c r="AC224" s="1190"/>
      <c r="AD224" s="1326"/>
    </row>
    <row r="225" spans="18:30" ht="15.6">
      <c r="R225" s="1190"/>
      <c r="S225" s="1190"/>
      <c r="T225" s="1190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6">
      <c r="R226" s="1190"/>
      <c r="S226" s="1190"/>
      <c r="T226" s="1217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6">
      <c r="R227" s="1190"/>
      <c r="S227" s="1190"/>
      <c r="T227" s="1217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6">
      <c r="R228" s="1190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6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6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6">
      <c r="R231" s="81"/>
      <c r="S231" s="81"/>
      <c r="T231" s="81"/>
      <c r="U231" s="81"/>
      <c r="V231" s="1190"/>
      <c r="W231" s="1190"/>
      <c r="X231" s="191"/>
      <c r="Y231" s="81"/>
      <c r="Z231" s="1217"/>
      <c r="AA231" s="1217"/>
      <c r="AB231" s="1218"/>
      <c r="AC231" s="1190"/>
      <c r="AD231" s="1326"/>
    </row>
    <row r="232" spans="18:30" ht="15.6">
      <c r="R232" s="81"/>
      <c r="S232" s="81"/>
      <c r="T232" s="81"/>
      <c r="U232" s="81"/>
      <c r="V232" s="1190"/>
      <c r="W232" s="1190"/>
      <c r="X232" s="1325"/>
      <c r="Y232" s="1190"/>
      <c r="Z232" s="1190"/>
      <c r="AA232" s="1190"/>
      <c r="AB232" s="1218"/>
      <c r="AC232" s="1190"/>
      <c r="AD232" s="1326"/>
    </row>
    <row r="233" spans="18:30" ht="15.6">
      <c r="R233" s="1190"/>
      <c r="S233" s="1190"/>
      <c r="T233" s="1217"/>
      <c r="U233" s="1190"/>
      <c r="V233" s="1190"/>
      <c r="W233" s="1190"/>
      <c r="X233" s="1325"/>
      <c r="Y233" s="1190"/>
      <c r="Z233" s="1190"/>
      <c r="AA233" s="1190"/>
      <c r="AB233" s="1218"/>
      <c r="AC233" s="1190"/>
      <c r="AD233" s="1326"/>
    </row>
    <row r="234" spans="18:30" ht="15.6">
      <c r="R234" s="1190"/>
      <c r="S234" s="1190"/>
      <c r="T234" s="1190"/>
      <c r="U234" s="1190"/>
      <c r="V234" s="1190"/>
      <c r="W234" s="1190"/>
      <c r="X234" s="1190"/>
      <c r="Y234" s="1190"/>
      <c r="Z234" s="1190"/>
      <c r="AA234" s="1190"/>
      <c r="AB234" s="1218"/>
      <c r="AC234" s="1190"/>
      <c r="AD234" s="1326"/>
    </row>
    <row r="235" spans="18:30" ht="15.6">
      <c r="R235" s="1190"/>
      <c r="S235" s="1190"/>
      <c r="T235" s="1217"/>
      <c r="U235" s="1190"/>
      <c r="V235" s="1190"/>
      <c r="W235" s="1190"/>
      <c r="X235" s="1191"/>
      <c r="Y235" s="1190"/>
      <c r="Z235" s="1217"/>
      <c r="AA235" s="1217"/>
      <c r="AB235" s="1218"/>
      <c r="AC235" s="1190"/>
      <c r="AD235" s="1326"/>
    </row>
    <row r="236" spans="18:30" ht="15.6">
      <c r="R236" s="1330"/>
      <c r="S236" s="1331"/>
      <c r="T236" s="1332"/>
      <c r="U236" s="1331"/>
      <c r="V236" s="1331"/>
      <c r="W236" s="1331"/>
      <c r="X236" s="1333"/>
      <c r="Y236" s="1331"/>
      <c r="Z236" s="1332"/>
      <c r="AA236" s="1332"/>
      <c r="AB236" s="1334"/>
      <c r="AC236" s="1335"/>
      <c r="AD236" s="81"/>
    </row>
    <row r="237" spans="18:30" ht="15.6">
      <c r="R237" s="1189"/>
      <c r="S237" s="1190"/>
      <c r="T237" s="1217"/>
      <c r="U237" s="1190"/>
      <c r="V237" s="1190"/>
      <c r="W237" s="1190"/>
      <c r="X237" s="1191"/>
      <c r="Y237" s="1190"/>
      <c r="Z237" s="1217"/>
      <c r="AA237" s="1217"/>
      <c r="AB237" s="1218"/>
      <c r="AC237" s="1192"/>
      <c r="AD237" s="81"/>
    </row>
    <row r="238" spans="18:30" ht="15.6">
      <c r="R238" s="1189"/>
      <c r="S238" s="1190"/>
      <c r="T238" s="1217"/>
      <c r="U238" s="1190"/>
      <c r="V238" s="1190"/>
      <c r="W238" s="1190"/>
      <c r="X238" s="1191"/>
      <c r="Y238" s="1190"/>
      <c r="Z238" s="1217"/>
      <c r="AA238" s="1217"/>
      <c r="AB238" s="1218"/>
      <c r="AC238" s="1192"/>
      <c r="AD238" s="81"/>
    </row>
    <row r="239" spans="18:30" ht="15.6">
      <c r="R239" s="1189"/>
      <c r="S239" s="1190"/>
      <c r="T239" s="1190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6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6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6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6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6">
      <c r="R244" s="1189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6">
      <c r="R245" s="1189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6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6">
      <c r="R247" s="1189"/>
      <c r="S247" s="1190"/>
      <c r="T247" s="1190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6">
      <c r="R248" s="1189"/>
      <c r="S248" s="1190"/>
      <c r="T248" s="1190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6">
      <c r="R249" s="1189"/>
      <c r="S249" s="1190"/>
      <c r="T249" s="1190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6">
      <c r="R250" s="1189"/>
      <c r="S250" s="1190"/>
      <c r="T250" s="1217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6">
      <c r="R251" s="1189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6">
      <c r="R252" s="1189"/>
      <c r="S252" s="1190"/>
      <c r="T252" s="1190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6">
      <c r="R253" s="1189"/>
      <c r="S253" s="1190"/>
      <c r="T253" s="1190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6">
      <c r="R254" s="1189"/>
      <c r="S254" s="1190"/>
      <c r="T254" s="1111"/>
      <c r="U254" s="1190"/>
      <c r="V254" s="1190"/>
      <c r="W254" s="1190"/>
      <c r="X254" s="1191"/>
      <c r="Y254" s="1190"/>
      <c r="Z254" s="1106"/>
      <c r="AA254" s="1106"/>
      <c r="AB254" s="1110"/>
      <c r="AC254" s="1192"/>
      <c r="AD254" s="81"/>
    </row>
    <row r="255" spans="18:30" ht="15.6">
      <c r="R255" s="1189"/>
      <c r="S255" s="1190"/>
      <c r="T255" s="1111"/>
      <c r="U255" s="1190"/>
      <c r="V255" s="1190"/>
      <c r="W255" s="1190"/>
      <c r="X255" s="1191"/>
      <c r="Y255" s="1190"/>
      <c r="Z255" s="1190"/>
      <c r="AA255" s="1190"/>
      <c r="AB255" s="1110"/>
      <c r="AC255" s="1192"/>
      <c r="AD255" s="81"/>
    </row>
    <row r="256" spans="18:30">
      <c r="R256" s="1189"/>
      <c r="S256" s="1190"/>
      <c r="T256" s="1106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81"/>
    </row>
    <row r="257" spans="18:30">
      <c r="R257" s="1189"/>
      <c r="S257" s="1190"/>
      <c r="T257" s="1190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81"/>
    </row>
    <row r="258" spans="18:30">
      <c r="R258" s="1189"/>
      <c r="S258" s="1190"/>
      <c r="T258" s="1190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06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26"/>
    </row>
    <row r="261" spans="18:30">
      <c r="R261" s="1189"/>
      <c r="S261" s="1190"/>
      <c r="T261" s="1111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26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06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06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90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06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06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06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3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11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94"/>
      <c r="S274" s="1195"/>
      <c r="T274" s="1111"/>
      <c r="U274" s="1195"/>
      <c r="V274" s="1190"/>
      <c r="W274" s="1190"/>
      <c r="X274" s="1196"/>
      <c r="Y274" s="1195"/>
      <c r="Z274" s="1195"/>
      <c r="AA274" s="1195"/>
      <c r="AB274" s="1195"/>
      <c r="AC274" s="1192"/>
      <c r="AD274" s="26"/>
    </row>
    <row r="275" spans="18:30">
      <c r="R275" s="1194"/>
      <c r="S275" s="1195"/>
      <c r="T275" s="1111"/>
      <c r="U275" s="1195"/>
      <c r="V275" s="1190"/>
      <c r="W275" s="1190"/>
      <c r="X275" s="1196"/>
      <c r="Y275" s="1195"/>
      <c r="Z275" s="1195"/>
      <c r="AA275" s="1195"/>
      <c r="AB275" s="1195"/>
      <c r="AC275" s="1192"/>
      <c r="AD275" s="26"/>
    </row>
    <row r="276" spans="18:30">
      <c r="R276" s="1189"/>
      <c r="S276" s="1190"/>
      <c r="T276" s="1111"/>
      <c r="U276" s="1190"/>
      <c r="V276" s="1190"/>
      <c r="W276" s="1190"/>
      <c r="X276" s="1191"/>
      <c r="Y276" s="1195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5"/>
      <c r="Z277" s="1190"/>
      <c r="AA277" s="1190"/>
      <c r="AB277" s="1190"/>
      <c r="AC277" s="1192"/>
      <c r="AD277" s="26"/>
    </row>
    <row r="278" spans="18:30">
      <c r="R278" s="1194"/>
      <c r="S278" s="1195"/>
      <c r="T278" s="1111"/>
      <c r="U278" s="1195"/>
      <c r="V278" s="1195"/>
      <c r="W278" s="1190"/>
      <c r="X278" s="1196"/>
      <c r="Y278" s="1195"/>
      <c r="Z278" s="1195"/>
      <c r="AA278" s="1195"/>
      <c r="AB278" s="1190"/>
      <c r="AC278" s="1192"/>
      <c r="AD278" s="26"/>
    </row>
    <row r="279" spans="18:30">
      <c r="R279" s="1194"/>
      <c r="S279" s="1195"/>
      <c r="T279" s="1106"/>
      <c r="U279" s="1195"/>
      <c r="V279" s="1195"/>
      <c r="W279" s="1195"/>
      <c r="X279" s="1196"/>
      <c r="Y279" s="1195"/>
      <c r="Z279" s="1195"/>
      <c r="AA279" s="1195"/>
      <c r="AB279" s="1195"/>
      <c r="AC279" s="1197"/>
      <c r="AD279" s="26"/>
    </row>
    <row r="280" spans="18:30">
      <c r="R280" s="1189"/>
      <c r="S280" s="1190"/>
      <c r="T280" s="1190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90"/>
      <c r="U281" s="1190"/>
      <c r="V281" s="1195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90"/>
      <c r="U282" s="1190"/>
      <c r="V282" s="1195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90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5"/>
      <c r="W285" s="1190"/>
      <c r="X285" s="1191"/>
      <c r="Y285" s="1190"/>
      <c r="Z285" s="1190"/>
      <c r="AA285" s="1190"/>
      <c r="AB285" s="1190"/>
      <c r="AC285" s="1192"/>
      <c r="AD285" s="81"/>
    </row>
    <row r="286" spans="18:30">
      <c r="R286" s="1189"/>
      <c r="S286" s="1190"/>
      <c r="T286" s="1190"/>
      <c r="U286" s="1190"/>
      <c r="V286" s="1195"/>
      <c r="W286" s="1190"/>
      <c r="X286" s="1191"/>
      <c r="Y286" s="1190"/>
      <c r="Z286" s="1190"/>
      <c r="AA286" s="1190"/>
      <c r="AB286" s="1190"/>
      <c r="AC286" s="1192"/>
      <c r="AD286" s="203"/>
    </row>
    <row r="287" spans="18:30">
      <c r="R287" s="1194"/>
      <c r="S287" s="1195"/>
      <c r="T287" s="1195"/>
      <c r="U287" s="1195"/>
      <c r="V287" s="1195"/>
      <c r="W287" s="1195"/>
      <c r="X287" s="1196"/>
      <c r="Y287" s="1195"/>
      <c r="Z287" s="1195"/>
      <c r="AA287" s="1195"/>
      <c r="AB287" s="1195"/>
      <c r="AC287" s="1197"/>
      <c r="AD287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3" name="Range1_65_32_32_30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3" name="Range2_5_2_2_2_2_2_2_2_2_2_2_2_2_2_2_2"/>
    <protectedRange algorithmName="SHA-512" hashValue="24Yg3M703G5L8OyJWxlkx8c1Gwfrkael5W/l3TUk/Rcz5tR8QOgCx5v0Ebb/UGz+9BDKPJ5wV4hH8uuxvmtGIw==" saltValue="ZSJQ8EEnwGxsiYzxIw6K0Q==" spinCount="100000" sqref="B24:D143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_3"/>
    <protectedRange algorithmName="SHA-512" hashValue="24Yg3M703G5L8OyJWxlkx8c1Gwfrkael5W/l3TUk/Rcz5tR8QOgCx5v0Ebb/UGz+9BDKPJ5wV4hH8uuxvmtGIw==" saltValue="ZSJQ8EEnwGxsiYzxIw6K0Q==" spinCount="100000" sqref="B19:D21" name="Range1_65_32_2_2_2_2_2_2_3_3_2_2_3_3"/>
  </protectedRanges>
  <mergeCells count="22"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2:S8">
    <cfRule type="duplicateValues" dxfId="10" priority="43"/>
  </conditionalFormatting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5775-9C58-4B03-B569-C1787DB89DD4}">
  <dimension ref="A1:AG303"/>
  <sheetViews>
    <sheetView showGridLines="0" topLeftCell="G1" zoomScale="55" zoomScaleNormal="55" workbookViewId="0">
      <selection activeCell="S12" sqref="S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4" width="30.88671875" customWidth="1"/>
    <col min="15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761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762</v>
      </c>
      <c r="B2" s="733"/>
      <c r="C2" s="733"/>
      <c r="D2" s="733"/>
      <c r="E2" s="735"/>
      <c r="F2" s="1525" t="s">
        <v>763</v>
      </c>
      <c r="G2" s="1525"/>
      <c r="H2" s="1525"/>
      <c r="I2" s="742"/>
      <c r="J2" s="1525" t="s">
        <v>764</v>
      </c>
      <c r="K2" s="1525"/>
      <c r="L2" s="1525"/>
      <c r="M2" s="735"/>
      <c r="N2" s="1526"/>
      <c r="O2" s="1526"/>
      <c r="P2" s="1526"/>
      <c r="R2" s="1369" t="s">
        <v>765</v>
      </c>
      <c r="S2" s="1372">
        <v>3331566881</v>
      </c>
      <c r="T2" s="1264" t="s">
        <v>698</v>
      </c>
      <c r="U2" s="1373">
        <v>24142404</v>
      </c>
      <c r="V2" s="1373" t="s">
        <v>561</v>
      </c>
      <c r="W2" s="1373" t="s">
        <v>362</v>
      </c>
      <c r="X2" s="1374">
        <f>21153.398+3698.559</f>
        <v>24851.957000000002</v>
      </c>
      <c r="Y2" s="1369" t="s">
        <v>200</v>
      </c>
      <c r="Z2" s="1369">
        <v>1</v>
      </c>
      <c r="AA2" s="1369">
        <v>1</v>
      </c>
      <c r="AB2" s="1369" t="s">
        <v>204</v>
      </c>
      <c r="AC2" s="1217"/>
      <c r="AD2" s="81"/>
      <c r="AE2" s="1243"/>
      <c r="AF2" s="1243"/>
      <c r="AG2" s="1243"/>
    </row>
    <row r="3" spans="1:33" ht="17.399999999999999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369" t="s">
        <v>736</v>
      </c>
      <c r="S3" s="1372">
        <v>3331567792</v>
      </c>
      <c r="T3" s="1264" t="s">
        <v>256</v>
      </c>
      <c r="U3" s="1373" t="s">
        <v>256</v>
      </c>
      <c r="V3" s="1373" t="s">
        <v>256</v>
      </c>
      <c r="W3" s="1373" t="s">
        <v>256</v>
      </c>
      <c r="X3" s="1374" t="s">
        <v>256</v>
      </c>
      <c r="Y3" s="1369" t="s">
        <v>256</v>
      </c>
      <c r="Z3" s="1369" t="s">
        <v>256</v>
      </c>
      <c r="AA3" s="1369" t="s">
        <v>256</v>
      </c>
      <c r="AB3" s="1369" t="s">
        <v>256</v>
      </c>
      <c r="AC3" s="1271"/>
      <c r="AD3" s="124"/>
      <c r="AE3" s="44"/>
      <c r="AF3" s="44"/>
      <c r="AG3" s="44"/>
    </row>
    <row r="4" spans="1:33" ht="42.7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744</v>
      </c>
      <c r="S4" s="1372">
        <v>3331567791</v>
      </c>
      <c r="T4" s="1264" t="s">
        <v>459</v>
      </c>
      <c r="U4" s="1373">
        <v>24142405</v>
      </c>
      <c r="V4" s="1373" t="s">
        <v>224</v>
      </c>
      <c r="W4" s="1373" t="s">
        <v>344</v>
      </c>
      <c r="X4" s="1374">
        <f>3505.91+4687.709+19412.908</f>
        <v>27606.526999999998</v>
      </c>
      <c r="Y4" s="1369" t="s">
        <v>426</v>
      </c>
      <c r="Z4" s="1369">
        <v>1</v>
      </c>
      <c r="AA4" s="1369">
        <v>1</v>
      </c>
      <c r="AB4" s="1369" t="s">
        <v>207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SUMPRODUCT(--ISNUMBER(MATCH(TRIM(W1:W399), {"JABODETABEK","JAWA TENGAH","JAWA TIMUR","LUAR PULAU"}, 0)), --(AC1:AC399=""))</f>
        <v>35</v>
      </c>
      <c r="C5" s="1303" cm="1">
        <f t="array" ref="C5">SUMPRODUCT(--(LOWER(TRIM(AB1:AB425))="masuk"), --(ISNUMBER(MATCH(TRIM(W1:W425), {"JABODETABEK","JAWA TENGAH","JAWA TIMUR","LUAR PULAU"}, 0))), --(LOWER(AC1:AC425)&lt;&gt;"add"))</f>
        <v>35</v>
      </c>
      <c r="D5" s="1304">
        <f>C5+-B5</f>
        <v>0</v>
      </c>
      <c r="E5" s="734"/>
      <c r="F5" s="1306" cm="1">
        <f t="array" ref="F5">SUMPRODUCT(--(LOWER(AC1:AC425)="add"), --(ISNUMBER(MATCH(W1:W425, {"JABODETABEK","JAWA TENGAH","JAWA TIMUR","LUAR PULAU"}, 0))))</f>
        <v>1</v>
      </c>
      <c r="G5" s="1303" cm="1">
        <f t="array" ref="G5">SUMPRODUCT(--(LOWER(AB1:AB425)="masuk"), --(LOWER(AC1:AC425)="add"))</f>
        <v>1</v>
      </c>
      <c r="H5" s="1304">
        <f>G5+-F5</f>
        <v>0</v>
      </c>
      <c r="I5" s="734"/>
      <c r="J5" s="1306" cm="1">
        <f t="array" ref="J5">SUMPRODUCT(--(ISNUMBER(SEARCH("next day",LOWER(W1:W425)))+ISNUMBER(SEARCH("nextday",LOWER(W1:W425)))&gt; 0))</f>
        <v>32</v>
      </c>
      <c r="K5" s="1303" cm="1">
        <f t="array" ref="K5">SUMPRODUCT(--(LOWER(AB1:AB425)="masuk"), --ISNUMBER(SEARCH("next day", LOWER(W1:W425))))</f>
        <v>8</v>
      </c>
      <c r="L5" s="1304">
        <f>K5+-J5</f>
        <v>-24</v>
      </c>
      <c r="M5" s="734"/>
      <c r="N5" s="1306">
        <f>B5+F5+J5</f>
        <v>68</v>
      </c>
      <c r="O5" s="1303">
        <f>C5+G5+K5</f>
        <v>44</v>
      </c>
      <c r="P5" s="1304">
        <f>D5+H5+L5</f>
        <v>-24</v>
      </c>
      <c r="R5" s="1369" t="s">
        <v>744</v>
      </c>
      <c r="S5" s="1372">
        <v>3331567793</v>
      </c>
      <c r="T5" s="1369" t="s">
        <v>256</v>
      </c>
      <c r="U5" s="1373" t="s">
        <v>256</v>
      </c>
      <c r="V5" s="1373" t="s">
        <v>256</v>
      </c>
      <c r="W5" s="1373" t="s">
        <v>256</v>
      </c>
      <c r="X5" s="1374" t="s">
        <v>256</v>
      </c>
      <c r="Y5" s="1369" t="s">
        <v>256</v>
      </c>
      <c r="Z5" s="1369" t="s">
        <v>256</v>
      </c>
      <c r="AA5" s="1369" t="s">
        <v>256</v>
      </c>
      <c r="AB5" s="1369" t="s">
        <v>256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35</v>
      </c>
      <c r="C6" s="733">
        <f>SUM(C5)</f>
        <v>35</v>
      </c>
      <c r="D6" s="739">
        <f>SUM(D5)</f>
        <v>0</v>
      </c>
      <c r="E6" s="734"/>
      <c r="F6" s="733">
        <f>SUM(F5)</f>
        <v>1</v>
      </c>
      <c r="G6" s="733">
        <f>SUM(G5)</f>
        <v>1</v>
      </c>
      <c r="H6" s="739">
        <f>SUM(H5)</f>
        <v>0</v>
      </c>
      <c r="I6" s="733"/>
      <c r="J6" s="733">
        <f>SUM(J5)</f>
        <v>32</v>
      </c>
      <c r="K6" s="733">
        <f>SUM(K5)</f>
        <v>8</v>
      </c>
      <c r="L6" s="739">
        <f>SUM(L5)</f>
        <v>-24</v>
      </c>
      <c r="M6" s="733"/>
      <c r="N6" s="760">
        <f>SUM(N5:N5)</f>
        <v>68</v>
      </c>
      <c r="O6" s="760">
        <f>SUM(O5:O5)</f>
        <v>44</v>
      </c>
      <c r="P6" s="761">
        <f>SUM(P5:P5)</f>
        <v>-24</v>
      </c>
      <c r="R6" s="1369" t="s">
        <v>744</v>
      </c>
      <c r="S6" s="1372">
        <v>3331567794</v>
      </c>
      <c r="T6" s="1369" t="s">
        <v>256</v>
      </c>
      <c r="U6" s="1373" t="s">
        <v>256</v>
      </c>
      <c r="V6" s="1373" t="s">
        <v>256</v>
      </c>
      <c r="W6" s="1373" t="s">
        <v>256</v>
      </c>
      <c r="X6" s="1374" t="s">
        <v>256</v>
      </c>
      <c r="Y6" s="1369" t="s">
        <v>256</v>
      </c>
      <c r="Z6" s="1369" t="s">
        <v>256</v>
      </c>
      <c r="AA6" s="1369" t="s">
        <v>256</v>
      </c>
      <c r="AB6" s="1369" t="s">
        <v>256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736</v>
      </c>
      <c r="S7" s="1372">
        <v>3331567812</v>
      </c>
      <c r="T7" s="1264" t="s">
        <v>459</v>
      </c>
      <c r="U7" s="1373">
        <v>24142411</v>
      </c>
      <c r="V7" s="1373" t="s">
        <v>224</v>
      </c>
      <c r="W7" s="1373" t="s">
        <v>344</v>
      </c>
      <c r="X7" s="1374">
        <v>28578.66</v>
      </c>
      <c r="Y7" s="1369" t="s">
        <v>426</v>
      </c>
      <c r="Z7" s="1369">
        <v>1</v>
      </c>
      <c r="AA7" s="1369">
        <v>1</v>
      </c>
      <c r="AB7" s="1369" t="s">
        <v>204</v>
      </c>
      <c r="AC7" s="1217"/>
      <c r="AD7" s="81"/>
      <c r="AE7" s="44"/>
      <c r="AF7" s="44"/>
      <c r="AG7" s="44"/>
    </row>
    <row r="8" spans="1:33" ht="17.399999999999999">
      <c r="A8" s="763" t="str">
        <f>A1</f>
        <v>Plan Delivery 03 Nov'2025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69" t="s">
        <v>736</v>
      </c>
      <c r="S8" s="1372">
        <v>3331567813</v>
      </c>
      <c r="T8" s="1264" t="s">
        <v>459</v>
      </c>
      <c r="U8" s="1373">
        <v>24142412</v>
      </c>
      <c r="V8" s="1373" t="s">
        <v>224</v>
      </c>
      <c r="W8" s="1373" t="s">
        <v>344</v>
      </c>
      <c r="X8" s="1374">
        <v>28578.66</v>
      </c>
      <c r="Y8" s="1369" t="s">
        <v>426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">
      <c r="A9" s="763" t="str">
        <f>A2</f>
        <v>Realz update 04 Nov’25 jam 07.00</v>
      </c>
      <c r="B9" s="825"/>
      <c r="C9" s="825"/>
      <c r="D9" s="825"/>
      <c r="E9" s="734"/>
      <c r="F9" s="1525" t="str">
        <f>F2</f>
        <v>Tgl 03 Nov’25 diatas jam 15.00</v>
      </c>
      <c r="G9" s="1525"/>
      <c r="H9" s="1525"/>
      <c r="I9" s="826"/>
      <c r="J9" s="1525" t="str">
        <f>J2</f>
        <v>Tgl 03 Nov’25</v>
      </c>
      <c r="K9" s="1525"/>
      <c r="L9" s="1525"/>
      <c r="M9" s="734"/>
      <c r="N9" s="1526"/>
      <c r="O9" s="1526"/>
      <c r="P9" s="1526"/>
      <c r="R9" s="1369" t="s">
        <v>736</v>
      </c>
      <c r="S9" s="1372">
        <v>3331567814</v>
      </c>
      <c r="T9" s="1264" t="s">
        <v>459</v>
      </c>
      <c r="U9" s="1373">
        <v>24142413</v>
      </c>
      <c r="V9" s="1373" t="s">
        <v>224</v>
      </c>
      <c r="W9" s="1373" t="s">
        <v>344</v>
      </c>
      <c r="X9" s="1374">
        <v>29800.235000000001</v>
      </c>
      <c r="Y9" s="1369" t="s">
        <v>426</v>
      </c>
      <c r="Z9" s="1369">
        <v>1</v>
      </c>
      <c r="AA9" s="1369">
        <v>1</v>
      </c>
      <c r="AB9" s="1369" t="s">
        <v>207</v>
      </c>
      <c r="AC9" s="1271"/>
      <c r="AD9" s="81"/>
      <c r="AE9" s="44"/>
      <c r="AF9" s="44"/>
      <c r="AG9" s="44"/>
    </row>
    <row r="10" spans="1:33" ht="17.399999999999999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369" t="s">
        <v>736</v>
      </c>
      <c r="S10" s="1372">
        <v>3331567817</v>
      </c>
      <c r="T10" s="1264" t="s">
        <v>459</v>
      </c>
      <c r="U10" s="1373">
        <v>24142414</v>
      </c>
      <c r="V10" s="1373" t="s">
        <v>413</v>
      </c>
      <c r="W10" s="1373" t="s">
        <v>338</v>
      </c>
      <c r="X10" s="1374">
        <v>29971.255000000001</v>
      </c>
      <c r="Y10" s="1369" t="s">
        <v>426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16.5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369" t="s">
        <v>736</v>
      </c>
      <c r="S11" s="1372">
        <v>3331567818</v>
      </c>
      <c r="T11" s="1264" t="s">
        <v>441</v>
      </c>
      <c r="U11" s="1373">
        <v>24142415</v>
      </c>
      <c r="V11" s="1373" t="s">
        <v>413</v>
      </c>
      <c r="W11" s="1373" t="s">
        <v>205</v>
      </c>
      <c r="X11" s="1374">
        <v>41002.044999999998</v>
      </c>
      <c r="Y11" s="1369" t="s">
        <v>128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SUMPRODUCT(--(TRIM(LOWER(W1:W425))="jabodetabek"), --(LOWER(AC1:AC425)&lt;&gt;"add"))</f>
        <v>21</v>
      </c>
      <c r="C12" s="748" cm="1">
        <f t="array" ref="C12">SUMPRODUCT(--(LOWER(AB1:AB425)="masuk"), --(TRIM(LOWER(W1:W425))="jabodetabek"), --(LOWER(AC1:AC425)&lt;&gt;"add"))</f>
        <v>21</v>
      </c>
      <c r="D12" s="973">
        <f>C12+-B12</f>
        <v>0</v>
      </c>
      <c r="E12" s="734"/>
      <c r="F12" s="748" cm="1">
        <f t="array" ref="F12">SUMPRODUCT(--(LOWER(AC1:AC425)="add"), --(TRIM(LOWER(W1:W425))="jabodetabek"))</f>
        <v>0</v>
      </c>
      <c r="G12" s="747" cm="1">
        <f t="array" ref="G12">SUMPRODUCT(--(LOWER(AB1:AB425)="masuk"), --(LOWER(AC1:AC425)="add"), --(TRIM(LOWER(W1:W425))="jabodetabek"))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day",LOWER(W1:W425)))+ISNUMBER(SEARCH("jabodetabek nextday",LOWER(W1:W425)))&gt; 0))</f>
        <v>5</v>
      </c>
      <c r="K12" s="747" cm="1">
        <f t="array" ref="K12">SUMPRODUCT(--(LOWER(AB1:AB425)="masuk"), --(LOWER(TRIM(W1:W425))="jabodetabek next day"))</f>
        <v>5</v>
      </c>
      <c r="L12" s="740">
        <f>K12+-J12</f>
        <v>0</v>
      </c>
      <c r="M12" s="734"/>
      <c r="N12" s="748">
        <f t="shared" ref="N12:P16" si="0">B12+F12+J12</f>
        <v>26</v>
      </c>
      <c r="O12" s="747">
        <f t="shared" si="0"/>
        <v>26</v>
      </c>
      <c r="P12" s="740">
        <f t="shared" si="0"/>
        <v>0</v>
      </c>
      <c r="R12" s="1369" t="s">
        <v>736</v>
      </c>
      <c r="S12" s="1372">
        <v>3331567822</v>
      </c>
      <c r="T12" s="1264" t="s">
        <v>441</v>
      </c>
      <c r="U12" s="1373">
        <v>24142416</v>
      </c>
      <c r="V12" s="1373" t="s">
        <v>413</v>
      </c>
      <c r="W12" s="1373" t="s">
        <v>205</v>
      </c>
      <c r="X12" s="1374">
        <f>13293.407+26351.164</f>
        <v>39644.570999999996</v>
      </c>
      <c r="Y12" s="1369" t="s">
        <v>128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SUMPRODUCT(--(TRIM(LOWER(W1:W425))="jawa tengah"), --(LOWER(AC1:AC425)&lt;&gt;"add"))</f>
        <v>0</v>
      </c>
      <c r="C13" s="750" cm="1">
        <f t="array" ref="C13">SUMPRODUCT(--(LOWER(AB1:AB425)="masuk"), --(TRIM(LOWER(W1:W425))="jawa tengah"), --(LOWER(AC1:AC425)&lt;&gt;"add"))</f>
        <v>0</v>
      </c>
      <c r="D13" s="846">
        <f>C13+-B13</f>
        <v>0</v>
      </c>
      <c r="E13" s="734"/>
      <c r="F13" s="751" cm="1">
        <f t="array" ref="F13">SUMPRODUCT(--(LOWER(AC1:AC425)="add"), --(TRIM(LOWER(W1:W425))="jawa tengah"))</f>
        <v>0</v>
      </c>
      <c r="G13" s="747" cm="1">
        <f t="array" ref="G13">SUMPRODUCT(--(LOWER(AB1:AB425)="masuk"), --(LOWER(AC1:AC425)="add"), --(TRIM(LOWER(W1:W425))="jawa tengah"))</f>
        <v>0</v>
      </c>
      <c r="H13" s="740">
        <f>G13+-F13</f>
        <v>0</v>
      </c>
      <c r="I13" s="734"/>
      <c r="J13" s="748" cm="1">
        <f t="array" ref="J13">SUMPRODUCT(--((LOWER(TRIM(W1:W425))="jawa tengah next day")+(LOWER(TRIM(W1:W425))="jawa tengah nextday")))</f>
        <v>11</v>
      </c>
      <c r="K13" s="747" cm="1">
        <f t="array" ref="K13">SUMPRODUCT(--(LOWER(AB1:AB425)="masuk"), --(LOWER(TRIM(W1:W425))="jawa tengah next day"))</f>
        <v>2</v>
      </c>
      <c r="L13" s="740">
        <f>K13+-J13</f>
        <v>-9</v>
      </c>
      <c r="M13" s="734"/>
      <c r="N13" s="748">
        <f t="shared" si="0"/>
        <v>11</v>
      </c>
      <c r="O13" s="747">
        <f t="shared" si="0"/>
        <v>2</v>
      </c>
      <c r="P13" s="740">
        <f t="shared" si="0"/>
        <v>-9</v>
      </c>
      <c r="R13" s="1261" t="s">
        <v>736</v>
      </c>
      <c r="S13" s="1261">
        <v>3331567823</v>
      </c>
      <c r="T13" s="1264" t="s">
        <v>256</v>
      </c>
      <c r="U13" s="1261" t="s">
        <v>256</v>
      </c>
      <c r="V13" s="1373" t="s">
        <v>256</v>
      </c>
      <c r="W13" s="1373" t="s">
        <v>256</v>
      </c>
      <c r="X13" s="1267" t="s">
        <v>256</v>
      </c>
      <c r="Y13" s="1369" t="s">
        <v>256</v>
      </c>
      <c r="Z13" s="1369" t="s">
        <v>256</v>
      </c>
      <c r="AA13" s="1369" t="s">
        <v>256</v>
      </c>
      <c r="AB13" s="1369" t="s">
        <v>256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SUMPRODUCT(--(TRIM(LOWER(W1:W425))="jawa timur"), --(LOWER(AC1:AC425)&lt;&gt;"add"))</f>
        <v>4</v>
      </c>
      <c r="C14" s="750" cm="1">
        <f t="array" ref="C14">SUMPRODUCT(--(LOWER(AB1:AB425)="masuk"), --(TRIM(LOWER(W1:W425))="jawa timur"), --(LOWER(AC1:AC425)&lt;&gt;"add"))</f>
        <v>4</v>
      </c>
      <c r="D14" s="846">
        <f>C14+-B14</f>
        <v>0</v>
      </c>
      <c r="E14" s="734"/>
      <c r="F14" s="750" cm="1">
        <f t="array" ref="F14">SUMPRODUCT(--(LOWER(AC1:AC425)="add"), --(TRIM(LOWER(W1:W425))="jawa timur"))</f>
        <v>0</v>
      </c>
      <c r="G14" s="747" cm="1">
        <f t="array" ref="G14">SUMPRODUCT(--(LOWER(AB1:AB425)="masuk"), --(LOWER(AC1:AC425)="add"), --(TRIM(LOWER(W1:W425))="jawa timur"))</f>
        <v>0</v>
      </c>
      <c r="H14" s="740">
        <f>G14+-F14</f>
        <v>0</v>
      </c>
      <c r="I14" s="734"/>
      <c r="J14" s="748" cm="1">
        <f t="array" ref="J14">SUMPRODUCT(--((LOWER(TRIM(W1:W425))="jawa timur next day")+(LOWER(TRIM(W1:W425))="jawa timur nextday")))</f>
        <v>1</v>
      </c>
      <c r="K14" s="747" cm="1">
        <f t="array" ref="K14">SUMPRODUCT(--(LOWER(AB1:AB425)="masuk"), --(LOWER(TRIM(W1:W425))="jawa timur next day"))</f>
        <v>1</v>
      </c>
      <c r="L14" s="740">
        <f>K14+-J14</f>
        <v>0</v>
      </c>
      <c r="M14" s="734"/>
      <c r="N14" s="748">
        <f t="shared" si="0"/>
        <v>5</v>
      </c>
      <c r="O14" s="747">
        <f t="shared" si="0"/>
        <v>5</v>
      </c>
      <c r="P14" s="740">
        <f t="shared" si="0"/>
        <v>0</v>
      </c>
      <c r="R14" s="1261" t="s">
        <v>736</v>
      </c>
      <c r="S14" s="1261">
        <v>3331567850</v>
      </c>
      <c r="T14" s="1264" t="s">
        <v>458</v>
      </c>
      <c r="U14" s="1261">
        <v>24142428</v>
      </c>
      <c r="V14" s="1373" t="s">
        <v>413</v>
      </c>
      <c r="W14" s="1373" t="s">
        <v>205</v>
      </c>
      <c r="X14" s="1267">
        <v>38522.254999999997</v>
      </c>
      <c r="Y14" s="1369" t="s">
        <v>128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SUMPRODUCT(--(TRIM(LOWER(W1:W425))="luar pulau"), --(LOWER(AC1:AC425)&lt;&gt;"add"))</f>
        <v>10</v>
      </c>
      <c r="C15" s="750" cm="1">
        <f t="array" ref="C15">SUMPRODUCT(--(LOWER(AB1:AB425)="masuk"), --(TRIM(LOWER(W1:W425))="luar pulau"), --(LOWER(AC1:AC425)&lt;&gt;"add"))</f>
        <v>10</v>
      </c>
      <c r="D15" s="846">
        <f>C15+-B15</f>
        <v>0</v>
      </c>
      <c r="E15" s="734"/>
      <c r="F15" s="748" cm="1">
        <f t="array" ref="F15">SUMPRODUCT(--(LOWER(AC1:AC425)="add"), --(TRIM(LOWER(W1:W425))="luar pulau"))</f>
        <v>1</v>
      </c>
      <c r="G15" s="747" cm="1">
        <f t="array" ref="G15">SUMPRODUCT(--(LOWER(AB1:AB425)="masuk"), --(LOWER(AC1:AC425)="add"), --(TRIM(LOWER(W1:W425))="luar pulau"))</f>
        <v>1</v>
      </c>
      <c r="H15" s="740">
        <f>G15+-F15</f>
        <v>0</v>
      </c>
      <c r="I15" s="734"/>
      <c r="J15" s="748" cm="1">
        <f t="array" ref="J15">SUMPRODUCT(--((LOWER(TRIM(W1:W425))="luar pulau next day")+(LOWER(TRIM(W1:W425))="luar pulau nextday")))</f>
        <v>15</v>
      </c>
      <c r="K15" s="747" cm="1">
        <f t="array" ref="K15">SUMPRODUCT(--(LOWER(AB1:AB425)="masuk"), --(LOWER(TRIM(W1:W425))="luar pulau next day"))</f>
        <v>0</v>
      </c>
      <c r="L15" s="740">
        <f>K15+-J15</f>
        <v>-15</v>
      </c>
      <c r="M15" s="734"/>
      <c r="N15" s="748">
        <f t="shared" si="0"/>
        <v>26</v>
      </c>
      <c r="O15" s="747">
        <f t="shared" si="0"/>
        <v>11</v>
      </c>
      <c r="P15" s="740">
        <f t="shared" si="0"/>
        <v>-15</v>
      </c>
      <c r="R15" s="1261" t="s">
        <v>736</v>
      </c>
      <c r="S15" s="1261">
        <v>3331567852</v>
      </c>
      <c r="T15" s="1264" t="s">
        <v>441</v>
      </c>
      <c r="U15" s="1261">
        <v>24142427</v>
      </c>
      <c r="V15" s="1373" t="s">
        <v>413</v>
      </c>
      <c r="W15" s="1373" t="s">
        <v>205</v>
      </c>
      <c r="X15" s="1267">
        <v>39801.887000000002</v>
      </c>
      <c r="Y15" s="1369" t="s">
        <v>128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35</v>
      </c>
      <c r="C16" s="733">
        <f>SUM(C12:C15)</f>
        <v>35</v>
      </c>
      <c r="D16" s="739">
        <f>SUM(D12:D15)</f>
        <v>0</v>
      </c>
      <c r="E16" s="734"/>
      <c r="F16" s="733">
        <f>SUM(F12:F15)</f>
        <v>1</v>
      </c>
      <c r="G16" s="733">
        <f>SUM(G12:G15)</f>
        <v>1</v>
      </c>
      <c r="H16" s="739">
        <f>SUM(H12:H15)</f>
        <v>0</v>
      </c>
      <c r="I16" s="734"/>
      <c r="J16" s="733">
        <f>SUM(J12:J15)</f>
        <v>32</v>
      </c>
      <c r="K16" s="733">
        <f>SUM(K12:K15)</f>
        <v>8</v>
      </c>
      <c r="L16" s="739">
        <f>SUM(L12:L15)</f>
        <v>-24</v>
      </c>
      <c r="M16" s="734"/>
      <c r="N16" s="760">
        <f t="shared" si="0"/>
        <v>68</v>
      </c>
      <c r="O16" s="760">
        <f t="shared" si="0"/>
        <v>44</v>
      </c>
      <c r="P16" s="761">
        <f t="shared" si="0"/>
        <v>-24</v>
      </c>
      <c r="R16" s="1361" t="s">
        <v>736</v>
      </c>
      <c r="S16" s="1364">
        <v>3331567856</v>
      </c>
      <c r="T16" s="1361" t="s">
        <v>470</v>
      </c>
      <c r="U16" s="1362">
        <v>24142430</v>
      </c>
      <c r="V16" s="1362" t="s">
        <v>354</v>
      </c>
      <c r="W16" s="1362" t="s">
        <v>703</v>
      </c>
      <c r="X16" s="1363">
        <v>23266.517</v>
      </c>
      <c r="Y16" s="1293" t="s">
        <v>426</v>
      </c>
      <c r="Z16" s="1361">
        <v>1</v>
      </c>
      <c r="AA16" s="1361">
        <v>1</v>
      </c>
      <c r="AB16" s="1361" t="s">
        <v>207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1" t="s">
        <v>736</v>
      </c>
      <c r="S17" s="1364">
        <v>3331567859</v>
      </c>
      <c r="T17" s="1361" t="s">
        <v>470</v>
      </c>
      <c r="U17" s="1362">
        <v>24142431</v>
      </c>
      <c r="V17" s="1362" t="s">
        <v>354</v>
      </c>
      <c r="W17" s="1362" t="s">
        <v>703</v>
      </c>
      <c r="X17" s="1363">
        <v>23094.49</v>
      </c>
      <c r="Y17" s="1293" t="s">
        <v>426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436" t="s">
        <v>736</v>
      </c>
      <c r="S18" s="1436">
        <v>3331567861</v>
      </c>
      <c r="T18" s="1361" t="s">
        <v>470</v>
      </c>
      <c r="U18" s="1436">
        <v>24142432</v>
      </c>
      <c r="V18" s="1362" t="s">
        <v>354</v>
      </c>
      <c r="W18" s="1362" t="s">
        <v>703</v>
      </c>
      <c r="X18" s="1437">
        <f>10063.521+14365.68</f>
        <v>24429.201000000001</v>
      </c>
      <c r="Y18" s="1293" t="s">
        <v>426</v>
      </c>
      <c r="Z18" s="1361">
        <v>1</v>
      </c>
      <c r="AA18" s="1361">
        <v>1</v>
      </c>
      <c r="AB18" s="1361" t="s">
        <v>207</v>
      </c>
      <c r="AC18" s="1365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93" t="s">
        <v>736</v>
      </c>
      <c r="S19" s="1293">
        <v>3331567863</v>
      </c>
      <c r="T19" s="1294" t="s">
        <v>256</v>
      </c>
      <c r="U19" s="1293" t="s">
        <v>256</v>
      </c>
      <c r="V19" s="1190" t="s">
        <v>256</v>
      </c>
      <c r="W19" s="1362" t="s">
        <v>256</v>
      </c>
      <c r="X19" s="1295" t="s">
        <v>256</v>
      </c>
      <c r="Y19" s="1293" t="s">
        <v>256</v>
      </c>
      <c r="Z19" s="1293" t="s">
        <v>256</v>
      </c>
      <c r="AA19" s="1293" t="s">
        <v>256</v>
      </c>
      <c r="AB19" s="1361" t="s">
        <v>256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61" t="s">
        <v>736</v>
      </c>
      <c r="S20" s="1261">
        <v>3331567832</v>
      </c>
      <c r="T20" s="1264" t="s">
        <v>698</v>
      </c>
      <c r="U20" s="1261">
        <v>24142433</v>
      </c>
      <c r="V20" s="1373" t="s">
        <v>561</v>
      </c>
      <c r="W20" s="1373" t="s">
        <v>362</v>
      </c>
      <c r="X20" s="1267">
        <f>22632.988+1849.28</f>
        <v>24482.268</v>
      </c>
      <c r="Y20" s="1261" t="s">
        <v>467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SUMPRODUCT(--((LOWER(TRIM($W$2:$W$264))="ambil sendiri")+(LOWER(TRIM($W$2:$W$264))="cokot sorangan")))</f>
        <v>0</v>
      </c>
      <c r="C21" s="969" cm="1">
        <f t="array" ref="C21">SUMPRODUCT(--(LOWER(AB6:AB294)="masuk"), --((LOWER(TRIM($W$2:$W$290))="cokot sorangan") + (LOWER(TRIM(W6:W294))="ambil sendiri")))</f>
        <v>0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61" t="s">
        <v>736</v>
      </c>
      <c r="S21" s="1261">
        <v>3331567873</v>
      </c>
      <c r="T21" s="1261" t="s">
        <v>256</v>
      </c>
      <c r="U21" s="1261" t="s">
        <v>256</v>
      </c>
      <c r="V21" s="1202" t="s">
        <v>256</v>
      </c>
      <c r="W21" s="1373" t="s">
        <v>256</v>
      </c>
      <c r="X21" s="1267" t="s">
        <v>256</v>
      </c>
      <c r="Y21" s="1261" t="s">
        <v>256</v>
      </c>
      <c r="Z21" s="1261" t="s">
        <v>256</v>
      </c>
      <c r="AA21" s="1261" t="s">
        <v>256</v>
      </c>
      <c r="AB21" s="1261" t="s">
        <v>256</v>
      </c>
      <c r="AC21" s="1271"/>
      <c r="AD21" s="81"/>
    </row>
    <row r="22" spans="1:30" s="44" customFormat="1" ht="17.399999999999999"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61" t="s">
        <v>736</v>
      </c>
      <c r="S22" s="1261">
        <v>3331567829</v>
      </c>
      <c r="T22" s="1264" t="s">
        <v>27</v>
      </c>
      <c r="U22" s="1261">
        <v>24142437</v>
      </c>
      <c r="V22" s="1373" t="s">
        <v>561</v>
      </c>
      <c r="W22" s="1373" t="s">
        <v>362</v>
      </c>
      <c r="X22" s="1267">
        <f>11971.4+12658.498</f>
        <v>24629.898000000001</v>
      </c>
      <c r="Y22" s="1261" t="s">
        <v>200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7.399999999999999">
      <c r="A23" s="1021"/>
      <c r="B23" s="1021"/>
      <c r="C23" s="1021"/>
      <c r="D23" s="1021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61" t="s">
        <v>736</v>
      </c>
      <c r="S23" s="1261">
        <v>3331567880</v>
      </c>
      <c r="T23" s="1264" t="s">
        <v>256</v>
      </c>
      <c r="U23" s="1261" t="s">
        <v>256</v>
      </c>
      <c r="V23" s="1202" t="s">
        <v>256</v>
      </c>
      <c r="W23" s="1373" t="s">
        <v>256</v>
      </c>
      <c r="X23" s="1267" t="s">
        <v>256</v>
      </c>
      <c r="Y23" s="1261" t="s">
        <v>256</v>
      </c>
      <c r="Z23" s="1261" t="s">
        <v>256</v>
      </c>
      <c r="AA23" s="1261" t="s">
        <v>256</v>
      </c>
      <c r="AB23" s="1369" t="s">
        <v>256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61" t="s">
        <v>736</v>
      </c>
      <c r="S24" s="1261">
        <v>3331567868</v>
      </c>
      <c r="T24" s="1264" t="s">
        <v>27</v>
      </c>
      <c r="U24" s="1261">
        <v>24142434</v>
      </c>
      <c r="V24" s="1373" t="s">
        <v>561</v>
      </c>
      <c r="W24" s="1373" t="s">
        <v>362</v>
      </c>
      <c r="X24" s="1267">
        <v>25123.669000000002</v>
      </c>
      <c r="Y24" s="1261" t="s">
        <v>200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61" t="s">
        <v>736</v>
      </c>
      <c r="S25" s="1261">
        <v>3331567821</v>
      </c>
      <c r="T25" s="1264" t="s">
        <v>27</v>
      </c>
      <c r="U25" s="1261">
        <v>24142436</v>
      </c>
      <c r="V25" s="1373" t="s">
        <v>561</v>
      </c>
      <c r="W25" s="1373" t="s">
        <v>362</v>
      </c>
      <c r="X25" s="1267">
        <v>24772.616999999998</v>
      </c>
      <c r="Y25" s="1261" t="s">
        <v>200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61" t="s">
        <v>736</v>
      </c>
      <c r="S26" s="1261">
        <v>3331567827</v>
      </c>
      <c r="T26" s="1264" t="s">
        <v>27</v>
      </c>
      <c r="U26" s="1261">
        <v>24142438</v>
      </c>
      <c r="V26" s="1373" t="s">
        <v>561</v>
      </c>
      <c r="W26" s="1373" t="s">
        <v>362</v>
      </c>
      <c r="X26" s="1267">
        <f>22702.905+1763.519</f>
        <v>24466.423999999999</v>
      </c>
      <c r="Y26" s="1261" t="s">
        <v>200</v>
      </c>
      <c r="Z26" s="1369">
        <v>1</v>
      </c>
      <c r="AA26" s="1369">
        <v>1</v>
      </c>
      <c r="AB26" s="1369" t="s">
        <v>204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61" t="s">
        <v>736</v>
      </c>
      <c r="S27" s="1261">
        <v>3331567888</v>
      </c>
      <c r="T27" s="1261" t="s">
        <v>256</v>
      </c>
      <c r="U27" s="1261" t="s">
        <v>256</v>
      </c>
      <c r="V27" s="1202" t="s">
        <v>256</v>
      </c>
      <c r="W27" s="1373" t="s">
        <v>256</v>
      </c>
      <c r="X27" s="1267" t="s">
        <v>256</v>
      </c>
      <c r="Y27" s="1261" t="s">
        <v>256</v>
      </c>
      <c r="Z27" s="1261" t="s">
        <v>256</v>
      </c>
      <c r="AA27" s="1261" t="s">
        <v>256</v>
      </c>
      <c r="AB27" s="1369" t="s">
        <v>256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2" t="s">
        <v>736</v>
      </c>
      <c r="S28" s="1202">
        <v>3331567889</v>
      </c>
      <c r="T28" s="1202" t="s">
        <v>27</v>
      </c>
      <c r="U28" s="1202">
        <v>24142439</v>
      </c>
      <c r="V28" s="1373" t="s">
        <v>561</v>
      </c>
      <c r="W28" s="1373" t="s">
        <v>362</v>
      </c>
      <c r="X28" s="1203">
        <v>24125.641</v>
      </c>
      <c r="Y28" s="1261" t="s">
        <v>200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61" t="s">
        <v>736</v>
      </c>
      <c r="S29" s="1261">
        <v>3331567890</v>
      </c>
      <c r="T29" s="1202" t="s">
        <v>27</v>
      </c>
      <c r="U29" s="1261">
        <v>24142442</v>
      </c>
      <c r="V29" s="1373" t="s">
        <v>561</v>
      </c>
      <c r="W29" s="1373" t="s">
        <v>362</v>
      </c>
      <c r="X29" s="1267">
        <v>24082.382000000001</v>
      </c>
      <c r="Y29" s="1261" t="s">
        <v>200</v>
      </c>
      <c r="Z29" s="1369">
        <v>1</v>
      </c>
      <c r="AA29" s="1369">
        <v>1</v>
      </c>
      <c r="AB29" s="1369" t="s">
        <v>204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2" t="s">
        <v>736</v>
      </c>
      <c r="S30" s="1202">
        <v>3331567891</v>
      </c>
      <c r="T30" s="1202" t="s">
        <v>27</v>
      </c>
      <c r="U30" s="1202">
        <v>24142443</v>
      </c>
      <c r="V30" s="1373" t="s">
        <v>561</v>
      </c>
      <c r="W30" s="1373" t="s">
        <v>362</v>
      </c>
      <c r="X30" s="1267">
        <v>23173.21</v>
      </c>
      <c r="Y30" s="1261" t="s">
        <v>200</v>
      </c>
      <c r="Z30" s="1369">
        <v>1</v>
      </c>
      <c r="AA30" s="1369">
        <v>1</v>
      </c>
      <c r="AB30" s="1369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736</v>
      </c>
      <c r="S31" s="1202">
        <v>3331567892</v>
      </c>
      <c r="T31" s="1202" t="s">
        <v>27</v>
      </c>
      <c r="U31" s="1202">
        <v>24142444</v>
      </c>
      <c r="V31" s="1373" t="s">
        <v>561</v>
      </c>
      <c r="W31" s="1373" t="s">
        <v>362</v>
      </c>
      <c r="X31" s="1267">
        <v>23173.21</v>
      </c>
      <c r="Y31" s="1261" t="s">
        <v>200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61" t="s">
        <v>736</v>
      </c>
      <c r="S32" s="1261">
        <v>3331567893</v>
      </c>
      <c r="T32" s="1202" t="s">
        <v>27</v>
      </c>
      <c r="U32" s="1202">
        <v>24142445</v>
      </c>
      <c r="V32" s="1373" t="s">
        <v>561</v>
      </c>
      <c r="W32" s="1373" t="s">
        <v>362</v>
      </c>
      <c r="X32" s="1267">
        <v>24199.832999999999</v>
      </c>
      <c r="Y32" s="1261" t="s">
        <v>200</v>
      </c>
      <c r="Z32" s="1369">
        <v>1</v>
      </c>
      <c r="AA32" s="1369">
        <v>1</v>
      </c>
      <c r="AB32" s="1369" t="s">
        <v>204</v>
      </c>
      <c r="AC32" s="1271" t="s">
        <v>422</v>
      </c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2" t="s">
        <v>736</v>
      </c>
      <c r="S33" s="1202">
        <v>3331567904</v>
      </c>
      <c r="T33" s="1264" t="s">
        <v>459</v>
      </c>
      <c r="U33" s="1202">
        <v>24142446</v>
      </c>
      <c r="V33" s="1202" t="s">
        <v>226</v>
      </c>
      <c r="W33" s="1202" t="s">
        <v>344</v>
      </c>
      <c r="X33" s="1203">
        <v>29774.909</v>
      </c>
      <c r="Y33" s="1261" t="s">
        <v>426</v>
      </c>
      <c r="Z33" s="1369">
        <v>1</v>
      </c>
      <c r="AA33" s="1369">
        <v>1</v>
      </c>
      <c r="AB33" s="1369" t="s">
        <v>207</v>
      </c>
      <c r="AC33" s="1271" t="s">
        <v>422</v>
      </c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2" t="s">
        <v>736</v>
      </c>
      <c r="S34" s="1261">
        <v>3331567905</v>
      </c>
      <c r="T34" s="1264" t="s">
        <v>459</v>
      </c>
      <c r="U34" s="1202">
        <v>24142447</v>
      </c>
      <c r="V34" s="1202" t="s">
        <v>226</v>
      </c>
      <c r="W34" s="1202" t="s">
        <v>344</v>
      </c>
      <c r="X34" s="1203">
        <v>30448.601999999999</v>
      </c>
      <c r="Y34" s="1261" t="s">
        <v>426</v>
      </c>
      <c r="Z34" s="1369">
        <v>1</v>
      </c>
      <c r="AA34" s="1369">
        <v>1</v>
      </c>
      <c r="AB34" s="1369" t="s">
        <v>207</v>
      </c>
      <c r="AC34" s="1271" t="s">
        <v>422</v>
      </c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90" t="s">
        <v>736</v>
      </c>
      <c r="S35" s="1293">
        <v>3331567906</v>
      </c>
      <c r="T35" s="1294" t="s">
        <v>459</v>
      </c>
      <c r="U35" s="1190">
        <v>24142448</v>
      </c>
      <c r="V35" s="1190" t="s">
        <v>226</v>
      </c>
      <c r="W35" s="1190" t="s">
        <v>344</v>
      </c>
      <c r="X35" s="1191">
        <v>30276.576000000001</v>
      </c>
      <c r="Y35" s="1293" t="s">
        <v>426</v>
      </c>
      <c r="Z35" s="1361">
        <v>1</v>
      </c>
      <c r="AA35" s="1361">
        <v>1</v>
      </c>
      <c r="AB35" s="1361" t="s">
        <v>207</v>
      </c>
      <c r="AC35" s="1271" t="s">
        <v>422</v>
      </c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90" t="s">
        <v>736</v>
      </c>
      <c r="S36" s="1293">
        <v>3331567907</v>
      </c>
      <c r="T36" s="1294" t="s">
        <v>459</v>
      </c>
      <c r="U36" s="1190">
        <v>24142449</v>
      </c>
      <c r="V36" s="1190" t="s">
        <v>226</v>
      </c>
      <c r="W36" s="1190" t="s">
        <v>344</v>
      </c>
      <c r="X36" s="1191">
        <v>29588.472000000002</v>
      </c>
      <c r="Y36" s="1293" t="s">
        <v>426</v>
      </c>
      <c r="Z36" s="1361">
        <v>1</v>
      </c>
      <c r="AA36" s="1361">
        <v>1</v>
      </c>
      <c r="AB36" s="1361" t="s">
        <v>207</v>
      </c>
      <c r="AC36" s="1271" t="s">
        <v>422</v>
      </c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90" t="s">
        <v>736</v>
      </c>
      <c r="S37" s="1293">
        <v>3331567909</v>
      </c>
      <c r="T37" s="1294" t="s">
        <v>459</v>
      </c>
      <c r="U37" s="1190">
        <v>24142450</v>
      </c>
      <c r="V37" s="1190" t="s">
        <v>226</v>
      </c>
      <c r="W37" s="1190" t="s">
        <v>344</v>
      </c>
      <c r="X37" s="1191">
        <v>29588.472000000002</v>
      </c>
      <c r="Y37" s="1293" t="s">
        <v>426</v>
      </c>
      <c r="Z37" s="1361">
        <v>1</v>
      </c>
      <c r="AA37" s="1361">
        <v>1</v>
      </c>
      <c r="AB37" s="1361" t="s">
        <v>207</v>
      </c>
      <c r="AC37" s="1271" t="s">
        <v>422</v>
      </c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90" t="s">
        <v>736</v>
      </c>
      <c r="S38" s="1293">
        <v>3331567910</v>
      </c>
      <c r="T38" s="1294" t="s">
        <v>459</v>
      </c>
      <c r="U38" s="1190">
        <v>24142451</v>
      </c>
      <c r="V38" s="1190" t="s">
        <v>226</v>
      </c>
      <c r="W38" s="1190" t="s">
        <v>344</v>
      </c>
      <c r="X38" s="1191">
        <v>29588.472000000002</v>
      </c>
      <c r="Y38" s="1293" t="s">
        <v>426</v>
      </c>
      <c r="Z38" s="1361">
        <v>1</v>
      </c>
      <c r="AA38" s="1361">
        <v>1</v>
      </c>
      <c r="AB38" s="1361" t="s">
        <v>207</v>
      </c>
      <c r="AC38" s="1271" t="s">
        <v>422</v>
      </c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90" t="s">
        <v>736</v>
      </c>
      <c r="S39" s="1293">
        <v>3331567912</v>
      </c>
      <c r="T39" s="1294" t="s">
        <v>459</v>
      </c>
      <c r="U39" s="1190">
        <v>24142452</v>
      </c>
      <c r="V39" s="1190" t="s">
        <v>226</v>
      </c>
      <c r="W39" s="1190" t="s">
        <v>344</v>
      </c>
      <c r="X39" s="1191">
        <v>29588.472000000002</v>
      </c>
      <c r="Y39" s="1293" t="s">
        <v>426</v>
      </c>
      <c r="Z39" s="1361">
        <v>1</v>
      </c>
      <c r="AA39" s="1361">
        <v>1</v>
      </c>
      <c r="AB39" s="1361" t="s">
        <v>207</v>
      </c>
      <c r="AC39" s="1271" t="s">
        <v>422</v>
      </c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90" t="s">
        <v>736</v>
      </c>
      <c r="S40" s="1293">
        <v>3331567919</v>
      </c>
      <c r="T40" s="1217" t="s">
        <v>424</v>
      </c>
      <c r="U40" s="1190">
        <v>24142453</v>
      </c>
      <c r="V40" s="1190" t="s">
        <v>565</v>
      </c>
      <c r="W40" s="1190" t="s">
        <v>703</v>
      </c>
      <c r="X40" s="1191">
        <v>24411.243999999999</v>
      </c>
      <c r="Y40" s="1293" t="s">
        <v>426</v>
      </c>
      <c r="Z40" s="1361">
        <v>1</v>
      </c>
      <c r="AA40" s="1361">
        <v>1</v>
      </c>
      <c r="AB40" s="1361" t="s">
        <v>207</v>
      </c>
      <c r="AC40" s="1271" t="s">
        <v>422</v>
      </c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190" t="s">
        <v>736</v>
      </c>
      <c r="S41" s="1293">
        <v>3331567921</v>
      </c>
      <c r="T41" s="1217" t="s">
        <v>424</v>
      </c>
      <c r="U41" s="1190">
        <v>24142454</v>
      </c>
      <c r="V41" s="1190" t="s">
        <v>565</v>
      </c>
      <c r="W41" s="1190" t="s">
        <v>703</v>
      </c>
      <c r="X41" s="1191">
        <v>25040.164000000001</v>
      </c>
      <c r="Y41" s="1293" t="s">
        <v>426</v>
      </c>
      <c r="Z41" s="1361">
        <v>1</v>
      </c>
      <c r="AA41" s="1361">
        <v>1</v>
      </c>
      <c r="AB41" s="1361" t="s">
        <v>207</v>
      </c>
      <c r="AC41" s="1271" t="s">
        <v>422</v>
      </c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93" t="s">
        <v>736</v>
      </c>
      <c r="S42" s="1293">
        <v>3331567923</v>
      </c>
      <c r="T42" s="1217" t="s">
        <v>424</v>
      </c>
      <c r="U42" s="1293">
        <v>24142455</v>
      </c>
      <c r="V42" s="1190" t="s">
        <v>565</v>
      </c>
      <c r="W42" s="1190" t="s">
        <v>703</v>
      </c>
      <c r="X42" s="1295">
        <v>24852.334999999999</v>
      </c>
      <c r="Y42" s="1293" t="s">
        <v>426</v>
      </c>
      <c r="Z42" s="1361">
        <v>1</v>
      </c>
      <c r="AA42" s="1361">
        <v>1</v>
      </c>
      <c r="AB42" s="1361" t="s">
        <v>207</v>
      </c>
      <c r="AC42" s="1271" t="s">
        <v>422</v>
      </c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190" t="s">
        <v>691</v>
      </c>
      <c r="S43" s="1293">
        <v>3331567924</v>
      </c>
      <c r="T43" s="1217" t="s">
        <v>424</v>
      </c>
      <c r="U43" s="1190">
        <v>24142456</v>
      </c>
      <c r="V43" s="1190" t="s">
        <v>565</v>
      </c>
      <c r="W43" s="1190" t="s">
        <v>703</v>
      </c>
      <c r="X43" s="1438">
        <v>25011.674999999999</v>
      </c>
      <c r="Y43" s="1293" t="s">
        <v>426</v>
      </c>
      <c r="Z43" s="1361">
        <v>1</v>
      </c>
      <c r="AA43" s="1361">
        <v>1</v>
      </c>
      <c r="AB43" s="1361" t="s">
        <v>207</v>
      </c>
      <c r="AC43" s="1271" t="s">
        <v>422</v>
      </c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190" t="s">
        <v>691</v>
      </c>
      <c r="S44" s="1293">
        <v>3331567925</v>
      </c>
      <c r="T44" s="1217" t="s">
        <v>424</v>
      </c>
      <c r="U44" s="1190">
        <v>24142457</v>
      </c>
      <c r="V44" s="1190" t="s">
        <v>565</v>
      </c>
      <c r="W44" s="1190" t="s">
        <v>703</v>
      </c>
      <c r="X44" s="1295">
        <v>24071.064999999999</v>
      </c>
      <c r="Y44" s="1293" t="s">
        <v>426</v>
      </c>
      <c r="Z44" s="1361">
        <v>1</v>
      </c>
      <c r="AA44" s="1361">
        <v>1</v>
      </c>
      <c r="AB44" s="1361" t="s">
        <v>207</v>
      </c>
      <c r="AC44" s="1271" t="s">
        <v>422</v>
      </c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189" t="s">
        <v>736</v>
      </c>
      <c r="S45" s="1293">
        <v>3331567938</v>
      </c>
      <c r="T45" s="1217" t="s">
        <v>424</v>
      </c>
      <c r="U45" s="1190">
        <v>24142458</v>
      </c>
      <c r="V45" s="1190" t="s">
        <v>565</v>
      </c>
      <c r="W45" s="1190" t="s">
        <v>703</v>
      </c>
      <c r="X45" s="1295">
        <v>24587.286</v>
      </c>
      <c r="Y45" s="1293" t="s">
        <v>426</v>
      </c>
      <c r="Z45" s="1361">
        <v>1</v>
      </c>
      <c r="AA45" s="1361">
        <v>1</v>
      </c>
      <c r="AB45" s="1361" t="s">
        <v>207</v>
      </c>
      <c r="AC45" s="1271" t="s">
        <v>422</v>
      </c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189" t="s">
        <v>736</v>
      </c>
      <c r="S46" s="1293">
        <v>3331567942</v>
      </c>
      <c r="T46" s="1217" t="s">
        <v>424</v>
      </c>
      <c r="U46" s="1190">
        <v>24142459</v>
      </c>
      <c r="V46" s="1190" t="s">
        <v>429</v>
      </c>
      <c r="W46" s="1190" t="s">
        <v>703</v>
      </c>
      <c r="X46" s="1295">
        <v>23728.505000000001</v>
      </c>
      <c r="Y46" s="1293" t="s">
        <v>426</v>
      </c>
      <c r="Z46" s="1361">
        <v>1</v>
      </c>
      <c r="AA46" s="1361">
        <v>1</v>
      </c>
      <c r="AB46" s="1361" t="s">
        <v>207</v>
      </c>
      <c r="AC46" s="1271" t="s">
        <v>422</v>
      </c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89" t="s">
        <v>736</v>
      </c>
      <c r="S47" s="1293">
        <v>3331567945</v>
      </c>
      <c r="T47" s="1217" t="s">
        <v>424</v>
      </c>
      <c r="U47" s="1190">
        <v>24142460</v>
      </c>
      <c r="V47" s="1190" t="s">
        <v>429</v>
      </c>
      <c r="W47" s="1190" t="s">
        <v>703</v>
      </c>
      <c r="X47" s="1295">
        <v>24626.880000000001</v>
      </c>
      <c r="Y47" s="1293" t="s">
        <v>426</v>
      </c>
      <c r="Z47" s="1361">
        <v>1</v>
      </c>
      <c r="AA47" s="1361">
        <v>1</v>
      </c>
      <c r="AB47" s="1361" t="s">
        <v>207</v>
      </c>
      <c r="AC47" s="1271" t="s">
        <v>422</v>
      </c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189" t="s">
        <v>691</v>
      </c>
      <c r="S48" s="1293">
        <v>3331567946</v>
      </c>
      <c r="T48" s="1217" t="s">
        <v>424</v>
      </c>
      <c r="U48" s="1190">
        <v>24142461</v>
      </c>
      <c r="V48" s="1190" t="s">
        <v>429</v>
      </c>
      <c r="W48" s="1190" t="s">
        <v>703</v>
      </c>
      <c r="X48" s="1295">
        <v>25162.575000000001</v>
      </c>
      <c r="Y48" s="1293" t="s">
        <v>426</v>
      </c>
      <c r="Z48" s="1361">
        <v>1</v>
      </c>
      <c r="AA48" s="1361">
        <v>1</v>
      </c>
      <c r="AB48" s="1361" t="s">
        <v>207</v>
      </c>
      <c r="AC48" s="1271" t="s">
        <v>422</v>
      </c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89" t="s">
        <v>691</v>
      </c>
      <c r="S49" s="1293">
        <v>3331567949</v>
      </c>
      <c r="T49" s="1217" t="s">
        <v>424</v>
      </c>
      <c r="U49" s="1190">
        <v>24142462</v>
      </c>
      <c r="V49" s="1190" t="s">
        <v>429</v>
      </c>
      <c r="W49" s="1190" t="s">
        <v>703</v>
      </c>
      <c r="X49" s="1295">
        <v>24455.86</v>
      </c>
      <c r="Y49" s="1293" t="s">
        <v>426</v>
      </c>
      <c r="Z49" s="1361">
        <v>1</v>
      </c>
      <c r="AA49" s="1361">
        <v>1</v>
      </c>
      <c r="AB49" s="1361" t="s">
        <v>207</v>
      </c>
      <c r="AC49" s="1271" t="s">
        <v>422</v>
      </c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89" t="s">
        <v>691</v>
      </c>
      <c r="S50" s="1293">
        <v>3331567951</v>
      </c>
      <c r="T50" s="1217" t="s">
        <v>424</v>
      </c>
      <c r="U50" s="1190">
        <v>24142463</v>
      </c>
      <c r="V50" s="1190" t="s">
        <v>429</v>
      </c>
      <c r="W50" s="1190" t="s">
        <v>703</v>
      </c>
      <c r="X50" s="1295">
        <v>24755.145</v>
      </c>
      <c r="Y50" s="1293" t="s">
        <v>426</v>
      </c>
      <c r="Z50" s="1361">
        <v>1</v>
      </c>
      <c r="AA50" s="1361">
        <v>1</v>
      </c>
      <c r="AB50" s="1361" t="s">
        <v>207</v>
      </c>
      <c r="AC50" s="1271" t="s">
        <v>422</v>
      </c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89" t="s">
        <v>691</v>
      </c>
      <c r="S51" s="1293">
        <v>3331567952</v>
      </c>
      <c r="T51" s="1217" t="s">
        <v>424</v>
      </c>
      <c r="U51" s="1190">
        <v>24142464</v>
      </c>
      <c r="V51" s="1190" t="s">
        <v>429</v>
      </c>
      <c r="W51" s="1190" t="s">
        <v>703</v>
      </c>
      <c r="X51" s="1295">
        <v>24968.92</v>
      </c>
      <c r="Y51" s="1293" t="s">
        <v>426</v>
      </c>
      <c r="Z51" s="1361">
        <v>1</v>
      </c>
      <c r="AA51" s="1361">
        <v>1</v>
      </c>
      <c r="AB51" s="1361" t="s">
        <v>207</v>
      </c>
      <c r="AC51" s="1271" t="s">
        <v>422</v>
      </c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89"/>
      <c r="S52" s="1293"/>
      <c r="T52" s="1190"/>
      <c r="U52" s="1190"/>
      <c r="V52" s="1190"/>
      <c r="W52" s="1190"/>
      <c r="X52" s="1295"/>
      <c r="Y52" s="1293"/>
      <c r="Z52" s="1361"/>
      <c r="AA52" s="1361"/>
      <c r="AB52" s="1361"/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89"/>
      <c r="S53" s="1293"/>
      <c r="T53" s="1190"/>
      <c r="U53" s="1190"/>
      <c r="V53" s="1190"/>
      <c r="W53" s="1190"/>
      <c r="X53" s="1295"/>
      <c r="Y53" s="1190"/>
      <c r="Z53" s="1190"/>
      <c r="AA53" s="1190"/>
      <c r="AB53" s="1361"/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61" t="s">
        <v>765</v>
      </c>
      <c r="S54" s="1261">
        <v>3331566691</v>
      </c>
      <c r="T54" s="1202" t="s">
        <v>34</v>
      </c>
      <c r="U54" s="1261">
        <v>24142392</v>
      </c>
      <c r="V54" s="1202" t="s">
        <v>368</v>
      </c>
      <c r="W54" s="1202" t="s">
        <v>199</v>
      </c>
      <c r="X54" s="1267">
        <f>3205.739+8335.946+1539.18+9871.87</f>
        <v>22952.735000000001</v>
      </c>
      <c r="Y54" s="1202" t="s">
        <v>200</v>
      </c>
      <c r="Z54" s="1261">
        <v>1</v>
      </c>
      <c r="AA54" s="1261">
        <v>1</v>
      </c>
      <c r="AB54" s="1369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1" t="s">
        <v>765</v>
      </c>
      <c r="S55" s="1261">
        <v>3331566816</v>
      </c>
      <c r="T55" s="1202" t="s">
        <v>256</v>
      </c>
      <c r="U55" s="1209" t="s">
        <v>256</v>
      </c>
      <c r="V55" s="1209" t="s">
        <v>256</v>
      </c>
      <c r="W55" s="1209" t="s">
        <v>256</v>
      </c>
      <c r="X55" s="1267" t="s">
        <v>256</v>
      </c>
      <c r="Y55" s="1209" t="s">
        <v>256</v>
      </c>
      <c r="Z55" s="1209" t="s">
        <v>256</v>
      </c>
      <c r="AA55" s="1209" t="s">
        <v>256</v>
      </c>
      <c r="AB55" s="1209" t="s">
        <v>256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02" t="s">
        <v>452</v>
      </c>
      <c r="S56" s="1261">
        <v>3331566818</v>
      </c>
      <c r="T56" s="1202" t="s">
        <v>256</v>
      </c>
      <c r="U56" s="1209" t="s">
        <v>256</v>
      </c>
      <c r="V56" s="1209" t="s">
        <v>256</v>
      </c>
      <c r="W56" s="1209" t="s">
        <v>256</v>
      </c>
      <c r="X56" s="1203" t="s">
        <v>256</v>
      </c>
      <c r="Y56" s="1209" t="s">
        <v>256</v>
      </c>
      <c r="Z56" s="1209" t="s">
        <v>256</v>
      </c>
      <c r="AA56" s="1209" t="s">
        <v>256</v>
      </c>
      <c r="AB56" s="1209" t="s">
        <v>256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2" t="s">
        <v>736</v>
      </c>
      <c r="S57" s="1261">
        <v>3331567775</v>
      </c>
      <c r="T57" s="1202" t="s">
        <v>256</v>
      </c>
      <c r="U57" s="1209" t="s">
        <v>256</v>
      </c>
      <c r="V57" s="1209" t="s">
        <v>256</v>
      </c>
      <c r="W57" s="1209" t="s">
        <v>256</v>
      </c>
      <c r="X57" s="1203" t="s">
        <v>256</v>
      </c>
      <c r="Y57" s="1209" t="s">
        <v>256</v>
      </c>
      <c r="Z57" s="1209" t="s">
        <v>256</v>
      </c>
      <c r="AA57" s="1209" t="s">
        <v>256</v>
      </c>
      <c r="AB57" s="1209" t="s">
        <v>256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2" t="s">
        <v>736</v>
      </c>
      <c r="S58" s="1261">
        <v>3331567776</v>
      </c>
      <c r="T58" s="1202" t="s">
        <v>287</v>
      </c>
      <c r="U58" s="1202">
        <v>24142393</v>
      </c>
      <c r="V58" s="1202" t="s">
        <v>368</v>
      </c>
      <c r="W58" s="1202" t="s">
        <v>199</v>
      </c>
      <c r="X58" s="1203">
        <v>24767.891</v>
      </c>
      <c r="Y58" s="1202" t="s">
        <v>200</v>
      </c>
      <c r="Z58" s="1261">
        <v>1</v>
      </c>
      <c r="AA58" s="1261">
        <v>1</v>
      </c>
      <c r="AB58" s="1369" t="s">
        <v>204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2" t="s">
        <v>736</v>
      </c>
      <c r="S59" s="1261">
        <v>3331567777</v>
      </c>
      <c r="T59" s="1202" t="s">
        <v>11</v>
      </c>
      <c r="U59" s="1202">
        <v>24142394</v>
      </c>
      <c r="V59" s="1202" t="s">
        <v>368</v>
      </c>
      <c r="W59" s="1202" t="s">
        <v>199</v>
      </c>
      <c r="X59" s="1203">
        <v>26898.68</v>
      </c>
      <c r="Y59" s="1202" t="s">
        <v>200</v>
      </c>
      <c r="Z59" s="1261">
        <v>1</v>
      </c>
      <c r="AA59" s="1261">
        <v>1</v>
      </c>
      <c r="AB59" s="1369" t="s">
        <v>204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2" t="s">
        <v>736</v>
      </c>
      <c r="S60" s="1261">
        <v>3331567778</v>
      </c>
      <c r="T60" s="1202" t="s">
        <v>34</v>
      </c>
      <c r="U60" s="1202">
        <v>24142395</v>
      </c>
      <c r="V60" s="1202" t="s">
        <v>368</v>
      </c>
      <c r="W60" s="1202" t="s">
        <v>199</v>
      </c>
      <c r="X60" s="1203">
        <v>26884.847000000002</v>
      </c>
      <c r="Y60" s="1202" t="s">
        <v>200</v>
      </c>
      <c r="Z60" s="1261">
        <v>1</v>
      </c>
      <c r="AA60" s="1261">
        <v>1</v>
      </c>
      <c r="AB60" s="1369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61" t="s">
        <v>736</v>
      </c>
      <c r="S61" s="1261">
        <v>3331567781</v>
      </c>
      <c r="T61" s="1202" t="s">
        <v>11</v>
      </c>
      <c r="U61" s="1261">
        <v>24142396</v>
      </c>
      <c r="V61" s="1077" t="s">
        <v>676</v>
      </c>
      <c r="W61" s="1202" t="s">
        <v>199</v>
      </c>
      <c r="X61" s="1267">
        <v>22302.517</v>
      </c>
      <c r="Y61" s="1202" t="s">
        <v>200</v>
      </c>
      <c r="Z61" s="1261">
        <v>1</v>
      </c>
      <c r="AA61" s="1261">
        <v>1</v>
      </c>
      <c r="AB61" s="1369" t="s">
        <v>204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8" t="s">
        <v>736</v>
      </c>
      <c r="S62" s="1373">
        <v>3331567782</v>
      </c>
      <c r="T62" s="1369" t="s">
        <v>11</v>
      </c>
      <c r="U62" s="1373">
        <v>24142397</v>
      </c>
      <c r="V62" s="1077" t="s">
        <v>676</v>
      </c>
      <c r="W62" s="1202" t="s">
        <v>199</v>
      </c>
      <c r="X62" s="1374">
        <v>22475.045999999998</v>
      </c>
      <c r="Y62" s="1202" t="s">
        <v>200</v>
      </c>
      <c r="Z62" s="1261">
        <v>1</v>
      </c>
      <c r="AA62" s="1261">
        <v>1</v>
      </c>
      <c r="AB62" s="1369" t="s">
        <v>204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736</v>
      </c>
      <c r="S63" s="1373">
        <v>3331567779</v>
      </c>
      <c r="T63" s="1369" t="s">
        <v>287</v>
      </c>
      <c r="U63" s="1373">
        <v>24142398</v>
      </c>
      <c r="V63" s="1077" t="s">
        <v>675</v>
      </c>
      <c r="W63" s="1202" t="s">
        <v>199</v>
      </c>
      <c r="X63" s="1374">
        <v>25249.278999999999</v>
      </c>
      <c r="Y63" s="1202" t="s">
        <v>200</v>
      </c>
      <c r="Z63" s="1261">
        <v>1</v>
      </c>
      <c r="AA63" s="1261">
        <v>1</v>
      </c>
      <c r="AB63" s="1369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8" t="s">
        <v>736</v>
      </c>
      <c r="S64" s="1373">
        <v>3331567780</v>
      </c>
      <c r="T64" s="1369" t="s">
        <v>287</v>
      </c>
      <c r="U64" s="1373">
        <v>24142399</v>
      </c>
      <c r="V64" s="1077" t="s">
        <v>675</v>
      </c>
      <c r="W64" s="1202" t="s">
        <v>199</v>
      </c>
      <c r="X64" s="1374">
        <v>25260.058000000001</v>
      </c>
      <c r="Y64" s="1202" t="s">
        <v>200</v>
      </c>
      <c r="Z64" s="1261">
        <v>1</v>
      </c>
      <c r="AA64" s="1261">
        <v>1</v>
      </c>
      <c r="AB64" s="1369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8" t="s">
        <v>736</v>
      </c>
      <c r="S65" s="1373">
        <v>3331567783</v>
      </c>
      <c r="T65" s="1369" t="s">
        <v>34</v>
      </c>
      <c r="U65" s="1373">
        <v>24142400</v>
      </c>
      <c r="V65" s="1077" t="s">
        <v>676</v>
      </c>
      <c r="W65" s="1202" t="s">
        <v>199</v>
      </c>
      <c r="X65" s="1374">
        <v>22363.38</v>
      </c>
      <c r="Y65" s="1202" t="s">
        <v>200</v>
      </c>
      <c r="Z65" s="1261">
        <v>1</v>
      </c>
      <c r="AA65" s="1261">
        <v>1</v>
      </c>
      <c r="AB65" s="1369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8" t="s">
        <v>736</v>
      </c>
      <c r="S66" s="1373">
        <v>3331567784</v>
      </c>
      <c r="T66" s="1369" t="s">
        <v>137</v>
      </c>
      <c r="U66" s="1373">
        <v>24142401</v>
      </c>
      <c r="V66" s="1077" t="s">
        <v>676</v>
      </c>
      <c r="W66" s="1202" t="s">
        <v>199</v>
      </c>
      <c r="X66" s="1374">
        <v>23137.496999999999</v>
      </c>
      <c r="Y66" s="1202" t="s">
        <v>200</v>
      </c>
      <c r="Z66" s="1261">
        <v>1</v>
      </c>
      <c r="AA66" s="1261">
        <v>1</v>
      </c>
      <c r="AB66" s="1369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8" t="s">
        <v>736</v>
      </c>
      <c r="S67" s="1373">
        <v>3331567786</v>
      </c>
      <c r="T67" s="1369" t="s">
        <v>27</v>
      </c>
      <c r="U67" s="1373">
        <v>24142402</v>
      </c>
      <c r="V67" s="1227" t="s">
        <v>366</v>
      </c>
      <c r="W67" s="1373" t="s">
        <v>199</v>
      </c>
      <c r="X67" s="1374">
        <v>24991.050999999999</v>
      </c>
      <c r="Y67" s="1202" t="s">
        <v>200</v>
      </c>
      <c r="Z67" s="1261">
        <v>1</v>
      </c>
      <c r="AA67" s="1261">
        <v>1</v>
      </c>
      <c r="AB67" s="1369" t="s">
        <v>204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368" t="s">
        <v>736</v>
      </c>
      <c r="S68" s="1373">
        <v>3331567789</v>
      </c>
      <c r="T68" s="1369" t="s">
        <v>27</v>
      </c>
      <c r="U68" s="1373">
        <v>24142403</v>
      </c>
      <c r="V68" s="1227" t="s">
        <v>366</v>
      </c>
      <c r="W68" s="1373" t="s">
        <v>199</v>
      </c>
      <c r="X68" s="1374">
        <v>24991.052</v>
      </c>
      <c r="Y68" s="1202" t="s">
        <v>200</v>
      </c>
      <c r="Z68" s="1261">
        <v>1</v>
      </c>
      <c r="AA68" s="1261">
        <v>1</v>
      </c>
      <c r="AB68" s="1369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69" t="s">
        <v>736</v>
      </c>
      <c r="S69" s="1369">
        <v>3331567851</v>
      </c>
      <c r="T69" s="1202" t="s">
        <v>287</v>
      </c>
      <c r="U69" s="1369">
        <v>24142423</v>
      </c>
      <c r="V69" s="1369" t="s">
        <v>150</v>
      </c>
      <c r="W69" s="1373" t="s">
        <v>199</v>
      </c>
      <c r="X69" s="1370">
        <v>25225.45</v>
      </c>
      <c r="Y69" s="1202" t="s">
        <v>200</v>
      </c>
      <c r="Z69" s="1261">
        <v>1</v>
      </c>
      <c r="AA69" s="1261">
        <v>1</v>
      </c>
      <c r="AB69" s="1369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68" t="s">
        <v>736</v>
      </c>
      <c r="S70" s="1373">
        <v>3331567785</v>
      </c>
      <c r="T70" s="1369" t="s">
        <v>287</v>
      </c>
      <c r="U70" s="1373">
        <v>24142409</v>
      </c>
      <c r="V70" s="1227" t="s">
        <v>368</v>
      </c>
      <c r="W70" s="1373" t="s">
        <v>199</v>
      </c>
      <c r="X70" s="1374">
        <v>25883.415000000001</v>
      </c>
      <c r="Y70" s="1202" t="s">
        <v>200</v>
      </c>
      <c r="Z70" s="1261">
        <v>1</v>
      </c>
      <c r="AA70" s="1261">
        <v>1</v>
      </c>
      <c r="AB70" s="1369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368" t="s">
        <v>736</v>
      </c>
      <c r="S71" s="1373">
        <v>3331567787</v>
      </c>
      <c r="T71" s="1369" t="s">
        <v>11</v>
      </c>
      <c r="U71" s="1373">
        <v>24142410</v>
      </c>
      <c r="V71" s="1227" t="s">
        <v>368</v>
      </c>
      <c r="W71" s="1373" t="s">
        <v>199</v>
      </c>
      <c r="X71" s="1374">
        <v>25634.191999999999</v>
      </c>
      <c r="Y71" s="1202" t="s">
        <v>200</v>
      </c>
      <c r="Z71" s="1261">
        <v>1</v>
      </c>
      <c r="AA71" s="1261">
        <v>1</v>
      </c>
      <c r="AB71" s="1369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368" t="s">
        <v>736</v>
      </c>
      <c r="S72" s="1373">
        <v>3331567824</v>
      </c>
      <c r="T72" s="1202" t="s">
        <v>34</v>
      </c>
      <c r="U72" s="1373">
        <v>24142417</v>
      </c>
      <c r="V72" s="1077" t="s">
        <v>675</v>
      </c>
      <c r="W72" s="1202" t="s">
        <v>199</v>
      </c>
      <c r="X72" s="1374">
        <v>25382.469000000001</v>
      </c>
      <c r="Y72" s="1202" t="s">
        <v>200</v>
      </c>
      <c r="Z72" s="1261">
        <v>1</v>
      </c>
      <c r="AA72" s="1261">
        <v>1</v>
      </c>
      <c r="AB72" s="1369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02" t="s">
        <v>736</v>
      </c>
      <c r="S73" s="1202">
        <v>3331567825</v>
      </c>
      <c r="T73" s="1202" t="s">
        <v>287</v>
      </c>
      <c r="U73" s="1202">
        <v>24142418</v>
      </c>
      <c r="V73" s="1077" t="s">
        <v>675</v>
      </c>
      <c r="W73" s="1202" t="s">
        <v>199</v>
      </c>
      <c r="X73" s="1203">
        <v>26023.098000000002</v>
      </c>
      <c r="Y73" s="1202" t="s">
        <v>200</v>
      </c>
      <c r="Z73" s="1261">
        <v>1</v>
      </c>
      <c r="AA73" s="1261">
        <v>1</v>
      </c>
      <c r="AB73" s="1369" t="s">
        <v>204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02" t="s">
        <v>736</v>
      </c>
      <c r="S74" s="1202">
        <v>3331567828</v>
      </c>
      <c r="T74" s="1202" t="s">
        <v>27</v>
      </c>
      <c r="U74" s="1202">
        <v>24142419</v>
      </c>
      <c r="V74" s="1077" t="s">
        <v>675</v>
      </c>
      <c r="W74" s="1202" t="s">
        <v>199</v>
      </c>
      <c r="X74" s="1203">
        <v>24421.763999999999</v>
      </c>
      <c r="Y74" s="1202" t="s">
        <v>200</v>
      </c>
      <c r="Z74" s="1261">
        <v>1</v>
      </c>
      <c r="AA74" s="1261">
        <v>1</v>
      </c>
      <c r="AB74" s="1369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452</v>
      </c>
      <c r="S75" s="105">
        <v>3331567120</v>
      </c>
      <c r="T75" s="1202" t="s">
        <v>287</v>
      </c>
      <c r="U75" s="105">
        <v>24142420</v>
      </c>
      <c r="V75" s="1373" t="s">
        <v>219</v>
      </c>
      <c r="W75" s="1373" t="s">
        <v>199</v>
      </c>
      <c r="X75" s="209">
        <v>25092.149000000001</v>
      </c>
      <c r="Y75" s="1202" t="s">
        <v>200</v>
      </c>
      <c r="Z75" s="1261">
        <v>1</v>
      </c>
      <c r="AA75" s="1261">
        <v>1</v>
      </c>
      <c r="AB75" s="1369" t="s">
        <v>204</v>
      </c>
      <c r="AC75" s="1365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74" t="s">
        <v>452</v>
      </c>
      <c r="S76" s="105">
        <v>3331567118</v>
      </c>
      <c r="T76" s="1202" t="s">
        <v>34</v>
      </c>
      <c r="U76" s="105">
        <v>24142421</v>
      </c>
      <c r="V76" s="1373" t="s">
        <v>219</v>
      </c>
      <c r="W76" s="1373" t="s">
        <v>199</v>
      </c>
      <c r="X76" s="209">
        <f>23686.27+1472.234</f>
        <v>25158.504000000001</v>
      </c>
      <c r="Y76" s="1202" t="s">
        <v>200</v>
      </c>
      <c r="Z76" s="1261">
        <v>1</v>
      </c>
      <c r="AA76" s="1261">
        <v>1</v>
      </c>
      <c r="AB76" s="1369" t="s">
        <v>204</v>
      </c>
      <c r="AC76" s="1365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2" t="s">
        <v>736</v>
      </c>
      <c r="S77" s="1202">
        <v>3331567836</v>
      </c>
      <c r="T77" s="1202" t="s">
        <v>256</v>
      </c>
      <c r="U77" s="1202" t="s">
        <v>256</v>
      </c>
      <c r="V77" s="1202" t="s">
        <v>256</v>
      </c>
      <c r="W77" s="1202" t="s">
        <v>256</v>
      </c>
      <c r="X77" s="1203" t="s">
        <v>256</v>
      </c>
      <c r="Y77" s="1202" t="s">
        <v>256</v>
      </c>
      <c r="Z77" s="1202" t="s">
        <v>256</v>
      </c>
      <c r="AA77" s="1202" t="s">
        <v>256</v>
      </c>
      <c r="AB77" s="1202" t="s">
        <v>256</v>
      </c>
      <c r="AC77" s="1365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386" t="s">
        <v>736</v>
      </c>
      <c r="S78" s="1386">
        <v>3331567849</v>
      </c>
      <c r="T78" s="1202" t="s">
        <v>11</v>
      </c>
      <c r="U78" s="1386">
        <v>24142422</v>
      </c>
      <c r="V78" s="1386" t="s">
        <v>150</v>
      </c>
      <c r="W78" s="1373" t="s">
        <v>199</v>
      </c>
      <c r="X78" s="1387">
        <v>25133.537</v>
      </c>
      <c r="Y78" s="1202" t="s">
        <v>200</v>
      </c>
      <c r="Z78" s="1261">
        <v>1</v>
      </c>
      <c r="AA78" s="1261">
        <v>1</v>
      </c>
      <c r="AB78" s="1369" t="s">
        <v>204</v>
      </c>
      <c r="AC78" s="1365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431" t="s">
        <v>736</v>
      </c>
      <c r="S79" s="1378">
        <v>3331567788</v>
      </c>
      <c r="T79" s="1202" t="s">
        <v>287</v>
      </c>
      <c r="U79" s="1378">
        <v>24142424</v>
      </c>
      <c r="V79" s="1386" t="s">
        <v>368</v>
      </c>
      <c r="W79" s="1373" t="s">
        <v>340</v>
      </c>
      <c r="X79" s="1380">
        <v>25937.298999999999</v>
      </c>
      <c r="Y79" s="1202" t="s">
        <v>200</v>
      </c>
      <c r="Z79" s="1261">
        <v>1</v>
      </c>
      <c r="AA79" s="1261">
        <v>1</v>
      </c>
      <c r="AB79" s="1369" t="s">
        <v>204</v>
      </c>
      <c r="AC79" s="1217"/>
      <c r="AD79" s="1326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736</v>
      </c>
      <c r="S80" s="1202">
        <v>3331567790</v>
      </c>
      <c r="T80" s="1202" t="s">
        <v>287</v>
      </c>
      <c r="U80" s="1202">
        <v>24142425</v>
      </c>
      <c r="V80" s="1386" t="s">
        <v>368</v>
      </c>
      <c r="W80" s="1373" t="s">
        <v>340</v>
      </c>
      <c r="X80" s="1203">
        <v>26410.969000000001</v>
      </c>
      <c r="Y80" s="1202" t="s">
        <v>200</v>
      </c>
      <c r="Z80" s="1261">
        <v>1</v>
      </c>
      <c r="AA80" s="1261">
        <v>1</v>
      </c>
      <c r="AB80" s="1369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736</v>
      </c>
      <c r="S81" s="1202">
        <v>3331567811</v>
      </c>
      <c r="T81" s="1202" t="s">
        <v>11</v>
      </c>
      <c r="U81" s="1202">
        <v>24142426</v>
      </c>
      <c r="V81" s="1202" t="s">
        <v>368</v>
      </c>
      <c r="W81" s="1373" t="s">
        <v>340</v>
      </c>
      <c r="X81" s="1203">
        <v>23772.249</v>
      </c>
      <c r="Y81" s="1202" t="s">
        <v>200</v>
      </c>
      <c r="Z81" s="1261">
        <v>1</v>
      </c>
      <c r="AA81" s="1261">
        <v>1</v>
      </c>
      <c r="AB81" s="1369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736</v>
      </c>
      <c r="S82" s="1210">
        <v>3331567853</v>
      </c>
      <c r="T82" s="1202" t="s">
        <v>287</v>
      </c>
      <c r="U82" s="1202">
        <v>24142429</v>
      </c>
      <c r="V82" s="1202" t="s">
        <v>150</v>
      </c>
      <c r="W82" s="1373" t="s">
        <v>340</v>
      </c>
      <c r="X82" s="1376">
        <v>24712.39</v>
      </c>
      <c r="Y82" s="1202" t="s">
        <v>200</v>
      </c>
      <c r="Z82" s="1261">
        <v>1</v>
      </c>
      <c r="AA82" s="1261">
        <v>1</v>
      </c>
      <c r="AB82" s="1369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368" t="s">
        <v>736</v>
      </c>
      <c r="S83" s="1373">
        <v>3331567872</v>
      </c>
      <c r="T83" s="1369" t="s">
        <v>287</v>
      </c>
      <c r="U83" s="1373">
        <v>24142435</v>
      </c>
      <c r="V83" s="1227" t="s">
        <v>150</v>
      </c>
      <c r="W83" s="1373" t="s">
        <v>340</v>
      </c>
      <c r="X83" s="1374">
        <v>25225.45</v>
      </c>
      <c r="Y83" s="1202" t="s">
        <v>200</v>
      </c>
      <c r="Z83" s="1261">
        <v>1</v>
      </c>
      <c r="AA83" s="1261">
        <v>1</v>
      </c>
      <c r="AB83" s="1369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189"/>
      <c r="S84" s="1190"/>
      <c r="T84" s="1190"/>
      <c r="U84" s="1190"/>
      <c r="V84" s="1192"/>
      <c r="W84" s="1362"/>
      <c r="X84" s="1191"/>
      <c r="Y84" s="1190"/>
      <c r="Z84" s="1190"/>
      <c r="AA84" s="1190"/>
      <c r="AB84" s="1200"/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189"/>
      <c r="S85" s="1190"/>
      <c r="T85" s="1190"/>
      <c r="U85" s="1190"/>
      <c r="V85" s="1192"/>
      <c r="W85" s="1362"/>
      <c r="X85" s="1191"/>
      <c r="Y85" s="1190"/>
      <c r="Z85" s="1190"/>
      <c r="AA85" s="1190"/>
      <c r="AB85" s="1200"/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/>
      <c r="S86" s="1190"/>
      <c r="T86" s="1190"/>
      <c r="U86" s="1190"/>
      <c r="V86" s="1192"/>
      <c r="W86" s="1362"/>
      <c r="X86" s="1191"/>
      <c r="Y86" s="1190"/>
      <c r="Z86" s="1190"/>
      <c r="AA86" s="1190"/>
      <c r="AB86" s="1200"/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89"/>
      <c r="S87" s="1190"/>
      <c r="T87" s="1190"/>
      <c r="U87" s="1190"/>
      <c r="V87" s="1190"/>
      <c r="W87" s="1362"/>
      <c r="X87" s="1191"/>
      <c r="Y87" s="1190"/>
      <c r="Z87" s="1190"/>
      <c r="AA87" s="1190"/>
      <c r="AB87" s="1200"/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189"/>
      <c r="S88" s="1192"/>
      <c r="T88" s="1190"/>
      <c r="U88" s="1189"/>
      <c r="V88" s="1192"/>
      <c r="W88" s="1362"/>
      <c r="X88" s="1371"/>
      <c r="Y88" s="1190"/>
      <c r="Z88" s="1190"/>
      <c r="AA88" s="1190"/>
      <c r="AB88" s="1200"/>
      <c r="AC88" s="127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189"/>
      <c r="S89" s="1192"/>
      <c r="T89" s="1190"/>
      <c r="U89" s="1189"/>
      <c r="V89" s="1190"/>
      <c r="W89" s="1362"/>
      <c r="X89" s="1191"/>
      <c r="Y89" s="1190"/>
      <c r="Z89" s="1190"/>
      <c r="AA89" s="1190"/>
      <c r="AB89" s="1200"/>
      <c r="AC89" s="127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189"/>
      <c r="S90" s="1190"/>
      <c r="T90" s="1190"/>
      <c r="U90" s="1190"/>
      <c r="V90" s="1190"/>
      <c r="W90" s="1362"/>
      <c r="X90" s="1191"/>
      <c r="Y90" s="1190"/>
      <c r="Z90" s="1190"/>
      <c r="AA90" s="1190"/>
      <c r="AB90" s="1200"/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/>
      <c r="S91" s="1190"/>
      <c r="T91" s="1190"/>
      <c r="U91" s="1190"/>
      <c r="V91" s="1190"/>
      <c r="W91" s="1362"/>
      <c r="X91" s="1191"/>
      <c r="Y91" s="1190"/>
      <c r="Z91" s="1190"/>
      <c r="AA91" s="1190"/>
      <c r="AB91" s="1200"/>
      <c r="AC91" s="127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190"/>
      <c r="S92" s="1190"/>
      <c r="T92" s="1190"/>
      <c r="U92" s="1190"/>
      <c r="V92" s="1190"/>
      <c r="W92" s="1362"/>
      <c r="X92" s="1191"/>
      <c r="Y92" s="1190"/>
      <c r="Z92" s="1190"/>
      <c r="AA92" s="1190"/>
      <c r="AB92" s="1200"/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90"/>
      <c r="S93" s="1190"/>
      <c r="T93" s="1190"/>
      <c r="U93" s="1190"/>
      <c r="V93" s="1190"/>
      <c r="W93" s="1362"/>
      <c r="X93" s="1191"/>
      <c r="Y93" s="1190"/>
      <c r="Z93" s="1190"/>
      <c r="AA93" s="1190"/>
      <c r="AB93" s="1200"/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20"/>
      <c r="S94" s="1217"/>
      <c r="T94" s="1183"/>
      <c r="U94" s="1217"/>
      <c r="V94" s="1217"/>
      <c r="W94" s="1217"/>
      <c r="X94" s="1296"/>
      <c r="Y94" s="1217"/>
      <c r="Z94" s="1217"/>
      <c r="AA94" s="1217"/>
      <c r="AB94" s="1200"/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20"/>
      <c r="S95" s="1217"/>
      <c r="T95" s="1183"/>
      <c r="U95" s="1217"/>
      <c r="V95" s="1217"/>
      <c r="W95" s="1217"/>
      <c r="X95" s="1296"/>
      <c r="Y95" s="1217"/>
      <c r="Z95" s="1217"/>
      <c r="AA95" s="1217"/>
      <c r="AB95" s="1200"/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189"/>
      <c r="S96" s="1190"/>
      <c r="T96" s="1190"/>
      <c r="U96" s="1190"/>
      <c r="V96" s="1190"/>
      <c r="W96" s="1362"/>
      <c r="X96" s="1191"/>
      <c r="Y96" s="1190"/>
      <c r="Z96" s="1190"/>
      <c r="AA96" s="1190"/>
      <c r="AB96" s="1200"/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189"/>
      <c r="S97" s="1190"/>
      <c r="T97" s="1190"/>
      <c r="U97" s="1190"/>
      <c r="V97" s="1190"/>
      <c r="W97" s="1190"/>
      <c r="X97" s="1191"/>
      <c r="Y97" s="1190"/>
      <c r="Z97" s="1190"/>
      <c r="AA97" s="1190"/>
      <c r="AB97" s="1190"/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326"/>
      <c r="S98" s="81"/>
      <c r="T98" s="1190"/>
      <c r="U98" s="81"/>
      <c r="V98" s="1190"/>
      <c r="W98" s="1362"/>
      <c r="X98" s="191"/>
      <c r="Y98" s="1190"/>
      <c r="Z98" s="1190"/>
      <c r="AA98" s="1190"/>
      <c r="AB98" s="1200"/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326"/>
      <c r="S99" s="81"/>
      <c r="T99" s="1190"/>
      <c r="U99" s="1190"/>
      <c r="V99" s="1190"/>
      <c r="W99" s="1190"/>
      <c r="X99" s="191"/>
      <c r="Y99" s="1190"/>
      <c r="Z99" s="1190"/>
      <c r="AA99" s="1190"/>
      <c r="AB99" s="1190"/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326"/>
      <c r="S100" s="81"/>
      <c r="T100" s="1190"/>
      <c r="U100" s="1190"/>
      <c r="V100" s="1190"/>
      <c r="W100" s="1190"/>
      <c r="X100" s="191"/>
      <c r="Y100" s="1190"/>
      <c r="Z100" s="1190"/>
      <c r="AA100" s="1190"/>
      <c r="AB100" s="1190"/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326"/>
      <c r="S101" s="81"/>
      <c r="T101" s="1190"/>
      <c r="U101" s="1190"/>
      <c r="V101" s="1190"/>
      <c r="W101" s="1190"/>
      <c r="X101" s="191"/>
      <c r="Y101" s="1190"/>
      <c r="Z101" s="1190"/>
      <c r="AA101" s="1190"/>
      <c r="AB101" s="1190"/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326"/>
      <c r="S102" s="81"/>
      <c r="T102" s="1190"/>
      <c r="U102" s="1190"/>
      <c r="V102" s="1190"/>
      <c r="W102" s="1190"/>
      <c r="X102" s="191"/>
      <c r="Y102" s="1190"/>
      <c r="Z102" s="1190"/>
      <c r="AA102" s="1190"/>
      <c r="AB102" s="1190"/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326"/>
      <c r="S103" s="81"/>
      <c r="T103" s="1190"/>
      <c r="U103" s="1190"/>
      <c r="V103" s="1190"/>
      <c r="W103" s="1190"/>
      <c r="X103" s="191"/>
      <c r="Y103" s="1190"/>
      <c r="Z103" s="1190"/>
      <c r="AA103" s="1190"/>
      <c r="AB103" s="1190"/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326"/>
      <c r="S104" s="81"/>
      <c r="T104" s="1190"/>
      <c r="U104" s="1190"/>
      <c r="V104" s="1190"/>
      <c r="W104" s="1190"/>
      <c r="X104" s="191"/>
      <c r="Y104" s="1190"/>
      <c r="Z104" s="1190"/>
      <c r="AA104" s="1190"/>
      <c r="AB104" s="1190"/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326"/>
      <c r="S105" s="81"/>
      <c r="T105" s="1190"/>
      <c r="U105" s="1190"/>
      <c r="V105" s="1190"/>
      <c r="W105" s="1190"/>
      <c r="X105" s="191"/>
      <c r="Y105" s="1190"/>
      <c r="Z105" s="1190"/>
      <c r="AA105" s="1190"/>
      <c r="AB105" s="1190"/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326"/>
      <c r="S106" s="81"/>
      <c r="T106" s="1190"/>
      <c r="U106" s="1190"/>
      <c r="V106" s="1190"/>
      <c r="W106" s="1190"/>
      <c r="X106" s="191"/>
      <c r="Y106" s="1190"/>
      <c r="Z106" s="1190"/>
      <c r="AA106" s="1190"/>
      <c r="AB106" s="1190"/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326"/>
      <c r="S107" s="81"/>
      <c r="T107" s="1190"/>
      <c r="U107" s="1190"/>
      <c r="V107" s="1190"/>
      <c r="W107" s="1362"/>
      <c r="X107" s="191"/>
      <c r="Y107" s="1190"/>
      <c r="Z107" s="1190"/>
      <c r="AA107" s="1190"/>
      <c r="AB107" s="1200"/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326"/>
      <c r="S108" s="81"/>
      <c r="T108" s="1190"/>
      <c r="U108" s="1190"/>
      <c r="V108" s="1190"/>
      <c r="W108" s="1190"/>
      <c r="X108" s="191"/>
      <c r="Y108" s="1190"/>
      <c r="Z108" s="1190"/>
      <c r="AA108" s="1190"/>
      <c r="AB108" s="1190"/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189"/>
      <c r="S109" s="1190"/>
      <c r="T109" s="1190"/>
      <c r="U109" s="1190"/>
      <c r="V109" s="1190"/>
      <c r="W109" s="1362"/>
      <c r="X109" s="1191"/>
      <c r="Y109" s="1190"/>
      <c r="Z109" s="1190"/>
      <c r="AA109" s="1190"/>
      <c r="AB109" s="1200"/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189"/>
      <c r="S110" s="1190"/>
      <c r="T110" s="1190"/>
      <c r="U110" s="1190"/>
      <c r="V110" s="1190"/>
      <c r="W110" s="1190"/>
      <c r="X110" s="1190"/>
      <c r="Y110" s="1190"/>
      <c r="Z110" s="1190"/>
      <c r="AA110" s="1190"/>
      <c r="AB110" s="1190"/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89"/>
      <c r="S111" s="1190"/>
      <c r="T111" s="1190"/>
      <c r="U111" s="1190"/>
      <c r="V111" s="1190"/>
      <c r="W111" s="1190"/>
      <c r="X111" s="1190"/>
      <c r="Y111" s="1190"/>
      <c r="Z111" s="1190"/>
      <c r="AA111" s="1190"/>
      <c r="AB111" s="1190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89"/>
      <c r="S112" s="1190"/>
      <c r="T112" s="1190"/>
      <c r="U112" s="1190"/>
      <c r="V112" s="1190"/>
      <c r="W112" s="1190"/>
      <c r="X112" s="1190"/>
      <c r="Y112" s="1190"/>
      <c r="Z112" s="1190"/>
      <c r="AA112" s="1190"/>
      <c r="AB112" s="1190"/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89"/>
      <c r="S113" s="1190"/>
      <c r="T113" s="1190"/>
      <c r="U113" s="1190"/>
      <c r="V113" s="1190"/>
      <c r="W113" s="1190"/>
      <c r="X113" s="1190"/>
      <c r="Y113" s="1190"/>
      <c r="Z113" s="1190"/>
      <c r="AA113" s="1190"/>
      <c r="AB113" s="1190"/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89"/>
      <c r="S114" s="1190"/>
      <c r="T114" s="1190"/>
      <c r="U114" s="1190"/>
      <c r="V114" s="1190"/>
      <c r="W114" s="1362"/>
      <c r="X114" s="1191"/>
      <c r="Y114" s="1190"/>
      <c r="Z114" s="1190"/>
      <c r="AA114" s="1190"/>
      <c r="AB114" s="1200"/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89"/>
      <c r="S115" s="1190"/>
      <c r="T115" s="1190"/>
      <c r="U115" s="1190"/>
      <c r="V115" s="1190"/>
      <c r="W115" s="1190"/>
      <c r="X115" s="1191"/>
      <c r="Y115" s="1190"/>
      <c r="Z115" s="1190"/>
      <c r="AA115" s="1190"/>
      <c r="AB115" s="1190"/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189"/>
      <c r="S116" s="1190"/>
      <c r="T116" s="1190"/>
      <c r="U116" s="1190"/>
      <c r="V116" s="1190"/>
      <c r="W116" s="1190"/>
      <c r="X116" s="1191"/>
      <c r="Y116" s="1190"/>
      <c r="Z116" s="1190"/>
      <c r="AA116" s="1190"/>
      <c r="AB116" s="1190"/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89"/>
      <c r="S117" s="1190"/>
      <c r="T117" s="1190"/>
      <c r="U117" s="1190"/>
      <c r="V117" s="1190"/>
      <c r="W117" s="1190"/>
      <c r="X117" s="1191"/>
      <c r="Y117" s="1190"/>
      <c r="Z117" s="1190"/>
      <c r="AA117" s="1190"/>
      <c r="AB117" s="1190"/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217"/>
      <c r="V118" s="1217"/>
      <c r="W118" s="1217"/>
      <c r="X118" s="1296"/>
      <c r="Y118" s="1217"/>
      <c r="Z118" s="1217"/>
      <c r="AA118" s="1217"/>
      <c r="AB118" s="1200"/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190"/>
      <c r="U119" s="1190"/>
      <c r="V119" s="1190"/>
      <c r="W119" s="1190"/>
      <c r="X119" s="1191"/>
      <c r="Y119" s="1190"/>
      <c r="Z119" s="1190"/>
      <c r="AA119" s="1190"/>
      <c r="AB119" s="1190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217"/>
      <c r="U120" s="1190"/>
      <c r="V120" s="1190"/>
      <c r="W120" s="1190"/>
      <c r="X120" s="1191"/>
      <c r="Y120" s="1190"/>
      <c r="Z120" s="1217"/>
      <c r="AA120" s="1217"/>
      <c r="AB120" s="1200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189"/>
      <c r="S121" s="1190"/>
      <c r="T121" s="1190"/>
      <c r="U121" s="1190"/>
      <c r="V121" s="1190"/>
      <c r="W121" s="1217"/>
      <c r="X121" s="1191"/>
      <c r="Y121" s="1217"/>
      <c r="Z121" s="1217"/>
      <c r="AA121" s="1217"/>
      <c r="AB121" s="1200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189"/>
      <c r="S122" s="1190"/>
      <c r="T122" s="1190"/>
      <c r="U122" s="1190"/>
      <c r="V122" s="1190"/>
      <c r="W122" s="1217"/>
      <c r="X122" s="1191"/>
      <c r="Y122" s="1217"/>
      <c r="Z122" s="1217"/>
      <c r="AA122" s="1217"/>
      <c r="AB122" s="1200"/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189"/>
      <c r="S123" s="1190"/>
      <c r="T123" s="1414"/>
      <c r="U123" s="1190"/>
      <c r="V123" s="1190"/>
      <c r="W123" s="1217"/>
      <c r="X123" s="1191"/>
      <c r="Y123" s="1217"/>
      <c r="Z123" s="1217"/>
      <c r="AA123" s="1217"/>
      <c r="AB123" s="1200"/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189"/>
      <c r="S124" s="1190"/>
      <c r="T124" s="1190"/>
      <c r="U124" s="1190"/>
      <c r="V124" s="1190"/>
      <c r="W124" s="1217"/>
      <c r="X124" s="1191"/>
      <c r="Y124" s="1217"/>
      <c r="Z124" s="1217"/>
      <c r="AA124" s="1217"/>
      <c r="AB124" s="1200"/>
      <c r="AC124" s="1271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189"/>
      <c r="S125" s="1190"/>
      <c r="T125" s="1190"/>
      <c r="U125" s="1190"/>
      <c r="V125" s="1190"/>
      <c r="W125" s="1217"/>
      <c r="X125" s="1191"/>
      <c r="Y125" s="1217"/>
      <c r="Z125" s="1217"/>
      <c r="AA125" s="1217"/>
      <c r="AB125" s="1200"/>
      <c r="AC125" s="1271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1414"/>
      <c r="U126" s="1190"/>
      <c r="V126" s="1190"/>
      <c r="W126" s="1217"/>
      <c r="X126" s="1191"/>
      <c r="Y126" s="1217"/>
      <c r="Z126" s="1217"/>
      <c r="AA126" s="1217"/>
      <c r="AB126" s="1200"/>
      <c r="AC126" s="1271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89"/>
      <c r="S127" s="1190"/>
      <c r="T127" s="1414"/>
      <c r="U127" s="1190"/>
      <c r="V127" s="1190"/>
      <c r="W127" s="1217"/>
      <c r="X127" s="1191"/>
      <c r="Y127" s="1217"/>
      <c r="Z127" s="1217"/>
      <c r="AA127" s="1217"/>
      <c r="AB127" s="1200"/>
      <c r="AC127" s="1271"/>
      <c r="AD127" s="81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189"/>
      <c r="S128" s="1190"/>
      <c r="T128" s="1414"/>
      <c r="U128" s="1190"/>
      <c r="V128" s="1190"/>
      <c r="W128" s="1217"/>
      <c r="X128" s="1191"/>
      <c r="Y128" s="1217"/>
      <c r="Z128" s="1217"/>
      <c r="AA128" s="1217"/>
      <c r="AB128" s="1200"/>
      <c r="AC128" s="1271"/>
      <c r="AD128" s="81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271"/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271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271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0"/>
      <c r="Y132" s="1190"/>
      <c r="Z132" s="1190"/>
      <c r="AA132" s="1190"/>
      <c r="AB132" s="1190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0"/>
      <c r="Y133" s="1190"/>
      <c r="Z133" s="1190"/>
      <c r="AA133" s="1190"/>
      <c r="AB133" s="1190"/>
      <c r="AC133" s="1271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414"/>
      <c r="U134" s="1190"/>
      <c r="V134" s="1190"/>
      <c r="W134" s="1362"/>
      <c r="X134" s="1191"/>
      <c r="Y134" s="1190"/>
      <c r="Z134" s="1190"/>
      <c r="AA134" s="1190"/>
      <c r="AB134" s="1200"/>
      <c r="AC134" s="1271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271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271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271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362"/>
      <c r="X139" s="1191"/>
      <c r="Y139" s="1190"/>
      <c r="Z139" s="1190"/>
      <c r="AA139" s="1190"/>
      <c r="AB139" s="1200"/>
      <c r="AC139" s="1271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224"/>
      <c r="W140" s="1293"/>
      <c r="X140" s="1191"/>
      <c r="Y140" s="1190"/>
      <c r="Z140" s="1217"/>
      <c r="AA140" s="1217"/>
      <c r="AB140" s="1218"/>
      <c r="AC140" s="1217"/>
      <c r="AD140" s="1326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17"/>
      <c r="S141" s="1217"/>
      <c r="T141" s="1217"/>
      <c r="U141" s="1294"/>
      <c r="V141" s="1224"/>
      <c r="W141" s="1293"/>
      <c r="X141" s="1191"/>
      <c r="Y141" s="1294"/>
      <c r="Z141" s="1294"/>
      <c r="AA141" s="1294"/>
      <c r="AB141" s="1294"/>
      <c r="AC141" s="1217"/>
      <c r="AD141" s="1326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17"/>
      <c r="S142" s="1217"/>
      <c r="T142" s="1217"/>
      <c r="U142" s="1294"/>
      <c r="V142" s="1224"/>
      <c r="W142" s="1293"/>
      <c r="X142" s="1191"/>
      <c r="Y142" s="1294"/>
      <c r="Z142" s="1294"/>
      <c r="AA142" s="1294"/>
      <c r="AB142" s="1294"/>
      <c r="AC142" s="1270"/>
      <c r="AD142" s="1293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94"/>
      <c r="W143" s="1294"/>
      <c r="X143" s="1295"/>
      <c r="Y143" s="1294"/>
      <c r="Z143" s="1294"/>
      <c r="AA143" s="1294"/>
      <c r="AB143" s="1294"/>
      <c r="AC143" s="1270"/>
      <c r="AD143" s="1293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294"/>
      <c r="V144" s="1294"/>
      <c r="W144" s="1294"/>
      <c r="X144" s="1295"/>
      <c r="Y144" s="1294"/>
      <c r="Z144" s="1293"/>
      <c r="AA144" s="1293"/>
      <c r="AB144" s="1352"/>
      <c r="AC144" s="1270"/>
      <c r="AD144" s="1293"/>
    </row>
    <row r="145" spans="18:30" s="44" customFormat="1" ht="15.6">
      <c r="R145" s="1220"/>
      <c r="S145" s="1217"/>
      <c r="T145" s="1217"/>
      <c r="U145" s="1294"/>
      <c r="V145" s="1294"/>
      <c r="W145" s="1293"/>
      <c r="X145" s="1191"/>
      <c r="Y145" s="1294"/>
      <c r="Z145" s="1190"/>
      <c r="AA145" s="1190"/>
      <c r="AB145" s="1200"/>
      <c r="AC145" s="1271"/>
      <c r="AD145" s="81"/>
    </row>
    <row r="146" spans="18:30" s="44" customFormat="1" ht="15.6">
      <c r="R146" s="1220"/>
      <c r="S146" s="1217"/>
      <c r="T146" s="1217"/>
      <c r="U146" s="1294"/>
      <c r="V146" s="1294"/>
      <c r="W146" s="1293"/>
      <c r="X146" s="1191"/>
      <c r="Y146" s="1294"/>
      <c r="Z146" s="1190"/>
      <c r="AA146" s="1190"/>
      <c r="AB146" s="1200"/>
      <c r="AC146" s="1271"/>
      <c r="AD146" s="81"/>
    </row>
    <row r="147" spans="18:30" s="44" customFormat="1" ht="15.6">
      <c r="R147" s="1220"/>
      <c r="S147" s="1217"/>
      <c r="T147" s="1217"/>
      <c r="U147" s="1294"/>
      <c r="V147" s="1217"/>
      <c r="W147" s="1294"/>
      <c r="X147" s="1191"/>
      <c r="Y147" s="1294"/>
      <c r="Z147" s="1190"/>
      <c r="AA147" s="1190"/>
      <c r="AB147" s="1200"/>
      <c r="AC147" s="1271"/>
      <c r="AD147" s="81"/>
    </row>
    <row r="148" spans="18:30" s="44" customFormat="1" ht="15.6">
      <c r="R148" s="1220"/>
      <c r="S148" s="1217"/>
      <c r="T148" s="1217"/>
      <c r="U148" s="1294"/>
      <c r="V148" s="1217"/>
      <c r="W148" s="1294"/>
      <c r="X148" s="1191"/>
      <c r="Y148" s="1294"/>
      <c r="Z148" s="1190"/>
      <c r="AA148" s="1190"/>
      <c r="AB148" s="1200"/>
      <c r="AC148" s="1271"/>
      <c r="AD148" s="81"/>
    </row>
    <row r="149" spans="18:30" s="44" customFormat="1" ht="15.6">
      <c r="R149" s="1220"/>
      <c r="S149" s="1217"/>
      <c r="T149" s="1217"/>
      <c r="U149" s="1294"/>
      <c r="V149" s="1217"/>
      <c r="W149" s="1294"/>
      <c r="X149" s="1191"/>
      <c r="Y149" s="1294"/>
      <c r="Z149" s="1190"/>
      <c r="AA149" s="1190"/>
      <c r="AB149" s="1200"/>
      <c r="AC149" s="1271"/>
      <c r="AD149" s="81"/>
    </row>
    <row r="150" spans="18:30" s="44" customFormat="1" ht="15.6">
      <c r="R150" s="1220"/>
      <c r="S150" s="1217"/>
      <c r="T150" s="1217"/>
      <c r="U150" s="1294"/>
      <c r="V150" s="1217"/>
      <c r="W150" s="1294"/>
      <c r="X150" s="1191"/>
      <c r="Y150" s="1294"/>
      <c r="Z150" s="1190"/>
      <c r="AA150" s="1190"/>
      <c r="AB150" s="1200"/>
      <c r="AC150" s="1271"/>
      <c r="AD150" s="81"/>
    </row>
    <row r="151" spans="18:30" s="44" customFormat="1" ht="15.6">
      <c r="R151" s="1220"/>
      <c r="S151" s="1217"/>
      <c r="T151" s="1217"/>
      <c r="U151" s="1294"/>
      <c r="V151" s="1217"/>
      <c r="W151" s="1294"/>
      <c r="X151" s="1191"/>
      <c r="Y151" s="1294"/>
      <c r="Z151" s="1190"/>
      <c r="AA151" s="1190"/>
      <c r="AB151" s="1200"/>
      <c r="AC151" s="1271"/>
      <c r="AD151" s="81"/>
    </row>
    <row r="152" spans="18:30" s="44" customFormat="1" ht="15.6">
      <c r="R152" s="1220"/>
      <c r="S152" s="1217"/>
      <c r="T152" s="1217"/>
      <c r="U152" s="1294"/>
      <c r="V152" s="1217"/>
      <c r="W152" s="1294"/>
      <c r="X152" s="1191"/>
      <c r="Y152" s="1294"/>
      <c r="Z152" s="1190"/>
      <c r="AA152" s="1190"/>
      <c r="AB152" s="1200"/>
      <c r="AC152" s="1271"/>
      <c r="AD152" s="81"/>
    </row>
    <row r="153" spans="18:30" s="44" customFormat="1">
      <c r="R153" s="1220"/>
      <c r="S153" s="1217"/>
      <c r="T153" s="1217"/>
      <c r="U153" s="1294"/>
      <c r="V153" s="1217"/>
      <c r="W153" s="1294"/>
      <c r="X153" s="1191"/>
      <c r="Y153" s="1294"/>
      <c r="Z153" s="1294"/>
      <c r="AA153" s="1294"/>
      <c r="AB153" s="1294"/>
      <c r="AC153" s="1271"/>
      <c r="AD153" s="81"/>
    </row>
    <row r="154" spans="18:30" s="44" customFormat="1">
      <c r="R154" s="1220"/>
      <c r="S154" s="1217"/>
      <c r="T154" s="1217"/>
      <c r="U154" s="1294"/>
      <c r="V154" s="1217"/>
      <c r="W154" s="1294"/>
      <c r="X154" s="1191"/>
      <c r="Y154" s="1294"/>
      <c r="Z154" s="1294"/>
      <c r="AA154" s="1294"/>
      <c r="AB154" s="1294"/>
      <c r="AC154" s="1271"/>
      <c r="AD154" s="81"/>
    </row>
    <row r="155" spans="18:30" s="44" customFormat="1" ht="15.6">
      <c r="R155" s="1220"/>
      <c r="S155" s="1217"/>
      <c r="T155" s="1217"/>
      <c r="U155" s="1294"/>
      <c r="V155" s="1217"/>
      <c r="W155" s="1294"/>
      <c r="X155" s="1191"/>
      <c r="Y155" s="1294"/>
      <c r="Z155" s="1190"/>
      <c r="AA155" s="1190"/>
      <c r="AB155" s="1200"/>
      <c r="AC155" s="1271"/>
      <c r="AD155" s="81"/>
    </row>
    <row r="156" spans="18:30" s="44" customFormat="1" ht="15.6">
      <c r="R156" s="1220"/>
      <c r="S156" s="1217"/>
      <c r="T156" s="1217"/>
      <c r="U156" s="1294"/>
      <c r="V156" s="1217"/>
      <c r="W156" s="1293"/>
      <c r="X156" s="1191"/>
      <c r="Y156" s="1294"/>
      <c r="Z156" s="1190"/>
      <c r="AA156" s="1190"/>
      <c r="AB156" s="1200"/>
      <c r="AC156" s="1271"/>
      <c r="AD156" s="81"/>
    </row>
    <row r="157" spans="18:30" s="44" customFormat="1">
      <c r="R157" s="1220"/>
      <c r="S157" s="1217"/>
      <c r="T157" s="1217"/>
      <c r="U157" s="1294"/>
      <c r="V157" s="1217"/>
      <c r="W157" s="1293"/>
      <c r="X157" s="1191"/>
      <c r="Y157" s="1294"/>
      <c r="Z157" s="1294"/>
      <c r="AA157" s="1294"/>
      <c r="AB157" s="1294"/>
      <c r="AC157" s="1271"/>
      <c r="AD157" s="81"/>
    </row>
    <row r="158" spans="18:30" s="44" customFormat="1" ht="15.6">
      <c r="R158" s="1220"/>
      <c r="S158" s="1217"/>
      <c r="T158" s="1217"/>
      <c r="U158" s="1294"/>
      <c r="V158" s="1217"/>
      <c r="W158" s="1293"/>
      <c r="X158" s="1191"/>
      <c r="Y158" s="1294"/>
      <c r="Z158" s="1190"/>
      <c r="AA158" s="1190"/>
      <c r="AB158" s="1200"/>
      <c r="AC158" s="1271"/>
      <c r="AD158" s="81"/>
    </row>
    <row r="159" spans="18:30" s="44" customFormat="1">
      <c r="R159" s="1220"/>
      <c r="S159" s="1217"/>
      <c r="T159" s="1217"/>
      <c r="U159" s="1294"/>
      <c r="V159" s="1217"/>
      <c r="W159" s="1293"/>
      <c r="X159" s="1191"/>
      <c r="Y159" s="1294"/>
      <c r="Z159" s="1294"/>
      <c r="AA159" s="1294"/>
      <c r="AB159" s="1294"/>
      <c r="AC159" s="1271"/>
      <c r="AD159" s="81"/>
    </row>
    <row r="160" spans="18:30" s="44" customFormat="1">
      <c r="R160" s="1220"/>
      <c r="S160" s="1217"/>
      <c r="T160" s="1217"/>
      <c r="U160" s="1294"/>
      <c r="V160" s="1217"/>
      <c r="W160" s="1293"/>
      <c r="X160" s="1191"/>
      <c r="Y160" s="1294"/>
      <c r="Z160" s="1294"/>
      <c r="AA160" s="1294"/>
      <c r="AB160" s="1294"/>
      <c r="AC160" s="1271"/>
      <c r="AD160" s="81"/>
    </row>
    <row r="161" spans="18:30" s="44" customFormat="1">
      <c r="R161" s="1220"/>
      <c r="S161" s="1217"/>
      <c r="T161" s="1217"/>
      <c r="U161" s="1294"/>
      <c r="V161" s="1217"/>
      <c r="W161" s="1293"/>
      <c r="X161" s="1191"/>
      <c r="Y161" s="1294"/>
      <c r="Z161" s="1294"/>
      <c r="AA161" s="1294"/>
      <c r="AB161" s="1294"/>
      <c r="AC161" s="1271"/>
      <c r="AD161" s="81"/>
    </row>
    <row r="162" spans="18:30" s="44" customFormat="1">
      <c r="R162" s="1220"/>
      <c r="S162" s="1217"/>
      <c r="T162" s="1217"/>
      <c r="U162" s="1294"/>
      <c r="V162" s="1217"/>
      <c r="W162" s="1293"/>
      <c r="X162" s="1191"/>
      <c r="Y162" s="1294"/>
      <c r="Z162" s="1294"/>
      <c r="AA162" s="1294"/>
      <c r="AB162" s="1294"/>
      <c r="AC162" s="1271"/>
      <c r="AD162" s="81"/>
    </row>
    <row r="163" spans="18:30" s="44" customFormat="1">
      <c r="R163" s="1220"/>
      <c r="S163" s="1217"/>
      <c r="T163" s="1217"/>
      <c r="U163" s="1294"/>
      <c r="V163" s="1217"/>
      <c r="W163" s="1293"/>
      <c r="X163" s="1191"/>
      <c r="Y163" s="1294"/>
      <c r="Z163" s="1294"/>
      <c r="AA163" s="1294"/>
      <c r="AB163" s="1294"/>
      <c r="AC163" s="1271"/>
      <c r="AD163" s="81"/>
    </row>
    <row r="164" spans="18:30" s="44" customFormat="1" ht="15.6">
      <c r="R164" s="1220"/>
      <c r="S164" s="1217"/>
      <c r="T164" s="1217"/>
      <c r="U164" s="1217"/>
      <c r="V164" s="1217"/>
      <c r="W164" s="1293"/>
      <c r="X164" s="1296"/>
      <c r="Y164" s="1294"/>
      <c r="Z164" s="1294"/>
      <c r="AA164" s="1294"/>
      <c r="AB164" s="1099"/>
      <c r="AC164" s="1217"/>
      <c r="AD164" s="1326"/>
    </row>
    <row r="165" spans="18:30" s="44" customFormat="1">
      <c r="R165" s="1189"/>
      <c r="S165" s="1190"/>
      <c r="T165" s="1217"/>
      <c r="U165" s="1190"/>
      <c r="V165" s="1217"/>
      <c r="W165" s="1293"/>
      <c r="X165" s="1325"/>
      <c r="Y165" s="1294"/>
      <c r="Z165" s="1190"/>
      <c r="AA165" s="1190"/>
      <c r="AB165" s="1190"/>
      <c r="AC165" s="1217"/>
      <c r="AD165" s="1326"/>
    </row>
    <row r="166" spans="18:30" s="44" customFormat="1">
      <c r="R166" s="1220"/>
      <c r="S166" s="1217"/>
      <c r="T166" s="1217"/>
      <c r="U166" s="1190"/>
      <c r="V166" s="1190"/>
      <c r="W166" s="1190"/>
      <c r="X166" s="1325"/>
      <c r="Y166" s="1190"/>
      <c r="Z166" s="1190"/>
      <c r="AA166" s="1190"/>
      <c r="AB166" s="1190"/>
      <c r="AC166" s="1217"/>
      <c r="AD166" s="1326"/>
    </row>
    <row r="167" spans="18:30" s="44" customFormat="1">
      <c r="R167" s="1220"/>
      <c r="S167" s="1217"/>
      <c r="T167" s="1217"/>
      <c r="U167" s="1190"/>
      <c r="V167" s="1190"/>
      <c r="W167" s="1293"/>
      <c r="X167" s="1325"/>
      <c r="Y167" s="1294"/>
      <c r="Z167" s="1190"/>
      <c r="AA167" s="1190"/>
      <c r="AB167" s="1190"/>
      <c r="AC167" s="1217"/>
      <c r="AD167" s="1326"/>
    </row>
    <row r="168" spans="18:30" s="44" customFormat="1">
      <c r="R168" s="1190"/>
      <c r="S168" s="1190"/>
      <c r="T168" s="1217"/>
      <c r="U168" s="1293"/>
      <c r="V168" s="1190"/>
      <c r="W168" s="1293"/>
      <c r="X168" s="1191"/>
      <c r="Y168" s="1294"/>
      <c r="Z168" s="1190"/>
      <c r="AA168" s="1190"/>
      <c r="AB168" s="1190"/>
      <c r="AC168" s="1217"/>
      <c r="AD168" s="1326"/>
    </row>
    <row r="169" spans="18:30" s="44" customFormat="1">
      <c r="R169" s="1190"/>
      <c r="S169" s="1190"/>
      <c r="T169" s="1217"/>
      <c r="U169" s="1293"/>
      <c r="V169" s="1190"/>
      <c r="W169" s="1293"/>
      <c r="X169" s="1191"/>
      <c r="Y169" s="1294"/>
      <c r="Z169" s="1190"/>
      <c r="AA169" s="1190"/>
      <c r="AB169" s="1190"/>
      <c r="AC169" s="1217"/>
      <c r="AD169" s="1326"/>
    </row>
    <row r="170" spans="18:30" s="44" customFormat="1">
      <c r="R170" s="1190"/>
      <c r="S170" s="1293"/>
      <c r="T170" s="1217"/>
      <c r="U170" s="1190"/>
      <c r="V170" s="1190"/>
      <c r="W170" s="1293"/>
      <c r="X170" s="1191"/>
      <c r="Y170" s="1294"/>
      <c r="Z170" s="1190"/>
      <c r="AA170" s="1190"/>
      <c r="AB170" s="1190"/>
      <c r="AC170" s="1217"/>
      <c r="AD170" s="1326"/>
    </row>
    <row r="171" spans="18:30" s="44" customFormat="1">
      <c r="R171" s="1190"/>
      <c r="S171" s="1190"/>
      <c r="T171" s="1217"/>
      <c r="U171" s="1293"/>
      <c r="V171" s="1190"/>
      <c r="W171" s="1293"/>
      <c r="X171" s="1191"/>
      <c r="Y171" s="1294"/>
      <c r="Z171" s="1190"/>
      <c r="AA171" s="1190"/>
      <c r="AB171" s="1190"/>
      <c r="AC171" s="1217"/>
      <c r="AD171" s="1326"/>
    </row>
    <row r="172" spans="18:30" s="44" customFormat="1">
      <c r="R172" s="1189"/>
      <c r="S172" s="1224"/>
      <c r="T172" s="1217"/>
      <c r="U172" s="1224"/>
      <c r="V172" s="1190"/>
      <c r="W172" s="1293"/>
      <c r="X172" s="1225"/>
      <c r="Y172" s="1294"/>
      <c r="Z172" s="1190"/>
      <c r="AA172" s="1190"/>
      <c r="AB172" s="1190"/>
      <c r="AC172" s="1217"/>
      <c r="AD172" s="1326"/>
    </row>
    <row r="173" spans="18:30" s="44" customFormat="1" ht="15.6">
      <c r="R173" s="1189"/>
      <c r="S173" s="1359"/>
      <c r="T173" s="1217"/>
      <c r="U173" s="1224"/>
      <c r="V173" s="1217"/>
      <c r="W173" s="1224"/>
      <c r="X173" s="1225"/>
      <c r="Y173" s="1190"/>
      <c r="Z173" s="1190"/>
      <c r="AA173" s="1190"/>
      <c r="AB173" s="1241"/>
      <c r="AC173" s="1270"/>
      <c r="AD173" s="81"/>
    </row>
    <row r="174" spans="18:30" s="44" customFormat="1" ht="15.6">
      <c r="R174" s="1190"/>
      <c r="S174" s="1190"/>
      <c r="T174" s="1293"/>
      <c r="U174" s="1293"/>
      <c r="V174" s="1190"/>
      <c r="W174" s="1293"/>
      <c r="X174" s="1191"/>
      <c r="Y174" s="1190"/>
      <c r="Z174" s="1190"/>
      <c r="AA174" s="1190"/>
      <c r="AB174" s="1241"/>
      <c r="AC174" s="1217"/>
      <c r="AD174" s="1326"/>
    </row>
    <row r="175" spans="18:30" s="44" customFormat="1" ht="15.6">
      <c r="R175" s="1189"/>
      <c r="S175" s="1190"/>
      <c r="T175" s="1293"/>
      <c r="U175" s="1293"/>
      <c r="V175" s="1190"/>
      <c r="W175" s="1293"/>
      <c r="X175" s="1191"/>
      <c r="Y175" s="1190"/>
      <c r="Z175" s="1190"/>
      <c r="AA175" s="1190"/>
      <c r="AB175" s="1241"/>
      <c r="AC175" s="1271"/>
      <c r="AD175" s="81"/>
    </row>
    <row r="176" spans="18:30" s="44" customFormat="1" ht="15.6">
      <c r="R176" s="1339"/>
      <c r="S176" s="1339"/>
      <c r="T176" s="1190"/>
      <c r="U176" s="1293"/>
      <c r="V176" s="1190"/>
      <c r="W176" s="1293"/>
      <c r="X176" s="1191"/>
      <c r="Y176" s="1190"/>
      <c r="Z176" s="1190"/>
      <c r="AA176" s="1190"/>
      <c r="AB176" s="1110"/>
      <c r="AC176" s="1271"/>
      <c r="AD176" s="81"/>
    </row>
    <row r="177" spans="18:30" s="44" customFormat="1" ht="15.6">
      <c r="R177" s="1190"/>
      <c r="S177" s="1190"/>
      <c r="T177" s="1190"/>
      <c r="U177" s="1190"/>
      <c r="V177" s="1190"/>
      <c r="W177" s="1293"/>
      <c r="X177" s="1191"/>
      <c r="Y177" s="1190"/>
      <c r="Z177" s="1190"/>
      <c r="AA177" s="1190"/>
      <c r="AB177" s="1241"/>
      <c r="AC177" s="1271"/>
      <c r="AD177" s="81"/>
    </row>
    <row r="178" spans="18:30" s="44" customFormat="1" ht="15.6">
      <c r="R178" s="1189"/>
      <c r="S178" s="1190"/>
      <c r="T178" s="1190"/>
      <c r="U178" s="1190"/>
      <c r="V178" s="1190"/>
      <c r="W178" s="1293"/>
      <c r="X178" s="1191"/>
      <c r="Y178" s="1190"/>
      <c r="Z178" s="1190"/>
      <c r="AA178" s="1190"/>
      <c r="AB178" s="1241"/>
      <c r="AC178" s="1271"/>
      <c r="AD178" s="81"/>
    </row>
    <row r="179" spans="18:30" s="44" customFormat="1" ht="15.6">
      <c r="R179" s="1353"/>
      <c r="S179" s="1339"/>
      <c r="T179" s="1190"/>
      <c r="U179" s="1190"/>
      <c r="V179" s="1190"/>
      <c r="W179" s="1293"/>
      <c r="X179" s="1191"/>
      <c r="Y179" s="1190"/>
      <c r="Z179" s="1190"/>
      <c r="AA179" s="1190"/>
      <c r="AB179" s="1241"/>
      <c r="AC179" s="1217"/>
      <c r="AD179" s="81"/>
    </row>
    <row r="180" spans="18:30" s="44" customFormat="1" ht="15.6">
      <c r="R180" s="1190"/>
      <c r="S180" s="1224"/>
      <c r="T180" s="1190"/>
      <c r="U180" s="1224"/>
      <c r="V180" s="1224"/>
      <c r="W180" s="1293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6">
      <c r="R181" s="1189"/>
      <c r="S181" s="1224"/>
      <c r="T181" s="1294"/>
      <c r="U181" s="1224"/>
      <c r="V181" s="1224"/>
      <c r="W181" s="1293"/>
      <c r="X181" s="1225"/>
      <c r="Y181" s="1190"/>
      <c r="Z181" s="1190"/>
      <c r="AA181" s="1190"/>
      <c r="AB181" s="1241"/>
      <c r="AC181" s="1271"/>
      <c r="AD181" s="81"/>
    </row>
    <row r="182" spans="18:30" s="44" customFormat="1" ht="15.6">
      <c r="R182" s="1189"/>
      <c r="S182" s="1224"/>
      <c r="T182" s="1294"/>
      <c r="U182" s="1224"/>
      <c r="V182" s="1224"/>
      <c r="W182" s="1293"/>
      <c r="X182" s="1225"/>
      <c r="Y182" s="1190"/>
      <c r="Z182" s="1190"/>
      <c r="AA182" s="1190"/>
      <c r="AB182" s="1241"/>
      <c r="AC182" s="1271"/>
      <c r="AD182" s="81"/>
    </row>
    <row r="183" spans="18:30" s="44" customFormat="1" ht="15.6">
      <c r="R183" s="1189"/>
      <c r="S183" s="1224"/>
      <c r="T183" s="1279"/>
      <c r="U183" s="1224"/>
      <c r="V183" s="1224"/>
      <c r="W183" s="1293"/>
      <c r="X183" s="1225"/>
      <c r="Y183" s="1190"/>
      <c r="Z183" s="1190"/>
      <c r="AA183" s="1190"/>
      <c r="AB183" s="1241"/>
      <c r="AC183" s="1271"/>
      <c r="AD183" s="81"/>
    </row>
    <row r="184" spans="18:30" s="44" customFormat="1" ht="15.6">
      <c r="R184" s="1190"/>
      <c r="S184" s="1190"/>
      <c r="T184" s="1217"/>
      <c r="U184" s="1190"/>
      <c r="V184" s="1224"/>
      <c r="W184" s="1293"/>
      <c r="X184" s="1191"/>
      <c r="Y184" s="1190"/>
      <c r="Z184" s="1217"/>
      <c r="AA184" s="1217"/>
      <c r="AB184" s="1218"/>
      <c r="AC184" s="1190"/>
      <c r="AD184" s="1329"/>
    </row>
    <row r="185" spans="18:30" s="44" customFormat="1">
      <c r="R185" s="1217"/>
      <c r="S185" s="1217"/>
      <c r="T185" s="1294"/>
      <c r="U185" s="1294"/>
      <c r="V185" s="1224"/>
      <c r="W185" s="1293"/>
      <c r="X185" s="1191"/>
      <c r="Y185" s="1294"/>
      <c r="Z185" s="1294"/>
      <c r="AA185" s="1294"/>
      <c r="AB185" s="1294"/>
      <c r="AC185" s="1217"/>
      <c r="AD185" s="1326"/>
    </row>
    <row r="186" spans="18:30" s="44" customFormat="1">
      <c r="R186" s="1217"/>
      <c r="S186" s="1217"/>
      <c r="T186" s="1294"/>
      <c r="U186" s="1294"/>
      <c r="V186" s="1224"/>
      <c r="W186" s="1293"/>
      <c r="X186" s="1191"/>
      <c r="Y186" s="1294"/>
      <c r="Z186" s="1294"/>
      <c r="AA186" s="1294"/>
      <c r="AB186" s="1294"/>
      <c r="AC186" s="1217"/>
      <c r="AD186" s="1326"/>
    </row>
    <row r="187" spans="18:30" s="44" customFormat="1">
      <c r="R187" s="1217"/>
      <c r="S187" s="1217"/>
      <c r="T187" s="1294"/>
      <c r="U187" s="1190"/>
      <c r="V187" s="1294"/>
      <c r="W187" s="1294"/>
      <c r="X187" s="1191"/>
      <c r="Y187" s="1294"/>
      <c r="Z187" s="1190"/>
      <c r="AA187" s="1190"/>
      <c r="AB187" s="1294"/>
      <c r="AC187" s="1217"/>
      <c r="AD187" s="1326"/>
    </row>
    <row r="188" spans="18:30" s="44" customFormat="1">
      <c r="R188" s="1217"/>
      <c r="S188" s="1217"/>
      <c r="T188" s="1294"/>
      <c r="U188" s="1190"/>
      <c r="V188" s="1294"/>
      <c r="W188" s="1294"/>
      <c r="X188" s="1191"/>
      <c r="Y188" s="1294"/>
      <c r="Z188" s="1190"/>
      <c r="AA188" s="1190"/>
      <c r="AB188" s="1294"/>
      <c r="AC188" s="1217"/>
      <c r="AD188" s="1326"/>
    </row>
    <row r="189" spans="18:30" s="44" customFormat="1">
      <c r="R189" s="1217"/>
      <c r="S189" s="1217"/>
      <c r="T189" s="1217"/>
      <c r="U189" s="1190"/>
      <c r="V189" s="1294"/>
      <c r="W189" s="1294"/>
      <c r="X189" s="1191"/>
      <c r="Y189" s="1294"/>
      <c r="Z189" s="1190"/>
      <c r="AA189" s="1190"/>
      <c r="AB189" s="1294"/>
      <c r="AC189" s="1217"/>
      <c r="AD189" s="1326"/>
    </row>
    <row r="190" spans="18:30" s="44" customFormat="1" ht="15.6">
      <c r="R190" s="1217"/>
      <c r="S190" s="1217"/>
      <c r="T190" s="1217"/>
      <c r="U190" s="1190"/>
      <c r="V190" s="1294"/>
      <c r="W190" s="1294"/>
      <c r="X190" s="1191"/>
      <c r="Y190" s="1294"/>
      <c r="Z190" s="1190"/>
      <c r="AA190" s="1190"/>
      <c r="AB190" s="1200"/>
      <c r="AC190" s="1217"/>
      <c r="AD190" s="1326"/>
    </row>
    <row r="191" spans="18:30" s="44" customFormat="1" ht="15.6">
      <c r="R191" s="1217"/>
      <c r="S191" s="1217"/>
      <c r="T191" s="1217"/>
      <c r="U191" s="1190"/>
      <c r="V191" s="1294"/>
      <c r="W191" s="1294"/>
      <c r="X191" s="1191"/>
      <c r="Y191" s="1190"/>
      <c r="Z191" s="1190"/>
      <c r="AA191" s="1190"/>
      <c r="AB191" s="1200"/>
      <c r="AC191" s="1217"/>
      <c r="AD191" s="1326"/>
    </row>
    <row r="192" spans="18:30" s="44" customFormat="1" ht="15.6">
      <c r="R192" s="1217"/>
      <c r="S192" s="1217"/>
      <c r="T192" s="1294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s="44" customFormat="1" ht="15.6">
      <c r="R193" s="1217"/>
      <c r="S193" s="1217"/>
      <c r="T193" s="1294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s="44" customFormat="1" ht="15.6">
      <c r="R194" s="1217"/>
      <c r="S194" s="1217"/>
      <c r="T194" s="1294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 s="44" customFormat="1" ht="15.6">
      <c r="R195" s="1217"/>
      <c r="S195" s="1217"/>
      <c r="T195" s="1217"/>
      <c r="U195" s="1190"/>
      <c r="V195" s="1190"/>
      <c r="W195" s="1294"/>
      <c r="X195" s="1191"/>
      <c r="Y195" s="1190"/>
      <c r="Z195" s="1190"/>
      <c r="AA195" s="1190"/>
      <c r="AB195" s="1200"/>
      <c r="AC195" s="1217"/>
      <c r="AD195" s="1326"/>
    </row>
    <row r="196" spans="18:30" s="44" customFormat="1" ht="15.6">
      <c r="R196" s="1217"/>
      <c r="S196" s="1217"/>
      <c r="T196" s="1217"/>
      <c r="U196" s="1190"/>
      <c r="V196" s="1190"/>
      <c r="W196" s="1294"/>
      <c r="X196" s="1191"/>
      <c r="Y196" s="1190"/>
      <c r="Z196" s="1190"/>
      <c r="AA196" s="1190"/>
      <c r="AB196" s="1200"/>
      <c r="AC196" s="1217"/>
      <c r="AD196" s="1326"/>
    </row>
    <row r="197" spans="18:30" ht="15.6">
      <c r="R197" s="1217"/>
      <c r="S197" s="1217"/>
      <c r="T197" s="1294"/>
      <c r="U197" s="1190"/>
      <c r="V197" s="1190"/>
      <c r="W197" s="1190"/>
      <c r="X197" s="1191"/>
      <c r="Y197" s="1190"/>
      <c r="Z197" s="1190"/>
      <c r="AA197" s="1190"/>
      <c r="AB197" s="1200"/>
      <c r="AC197" s="1217"/>
      <c r="AD197" s="1326"/>
    </row>
    <row r="198" spans="18:30" ht="15.6">
      <c r="R198" s="1190"/>
      <c r="S198" s="1294"/>
      <c r="T198" s="1217"/>
      <c r="U198" s="1190"/>
      <c r="V198" s="1190"/>
      <c r="W198" s="1294"/>
      <c r="X198" s="1191"/>
      <c r="Y198" s="1190"/>
      <c r="Z198" s="1190"/>
      <c r="AA198" s="1190"/>
      <c r="AB198" s="1200"/>
      <c r="AC198" s="1217"/>
      <c r="AD198" s="1326"/>
    </row>
    <row r="199" spans="18:30" ht="15.6">
      <c r="R199" s="1190"/>
      <c r="S199" s="1294"/>
      <c r="T199" s="1294"/>
      <c r="U199" s="1190"/>
      <c r="V199" s="1190"/>
      <c r="W199" s="1294"/>
      <c r="X199" s="1191"/>
      <c r="Y199" s="1190"/>
      <c r="Z199" s="1190"/>
      <c r="AA199" s="1190"/>
      <c r="AB199" s="1200"/>
      <c r="AC199" s="1217"/>
      <c r="AD199" s="1326"/>
    </row>
    <row r="200" spans="18:30" ht="15.6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6">
      <c r="R201" s="1190"/>
      <c r="S201" s="1224"/>
      <c r="T201" s="1279"/>
      <c r="U201" s="1224"/>
      <c r="V201" s="1224"/>
      <c r="W201" s="1224"/>
      <c r="X201" s="1225"/>
      <c r="Y201" s="1190"/>
      <c r="Z201" s="1190"/>
      <c r="AA201" s="1190"/>
      <c r="AB201" s="1241"/>
      <c r="AC201" s="1217"/>
      <c r="AD201" s="1326"/>
    </row>
    <row r="202" spans="18:30" ht="15.6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6">
      <c r="R203" s="1190"/>
      <c r="S203" s="1224"/>
      <c r="T203" s="1279"/>
      <c r="U203" s="1224"/>
      <c r="V203" s="1224"/>
      <c r="W203" s="1224"/>
      <c r="X203" s="1225"/>
      <c r="Y203" s="1190"/>
      <c r="Z203" s="1190"/>
      <c r="AA203" s="1190"/>
      <c r="AB203" s="1241"/>
      <c r="AC203" s="1217"/>
      <c r="AD203" s="1326"/>
    </row>
    <row r="204" spans="18:30" s="44" customFormat="1" ht="15.6">
      <c r="R204" s="1190"/>
      <c r="S204" s="1224"/>
      <c r="T204" s="1279"/>
      <c r="U204" s="1224"/>
      <c r="V204" s="1224"/>
      <c r="W204" s="1224"/>
      <c r="X204" s="1225"/>
      <c r="Y204" s="1190"/>
      <c r="Z204" s="1190"/>
      <c r="AA204" s="1190"/>
      <c r="AB204" s="1241"/>
      <c r="AC204" s="1217"/>
      <c r="AD204" s="1326"/>
    </row>
    <row r="205" spans="18:30" s="44" customFormat="1" ht="15.6">
      <c r="R205" s="1190"/>
      <c r="S205" s="1224"/>
      <c r="T205" s="1279"/>
      <c r="U205" s="1224"/>
      <c r="V205" s="1224"/>
      <c r="W205" s="1224"/>
      <c r="X205" s="1225"/>
      <c r="Y205" s="1190"/>
      <c r="Z205" s="1190"/>
      <c r="AA205" s="1190"/>
      <c r="AB205" s="1241"/>
      <c r="AC205" s="1217"/>
      <c r="AD205" s="1326"/>
    </row>
    <row r="206" spans="18:30" s="44" customFormat="1" ht="15.6">
      <c r="R206" s="1190"/>
      <c r="S206" s="1224"/>
      <c r="T206" s="1279"/>
      <c r="U206" s="1224"/>
      <c r="V206" s="1224"/>
      <c r="W206" s="1224"/>
      <c r="X206" s="1225"/>
      <c r="Y206" s="1190"/>
      <c r="Z206" s="1190"/>
      <c r="AA206" s="1190"/>
      <c r="AB206" s="1241"/>
      <c r="AC206" s="1217"/>
      <c r="AD206" s="1326"/>
    </row>
    <row r="207" spans="18:30" s="44" customFormat="1" ht="15.6">
      <c r="R207" s="1190"/>
      <c r="S207" s="1224"/>
      <c r="T207" s="1279"/>
      <c r="U207" s="1224"/>
      <c r="V207" s="1224"/>
      <c r="W207" s="1190"/>
      <c r="X207" s="1225"/>
      <c r="Y207" s="1190"/>
      <c r="Z207" s="1190"/>
      <c r="AA207" s="1190"/>
      <c r="AB207" s="1241"/>
      <c r="AC207" s="1217"/>
      <c r="AD207" s="1326"/>
    </row>
    <row r="208" spans="18:30" s="44" customFormat="1" ht="15.6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s="44" customFormat="1" ht="15.6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s="44" customFormat="1" ht="15.6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s="44" customFormat="1" ht="15.6">
      <c r="R211" s="1190"/>
      <c r="S211" s="1224"/>
      <c r="T211" s="1279"/>
      <c r="U211" s="1224"/>
      <c r="V211" s="1224"/>
      <c r="W211" s="1190"/>
      <c r="X211" s="1225"/>
      <c r="Y211" s="1190"/>
      <c r="Z211" s="1190"/>
      <c r="AA211" s="1190"/>
      <c r="AB211" s="1241"/>
      <c r="AC211" s="1217"/>
      <c r="AD211" s="1326"/>
    </row>
    <row r="212" spans="18:30" ht="15.6">
      <c r="R212" s="1190"/>
      <c r="S212" s="1224"/>
      <c r="T212" s="1279"/>
      <c r="U212" s="1224"/>
      <c r="V212" s="1224"/>
      <c r="W212" s="1190"/>
      <c r="X212" s="1225"/>
      <c r="Y212" s="1190"/>
      <c r="Z212" s="1190"/>
      <c r="AA212" s="1190"/>
      <c r="AB212" s="1241"/>
      <c r="AC212" s="1217"/>
      <c r="AD212" s="1326"/>
    </row>
    <row r="213" spans="18:30" ht="15.6">
      <c r="R213" s="1190"/>
      <c r="S213" s="1224"/>
      <c r="T213" s="1279"/>
      <c r="U213" s="1224"/>
      <c r="V213" s="1224"/>
      <c r="W213" s="1294"/>
      <c r="X213" s="1225"/>
      <c r="Y213" s="1190"/>
      <c r="Z213" s="1190"/>
      <c r="AA213" s="1190"/>
      <c r="AB213" s="1241"/>
      <c r="AC213" s="1217"/>
      <c r="AD213" s="1326"/>
    </row>
    <row r="214" spans="18:30" ht="15.6">
      <c r="R214" s="1190"/>
      <c r="S214" s="1224"/>
      <c r="T214" s="1279"/>
      <c r="U214" s="1224"/>
      <c r="V214" s="1224"/>
      <c r="W214" s="1294"/>
      <c r="X214" s="1225"/>
      <c r="Y214" s="1190"/>
      <c r="Z214" s="1190"/>
      <c r="AA214" s="1190"/>
      <c r="AB214" s="1241"/>
      <c r="AC214" s="1217"/>
      <c r="AD214" s="1326"/>
    </row>
    <row r="215" spans="18:30" ht="15.6">
      <c r="R215" s="1190"/>
      <c r="S215" s="1224"/>
      <c r="T215" s="1279"/>
      <c r="U215" s="1224"/>
      <c r="V215" s="1224"/>
      <c r="W215" s="1294"/>
      <c r="X215" s="1225"/>
      <c r="Y215" s="1190"/>
      <c r="Z215" s="1190"/>
      <c r="AA215" s="1190"/>
      <c r="AB215" s="1241"/>
      <c r="AC215" s="1217"/>
      <c r="AD215" s="1326"/>
    </row>
    <row r="216" spans="18:30" ht="15.6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6">
      <c r="R217" s="1190"/>
      <c r="S217" s="1224"/>
      <c r="T217" s="1279"/>
      <c r="U217" s="1224"/>
      <c r="V217" s="1224"/>
      <c r="W217" s="1294"/>
      <c r="X217" s="1225"/>
      <c r="Y217" s="1190"/>
      <c r="Z217" s="1190"/>
      <c r="AA217" s="1190"/>
      <c r="AB217" s="1241"/>
      <c r="AC217" s="1217"/>
      <c r="AD217" s="1326"/>
    </row>
    <row r="218" spans="18:30" ht="15.6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6">
      <c r="R219" s="1190"/>
      <c r="S219" s="1224"/>
      <c r="T219" s="1279"/>
      <c r="U219" s="1224"/>
      <c r="V219" s="1224"/>
      <c r="W219" s="1294"/>
      <c r="X219" s="1225"/>
      <c r="Y219" s="1190"/>
      <c r="Z219" s="1190"/>
      <c r="AA219" s="1190"/>
      <c r="AB219" s="1241"/>
      <c r="AC219" s="1217"/>
      <c r="AD219" s="1326"/>
    </row>
    <row r="220" spans="18:30" ht="15.6">
      <c r="R220" s="1190"/>
      <c r="S220" s="1224"/>
      <c r="T220" s="1279"/>
      <c r="U220" s="1224"/>
      <c r="V220" s="1224"/>
      <c r="W220" s="1294"/>
      <c r="X220" s="1225"/>
      <c r="Y220" s="1190"/>
      <c r="Z220" s="1190"/>
      <c r="AA220" s="1190"/>
      <c r="AB220" s="1241"/>
      <c r="AC220" s="1217"/>
      <c r="AD220" s="1326"/>
    </row>
    <row r="221" spans="18:30" ht="15.6">
      <c r="R221" s="1190"/>
      <c r="S221" s="1224"/>
      <c r="T221" s="1279"/>
      <c r="U221" s="1224"/>
      <c r="V221" s="1224"/>
      <c r="W221" s="1294"/>
      <c r="X221" s="1225"/>
      <c r="Y221" s="1190"/>
      <c r="Z221" s="1190"/>
      <c r="AA221" s="1190"/>
      <c r="AB221" s="1241"/>
      <c r="AC221" s="1217"/>
      <c r="AD221" s="1326"/>
    </row>
    <row r="222" spans="18:30" ht="15.6">
      <c r="R222" s="1190"/>
      <c r="S222" s="1224"/>
      <c r="T222" s="1279"/>
      <c r="U222" s="1224"/>
      <c r="V222" s="1224"/>
      <c r="W222" s="1294"/>
      <c r="X222" s="1225"/>
      <c r="Y222" s="1190"/>
      <c r="Z222" s="1190"/>
      <c r="AA222" s="1190"/>
      <c r="AB222" s="1241"/>
      <c r="AC222" s="1217"/>
      <c r="AD222" s="1326"/>
    </row>
    <row r="223" spans="18:30" ht="15.6">
      <c r="R223" s="1190"/>
      <c r="S223" s="1224"/>
      <c r="T223" s="1279"/>
      <c r="U223" s="1224"/>
      <c r="V223" s="1224"/>
      <c r="W223" s="1294"/>
      <c r="X223" s="1225"/>
      <c r="Y223" s="1190"/>
      <c r="Z223" s="1190"/>
      <c r="AA223" s="1190"/>
      <c r="AB223" s="1241"/>
      <c r="AC223" s="1217"/>
      <c r="AD223" s="1326"/>
    </row>
    <row r="224" spans="18:30" ht="15.6">
      <c r="R224" s="1190"/>
      <c r="S224" s="1294"/>
      <c r="T224" s="1293"/>
      <c r="U224" s="1190"/>
      <c r="V224" s="1217"/>
      <c r="W224" s="1190"/>
      <c r="X224" s="1191"/>
      <c r="Y224" s="1190"/>
      <c r="Z224" s="1190"/>
      <c r="AA224" s="1190"/>
      <c r="AB224" s="1241"/>
      <c r="AC224" s="1217"/>
      <c r="AD224" s="1326"/>
    </row>
    <row r="225" spans="18:30" ht="15.6">
      <c r="R225" s="1190"/>
      <c r="S225" s="1294"/>
      <c r="T225" s="1293"/>
      <c r="U225" s="1190"/>
      <c r="V225" s="1217"/>
      <c r="W225" s="1190"/>
      <c r="X225" s="1191"/>
      <c r="Y225" s="1190"/>
      <c r="Z225" s="1190"/>
      <c r="AA225" s="1190"/>
      <c r="AB225" s="1241"/>
      <c r="AC225" s="1217"/>
      <c r="AD225" s="1326"/>
    </row>
    <row r="226" spans="18:30" ht="15.6">
      <c r="R226" s="1190"/>
      <c r="S226" s="1294"/>
      <c r="T226" s="1293"/>
      <c r="U226" s="1190"/>
      <c r="V226" s="1217"/>
      <c r="W226" s="1190"/>
      <c r="X226" s="1191"/>
      <c r="Y226" s="1190"/>
      <c r="Z226" s="1190"/>
      <c r="AA226" s="1190"/>
      <c r="AB226" s="1200"/>
      <c r="AC226" s="1217"/>
      <c r="AD226" s="1326"/>
    </row>
    <row r="227" spans="18:30" ht="15.6">
      <c r="R227" s="1190"/>
      <c r="S227" s="1190"/>
      <c r="T227" s="1293"/>
      <c r="U227" s="1190"/>
      <c r="V227" s="1190"/>
      <c r="W227" s="1190"/>
      <c r="X227" s="1191"/>
      <c r="Y227" s="1190"/>
      <c r="Z227" s="1190"/>
      <c r="AA227" s="1190"/>
      <c r="AB227" s="1200"/>
      <c r="AC227" s="1217"/>
      <c r="AD227" s="1326"/>
    </row>
    <row r="228" spans="18:30" ht="15.6">
      <c r="R228" s="1190"/>
      <c r="S228" s="1190"/>
      <c r="T228" s="1293"/>
      <c r="U228" s="1190"/>
      <c r="V228" s="1190"/>
      <c r="W228" s="1190"/>
      <c r="X228" s="1191"/>
      <c r="Y228" s="1190"/>
      <c r="Z228" s="1190"/>
      <c r="AA228" s="1190"/>
      <c r="AB228" s="1200"/>
      <c r="AC228" s="1217"/>
      <c r="AD228" s="1326"/>
    </row>
    <row r="229" spans="18:30" ht="15.6">
      <c r="R229" s="1190"/>
      <c r="S229" s="1190"/>
      <c r="T229" s="1293"/>
      <c r="U229" s="1190"/>
      <c r="V229" s="1190"/>
      <c r="W229" s="1190"/>
      <c r="X229" s="1191"/>
      <c r="Y229" s="1190"/>
      <c r="Z229" s="1190"/>
      <c r="AA229" s="1190"/>
      <c r="AB229" s="1200"/>
      <c r="AC229" s="1217"/>
      <c r="AD229" s="1326"/>
    </row>
    <row r="230" spans="18:30" ht="15.6">
      <c r="R230" s="1190"/>
      <c r="S230" s="1190"/>
      <c r="T230" s="1293"/>
      <c r="U230" s="1190"/>
      <c r="V230" s="1190"/>
      <c r="W230" s="1190"/>
      <c r="X230" s="1191"/>
      <c r="Y230" s="1190"/>
      <c r="Z230" s="1190"/>
      <c r="AA230" s="1190"/>
      <c r="AB230" s="1200"/>
      <c r="AC230" s="1217"/>
      <c r="AD230" s="1326"/>
    </row>
    <row r="231" spans="18:30" ht="15.6">
      <c r="R231" s="1190"/>
      <c r="S231" s="1190"/>
      <c r="T231" s="1293"/>
      <c r="U231" s="1190"/>
      <c r="V231" s="1190"/>
      <c r="W231" s="1190"/>
      <c r="X231" s="1191"/>
      <c r="Y231" s="1190"/>
      <c r="Z231" s="1190"/>
      <c r="AA231" s="1190"/>
      <c r="AB231" s="1200"/>
      <c r="AC231" s="1217"/>
      <c r="AD231" s="1326"/>
    </row>
    <row r="232" spans="18:30" ht="15.6">
      <c r="R232" s="1190"/>
      <c r="S232" s="1190"/>
      <c r="T232" s="1293"/>
      <c r="U232" s="1190"/>
      <c r="V232" s="1190"/>
      <c r="W232" s="1190"/>
      <c r="X232" s="1191"/>
      <c r="Y232" s="1190"/>
      <c r="Z232" s="1190"/>
      <c r="AA232" s="1190"/>
      <c r="AB232" s="1200"/>
      <c r="AC232" s="1217"/>
      <c r="AD232" s="1326"/>
    </row>
    <row r="233" spans="18:30" ht="15.6">
      <c r="R233" s="1190"/>
      <c r="S233" s="1190"/>
      <c r="T233" s="1293"/>
      <c r="U233" s="1190"/>
      <c r="V233" s="1190"/>
      <c r="W233" s="1190"/>
      <c r="X233" s="1191"/>
      <c r="Y233" s="1190"/>
      <c r="Z233" s="1190"/>
      <c r="AA233" s="1190"/>
      <c r="AB233" s="1200"/>
      <c r="AC233" s="1217"/>
      <c r="AD233" s="1326"/>
    </row>
    <row r="234" spans="18:30" ht="15.6">
      <c r="R234" s="1190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200"/>
      <c r="AC234" s="1217"/>
      <c r="AD234" s="1326"/>
    </row>
    <row r="235" spans="18:30" ht="15.6">
      <c r="R235" s="1190"/>
      <c r="S235" s="1190"/>
      <c r="T235" s="1293"/>
      <c r="U235" s="1190"/>
      <c r="V235" s="1190"/>
      <c r="W235" s="1190"/>
      <c r="X235" s="1191"/>
      <c r="Y235" s="1190"/>
      <c r="Z235" s="1190"/>
      <c r="AA235" s="1190"/>
      <c r="AB235" s="1200"/>
      <c r="AC235" s="1217"/>
      <c r="AD235" s="1326"/>
    </row>
    <row r="236" spans="18:30" ht="15.6">
      <c r="R236" s="1190"/>
      <c r="S236" s="1190"/>
      <c r="T236" s="1293"/>
      <c r="U236" s="1190"/>
      <c r="V236" s="1190"/>
      <c r="W236" s="1190"/>
      <c r="X236" s="1191"/>
      <c r="Y236" s="1190"/>
      <c r="Z236" s="1190"/>
      <c r="AA236" s="1190"/>
      <c r="AB236" s="1200"/>
      <c r="AC236" s="1217"/>
      <c r="AD236" s="1326"/>
    </row>
    <row r="237" spans="18:30" ht="15.6">
      <c r="R237" s="1190"/>
      <c r="S237" s="1190"/>
      <c r="T237" s="1293"/>
      <c r="U237" s="1190"/>
      <c r="V237" s="1190"/>
      <c r="W237" s="1190"/>
      <c r="X237" s="1191"/>
      <c r="Y237" s="1190"/>
      <c r="Z237" s="1190"/>
      <c r="AA237" s="1190"/>
      <c r="AB237" s="1200"/>
      <c r="AC237" s="1217"/>
      <c r="AD237" s="1326"/>
    </row>
    <row r="238" spans="18:30">
      <c r="R238" s="1190"/>
      <c r="S238" s="1190"/>
      <c r="T238" s="1293"/>
      <c r="U238" s="1190"/>
      <c r="V238" s="1190"/>
      <c r="W238" s="1190"/>
      <c r="X238" s="1191"/>
      <c r="Y238" s="1190"/>
      <c r="Z238" s="1190"/>
      <c r="AA238" s="1190"/>
      <c r="AB238" s="1190"/>
      <c r="AC238" s="1217"/>
      <c r="AD238" s="1326"/>
    </row>
    <row r="239" spans="18:30" ht="15.6">
      <c r="R239" s="1190"/>
      <c r="S239" s="1190"/>
      <c r="T239" s="1224"/>
      <c r="U239" s="1190"/>
      <c r="V239" s="1190"/>
      <c r="W239" s="1190"/>
      <c r="X239" s="1191"/>
      <c r="Y239" s="1190"/>
      <c r="Z239" s="1217"/>
      <c r="AA239" s="1217"/>
      <c r="AB239" s="1218"/>
      <c r="AC239" s="1190"/>
      <c r="AD239" s="1326"/>
    </row>
    <row r="240" spans="18:30" ht="15.6">
      <c r="R240" s="1190"/>
      <c r="S240" s="1190"/>
      <c r="T240" s="1190"/>
      <c r="U240" s="1190"/>
      <c r="V240" s="1190"/>
      <c r="W240" s="1190"/>
      <c r="X240" s="1191"/>
      <c r="Y240" s="1190"/>
      <c r="Z240" s="1217"/>
      <c r="AA240" s="1217"/>
      <c r="AB240" s="1218"/>
      <c r="AC240" s="1190"/>
      <c r="AD240" s="1326"/>
    </row>
    <row r="241" spans="18:30" ht="15.6">
      <c r="R241" s="1190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0"/>
      <c r="AD241" s="1326"/>
    </row>
    <row r="242" spans="18:30" ht="15.6">
      <c r="R242" s="1190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0"/>
      <c r="AD242" s="1326"/>
    </row>
    <row r="243" spans="18:30" ht="15.6">
      <c r="R243" s="1190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0"/>
      <c r="AD243" s="1326"/>
    </row>
    <row r="244" spans="18:30" ht="15.6">
      <c r="R244" s="1190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0"/>
      <c r="AD244" s="1326"/>
    </row>
    <row r="245" spans="18:30" ht="15.6">
      <c r="R245" s="1190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0"/>
      <c r="AD245" s="1326"/>
    </row>
    <row r="246" spans="18:30" ht="15.6">
      <c r="R246" s="1190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0"/>
      <c r="AD246" s="1326"/>
    </row>
    <row r="247" spans="18:30" ht="15.6">
      <c r="R247" s="81"/>
      <c r="S247" s="81"/>
      <c r="T247" s="81"/>
      <c r="U247" s="81"/>
      <c r="V247" s="1190"/>
      <c r="W247" s="1190"/>
      <c r="X247" s="191"/>
      <c r="Y247" s="81"/>
      <c r="Z247" s="1217"/>
      <c r="AA247" s="1217"/>
      <c r="AB247" s="1218"/>
      <c r="AC247" s="1190"/>
      <c r="AD247" s="1326"/>
    </row>
    <row r="248" spans="18:30" ht="15.6">
      <c r="R248" s="81"/>
      <c r="S248" s="81"/>
      <c r="T248" s="81"/>
      <c r="U248" s="81"/>
      <c r="V248" s="1190"/>
      <c r="W248" s="1190"/>
      <c r="X248" s="1325"/>
      <c r="Y248" s="1190"/>
      <c r="Z248" s="1190"/>
      <c r="AA248" s="1190"/>
      <c r="AB248" s="1218"/>
      <c r="AC248" s="1190"/>
      <c r="AD248" s="1326"/>
    </row>
    <row r="249" spans="18:30" ht="15.6">
      <c r="R249" s="1190"/>
      <c r="S249" s="1190"/>
      <c r="T249" s="1217"/>
      <c r="U249" s="1190"/>
      <c r="V249" s="1190"/>
      <c r="W249" s="1190"/>
      <c r="X249" s="1325"/>
      <c r="Y249" s="1190"/>
      <c r="Z249" s="1190"/>
      <c r="AA249" s="1190"/>
      <c r="AB249" s="1218"/>
      <c r="AC249" s="1190"/>
      <c r="AD249" s="1326"/>
    </row>
    <row r="250" spans="18:30" ht="15.6">
      <c r="R250" s="1190"/>
      <c r="S250" s="1190"/>
      <c r="T250" s="1190"/>
      <c r="U250" s="1190"/>
      <c r="V250" s="1190"/>
      <c r="W250" s="1190"/>
      <c r="X250" s="1190"/>
      <c r="Y250" s="1190"/>
      <c r="Z250" s="1190"/>
      <c r="AA250" s="1190"/>
      <c r="AB250" s="1218"/>
      <c r="AC250" s="1190"/>
      <c r="AD250" s="1326"/>
    </row>
    <row r="251" spans="18:30" ht="15.6">
      <c r="R251" s="1190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0"/>
      <c r="AD251" s="1326"/>
    </row>
    <row r="252" spans="18:30" ht="15.6">
      <c r="R252" s="1330"/>
      <c r="S252" s="1331"/>
      <c r="T252" s="1332"/>
      <c r="U252" s="1331"/>
      <c r="V252" s="1331"/>
      <c r="W252" s="1331"/>
      <c r="X252" s="1333"/>
      <c r="Y252" s="1331"/>
      <c r="Z252" s="1332"/>
      <c r="AA252" s="1332"/>
      <c r="AB252" s="1334"/>
      <c r="AC252" s="1335"/>
      <c r="AD252" s="81"/>
    </row>
    <row r="253" spans="18:30" ht="15.6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6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6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6">
      <c r="R256" s="1189"/>
      <c r="S256" s="1190"/>
      <c r="T256" s="1217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6">
      <c r="R257" s="1189"/>
      <c r="S257" s="1190"/>
      <c r="T257" s="1217"/>
      <c r="U257" s="1190"/>
      <c r="V257" s="1190"/>
      <c r="W257" s="1190"/>
      <c r="X257" s="1191"/>
      <c r="Y257" s="1190"/>
      <c r="Z257" s="1217"/>
      <c r="AA257" s="1217"/>
      <c r="AB257" s="1218"/>
      <c r="AC257" s="1192"/>
      <c r="AD257" s="81"/>
    </row>
    <row r="258" spans="18:30" ht="15.6">
      <c r="R258" s="1189"/>
      <c r="S258" s="1190"/>
      <c r="T258" s="1190"/>
      <c r="U258" s="1190"/>
      <c r="V258" s="1190"/>
      <c r="W258" s="1190"/>
      <c r="X258" s="1191"/>
      <c r="Y258" s="1190"/>
      <c r="Z258" s="1217"/>
      <c r="AA258" s="1217"/>
      <c r="AB258" s="1218"/>
      <c r="AC258" s="1192"/>
      <c r="AD258" s="81"/>
    </row>
    <row r="259" spans="18:30" ht="15.6">
      <c r="R259" s="1189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2"/>
      <c r="AD259" s="81"/>
    </row>
    <row r="260" spans="18:30" ht="15.6">
      <c r="R260" s="1189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2"/>
      <c r="AD260" s="81"/>
    </row>
    <row r="261" spans="18:30" ht="15.6">
      <c r="R261" s="1189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2"/>
      <c r="AD261" s="81"/>
    </row>
    <row r="262" spans="18:30" ht="15.6">
      <c r="R262" s="1189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2"/>
      <c r="AD262" s="81"/>
    </row>
    <row r="263" spans="18:30" ht="15.6">
      <c r="R263" s="1189"/>
      <c r="S263" s="1190"/>
      <c r="T263" s="1190"/>
      <c r="U263" s="1190"/>
      <c r="V263" s="1190"/>
      <c r="W263" s="1190"/>
      <c r="X263" s="1191"/>
      <c r="Y263" s="1190"/>
      <c r="Z263" s="1217"/>
      <c r="AA263" s="1217"/>
      <c r="AB263" s="1218"/>
      <c r="AC263" s="1192"/>
      <c r="AD263" s="81"/>
    </row>
    <row r="264" spans="18:30" ht="15.6">
      <c r="R264" s="1189"/>
      <c r="S264" s="1190"/>
      <c r="T264" s="1190"/>
      <c r="U264" s="1190"/>
      <c r="V264" s="1190"/>
      <c r="W264" s="1190"/>
      <c r="X264" s="1191"/>
      <c r="Y264" s="1190"/>
      <c r="Z264" s="1217"/>
      <c r="AA264" s="1217"/>
      <c r="AB264" s="1218"/>
      <c r="AC264" s="1192"/>
      <c r="AD264" s="81"/>
    </row>
    <row r="265" spans="18:30" ht="15.6">
      <c r="R265" s="1189"/>
      <c r="S265" s="1190"/>
      <c r="T265" s="1190"/>
      <c r="U265" s="1190"/>
      <c r="V265" s="1190"/>
      <c r="W265" s="1190"/>
      <c r="X265" s="1191"/>
      <c r="Y265" s="1190"/>
      <c r="Z265" s="1217"/>
      <c r="AA265" s="1217"/>
      <c r="AB265" s="1218"/>
      <c r="AC265" s="1192"/>
      <c r="AD265" s="81"/>
    </row>
    <row r="266" spans="18:30" ht="15.6">
      <c r="R266" s="1189"/>
      <c r="S266" s="1190"/>
      <c r="T266" s="1217"/>
      <c r="U266" s="1190"/>
      <c r="V266" s="1190"/>
      <c r="W266" s="1190"/>
      <c r="X266" s="1191"/>
      <c r="Y266" s="1190"/>
      <c r="Z266" s="1217"/>
      <c r="AA266" s="1217"/>
      <c r="AB266" s="1218"/>
      <c r="AC266" s="1192"/>
      <c r="AD266" s="81"/>
    </row>
    <row r="267" spans="18:30" ht="15.6">
      <c r="R267" s="1189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2"/>
      <c r="AD267" s="81"/>
    </row>
    <row r="268" spans="18:30" ht="15.6">
      <c r="R268" s="1189"/>
      <c r="S268" s="1190"/>
      <c r="T268" s="1190"/>
      <c r="U268" s="1190"/>
      <c r="V268" s="1190"/>
      <c r="W268" s="1190"/>
      <c r="X268" s="1191"/>
      <c r="Y268" s="1190"/>
      <c r="Z268" s="1217"/>
      <c r="AA268" s="1217"/>
      <c r="AB268" s="1218"/>
      <c r="AC268" s="1192"/>
      <c r="AD268" s="81"/>
    </row>
    <row r="269" spans="18:30" ht="15.6">
      <c r="R269" s="1189"/>
      <c r="S269" s="1190"/>
      <c r="T269" s="1190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6">
      <c r="R270" s="1189"/>
      <c r="S270" s="1190"/>
      <c r="T270" s="1111"/>
      <c r="U270" s="1190"/>
      <c r="V270" s="1190"/>
      <c r="W270" s="1190"/>
      <c r="X270" s="1191"/>
      <c r="Y270" s="1190"/>
      <c r="Z270" s="1106"/>
      <c r="AA270" s="1106"/>
      <c r="AB270" s="1110"/>
      <c r="AC270" s="1192"/>
      <c r="AD270" s="81"/>
    </row>
    <row r="271" spans="18:30" ht="15.6">
      <c r="R271" s="1189"/>
      <c r="S271" s="1190"/>
      <c r="T271" s="1111"/>
      <c r="U271" s="1190"/>
      <c r="V271" s="1190"/>
      <c r="W271" s="1190"/>
      <c r="X271" s="1191"/>
      <c r="Y271" s="1190"/>
      <c r="Z271" s="1190"/>
      <c r="AA271" s="1190"/>
      <c r="AB271" s="1110"/>
      <c r="AC271" s="1192"/>
      <c r="AD271" s="81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81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81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81"/>
    </row>
    <row r="275" spans="18:30">
      <c r="R275" s="1189"/>
      <c r="S275" s="1190"/>
      <c r="T275" s="1106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06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0"/>
      <c r="Z277" s="1190"/>
      <c r="AA277" s="1190"/>
      <c r="AB277" s="1190"/>
      <c r="AC277" s="1192"/>
      <c r="AD277" s="26"/>
    </row>
    <row r="278" spans="18:30">
      <c r="R278" s="1189"/>
      <c r="S278" s="1190"/>
      <c r="T278" s="1106"/>
      <c r="U278" s="1190"/>
      <c r="V278" s="1190"/>
      <c r="W278" s="1190"/>
      <c r="X278" s="1191"/>
      <c r="Y278" s="1190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0"/>
      <c r="Z279" s="1190"/>
      <c r="AA279" s="1190"/>
      <c r="AB279" s="1190"/>
      <c r="AC279" s="1192"/>
      <c r="AD279" s="26"/>
    </row>
    <row r="280" spans="18:30">
      <c r="R280" s="1189"/>
      <c r="S280" s="1190"/>
      <c r="T280" s="1106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06"/>
      <c r="U281" s="1190"/>
      <c r="V281" s="1190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11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06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06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06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06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06"/>
      <c r="U288" s="1190"/>
      <c r="V288" s="1190"/>
      <c r="W288" s="1190"/>
      <c r="X288" s="1193"/>
      <c r="Y288" s="1190"/>
      <c r="Z288" s="1190"/>
      <c r="AA288" s="1190"/>
      <c r="AB288" s="1190"/>
      <c r="AC288" s="1192"/>
      <c r="AD288" s="26"/>
    </row>
    <row r="289" spans="18:30">
      <c r="R289" s="1189"/>
      <c r="S289" s="1190"/>
      <c r="T289" s="1111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26"/>
    </row>
    <row r="290" spans="18:30">
      <c r="R290" s="1194"/>
      <c r="S290" s="1195"/>
      <c r="T290" s="1111"/>
      <c r="U290" s="1195"/>
      <c r="V290" s="1190"/>
      <c r="W290" s="1190"/>
      <c r="X290" s="1196"/>
      <c r="Y290" s="1195"/>
      <c r="Z290" s="1195"/>
      <c r="AA290" s="1195"/>
      <c r="AB290" s="1195"/>
      <c r="AC290" s="1192"/>
      <c r="AD290" s="26"/>
    </row>
    <row r="291" spans="18:30">
      <c r="R291" s="1194"/>
      <c r="S291" s="1195"/>
      <c r="T291" s="1111"/>
      <c r="U291" s="1195"/>
      <c r="V291" s="1190"/>
      <c r="W291" s="1190"/>
      <c r="X291" s="1196"/>
      <c r="Y291" s="1195"/>
      <c r="Z291" s="1195"/>
      <c r="AA291" s="1195"/>
      <c r="AB291" s="1195"/>
      <c r="AC291" s="1192"/>
      <c r="AD291" s="26"/>
    </row>
    <row r="292" spans="18:30">
      <c r="R292" s="1189"/>
      <c r="S292" s="1190"/>
      <c r="T292" s="1111"/>
      <c r="U292" s="1190"/>
      <c r="V292" s="1190"/>
      <c r="W292" s="1190"/>
      <c r="X292" s="1191"/>
      <c r="Y292" s="1195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5"/>
      <c r="Z293" s="1190"/>
      <c r="AA293" s="1190"/>
      <c r="AB293" s="1190"/>
      <c r="AC293" s="1192"/>
      <c r="AD293" s="26"/>
    </row>
    <row r="294" spans="18:30">
      <c r="R294" s="1194"/>
      <c r="S294" s="1195"/>
      <c r="T294" s="1111"/>
      <c r="U294" s="1195"/>
      <c r="V294" s="1195"/>
      <c r="W294" s="1190"/>
      <c r="X294" s="1196"/>
      <c r="Y294" s="1195"/>
      <c r="Z294" s="1195"/>
      <c r="AA294" s="1195"/>
      <c r="AB294" s="1190"/>
      <c r="AC294" s="1192"/>
      <c r="AD294" s="26"/>
    </row>
    <row r="295" spans="18:30">
      <c r="R295" s="1194"/>
      <c r="S295" s="1195"/>
      <c r="T295" s="1106"/>
      <c r="U295" s="1195"/>
      <c r="V295" s="1195"/>
      <c r="W295" s="1195"/>
      <c r="X295" s="1196"/>
      <c r="Y295" s="1195"/>
      <c r="Z295" s="1195"/>
      <c r="AA295" s="1195"/>
      <c r="AB295" s="1195"/>
      <c r="AC295" s="1197"/>
      <c r="AD295" s="26"/>
    </row>
    <row r="296" spans="18:30">
      <c r="R296" s="1189"/>
      <c r="S296" s="1190"/>
      <c r="T296" s="1190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90"/>
      <c r="U297" s="1190"/>
      <c r="V297" s="1195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90"/>
      <c r="U298" s="1190"/>
      <c r="V298" s="1195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90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90"/>
      <c r="U301" s="1190"/>
      <c r="V301" s="1195"/>
      <c r="W301" s="1190"/>
      <c r="X301" s="1191"/>
      <c r="Y301" s="1190"/>
      <c r="Z301" s="1190"/>
      <c r="AA301" s="1190"/>
      <c r="AB301" s="1190"/>
      <c r="AC301" s="1192"/>
      <c r="AD301" s="81"/>
    </row>
    <row r="302" spans="18:30">
      <c r="R302" s="1189"/>
      <c r="S302" s="1190"/>
      <c r="T302" s="1190"/>
      <c r="U302" s="1190"/>
      <c r="V302" s="1195"/>
      <c r="W302" s="1190"/>
      <c r="X302" s="1191"/>
      <c r="Y302" s="1190"/>
      <c r="Z302" s="1190"/>
      <c r="AA302" s="1190"/>
      <c r="AB302" s="1190"/>
      <c r="AC302" s="1192"/>
      <c r="AD302" s="203"/>
    </row>
    <row r="303" spans="18:30">
      <c r="R303" s="1194"/>
      <c r="S303" s="1195"/>
      <c r="T303" s="1195"/>
      <c r="U303" s="1195"/>
      <c r="V303" s="1195"/>
      <c r="W303" s="1195"/>
      <c r="X303" s="1196"/>
      <c r="Y303" s="1195"/>
      <c r="Z303" s="1195"/>
      <c r="AA303" s="1195"/>
      <c r="AB303" s="1195"/>
      <c r="AC303" s="1197"/>
      <c r="AD303" s="203"/>
    </row>
  </sheetData>
  <protectedRanges>
    <protectedRange algorithmName="SHA-512" hashValue="24Yg3M703G5L8OyJWxlkx8c1Gwfrkael5W/l3TUk/Rcz5tR8QOgCx5v0Ebb/UGz+9BDKPJ5wV4hH8uuxvmtGIw==" saltValue="ZSJQ8EEnwGxsiYzxIw6K0Q==" spinCount="100000" sqref="N4:N8 A23:D23 N10:N18 B4:D18 E4:M19 O4:P19 E20:P144" name="Range1_65_32_32_30_30_30_30_30_30_30_30_30_30_30_30_30_30_30_30_30_30_30_30_30"/>
    <protectedRange algorithmName="SHA-512" hashValue="XYWjC+iAz2ErgjMh7TSLHlxfTfK0uVcITDFdCCZFdnsWWbUNnsQqu9AM+0WFXQpYcy9ZvQx2KUXfpLhpOROHkg==" saltValue="47TiGLG0rJVTo3iAJH8T4w==" spinCount="100000" sqref="B24:D144" name="Range2_5_2_2_2_2_2_2_2_2_2_2_2_2_2_2_2"/>
    <protectedRange algorithmName="SHA-512" hashValue="24Yg3M703G5L8OyJWxlkx8c1Gwfrkael5W/l3TUk/Rcz5tR8QOgCx5v0Ebb/UGz+9BDKPJ5wV4hH8uuxvmtGIw==" saltValue="ZSJQ8EEnwGxsiYzxIw6K0Q==" spinCount="100000" sqref="B24:D144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_2"/>
    <protectedRange algorithmName="SHA-512" hashValue="24Yg3M703G5L8OyJWxlkx8c1Gwfrkael5W/l3TUk/Rcz5tR8QOgCx5v0Ebb/UGz+9BDKPJ5wV4hH8uuxvmtGIw==" saltValue="ZSJQ8EEnwGxsiYzxIw6K0Q==" spinCount="100000" sqref="B19:D21" name="Range1_65_32_2_2_2_2_2_2_3_3_2_2_3"/>
  </protectedRanges>
  <mergeCells count="22">
    <mergeCell ref="N8:P9"/>
    <mergeCell ref="F9:H9"/>
    <mergeCell ref="J9:L9"/>
    <mergeCell ref="A10:A11"/>
    <mergeCell ref="B10:D10"/>
    <mergeCell ref="F10:H10"/>
    <mergeCell ref="J10:L10"/>
    <mergeCell ref="N10:P10"/>
    <mergeCell ref="N3:P3"/>
    <mergeCell ref="F1:H1"/>
    <mergeCell ref="J1:L1"/>
    <mergeCell ref="N1:P2"/>
    <mergeCell ref="F2:H2"/>
    <mergeCell ref="J2:L2"/>
    <mergeCell ref="A19:A20"/>
    <mergeCell ref="A3:A4"/>
    <mergeCell ref="B3:D3"/>
    <mergeCell ref="F3:H3"/>
    <mergeCell ref="J3:L3"/>
    <mergeCell ref="B19:D19"/>
    <mergeCell ref="F8:H8"/>
    <mergeCell ref="J8:L8"/>
  </mergeCells>
  <conditionalFormatting sqref="S2:S18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943C-2A17-4C03-A541-F94718606F94}">
  <dimension ref="A1:AG303"/>
  <sheetViews>
    <sheetView showGridLines="0" topLeftCell="O1" zoomScale="55" zoomScaleNormal="55" workbookViewId="0">
      <selection activeCell="R1" sqref="R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16.88671875" bestFit="1" customWidth="1"/>
    <col min="21" max="21" width="12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766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767</v>
      </c>
      <c r="B2" s="733"/>
      <c r="C2" s="733"/>
      <c r="D2" s="733"/>
      <c r="E2" s="735"/>
      <c r="F2" s="1525" t="s">
        <v>768</v>
      </c>
      <c r="G2" s="1525"/>
      <c r="H2" s="1525"/>
      <c r="I2" s="742"/>
      <c r="J2" s="1525" t="s">
        <v>769</v>
      </c>
      <c r="K2" s="1525"/>
      <c r="L2" s="1525"/>
      <c r="M2" s="735"/>
      <c r="N2" s="1526"/>
      <c r="O2" s="1526"/>
      <c r="P2" s="1526"/>
      <c r="R2" s="1369" t="s">
        <v>770</v>
      </c>
      <c r="S2" s="1372">
        <v>3331565735</v>
      </c>
      <c r="T2" s="1264" t="s">
        <v>771</v>
      </c>
      <c r="U2" s="1373">
        <v>24142106</v>
      </c>
      <c r="V2" s="1373" t="s">
        <v>772</v>
      </c>
      <c r="W2" s="1373" t="s">
        <v>362</v>
      </c>
      <c r="X2" s="1374">
        <v>25975.925999999999</v>
      </c>
      <c r="Y2" s="1369" t="s">
        <v>200</v>
      </c>
      <c r="Z2" s="1369">
        <v>1</v>
      </c>
      <c r="AA2" s="1369">
        <v>1</v>
      </c>
      <c r="AB2" s="1369" t="s">
        <v>204</v>
      </c>
      <c r="AC2" s="1217"/>
      <c r="AD2" s="81"/>
      <c r="AE2" s="1243"/>
      <c r="AF2" s="1243"/>
      <c r="AG2" s="1243"/>
    </row>
    <row r="3" spans="1:33" ht="17.399999999999999">
      <c r="A3" s="1582" t="s">
        <v>414</v>
      </c>
      <c r="B3" s="1530" t="s">
        <v>415</v>
      </c>
      <c r="C3" s="1530"/>
      <c r="D3" s="1531"/>
      <c r="E3" s="734"/>
      <c r="F3" s="1529" t="s">
        <v>416</v>
      </c>
      <c r="G3" s="1588"/>
      <c r="H3" s="1589"/>
      <c r="I3" s="734"/>
      <c r="J3" s="1529" t="s">
        <v>416</v>
      </c>
      <c r="K3" s="1588"/>
      <c r="L3" s="1589"/>
      <c r="M3" s="734"/>
      <c r="N3" s="1529" t="s">
        <v>417</v>
      </c>
      <c r="O3" s="1588"/>
      <c r="P3" s="1589"/>
      <c r="R3" s="1369" t="s">
        <v>770</v>
      </c>
      <c r="S3" s="1372">
        <v>3331565761</v>
      </c>
      <c r="T3" s="1264" t="s">
        <v>441</v>
      </c>
      <c r="U3" s="1373">
        <v>24142121</v>
      </c>
      <c r="V3" s="1373" t="s">
        <v>772</v>
      </c>
      <c r="W3" s="1373" t="s">
        <v>703</v>
      </c>
      <c r="X3" s="1374">
        <v>26023.901000000002</v>
      </c>
      <c r="Y3" s="1369" t="s">
        <v>200</v>
      </c>
      <c r="Z3" s="1369">
        <v>1</v>
      </c>
      <c r="AA3" s="1369">
        <v>1</v>
      </c>
      <c r="AB3" s="1369" t="s">
        <v>204</v>
      </c>
      <c r="AC3" s="1271"/>
      <c r="AD3" s="124"/>
      <c r="AE3" s="44"/>
      <c r="AF3" s="44"/>
      <c r="AG3" s="44"/>
    </row>
    <row r="4" spans="1:33" ht="51.75" customHeight="1">
      <c r="A4" s="1590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9" t="s">
        <v>770</v>
      </c>
      <c r="S4" s="1372">
        <v>3331565763</v>
      </c>
      <c r="T4" s="1264" t="s">
        <v>441</v>
      </c>
      <c r="U4" s="1373">
        <v>24142123</v>
      </c>
      <c r="V4" s="1373" t="s">
        <v>772</v>
      </c>
      <c r="W4" s="1373" t="s">
        <v>703</v>
      </c>
      <c r="X4" s="1374">
        <v>25374.385999999999</v>
      </c>
      <c r="Y4" s="1369" t="s">
        <v>200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SUMPRODUCT(--ISNUMBER(MATCH(TRIM(W1:W399), {"JABODETABEK","JAWA TENGAH","JAWA TIMUR","LUAR PULAU"}, 0)), --(AC1:AC399=""))</f>
        <v>39</v>
      </c>
      <c r="C5" s="1303" cm="1">
        <f t="array" ref="C5">SUMPRODUCT(--(LOWER(TRIM(AB1:AB425))="masuk"), --(ISNUMBER(MATCH(TRIM(W1:W425), {"JABODETABEK","JAWA TENGAH","JAWA TIMUR","LUAR PULAU"}, 0))), --(LOWER(AC1:AC425)&lt;&gt;"add"))</f>
        <v>39</v>
      </c>
      <c r="D5" s="1304">
        <f>C5+-B5</f>
        <v>0</v>
      </c>
      <c r="E5" s="734"/>
      <c r="F5" s="1306" cm="1">
        <f t="array" ref="F5">SUMPRODUCT(--(LOWER(AC1:AC425)="add"), --(ISNUMBER(MATCH(W1:W425, {"JABODETABEK","JAWA TENGAH","JAWA TIMUR","LUAR PULAU"}, 0))))</f>
        <v>5</v>
      </c>
      <c r="G5" s="1303" cm="1">
        <f t="array" ref="G5">SUMPRODUCT(--(LOWER(AB1:AB425)="masuk"), --(LOWER(AC1:AC425)="add"))</f>
        <v>5</v>
      </c>
      <c r="H5" s="1304">
        <f>G5+-F5</f>
        <v>0</v>
      </c>
      <c r="I5" s="734"/>
      <c r="J5" s="1306" cm="1">
        <f t="array" ref="J5">SUMPRODUCT(--(ISNUMBER(SEARCH("next day",LOWER(W1:W425)))+ISNUMBER(SEARCH("nextday",LOWER(W1:W425)))&gt; 0))</f>
        <v>41</v>
      </c>
      <c r="K5" s="1303" cm="1">
        <f t="array" ref="K5">SUMPRODUCT(--(LOWER(AB1:AB425)="masuk"), --ISNUMBER(SEARCH("next day", LOWER(W1:W425))))</f>
        <v>41</v>
      </c>
      <c r="L5" s="1304">
        <f>K5+-J5</f>
        <v>0</v>
      </c>
      <c r="M5" s="734"/>
      <c r="N5" s="1306">
        <f>B5+F5+J5</f>
        <v>85</v>
      </c>
      <c r="O5" s="1303">
        <f>C5+G5+K5</f>
        <v>85</v>
      </c>
      <c r="P5" s="1304">
        <f>D5+H5+L5</f>
        <v>0</v>
      </c>
      <c r="R5" s="1369" t="s">
        <v>773</v>
      </c>
      <c r="S5" s="1372">
        <v>3331563596</v>
      </c>
      <c r="T5" s="1369" t="s">
        <v>336</v>
      </c>
      <c r="U5" s="1373">
        <v>24142168</v>
      </c>
      <c r="V5" s="1373" t="s">
        <v>529</v>
      </c>
      <c r="W5" s="1373" t="s">
        <v>434</v>
      </c>
      <c r="X5" s="1374">
        <f>13726.417+4214.637+2052.24+9127.438+7866.92</f>
        <v>36987.652000000002</v>
      </c>
      <c r="Y5" s="1369" t="s">
        <v>128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39</v>
      </c>
      <c r="C6" s="733">
        <f>SUM(C5)</f>
        <v>39</v>
      </c>
      <c r="D6" s="739">
        <f>SUM(D5)</f>
        <v>0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41</v>
      </c>
      <c r="K6" s="733">
        <f>SUM(K5)</f>
        <v>41</v>
      </c>
      <c r="L6" s="739">
        <f>SUM(L5)</f>
        <v>0</v>
      </c>
      <c r="M6" s="733"/>
      <c r="N6" s="760">
        <f>SUM(N5:N5)</f>
        <v>85</v>
      </c>
      <c r="O6" s="760">
        <f>SUM(O5:O5)</f>
        <v>85</v>
      </c>
      <c r="P6" s="761">
        <f>SUM(P5:P5)</f>
        <v>0</v>
      </c>
      <c r="R6" s="1369" t="s">
        <v>773</v>
      </c>
      <c r="S6" s="1372">
        <v>3331565997</v>
      </c>
      <c r="T6" s="1369" t="s">
        <v>256</v>
      </c>
      <c r="U6" s="1373" t="s">
        <v>256</v>
      </c>
      <c r="V6" s="1373" t="s">
        <v>256</v>
      </c>
      <c r="W6" s="1373" t="s">
        <v>256</v>
      </c>
      <c r="X6" s="1374" t="s">
        <v>256</v>
      </c>
      <c r="Y6" s="1369" t="s">
        <v>256</v>
      </c>
      <c r="Z6" s="1369" t="s">
        <v>256</v>
      </c>
      <c r="AA6" s="1369" t="s">
        <v>256</v>
      </c>
      <c r="AB6" s="1369" t="s">
        <v>256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9" t="s">
        <v>773</v>
      </c>
      <c r="S7" s="1372">
        <v>3331566000</v>
      </c>
      <c r="T7" s="1369" t="s">
        <v>256</v>
      </c>
      <c r="U7" s="1373" t="s">
        <v>256</v>
      </c>
      <c r="V7" s="1373" t="s">
        <v>256</v>
      </c>
      <c r="W7" s="1373" t="s">
        <v>256</v>
      </c>
      <c r="X7" s="1374" t="s">
        <v>256</v>
      </c>
      <c r="Y7" s="1369" t="s">
        <v>256</v>
      </c>
      <c r="Z7" s="1369" t="s">
        <v>256</v>
      </c>
      <c r="AA7" s="1369" t="s">
        <v>256</v>
      </c>
      <c r="AB7" s="1369" t="s">
        <v>256</v>
      </c>
      <c r="AC7" s="1217"/>
      <c r="AD7" s="81"/>
      <c r="AE7" s="44"/>
      <c r="AF7" s="44"/>
      <c r="AG7" s="44"/>
    </row>
    <row r="8" spans="1:33" ht="17.399999999999999">
      <c r="A8" s="763" t="str">
        <f>A1</f>
        <v xml:space="preserve">Plan Delivery 31 Okt - 02 Nov 2025 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69" t="s">
        <v>452</v>
      </c>
      <c r="S8" s="1372">
        <v>3331566006</v>
      </c>
      <c r="T8" s="1369" t="s">
        <v>256</v>
      </c>
      <c r="U8" s="1373" t="s">
        <v>256</v>
      </c>
      <c r="V8" s="1373" t="s">
        <v>256</v>
      </c>
      <c r="W8" s="1373" t="s">
        <v>256</v>
      </c>
      <c r="X8" s="1374" t="s">
        <v>256</v>
      </c>
      <c r="Y8" s="1369" t="s">
        <v>256</v>
      </c>
      <c r="Z8" s="1369" t="s">
        <v>256</v>
      </c>
      <c r="AA8" s="1369" t="s">
        <v>256</v>
      </c>
      <c r="AB8" s="1369" t="s">
        <v>256</v>
      </c>
      <c r="AC8" s="1271"/>
      <c r="AD8" s="81"/>
      <c r="AE8" s="44"/>
      <c r="AF8" s="44"/>
      <c r="AG8" s="44"/>
    </row>
    <row r="9" spans="1:33" ht="18">
      <c r="A9" s="763" t="str">
        <f>A2</f>
        <v>Realz update 03 Nov’25 jam 07.00</v>
      </c>
      <c r="B9" s="825"/>
      <c r="C9" s="825"/>
      <c r="D9" s="825"/>
      <c r="E9" s="734"/>
      <c r="F9" s="1525" t="str">
        <f>F2</f>
        <v>Tgl 02 Nov’25 diatas jam 15.00</v>
      </c>
      <c r="G9" s="1525"/>
      <c r="H9" s="1525"/>
      <c r="I9" s="826"/>
      <c r="J9" s="1525" t="str">
        <f>J2</f>
        <v>Tgl 02 Nov’25</v>
      </c>
      <c r="K9" s="1525"/>
      <c r="L9" s="1525"/>
      <c r="M9" s="734"/>
      <c r="N9" s="1526"/>
      <c r="O9" s="1526"/>
      <c r="P9" s="1526"/>
      <c r="R9" s="1369" t="s">
        <v>773</v>
      </c>
      <c r="S9" s="1372">
        <v>3331566007</v>
      </c>
      <c r="T9" s="1369" t="s">
        <v>256</v>
      </c>
      <c r="U9" s="1373" t="s">
        <v>256</v>
      </c>
      <c r="V9" s="1373" t="s">
        <v>256</v>
      </c>
      <c r="W9" s="1373" t="s">
        <v>256</v>
      </c>
      <c r="X9" s="1374" t="s">
        <v>256</v>
      </c>
      <c r="Y9" s="1369" t="s">
        <v>256</v>
      </c>
      <c r="Z9" s="1369" t="s">
        <v>256</v>
      </c>
      <c r="AA9" s="1369" t="s">
        <v>256</v>
      </c>
      <c r="AB9" s="1369" t="s">
        <v>256</v>
      </c>
      <c r="AC9" s="1271"/>
      <c r="AD9" s="81"/>
      <c r="AE9" s="44"/>
      <c r="AF9" s="44"/>
      <c r="AG9" s="44"/>
    </row>
    <row r="10" spans="1:33" ht="17.399999999999999">
      <c r="A10" s="1541" t="s">
        <v>194</v>
      </c>
      <c r="B10" s="1529" t="s">
        <v>415</v>
      </c>
      <c r="C10" s="1529"/>
      <c r="D10" s="1591"/>
      <c r="E10" s="734"/>
      <c r="F10" s="1529" t="s">
        <v>416</v>
      </c>
      <c r="G10" s="1529"/>
      <c r="H10" s="1591"/>
      <c r="I10" s="734"/>
      <c r="J10" s="1529" t="s">
        <v>416</v>
      </c>
      <c r="K10" s="1588"/>
      <c r="L10" s="1589"/>
      <c r="M10" s="734"/>
      <c r="N10" s="1529" t="s">
        <v>417</v>
      </c>
      <c r="O10" s="1529"/>
      <c r="P10" s="1591"/>
      <c r="R10" s="1369" t="s">
        <v>773</v>
      </c>
      <c r="S10" s="1372">
        <v>3331566011</v>
      </c>
      <c r="T10" s="1369" t="s">
        <v>256</v>
      </c>
      <c r="U10" s="1373" t="s">
        <v>256</v>
      </c>
      <c r="V10" s="1373" t="s">
        <v>256</v>
      </c>
      <c r="W10" s="1373" t="s">
        <v>256</v>
      </c>
      <c r="X10" s="1374" t="s">
        <v>256</v>
      </c>
      <c r="Y10" s="1369" t="s">
        <v>256</v>
      </c>
      <c r="Z10" s="1369" t="s">
        <v>256</v>
      </c>
      <c r="AA10" s="1369" t="s">
        <v>256</v>
      </c>
      <c r="AB10" s="1369" t="s">
        <v>256</v>
      </c>
      <c r="AC10" s="1271"/>
      <c r="AD10" s="81"/>
      <c r="AE10" s="44"/>
      <c r="AF10" s="44"/>
      <c r="AG10" s="44"/>
    </row>
    <row r="11" spans="1:33" ht="39" customHeight="1">
      <c r="A11" s="1527"/>
      <c r="B11" s="1429" t="s">
        <v>419</v>
      </c>
      <c r="C11" s="1429" t="s">
        <v>420</v>
      </c>
      <c r="D11" s="1430" t="s">
        <v>421</v>
      </c>
      <c r="E11" s="734"/>
      <c r="F11" s="1429" t="s">
        <v>422</v>
      </c>
      <c r="G11" s="1429" t="s">
        <v>420</v>
      </c>
      <c r="H11" s="1430" t="s">
        <v>421</v>
      </c>
      <c r="I11" s="734"/>
      <c r="J11" s="1429" t="s">
        <v>310</v>
      </c>
      <c r="K11" s="1430" t="s">
        <v>420</v>
      </c>
      <c r="L11" s="1433" t="s">
        <v>421</v>
      </c>
      <c r="M11" s="734"/>
      <c r="N11" s="1428" t="s">
        <v>423</v>
      </c>
      <c r="O11" s="1429" t="s">
        <v>420</v>
      </c>
      <c r="P11" s="1430" t="s">
        <v>421</v>
      </c>
      <c r="R11" s="1369" t="s">
        <v>774</v>
      </c>
      <c r="S11" s="1372">
        <v>3331566279</v>
      </c>
      <c r="T11" s="1264" t="s">
        <v>441</v>
      </c>
      <c r="U11" s="1373">
        <v>24142209</v>
      </c>
      <c r="V11" s="1373" t="s">
        <v>772</v>
      </c>
      <c r="W11" s="1373" t="s">
        <v>703</v>
      </c>
      <c r="X11" s="1374">
        <v>24771.743999999999</v>
      </c>
      <c r="Y11" s="1369" t="s">
        <v>200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SUMPRODUCT(--(TRIM(LOWER(W1:W425))="jabodetabek"), --(LOWER(AC1:AC425)&lt;&gt;"add"))</f>
        <v>25</v>
      </c>
      <c r="C12" s="748" cm="1">
        <f t="array" ref="C12">SUMPRODUCT(--(LOWER(AB1:AB425)="masuk"), --(TRIM(LOWER(W1:W425))="jabodetabek"), --(LOWER(AC1:AC425)&lt;&gt;"add"))</f>
        <v>25</v>
      </c>
      <c r="D12" s="973">
        <f>C12+-B12</f>
        <v>0</v>
      </c>
      <c r="E12" s="734"/>
      <c r="F12" s="748" cm="1">
        <f t="array" ref="F12">SUMPRODUCT(--(LOWER(AC1:AC425)="add"), --(TRIM(LOWER(W1:W425))="jabodetabek"))</f>
        <v>0</v>
      </c>
      <c r="G12" s="747" cm="1">
        <f t="array" ref="G12">SUMPRODUCT(--(LOWER(AB1:AB425)="masuk"), --(LOWER(AC1:AC425)="add"), --(TRIM(LOWER(W1:W425))="jabodetabek"))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day",LOWER(W1:W425)))+ISNUMBER(SEARCH("jabodetabek nextday",LOWER(W1:W425)))&gt; 0))</f>
        <v>11</v>
      </c>
      <c r="K12" s="747" cm="1">
        <f t="array" ref="K12">SUMPRODUCT(--(LOWER(AB1:AB425)="masuk"), --(LOWER(TRIM(W1:W425))="jabodetabek next day"))</f>
        <v>11</v>
      </c>
      <c r="L12" s="740">
        <f>K12+-J12</f>
        <v>0</v>
      </c>
      <c r="M12" s="734"/>
      <c r="N12" s="748">
        <f t="shared" ref="N12:P16" si="0">B12+F12+J12</f>
        <v>36</v>
      </c>
      <c r="O12" s="747">
        <f t="shared" si="0"/>
        <v>36</v>
      </c>
      <c r="P12" s="740">
        <f t="shared" si="0"/>
        <v>0</v>
      </c>
      <c r="R12" s="1369" t="s">
        <v>774</v>
      </c>
      <c r="S12" s="1372">
        <v>3331566281</v>
      </c>
      <c r="T12" s="1264" t="s">
        <v>771</v>
      </c>
      <c r="U12" s="1373">
        <v>24142210</v>
      </c>
      <c r="V12" s="1373" t="s">
        <v>772</v>
      </c>
      <c r="W12" s="1373" t="s">
        <v>703</v>
      </c>
      <c r="X12" s="1374">
        <v>24599.718000000001</v>
      </c>
      <c r="Y12" s="1369" t="s">
        <v>200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SUMPRODUCT(--(TRIM(LOWER(W1:W425))="jawa tengah"), --(LOWER(AC1:AC425)&lt;&gt;"add"))</f>
        <v>2</v>
      </c>
      <c r="C13" s="750" cm="1">
        <f t="array" ref="C13">SUMPRODUCT(--(LOWER(AB1:AB425)="masuk"), --(TRIM(LOWER(W1:W425))="jawa tengah"), --(LOWER(AC1:AC425)&lt;&gt;"add"))</f>
        <v>2</v>
      </c>
      <c r="D13" s="846">
        <f>C13+-B13</f>
        <v>0</v>
      </c>
      <c r="E13" s="734"/>
      <c r="F13" s="751" cm="1">
        <f t="array" ref="F13">SUMPRODUCT(--(LOWER(AC1:AC425)="add"), --(TRIM(LOWER(W1:W425))="jawa tengah"))</f>
        <v>0</v>
      </c>
      <c r="G13" s="747" cm="1">
        <f t="array" ref="G13">SUMPRODUCT(--(LOWER(AB1:AB425)="masuk"), --(LOWER(AC1:AC425)="add"), --(TRIM(LOWER(W1:W425))="jawa tengah"))</f>
        <v>0</v>
      </c>
      <c r="H13" s="740">
        <f>G13+-F13</f>
        <v>0</v>
      </c>
      <c r="I13" s="734"/>
      <c r="J13" s="748" cm="1">
        <f t="array" ref="J13">SUMPRODUCT(--((LOWER(TRIM(W1:W425))="jawa tengah next day")+(LOWER(TRIM(W1:W425))="jawa tengah nextday")))</f>
        <v>15</v>
      </c>
      <c r="K13" s="747" cm="1">
        <f t="array" ref="K13">SUMPRODUCT(--(LOWER(AB1:AB425)="masuk"), --(LOWER(TRIM(W1:W425))="jawa tengah next day"))</f>
        <v>15</v>
      </c>
      <c r="L13" s="740">
        <f>K13+-J13</f>
        <v>0</v>
      </c>
      <c r="M13" s="734"/>
      <c r="N13" s="748">
        <f t="shared" si="0"/>
        <v>17</v>
      </c>
      <c r="O13" s="747">
        <f t="shared" si="0"/>
        <v>17</v>
      </c>
      <c r="P13" s="740">
        <f t="shared" si="0"/>
        <v>0</v>
      </c>
      <c r="R13" s="1261" t="s">
        <v>774</v>
      </c>
      <c r="S13" s="1261">
        <v>3331566292</v>
      </c>
      <c r="T13" s="1264" t="s">
        <v>27</v>
      </c>
      <c r="U13" s="1261">
        <v>24142215</v>
      </c>
      <c r="V13" s="1373" t="s">
        <v>772</v>
      </c>
      <c r="W13" s="1373" t="s">
        <v>362</v>
      </c>
      <c r="X13" s="1267">
        <v>25588.866999999998</v>
      </c>
      <c r="Y13" s="1369" t="s">
        <v>200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SUMPRODUCT(--(TRIM(LOWER(W1:W425))="jawa timur"), --(LOWER(AC1:AC425)&lt;&gt;"add"))</f>
        <v>9</v>
      </c>
      <c r="C14" s="750" cm="1">
        <f t="array" ref="C14">SUMPRODUCT(--(LOWER(AB1:AB425)="masuk"), --(TRIM(LOWER(W1:W425))="jawa timur"), --(LOWER(AC1:AC425)&lt;&gt;"add"))</f>
        <v>9</v>
      </c>
      <c r="D14" s="846">
        <f>C14+-B14</f>
        <v>0</v>
      </c>
      <c r="E14" s="734"/>
      <c r="F14" s="750" cm="1">
        <f t="array" ref="F14">SUMPRODUCT(--(LOWER(AC1:AC425)="add"), --(TRIM(LOWER(W1:W425))="jawa timur"))</f>
        <v>4</v>
      </c>
      <c r="G14" s="747" cm="1">
        <f t="array" ref="G14">SUMPRODUCT(--(LOWER(AB1:AB425)="masuk"), --(LOWER(AC1:AC425)="add"), --(TRIM(LOWER(W1:W425))="jawa timur"))</f>
        <v>4</v>
      </c>
      <c r="H14" s="740">
        <f>G14+-F14</f>
        <v>0</v>
      </c>
      <c r="I14" s="734"/>
      <c r="J14" s="748" cm="1">
        <f t="array" ref="J14">SUMPRODUCT(--((LOWER(TRIM(W1:W425))="jawa timur next day")+(LOWER(TRIM(W1:W425))="jawa timur nextday")))</f>
        <v>0</v>
      </c>
      <c r="K14" s="747" cm="1">
        <f t="array" ref="K14">SUMPRODUCT(--(LOWER(AB1:AB425)="masuk"), --(LOWER(TRIM(W1:W425))="jawa timur next day"))</f>
        <v>0</v>
      </c>
      <c r="L14" s="740">
        <f>K14+-J14</f>
        <v>0</v>
      </c>
      <c r="M14" s="734"/>
      <c r="N14" s="748">
        <f t="shared" si="0"/>
        <v>13</v>
      </c>
      <c r="O14" s="747">
        <f t="shared" si="0"/>
        <v>13</v>
      </c>
      <c r="P14" s="740">
        <f t="shared" si="0"/>
        <v>0</v>
      </c>
      <c r="R14" s="1261" t="s">
        <v>774</v>
      </c>
      <c r="S14" s="1261">
        <v>3331566304</v>
      </c>
      <c r="T14" s="1264" t="s">
        <v>775</v>
      </c>
      <c r="U14" s="1261">
        <v>24142217</v>
      </c>
      <c r="V14" s="1373" t="s">
        <v>772</v>
      </c>
      <c r="W14" s="1373" t="s">
        <v>362</v>
      </c>
      <c r="X14" s="1267">
        <f>1861.943+22578.664</f>
        <v>24440.607</v>
      </c>
      <c r="Y14" s="1369" t="s">
        <v>200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SUMPRODUCT(--(TRIM(LOWER(W1:W425))="luar pulau"), --(LOWER(AC1:AC425)&lt;&gt;"add"))</f>
        <v>3</v>
      </c>
      <c r="C15" s="750" cm="1">
        <f t="array" ref="C15">SUMPRODUCT(--(LOWER(AB1:AB425)="masuk"), --(TRIM(LOWER(W1:W425))="luar pulau"), --(LOWER(AC1:AC425)&lt;&gt;"add"))</f>
        <v>3</v>
      </c>
      <c r="D15" s="846">
        <f>C15+-B15</f>
        <v>0</v>
      </c>
      <c r="E15" s="734"/>
      <c r="F15" s="748" cm="1">
        <f t="array" ref="F15">SUMPRODUCT(--(LOWER(AC1:AC425)="add"), --(TRIM(LOWER(W1:W425))="luar pulau"))</f>
        <v>1</v>
      </c>
      <c r="G15" s="747" cm="1">
        <f t="array" ref="G15">SUMPRODUCT(--(LOWER(AB1:AB425)="masuk"), --(LOWER(AC1:AC425)="add"), --(TRIM(LOWER(W1:W425))="luar pulau"))</f>
        <v>1</v>
      </c>
      <c r="H15" s="740">
        <f>G15+-F15</f>
        <v>0</v>
      </c>
      <c r="I15" s="734"/>
      <c r="J15" s="748" cm="1">
        <f t="array" ref="J15">SUMPRODUCT(--((LOWER(TRIM(W1:W425))="luar pulau next day")+(LOWER(TRIM(W1:W425))="luar pulau nextday")))</f>
        <v>15</v>
      </c>
      <c r="K15" s="747" cm="1">
        <f t="array" ref="K15">SUMPRODUCT(--(LOWER(AB1:AB425)="masuk"), --(LOWER(TRIM(W1:W425))="luar pulau next day"))</f>
        <v>15</v>
      </c>
      <c r="L15" s="740">
        <f>K15+-J15</f>
        <v>0</v>
      </c>
      <c r="M15" s="734"/>
      <c r="N15" s="748">
        <f t="shared" si="0"/>
        <v>19</v>
      </c>
      <c r="O15" s="747">
        <f t="shared" si="0"/>
        <v>19</v>
      </c>
      <c r="P15" s="740">
        <f t="shared" si="0"/>
        <v>0</v>
      </c>
      <c r="R15" s="1261" t="s">
        <v>774</v>
      </c>
      <c r="S15" s="1261">
        <v>3331566306</v>
      </c>
      <c r="T15" s="1261" t="s">
        <v>256</v>
      </c>
      <c r="U15" s="1261" t="s">
        <v>256</v>
      </c>
      <c r="V15" s="1373" t="s">
        <v>256</v>
      </c>
      <c r="W15" s="1373" t="s">
        <v>256</v>
      </c>
      <c r="X15" s="1267" t="s">
        <v>256</v>
      </c>
      <c r="Y15" s="1261" t="s">
        <v>256</v>
      </c>
      <c r="Z15" s="1261" t="s">
        <v>256</v>
      </c>
      <c r="AA15" s="1261" t="s">
        <v>256</v>
      </c>
      <c r="AB15" s="1261" t="s">
        <v>256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39</v>
      </c>
      <c r="C16" s="733">
        <f>SUM(C12:C15)</f>
        <v>39</v>
      </c>
      <c r="D16" s="739">
        <f>SUM(D12:D15)</f>
        <v>0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41</v>
      </c>
      <c r="K16" s="733">
        <f>SUM(K12:K15)</f>
        <v>41</v>
      </c>
      <c r="L16" s="739">
        <f>SUM(L12:L15)</f>
        <v>0</v>
      </c>
      <c r="M16" s="734"/>
      <c r="N16" s="760">
        <f t="shared" si="0"/>
        <v>85</v>
      </c>
      <c r="O16" s="760">
        <f t="shared" si="0"/>
        <v>85</v>
      </c>
      <c r="P16" s="761">
        <f t="shared" si="0"/>
        <v>0</v>
      </c>
      <c r="R16" s="1369" t="s">
        <v>774</v>
      </c>
      <c r="S16" s="1372">
        <v>3331566379</v>
      </c>
      <c r="T16" s="1369" t="s">
        <v>776</v>
      </c>
      <c r="U16" s="1373">
        <v>24142239</v>
      </c>
      <c r="V16" s="1373" t="s">
        <v>729</v>
      </c>
      <c r="W16" s="1373" t="s">
        <v>203</v>
      </c>
      <c r="X16" s="1374">
        <f>35171.772+2064.312</f>
        <v>37236.083999999995</v>
      </c>
      <c r="Y16" s="1261" t="s">
        <v>128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9" t="s">
        <v>774</v>
      </c>
      <c r="S17" s="1372">
        <v>3331566399</v>
      </c>
      <c r="T17" s="1369" t="s">
        <v>256</v>
      </c>
      <c r="U17" s="1373" t="s">
        <v>256</v>
      </c>
      <c r="V17" s="1373" t="s">
        <v>256</v>
      </c>
      <c r="W17" s="1373" t="s">
        <v>256</v>
      </c>
      <c r="X17" s="1374" t="s">
        <v>256</v>
      </c>
      <c r="Y17" s="1369" t="s">
        <v>256</v>
      </c>
      <c r="Z17" s="1370" t="s">
        <v>256</v>
      </c>
      <c r="AA17" s="1369" t="s">
        <v>256</v>
      </c>
      <c r="AB17" s="1369" t="s">
        <v>256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434" t="s">
        <v>774</v>
      </c>
      <c r="S18" s="1434">
        <v>3331566518</v>
      </c>
      <c r="T18" s="1264" t="s">
        <v>771</v>
      </c>
      <c r="U18" s="1434">
        <v>24142279</v>
      </c>
      <c r="V18" s="1373" t="s">
        <v>772</v>
      </c>
      <c r="W18" s="1373" t="s">
        <v>362</v>
      </c>
      <c r="X18" s="1435">
        <v>25295.170999999998</v>
      </c>
      <c r="Y18" s="1261" t="s">
        <v>200</v>
      </c>
      <c r="Z18" s="1261">
        <v>1</v>
      </c>
      <c r="AA18" s="1261">
        <v>1</v>
      </c>
      <c r="AB18" s="1369" t="s">
        <v>204</v>
      </c>
      <c r="AC18" s="1365" t="s">
        <v>422</v>
      </c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61" t="s">
        <v>765</v>
      </c>
      <c r="S19" s="1261">
        <v>3331566742</v>
      </c>
      <c r="T19" s="1264" t="s">
        <v>608</v>
      </c>
      <c r="U19" s="1261">
        <v>24142297</v>
      </c>
      <c r="V19" s="1202" t="s">
        <v>772</v>
      </c>
      <c r="W19" s="1373" t="s">
        <v>703</v>
      </c>
      <c r="X19" s="1267">
        <v>23310.780999999999</v>
      </c>
      <c r="Y19" s="1261" t="s">
        <v>200</v>
      </c>
      <c r="Z19" s="1261">
        <v>1</v>
      </c>
      <c r="AA19" s="1261">
        <v>1</v>
      </c>
      <c r="AB19" s="1369" t="s">
        <v>204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261" t="s">
        <v>765</v>
      </c>
      <c r="S20" s="1261">
        <v>3331566752</v>
      </c>
      <c r="T20" s="1264" t="s">
        <v>27</v>
      </c>
      <c r="U20" s="1261">
        <v>24142298</v>
      </c>
      <c r="V20" s="1202" t="s">
        <v>772</v>
      </c>
      <c r="W20" s="1373" t="s">
        <v>703</v>
      </c>
      <c r="X20" s="1267">
        <v>23907.083999999999</v>
      </c>
      <c r="Y20" s="1261" t="s">
        <v>200</v>
      </c>
      <c r="Z20" s="1261">
        <v>1</v>
      </c>
      <c r="AA20" s="1261">
        <v>1</v>
      </c>
      <c r="AB20" s="1369" t="s">
        <v>204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SUMPRODUCT(--((LOWER(TRIM($W$2:$W$264))="ambil sendiri")+(LOWER(TRIM($W$2:$W$264))="cokot sorangan")))</f>
        <v>1</v>
      </c>
      <c r="C21" s="969" cm="1">
        <f t="array" ref="C21">SUMPRODUCT(--(LOWER(AB6:AB294)="masuk"), --((LOWER(TRIM($W$2:$W$290))="cokot sorangan") + (LOWER(TRIM(W6:W294))="ambil sendiri")))</f>
        <v>0</v>
      </c>
      <c r="D21" s="741">
        <f>C21+-B21</f>
        <v>-1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261" t="s">
        <v>765</v>
      </c>
      <c r="S21" s="1261">
        <v>3331566760</v>
      </c>
      <c r="T21" s="1264" t="s">
        <v>599</v>
      </c>
      <c r="U21" s="1261">
        <v>24142299</v>
      </c>
      <c r="V21" s="1202" t="s">
        <v>772</v>
      </c>
      <c r="W21" s="1373" t="s">
        <v>703</v>
      </c>
      <c r="X21" s="1267">
        <v>23438.542000000001</v>
      </c>
      <c r="Y21" s="1261" t="s">
        <v>200</v>
      </c>
      <c r="Z21" s="1261">
        <v>1</v>
      </c>
      <c r="AA21" s="1261">
        <v>1</v>
      </c>
      <c r="AB21" s="1369" t="s">
        <v>204</v>
      </c>
      <c r="AC21" s="1271"/>
      <c r="AD21" s="81"/>
    </row>
    <row r="22" spans="1:30" s="44" customFormat="1" ht="17.399999999999999">
      <c r="A22" s="993"/>
      <c r="B22" s="1021"/>
      <c r="C22" s="1021"/>
      <c r="D22" s="1021"/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61" t="s">
        <v>765</v>
      </c>
      <c r="S22" s="1261">
        <v>3331566761</v>
      </c>
      <c r="T22" s="1264" t="s">
        <v>599</v>
      </c>
      <c r="U22" s="1261">
        <v>24142300</v>
      </c>
      <c r="V22" s="1202" t="s">
        <v>772</v>
      </c>
      <c r="W22" s="1373" t="s">
        <v>703</v>
      </c>
      <c r="X22" s="1267">
        <v>23472.494999999999</v>
      </c>
      <c r="Y22" s="1261" t="s">
        <v>200</v>
      </c>
      <c r="Z22" s="1261">
        <v>1</v>
      </c>
      <c r="AA22" s="1261">
        <v>1</v>
      </c>
      <c r="AB22" s="1369" t="s">
        <v>204</v>
      </c>
      <c r="AC22" s="1271"/>
      <c r="AD22" s="81"/>
    </row>
    <row r="23" spans="1:30" s="44" customFormat="1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61" t="s">
        <v>765</v>
      </c>
      <c r="S23" s="1261">
        <v>3331566746</v>
      </c>
      <c r="T23" s="1264" t="s">
        <v>27</v>
      </c>
      <c r="U23" s="1261">
        <v>24142301</v>
      </c>
      <c r="V23" s="1202" t="s">
        <v>446</v>
      </c>
      <c r="W23" s="1261" t="s">
        <v>205</v>
      </c>
      <c r="X23" s="1267">
        <f>27938.884+2314.806</f>
        <v>30253.69</v>
      </c>
      <c r="Y23" s="1261" t="s">
        <v>128</v>
      </c>
      <c r="Z23" s="1261">
        <v>1</v>
      </c>
      <c r="AA23" s="1261">
        <v>1</v>
      </c>
      <c r="AB23" s="1369" t="s">
        <v>204</v>
      </c>
      <c r="AC23" s="1271"/>
      <c r="AD23" s="81"/>
    </row>
    <row r="24" spans="1:30" s="44" customFormat="1" ht="17.399999999999999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61" t="s">
        <v>765</v>
      </c>
      <c r="S24" s="1261">
        <v>3331566747</v>
      </c>
      <c r="T24" s="1261" t="s">
        <v>256</v>
      </c>
      <c r="U24" s="1261" t="s">
        <v>256</v>
      </c>
      <c r="V24" s="1202" t="s">
        <v>256</v>
      </c>
      <c r="W24" s="1261" t="s">
        <v>256</v>
      </c>
      <c r="X24" s="1267" t="s">
        <v>256</v>
      </c>
      <c r="Y24" s="1261" t="s">
        <v>256</v>
      </c>
      <c r="Z24" s="1261" t="s">
        <v>256</v>
      </c>
      <c r="AA24" s="1261" t="s">
        <v>256</v>
      </c>
      <c r="AB24" s="1261" t="s">
        <v>256</v>
      </c>
      <c r="AC24" s="1271"/>
      <c r="AD24" s="81"/>
    </row>
    <row r="25" spans="1:30" s="44" customFormat="1" ht="17.399999999999999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61" t="s">
        <v>765</v>
      </c>
      <c r="S25" s="1261">
        <v>3331566787</v>
      </c>
      <c r="T25" s="1264" t="s">
        <v>27</v>
      </c>
      <c r="U25" s="1261">
        <v>24142302</v>
      </c>
      <c r="V25" s="1202" t="s">
        <v>772</v>
      </c>
      <c r="W25" s="1373" t="s">
        <v>703</v>
      </c>
      <c r="X25" s="1267">
        <v>23340.453000000001</v>
      </c>
      <c r="Y25" s="1261" t="s">
        <v>200</v>
      </c>
      <c r="Z25" s="1261">
        <v>1</v>
      </c>
      <c r="AA25" s="1261">
        <v>1</v>
      </c>
      <c r="AB25" s="1369" t="s">
        <v>204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61" t="s">
        <v>765</v>
      </c>
      <c r="S26" s="1261">
        <v>3331566789</v>
      </c>
      <c r="T26" s="1264" t="s">
        <v>27</v>
      </c>
      <c r="U26" s="1261">
        <v>24142305</v>
      </c>
      <c r="V26" s="1202" t="s">
        <v>772</v>
      </c>
      <c r="W26" s="1373" t="s">
        <v>703</v>
      </c>
      <c r="X26" s="1267">
        <v>25287.784</v>
      </c>
      <c r="Y26" s="1261" t="s">
        <v>200</v>
      </c>
      <c r="Z26" s="1261">
        <v>1</v>
      </c>
      <c r="AA26" s="1261">
        <v>1</v>
      </c>
      <c r="AB26" s="1369" t="s">
        <v>204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61" t="s">
        <v>765</v>
      </c>
      <c r="S27" s="1261">
        <v>3331566795</v>
      </c>
      <c r="T27" s="1264" t="s">
        <v>27</v>
      </c>
      <c r="U27" s="1261">
        <v>24142308</v>
      </c>
      <c r="V27" s="1202" t="s">
        <v>772</v>
      </c>
      <c r="W27" s="1373" t="s">
        <v>703</v>
      </c>
      <c r="X27" s="1267">
        <v>22516.52</v>
      </c>
      <c r="Y27" s="1261" t="s">
        <v>200</v>
      </c>
      <c r="Z27" s="1261">
        <v>1</v>
      </c>
      <c r="AA27" s="1261">
        <v>1</v>
      </c>
      <c r="AB27" s="1369" t="s">
        <v>204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61" t="s">
        <v>765</v>
      </c>
      <c r="S28" s="1261">
        <v>3331566798</v>
      </c>
      <c r="T28" s="1264" t="s">
        <v>27</v>
      </c>
      <c r="U28" s="1261">
        <v>24142309</v>
      </c>
      <c r="V28" s="1202" t="s">
        <v>772</v>
      </c>
      <c r="W28" s="1373" t="s">
        <v>703</v>
      </c>
      <c r="X28" s="1267">
        <v>22516.52</v>
      </c>
      <c r="Y28" s="1261" t="s">
        <v>200</v>
      </c>
      <c r="Z28" s="1261">
        <v>1</v>
      </c>
      <c r="AA28" s="1261">
        <v>1</v>
      </c>
      <c r="AB28" s="1369" t="s">
        <v>204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61" t="s">
        <v>765</v>
      </c>
      <c r="S29" s="1261">
        <v>3331566800</v>
      </c>
      <c r="T29" s="1247" t="s">
        <v>27</v>
      </c>
      <c r="U29" s="1261">
        <v>24142310</v>
      </c>
      <c r="V29" s="1202" t="s">
        <v>772</v>
      </c>
      <c r="W29" s="1373" t="s">
        <v>703</v>
      </c>
      <c r="X29" s="1267">
        <v>23054.125</v>
      </c>
      <c r="Y29" s="1261" t="s">
        <v>200</v>
      </c>
      <c r="Z29" s="1261">
        <v>1</v>
      </c>
      <c r="AA29" s="1261">
        <v>1</v>
      </c>
      <c r="AB29" s="1369" t="s">
        <v>204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61" t="s">
        <v>765</v>
      </c>
      <c r="S30" s="1261">
        <v>3331566790</v>
      </c>
      <c r="T30" s="1247" t="s">
        <v>27</v>
      </c>
      <c r="U30" s="1261">
        <v>24142322</v>
      </c>
      <c r="V30" s="1202" t="s">
        <v>772</v>
      </c>
      <c r="W30" s="1373" t="s">
        <v>703</v>
      </c>
      <c r="X30" s="1267">
        <f>15241.952+7361.17</f>
        <v>22603.121999999999</v>
      </c>
      <c r="Y30" s="1261" t="s">
        <v>200</v>
      </c>
      <c r="Z30" s="1261">
        <v>1</v>
      </c>
      <c r="AA30" s="1261">
        <v>1</v>
      </c>
      <c r="AB30" s="1369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452</v>
      </c>
      <c r="S31" s="1202">
        <v>3331566877</v>
      </c>
      <c r="T31" s="1202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202" t="s">
        <v>256</v>
      </c>
      <c r="Z31" s="1202" t="s">
        <v>256</v>
      </c>
      <c r="AA31" s="1202" t="s">
        <v>256</v>
      </c>
      <c r="AB31" s="1202" t="s">
        <v>256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61" t="s">
        <v>765</v>
      </c>
      <c r="S32" s="1261">
        <v>3331566793</v>
      </c>
      <c r="T32" s="1247" t="s">
        <v>441</v>
      </c>
      <c r="U32" s="1261">
        <v>24142323</v>
      </c>
      <c r="V32" s="1202" t="s">
        <v>772</v>
      </c>
      <c r="W32" s="1373" t="s">
        <v>703</v>
      </c>
      <c r="X32" s="1267">
        <f>1881.22+17862.732+1849.28+3810.488</f>
        <v>25403.72</v>
      </c>
      <c r="Y32" s="1261" t="s">
        <v>200</v>
      </c>
      <c r="Z32" s="1261">
        <v>1</v>
      </c>
      <c r="AA32" s="1261">
        <v>1</v>
      </c>
      <c r="AB32" s="1369" t="s">
        <v>204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2" t="s">
        <v>452</v>
      </c>
      <c r="S33" s="1202">
        <v>3331566858</v>
      </c>
      <c r="T33" s="1202" t="s">
        <v>256</v>
      </c>
      <c r="U33" s="1202" t="s">
        <v>256</v>
      </c>
      <c r="V33" s="1202" t="s">
        <v>256</v>
      </c>
      <c r="W33" s="1202" t="s">
        <v>256</v>
      </c>
      <c r="X33" s="1267" t="s">
        <v>256</v>
      </c>
      <c r="Y33" s="1202" t="s">
        <v>256</v>
      </c>
      <c r="Z33" s="1202" t="s">
        <v>256</v>
      </c>
      <c r="AA33" s="1202" t="s">
        <v>256</v>
      </c>
      <c r="AB33" s="1202" t="s">
        <v>256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2" t="s">
        <v>765</v>
      </c>
      <c r="S34" s="1202">
        <v>3331566860</v>
      </c>
      <c r="T34" s="1202" t="s">
        <v>256</v>
      </c>
      <c r="U34" s="1202" t="s">
        <v>256</v>
      </c>
      <c r="V34" s="1202" t="s">
        <v>256</v>
      </c>
      <c r="W34" s="1202" t="s">
        <v>256</v>
      </c>
      <c r="X34" s="1267" t="s">
        <v>256</v>
      </c>
      <c r="Y34" s="1202" t="s">
        <v>256</v>
      </c>
      <c r="Z34" s="1202" t="s">
        <v>256</v>
      </c>
      <c r="AA34" s="1202" t="s">
        <v>256</v>
      </c>
      <c r="AB34" s="1202" t="s">
        <v>256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61" t="s">
        <v>452</v>
      </c>
      <c r="S35" s="1261">
        <v>3331566879</v>
      </c>
      <c r="T35" s="1202" t="s">
        <v>256</v>
      </c>
      <c r="U35" s="1202" t="s">
        <v>256</v>
      </c>
      <c r="V35" s="1202" t="s">
        <v>256</v>
      </c>
      <c r="W35" s="1202" t="s">
        <v>256</v>
      </c>
      <c r="X35" s="1267" t="s">
        <v>256</v>
      </c>
      <c r="Y35" s="1202" t="s">
        <v>256</v>
      </c>
      <c r="Z35" s="1202" t="s">
        <v>256</v>
      </c>
      <c r="AA35" s="1202" t="s">
        <v>256</v>
      </c>
      <c r="AB35" s="1202" t="s">
        <v>256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2" t="s">
        <v>765</v>
      </c>
      <c r="S36" s="1202">
        <v>3331566888</v>
      </c>
      <c r="T36" s="1264" t="s">
        <v>776</v>
      </c>
      <c r="U36" s="1202">
        <v>24142324</v>
      </c>
      <c r="V36" s="1202" t="s">
        <v>497</v>
      </c>
      <c r="W36" s="1202" t="s">
        <v>205</v>
      </c>
      <c r="X36" s="1203">
        <v>39291.845000000001</v>
      </c>
      <c r="Y36" s="1202" t="s">
        <v>128</v>
      </c>
      <c r="Z36" s="1261">
        <v>1</v>
      </c>
      <c r="AA36" s="1261">
        <v>1</v>
      </c>
      <c r="AB36" s="1369" t="s">
        <v>204</v>
      </c>
      <c r="AC36" s="1271" t="s">
        <v>422</v>
      </c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2" t="s">
        <v>452</v>
      </c>
      <c r="S37" s="1261">
        <v>3331566899</v>
      </c>
      <c r="T37" s="1264" t="s">
        <v>776</v>
      </c>
      <c r="U37" s="1202">
        <v>24142327</v>
      </c>
      <c r="V37" s="1202" t="s">
        <v>486</v>
      </c>
      <c r="W37" s="1202" t="s">
        <v>205</v>
      </c>
      <c r="X37" s="1203">
        <v>39305.089</v>
      </c>
      <c r="Y37" s="1202" t="s">
        <v>128</v>
      </c>
      <c r="Z37" s="1261">
        <v>1</v>
      </c>
      <c r="AA37" s="1261">
        <v>1</v>
      </c>
      <c r="AB37" s="1369" t="s">
        <v>204</v>
      </c>
      <c r="AC37" s="1308" t="s">
        <v>422</v>
      </c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02" t="s">
        <v>452</v>
      </c>
      <c r="S38" s="1261">
        <v>3331566918</v>
      </c>
      <c r="T38" s="1264" t="s">
        <v>776</v>
      </c>
      <c r="U38" s="1202">
        <v>24142328</v>
      </c>
      <c r="V38" s="1202" t="s">
        <v>486</v>
      </c>
      <c r="W38" s="1202" t="s">
        <v>205</v>
      </c>
      <c r="X38" s="1203">
        <f>28825.924+17249.527</f>
        <v>46075.451000000001</v>
      </c>
      <c r="Y38" s="1202" t="s">
        <v>128</v>
      </c>
      <c r="Z38" s="1261">
        <v>1</v>
      </c>
      <c r="AA38" s="1261">
        <v>1</v>
      </c>
      <c r="AB38" s="1369" t="s">
        <v>204</v>
      </c>
      <c r="AC38" s="1271" t="s">
        <v>422</v>
      </c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02" t="s">
        <v>777</v>
      </c>
      <c r="S39" s="1261">
        <v>3331566895</v>
      </c>
      <c r="T39" s="1202" t="s">
        <v>256</v>
      </c>
      <c r="U39" s="1202" t="s">
        <v>256</v>
      </c>
      <c r="V39" s="1202" t="s">
        <v>256</v>
      </c>
      <c r="W39" s="1202" t="s">
        <v>256</v>
      </c>
      <c r="X39" s="1203" t="s">
        <v>256</v>
      </c>
      <c r="Y39" s="1202" t="s">
        <v>256</v>
      </c>
      <c r="Z39" s="1202" t="s">
        <v>256</v>
      </c>
      <c r="AA39" s="1202" t="s">
        <v>256</v>
      </c>
      <c r="AB39" s="1369" t="s">
        <v>256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02" t="s">
        <v>691</v>
      </c>
      <c r="S40" s="1261">
        <v>3331566914</v>
      </c>
      <c r="T40" s="1209" t="s">
        <v>459</v>
      </c>
      <c r="U40" s="1202">
        <v>24142325</v>
      </c>
      <c r="V40" s="1202" t="s">
        <v>224</v>
      </c>
      <c r="W40" s="1202" t="s">
        <v>344</v>
      </c>
      <c r="X40" s="1203">
        <v>30448.035</v>
      </c>
      <c r="Y40" s="1202" t="s">
        <v>426</v>
      </c>
      <c r="Z40" s="1261">
        <v>1</v>
      </c>
      <c r="AA40" s="1261">
        <v>1</v>
      </c>
      <c r="AB40" s="1369" t="s">
        <v>204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02" t="s">
        <v>691</v>
      </c>
      <c r="S41" s="1261">
        <v>3331566941</v>
      </c>
      <c r="T41" s="1209" t="s">
        <v>459</v>
      </c>
      <c r="U41" s="1202">
        <v>24142330</v>
      </c>
      <c r="V41" s="1202" t="s">
        <v>224</v>
      </c>
      <c r="W41" s="1202" t="s">
        <v>344</v>
      </c>
      <c r="X41" s="1203">
        <v>27326.541000000001</v>
      </c>
      <c r="Y41" s="1202" t="s">
        <v>426</v>
      </c>
      <c r="Z41" s="1261">
        <v>1</v>
      </c>
      <c r="AA41" s="1261">
        <v>1</v>
      </c>
      <c r="AB41" s="1369" t="s">
        <v>204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691</v>
      </c>
      <c r="S42" s="1261">
        <v>3331566943</v>
      </c>
      <c r="T42" s="1209" t="s">
        <v>459</v>
      </c>
      <c r="U42" s="1202">
        <v>24142331</v>
      </c>
      <c r="V42" s="1202" t="s">
        <v>224</v>
      </c>
      <c r="W42" s="1202" t="s">
        <v>344</v>
      </c>
      <c r="X42" s="1203">
        <v>25909.53</v>
      </c>
      <c r="Y42" s="1202" t="s">
        <v>426</v>
      </c>
      <c r="Z42" s="1261">
        <v>1</v>
      </c>
      <c r="AA42" s="1261">
        <v>1</v>
      </c>
      <c r="AB42" s="1369" t="s">
        <v>204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2" t="s">
        <v>691</v>
      </c>
      <c r="S43" s="1261">
        <v>3331566944</v>
      </c>
      <c r="T43" s="1209" t="s">
        <v>459</v>
      </c>
      <c r="U43" s="1202">
        <v>24142332</v>
      </c>
      <c r="V43" s="1202" t="s">
        <v>224</v>
      </c>
      <c r="W43" s="1202" t="s">
        <v>344</v>
      </c>
      <c r="X43" s="1203">
        <v>28925.067999999999</v>
      </c>
      <c r="Y43" s="1202" t="s">
        <v>426</v>
      </c>
      <c r="Z43" s="1261">
        <v>1</v>
      </c>
      <c r="AA43" s="1261">
        <v>1</v>
      </c>
      <c r="AB43" s="1369" t="s">
        <v>204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02" t="s">
        <v>691</v>
      </c>
      <c r="S44" s="1261">
        <v>3331566945</v>
      </c>
      <c r="T44" s="1209" t="s">
        <v>459</v>
      </c>
      <c r="U44" s="1202">
        <v>24142333</v>
      </c>
      <c r="V44" s="1202" t="s">
        <v>224</v>
      </c>
      <c r="W44" s="1202" t="s">
        <v>344</v>
      </c>
      <c r="X44" s="1203">
        <v>29228.174999999999</v>
      </c>
      <c r="Y44" s="1202" t="s">
        <v>426</v>
      </c>
      <c r="Z44" s="1261">
        <v>1</v>
      </c>
      <c r="AA44" s="1261">
        <v>1</v>
      </c>
      <c r="AB44" s="1369" t="s">
        <v>204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61" t="s">
        <v>691</v>
      </c>
      <c r="S45" s="1261">
        <v>3331566952</v>
      </c>
      <c r="T45" s="1209" t="s">
        <v>459</v>
      </c>
      <c r="U45" s="1261">
        <v>24142337</v>
      </c>
      <c r="V45" s="1202" t="s">
        <v>224</v>
      </c>
      <c r="W45" s="1202" t="s">
        <v>344</v>
      </c>
      <c r="X45" s="1267">
        <v>29338.043000000001</v>
      </c>
      <c r="Y45" s="1202" t="s">
        <v>426</v>
      </c>
      <c r="Z45" s="1261">
        <v>1</v>
      </c>
      <c r="AA45" s="1261">
        <v>1</v>
      </c>
      <c r="AB45" s="1369" t="s">
        <v>204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02" t="s">
        <v>765</v>
      </c>
      <c r="S46" s="1261">
        <v>3331566916</v>
      </c>
      <c r="T46" s="1209" t="s">
        <v>459</v>
      </c>
      <c r="U46" s="1202">
        <v>24142326</v>
      </c>
      <c r="V46" s="1202" t="s">
        <v>226</v>
      </c>
      <c r="W46" s="1202" t="s">
        <v>344</v>
      </c>
      <c r="X46" s="1432">
        <f>6413.25+22669.456</f>
        <v>29082.705999999998</v>
      </c>
      <c r="Y46" s="1202" t="s">
        <v>426</v>
      </c>
      <c r="Z46" s="1261">
        <v>1</v>
      </c>
      <c r="AA46" s="1261">
        <v>1</v>
      </c>
      <c r="AB46" s="1369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2" t="s">
        <v>691</v>
      </c>
      <c r="S47" s="1261">
        <v>3331566917</v>
      </c>
      <c r="T47" s="1202" t="s">
        <v>256</v>
      </c>
      <c r="U47" s="1202" t="s">
        <v>256</v>
      </c>
      <c r="V47" s="1202" t="s">
        <v>256</v>
      </c>
      <c r="W47" s="1202" t="s">
        <v>256</v>
      </c>
      <c r="X47" s="1267" t="s">
        <v>256</v>
      </c>
      <c r="Y47" s="1202" t="s">
        <v>256</v>
      </c>
      <c r="Z47" s="1202" t="s">
        <v>256</v>
      </c>
      <c r="AA47" s="1202" t="s">
        <v>256</v>
      </c>
      <c r="AB47" s="1369" t="s">
        <v>256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61" t="s">
        <v>452</v>
      </c>
      <c r="S48" s="1261">
        <v>3331566940</v>
      </c>
      <c r="T48" s="1209" t="s">
        <v>459</v>
      </c>
      <c r="U48" s="1261">
        <v>24142334</v>
      </c>
      <c r="V48" s="1202" t="s">
        <v>226</v>
      </c>
      <c r="W48" s="1202" t="s">
        <v>344</v>
      </c>
      <c r="X48" s="1267">
        <v>29507.237000000001</v>
      </c>
      <c r="Y48" s="1202" t="s">
        <v>426</v>
      </c>
      <c r="Z48" s="1261">
        <v>1</v>
      </c>
      <c r="AA48" s="1261">
        <v>1</v>
      </c>
      <c r="AB48" s="1369" t="s">
        <v>204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61" t="s">
        <v>452</v>
      </c>
      <c r="S49" s="1261">
        <v>3331566942</v>
      </c>
      <c r="T49" s="1209" t="s">
        <v>459</v>
      </c>
      <c r="U49" s="1261">
        <v>24142335</v>
      </c>
      <c r="V49" s="1202" t="s">
        <v>226</v>
      </c>
      <c r="W49" s="1202" t="s">
        <v>344</v>
      </c>
      <c r="X49" s="1267">
        <v>25587.107</v>
      </c>
      <c r="Y49" s="1202" t="s">
        <v>426</v>
      </c>
      <c r="Z49" s="1261">
        <v>1</v>
      </c>
      <c r="AA49" s="1261">
        <v>1</v>
      </c>
      <c r="AB49" s="1369" t="s">
        <v>204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02" t="s">
        <v>452</v>
      </c>
      <c r="S50" s="1261">
        <v>3331566946</v>
      </c>
      <c r="T50" s="1209" t="s">
        <v>459</v>
      </c>
      <c r="U50" s="1202">
        <v>24142336</v>
      </c>
      <c r="V50" s="1202" t="s">
        <v>226</v>
      </c>
      <c r="W50" s="1202" t="s">
        <v>344</v>
      </c>
      <c r="X50" s="1203">
        <v>25716.881000000001</v>
      </c>
      <c r="Y50" s="1202" t="s">
        <v>426</v>
      </c>
      <c r="Z50" s="1261">
        <v>1</v>
      </c>
      <c r="AA50" s="1261">
        <v>1</v>
      </c>
      <c r="AB50" s="1369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02" t="s">
        <v>452</v>
      </c>
      <c r="S51" s="1261">
        <v>3331566948</v>
      </c>
      <c r="T51" s="1209" t="s">
        <v>459</v>
      </c>
      <c r="U51" s="1202">
        <v>24142338</v>
      </c>
      <c r="V51" s="1202" t="s">
        <v>226</v>
      </c>
      <c r="W51" s="1202" t="s">
        <v>344</v>
      </c>
      <c r="X51" s="1203">
        <v>24321.809000000001</v>
      </c>
      <c r="Y51" s="1202" t="s">
        <v>426</v>
      </c>
      <c r="Z51" s="1261">
        <v>1</v>
      </c>
      <c r="AA51" s="1261">
        <v>1</v>
      </c>
      <c r="AB51" s="1369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02" t="s">
        <v>691</v>
      </c>
      <c r="S52" s="1261">
        <v>3331566954</v>
      </c>
      <c r="T52" s="1209" t="s">
        <v>459</v>
      </c>
      <c r="U52" s="1202">
        <v>24142339</v>
      </c>
      <c r="V52" s="1202" t="s">
        <v>226</v>
      </c>
      <c r="W52" s="1202" t="s">
        <v>344</v>
      </c>
      <c r="X52" s="1203">
        <v>24579.598000000002</v>
      </c>
      <c r="Y52" s="1202" t="s">
        <v>426</v>
      </c>
      <c r="Z52" s="1261">
        <v>1</v>
      </c>
      <c r="AA52" s="1261">
        <v>1</v>
      </c>
      <c r="AB52" s="1369" t="s">
        <v>204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2" t="s">
        <v>691</v>
      </c>
      <c r="S53" s="1261">
        <v>3331566959</v>
      </c>
      <c r="T53" s="1209" t="s">
        <v>459</v>
      </c>
      <c r="U53" s="1202">
        <v>24142340</v>
      </c>
      <c r="V53" s="1202" t="s">
        <v>226</v>
      </c>
      <c r="W53" s="1202" t="s">
        <v>344</v>
      </c>
      <c r="X53" s="1203">
        <v>23676.964</v>
      </c>
      <c r="Y53" s="1202" t="s">
        <v>426</v>
      </c>
      <c r="Z53" s="1261">
        <v>1</v>
      </c>
      <c r="AA53" s="1261">
        <v>1</v>
      </c>
      <c r="AB53" s="1369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2" t="s">
        <v>691</v>
      </c>
      <c r="S54" s="1261">
        <v>3331566965</v>
      </c>
      <c r="T54" s="1209" t="s">
        <v>459</v>
      </c>
      <c r="U54" s="1202">
        <v>24142341</v>
      </c>
      <c r="V54" s="1202" t="s">
        <v>226</v>
      </c>
      <c r="W54" s="1202" t="s">
        <v>344</v>
      </c>
      <c r="X54" s="1203">
        <v>25077.819</v>
      </c>
      <c r="Y54" s="1202" t="s">
        <v>426</v>
      </c>
      <c r="Z54" s="1261">
        <v>1</v>
      </c>
      <c r="AA54" s="1261">
        <v>1</v>
      </c>
      <c r="AB54" s="1369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61" t="s">
        <v>774</v>
      </c>
      <c r="S55" s="1261">
        <v>3331566972</v>
      </c>
      <c r="T55" s="1209" t="s">
        <v>459</v>
      </c>
      <c r="U55" s="1261">
        <v>24142342</v>
      </c>
      <c r="V55" s="1202" t="s">
        <v>226</v>
      </c>
      <c r="W55" s="1202" t="s">
        <v>344</v>
      </c>
      <c r="X55" s="1267">
        <v>26154.491000000002</v>
      </c>
      <c r="Y55" s="1202" t="s">
        <v>426</v>
      </c>
      <c r="Z55" s="1261">
        <v>1</v>
      </c>
      <c r="AA55" s="1261">
        <v>1</v>
      </c>
      <c r="AB55" s="1369" t="s">
        <v>204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8" t="s">
        <v>452</v>
      </c>
      <c r="S56" s="1372">
        <v>3331567178</v>
      </c>
      <c r="T56" s="1369" t="s">
        <v>342</v>
      </c>
      <c r="U56" s="1373">
        <v>24142363</v>
      </c>
      <c r="V56" s="1227" t="s">
        <v>444</v>
      </c>
      <c r="W56" s="1373" t="s">
        <v>203</v>
      </c>
      <c r="X56" s="1374">
        <f>15220.78+2537.384+4773.722</f>
        <v>22531.885999999999</v>
      </c>
      <c r="Y56" s="1369" t="s">
        <v>200</v>
      </c>
      <c r="Z56" s="1369">
        <v>1</v>
      </c>
      <c r="AA56" s="1369">
        <v>1</v>
      </c>
      <c r="AB56" s="1369" t="s">
        <v>204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368" t="s">
        <v>452</v>
      </c>
      <c r="S57" s="1372">
        <v>3331567179</v>
      </c>
      <c r="T57" s="1369" t="s">
        <v>256</v>
      </c>
      <c r="U57" s="1373" t="s">
        <v>256</v>
      </c>
      <c r="V57" s="1227" t="s">
        <v>256</v>
      </c>
      <c r="W57" s="1373" t="s">
        <v>256</v>
      </c>
      <c r="X57" s="1374" t="s">
        <v>256</v>
      </c>
      <c r="Y57" s="1369" t="s">
        <v>256</v>
      </c>
      <c r="Z57" s="1369" t="s">
        <v>256</v>
      </c>
      <c r="AA57" s="1369" t="s">
        <v>256</v>
      </c>
      <c r="AB57" s="1369" t="s">
        <v>256</v>
      </c>
      <c r="AC57" s="1271" t="s">
        <v>256</v>
      </c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68" t="s">
        <v>452</v>
      </c>
      <c r="S58" s="1372">
        <v>3331567180</v>
      </c>
      <c r="T58" s="1369" t="s">
        <v>256</v>
      </c>
      <c r="U58" s="1373" t="s">
        <v>256</v>
      </c>
      <c r="V58" s="1227" t="s">
        <v>256</v>
      </c>
      <c r="W58" s="1373" t="s">
        <v>256</v>
      </c>
      <c r="X58" s="1374" t="s">
        <v>256</v>
      </c>
      <c r="Y58" s="1369" t="s">
        <v>256</v>
      </c>
      <c r="Z58" s="1369" t="s">
        <v>256</v>
      </c>
      <c r="AA58" s="1369" t="s">
        <v>256</v>
      </c>
      <c r="AB58" s="1369" t="s">
        <v>256</v>
      </c>
      <c r="AC58" s="1271" t="s">
        <v>256</v>
      </c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368" t="s">
        <v>778</v>
      </c>
      <c r="S59" s="1372">
        <v>3331567241</v>
      </c>
      <c r="T59" s="1369" t="s">
        <v>336</v>
      </c>
      <c r="U59" s="1373">
        <v>24142370</v>
      </c>
      <c r="V59" s="1227" t="s">
        <v>413</v>
      </c>
      <c r="W59" s="1373" t="s">
        <v>205</v>
      </c>
      <c r="X59" s="1374">
        <v>37074.718999999997</v>
      </c>
      <c r="Y59" s="1369" t="s">
        <v>128</v>
      </c>
      <c r="Z59" s="1261">
        <v>1</v>
      </c>
      <c r="AA59" s="1261">
        <v>1</v>
      </c>
      <c r="AB59" s="1369" t="s">
        <v>204</v>
      </c>
      <c r="AC59" s="1271" t="s">
        <v>422</v>
      </c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368" t="s">
        <v>778</v>
      </c>
      <c r="S60" s="1372">
        <v>3331567242</v>
      </c>
      <c r="T60" s="1369" t="s">
        <v>206</v>
      </c>
      <c r="U60" s="1373">
        <v>24142372</v>
      </c>
      <c r="V60" s="1227" t="s">
        <v>413</v>
      </c>
      <c r="W60" s="1373" t="s">
        <v>205</v>
      </c>
      <c r="X60" s="1374">
        <v>36416.141000000003</v>
      </c>
      <c r="Y60" s="1369" t="s">
        <v>128</v>
      </c>
      <c r="Z60" s="1261">
        <v>1</v>
      </c>
      <c r="AA60" s="1261">
        <v>1</v>
      </c>
      <c r="AB60" s="1369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368" t="s">
        <v>452</v>
      </c>
      <c r="S61" s="1372">
        <v>3331567243</v>
      </c>
      <c r="T61" s="1369" t="s">
        <v>441</v>
      </c>
      <c r="U61" s="1373">
        <v>24142373</v>
      </c>
      <c r="V61" s="1227" t="s">
        <v>413</v>
      </c>
      <c r="W61" s="1373" t="s">
        <v>205</v>
      </c>
      <c r="X61" s="1374">
        <v>34380.993999999999</v>
      </c>
      <c r="Y61" s="1369" t="s">
        <v>128</v>
      </c>
      <c r="Z61" s="1261">
        <v>1</v>
      </c>
      <c r="AA61" s="1261">
        <v>1</v>
      </c>
      <c r="AB61" s="1369" t="s">
        <v>204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8" t="s">
        <v>778</v>
      </c>
      <c r="S62" s="1372">
        <v>3331567244</v>
      </c>
      <c r="T62" s="1369" t="s">
        <v>441</v>
      </c>
      <c r="U62" s="1373">
        <v>24142374</v>
      </c>
      <c r="V62" s="1227" t="s">
        <v>413</v>
      </c>
      <c r="W62" s="1373" t="s">
        <v>205</v>
      </c>
      <c r="X62" s="1374">
        <f>25037.328+18965.838</f>
        <v>44003.165999999997</v>
      </c>
      <c r="Y62" s="1369" t="s">
        <v>128</v>
      </c>
      <c r="Z62" s="1261">
        <v>1</v>
      </c>
      <c r="AA62" s="1261">
        <v>1</v>
      </c>
      <c r="AB62" s="1369" t="s">
        <v>204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68" t="s">
        <v>778</v>
      </c>
      <c r="S63" s="1372">
        <v>3331567246</v>
      </c>
      <c r="T63" s="1369" t="s">
        <v>256</v>
      </c>
      <c r="U63" s="1373" t="s">
        <v>256</v>
      </c>
      <c r="V63" s="1227" t="s">
        <v>256</v>
      </c>
      <c r="W63" s="1373" t="s">
        <v>256</v>
      </c>
      <c r="X63" s="1374" t="s">
        <v>256</v>
      </c>
      <c r="Y63" s="1369" t="s">
        <v>256</v>
      </c>
      <c r="Z63" s="1369" t="s">
        <v>256</v>
      </c>
      <c r="AA63" s="1369" t="s">
        <v>256</v>
      </c>
      <c r="AB63" s="1369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368" t="s">
        <v>778</v>
      </c>
      <c r="S64" s="1372">
        <v>3331567249</v>
      </c>
      <c r="T64" s="1369" t="s">
        <v>459</v>
      </c>
      <c r="U64" s="1373">
        <v>24142375</v>
      </c>
      <c r="V64" s="1227" t="s">
        <v>413</v>
      </c>
      <c r="W64" s="1373" t="s">
        <v>205</v>
      </c>
      <c r="X64" s="1374">
        <v>30397.302</v>
      </c>
      <c r="Y64" s="1369" t="s">
        <v>426</v>
      </c>
      <c r="Z64" s="1261">
        <v>1</v>
      </c>
      <c r="AA64" s="1261">
        <v>1</v>
      </c>
      <c r="AB64" s="1369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368" t="s">
        <v>778</v>
      </c>
      <c r="S65" s="1372">
        <v>3331567250</v>
      </c>
      <c r="T65" s="1369" t="s">
        <v>459</v>
      </c>
      <c r="U65" s="1373">
        <v>24142376</v>
      </c>
      <c r="V65" s="1227" t="s">
        <v>413</v>
      </c>
      <c r="W65" s="1373" t="s">
        <v>205</v>
      </c>
      <c r="X65" s="1374">
        <f>1856.071+29358.078</f>
        <v>31214.149000000001</v>
      </c>
      <c r="Y65" s="1369" t="s">
        <v>426</v>
      </c>
      <c r="Z65" s="1261">
        <v>1</v>
      </c>
      <c r="AA65" s="1261">
        <v>1</v>
      </c>
      <c r="AB65" s="1369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368" t="s">
        <v>778</v>
      </c>
      <c r="S66" s="1372">
        <v>3331567252</v>
      </c>
      <c r="T66" s="1369" t="s">
        <v>256</v>
      </c>
      <c r="U66" s="1373" t="s">
        <v>256</v>
      </c>
      <c r="V66" s="1227" t="s">
        <v>256</v>
      </c>
      <c r="W66" s="1373" t="s">
        <v>256</v>
      </c>
      <c r="X66" s="1374" t="s">
        <v>256</v>
      </c>
      <c r="Y66" s="1369" t="s">
        <v>256</v>
      </c>
      <c r="Z66" s="1369" t="s">
        <v>256</v>
      </c>
      <c r="AA66" s="1369" t="s">
        <v>256</v>
      </c>
      <c r="AB66" s="1369" t="s">
        <v>256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368" t="s">
        <v>778</v>
      </c>
      <c r="S67" s="1372">
        <v>3331567255</v>
      </c>
      <c r="T67" s="1369" t="s">
        <v>459</v>
      </c>
      <c r="U67" s="1373">
        <v>24142377</v>
      </c>
      <c r="V67" s="1227" t="s">
        <v>413</v>
      </c>
      <c r="W67" s="1373" t="s">
        <v>205</v>
      </c>
      <c r="X67" s="1374">
        <v>30873.613000000001</v>
      </c>
      <c r="Y67" s="1369" t="s">
        <v>426</v>
      </c>
      <c r="Z67" s="1261">
        <v>1</v>
      </c>
      <c r="AA67" s="1261">
        <v>1</v>
      </c>
      <c r="AB67" s="1369" t="s">
        <v>204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368" t="s">
        <v>778</v>
      </c>
      <c r="S68" s="1372">
        <v>3331567257</v>
      </c>
      <c r="T68" s="1369" t="s">
        <v>441</v>
      </c>
      <c r="U68" s="1373">
        <v>24142378</v>
      </c>
      <c r="V68" s="1227" t="s">
        <v>413</v>
      </c>
      <c r="W68" s="1373" t="s">
        <v>205</v>
      </c>
      <c r="X68" s="1374">
        <f>36071.639+5196.12</f>
        <v>41267.759000000005</v>
      </c>
      <c r="Y68" s="1369" t="s">
        <v>128</v>
      </c>
      <c r="Z68" s="1261">
        <v>1</v>
      </c>
      <c r="AA68" s="1261">
        <v>1</v>
      </c>
      <c r="AB68" s="1369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68" t="s">
        <v>778</v>
      </c>
      <c r="S69" s="1372">
        <v>3331567259</v>
      </c>
      <c r="T69" s="1369" t="s">
        <v>256</v>
      </c>
      <c r="U69" s="1373" t="s">
        <v>256</v>
      </c>
      <c r="V69" s="1227" t="s">
        <v>256</v>
      </c>
      <c r="W69" s="1373" t="s">
        <v>256</v>
      </c>
      <c r="X69" s="1374" t="s">
        <v>256</v>
      </c>
      <c r="Y69" s="1369" t="s">
        <v>256</v>
      </c>
      <c r="Z69" s="1369" t="s">
        <v>256</v>
      </c>
      <c r="AA69" s="1369" t="s">
        <v>256</v>
      </c>
      <c r="AB69" s="1369" t="s">
        <v>256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68" t="s">
        <v>778</v>
      </c>
      <c r="S70" s="1372">
        <v>3331567264</v>
      </c>
      <c r="T70" s="1247" t="s">
        <v>27</v>
      </c>
      <c r="U70" s="1373">
        <v>24142379</v>
      </c>
      <c r="V70" s="1227" t="s">
        <v>413</v>
      </c>
      <c r="W70" s="1373" t="s">
        <v>205</v>
      </c>
      <c r="X70" s="1374">
        <v>36555.525000000001</v>
      </c>
      <c r="Y70" s="1369" t="s">
        <v>128</v>
      </c>
      <c r="Z70" s="1261">
        <v>1</v>
      </c>
      <c r="AA70" s="1261">
        <v>1</v>
      </c>
      <c r="AB70" s="1369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02" t="s">
        <v>452</v>
      </c>
      <c r="S71" s="1202">
        <v>3331564440</v>
      </c>
      <c r="T71" s="1202" t="s">
        <v>27</v>
      </c>
      <c r="U71" s="1202">
        <v>24141936</v>
      </c>
      <c r="V71" s="1202" t="s">
        <v>366</v>
      </c>
      <c r="W71" s="1373" t="s">
        <v>199</v>
      </c>
      <c r="X71" s="1203">
        <v>25498.076000000001</v>
      </c>
      <c r="Y71" s="1202" t="s">
        <v>200</v>
      </c>
      <c r="Z71" s="1369">
        <v>1</v>
      </c>
      <c r="AA71" s="1369">
        <v>1</v>
      </c>
      <c r="AB71" s="1369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02" t="s">
        <v>452</v>
      </c>
      <c r="S72" s="1202">
        <v>3331564447</v>
      </c>
      <c r="T72" s="1202" t="s">
        <v>287</v>
      </c>
      <c r="U72" s="1202">
        <v>24141937</v>
      </c>
      <c r="V72" s="1202" t="s">
        <v>366</v>
      </c>
      <c r="W72" s="1373" t="s">
        <v>199</v>
      </c>
      <c r="X72" s="1203">
        <v>24954.467000000001</v>
      </c>
      <c r="Y72" s="1202" t="s">
        <v>200</v>
      </c>
      <c r="Z72" s="1369">
        <v>1</v>
      </c>
      <c r="AA72" s="1369">
        <v>1</v>
      </c>
      <c r="AB72" s="1369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174" t="s">
        <v>765</v>
      </c>
      <c r="S73" s="105">
        <v>3331566697</v>
      </c>
      <c r="T73" s="1202" t="s">
        <v>27</v>
      </c>
      <c r="U73" s="105">
        <v>24142291</v>
      </c>
      <c r="V73" s="1373" t="s">
        <v>150</v>
      </c>
      <c r="W73" s="1373" t="s">
        <v>199</v>
      </c>
      <c r="X73" s="209">
        <v>23223.51</v>
      </c>
      <c r="Y73" s="1202" t="s">
        <v>200</v>
      </c>
      <c r="Z73" s="1369">
        <v>1</v>
      </c>
      <c r="AA73" s="1369">
        <v>1</v>
      </c>
      <c r="AB73" s="1369" t="s">
        <v>204</v>
      </c>
      <c r="AC73" s="1365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765</v>
      </c>
      <c r="S74" s="105">
        <v>3331566698</v>
      </c>
      <c r="T74" s="1202" t="s">
        <v>27</v>
      </c>
      <c r="U74" s="105">
        <v>24142292</v>
      </c>
      <c r="V74" s="1373" t="s">
        <v>150</v>
      </c>
      <c r="W74" s="1373" t="s">
        <v>199</v>
      </c>
      <c r="X74" s="209">
        <v>26283.706999999999</v>
      </c>
      <c r="Y74" s="1202" t="s">
        <v>200</v>
      </c>
      <c r="Z74" s="1369">
        <v>1</v>
      </c>
      <c r="AA74" s="1369">
        <v>1</v>
      </c>
      <c r="AB74" s="1369" t="s">
        <v>204</v>
      </c>
      <c r="AC74" s="1365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2" t="s">
        <v>765</v>
      </c>
      <c r="S75" s="1202">
        <v>3331566705</v>
      </c>
      <c r="T75" s="1202" t="s">
        <v>27</v>
      </c>
      <c r="U75" s="1202">
        <v>24142293</v>
      </c>
      <c r="V75" s="1373" t="s">
        <v>150</v>
      </c>
      <c r="W75" s="1373" t="s">
        <v>199</v>
      </c>
      <c r="X75" s="1203">
        <v>24681.57</v>
      </c>
      <c r="Y75" s="1202" t="s">
        <v>200</v>
      </c>
      <c r="Z75" s="1369">
        <v>1</v>
      </c>
      <c r="AA75" s="1369">
        <v>1</v>
      </c>
      <c r="AB75" s="1369" t="s">
        <v>204</v>
      </c>
      <c r="AC75" s="1365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386" t="s">
        <v>765</v>
      </c>
      <c r="S76" s="1386">
        <v>3331566693</v>
      </c>
      <c r="T76" s="1202" t="s">
        <v>27</v>
      </c>
      <c r="U76" s="1386">
        <v>24142319</v>
      </c>
      <c r="V76" s="1386" t="s">
        <v>158</v>
      </c>
      <c r="W76" s="1373" t="s">
        <v>199</v>
      </c>
      <c r="X76" s="1387">
        <f>16497.681+20815.146</f>
        <v>37312.827000000005</v>
      </c>
      <c r="Y76" s="1202" t="s">
        <v>200</v>
      </c>
      <c r="Z76" s="1369">
        <v>1</v>
      </c>
      <c r="AA76" s="1369">
        <v>1</v>
      </c>
      <c r="AB76" s="1369" t="s">
        <v>204</v>
      </c>
      <c r="AC76" s="1365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369" t="s">
        <v>452</v>
      </c>
      <c r="S77" s="1369">
        <v>3331566699</v>
      </c>
      <c r="T77" s="1202" t="s">
        <v>256</v>
      </c>
      <c r="U77" s="1369" t="s">
        <v>256</v>
      </c>
      <c r="V77" s="1369" t="s">
        <v>256</v>
      </c>
      <c r="W77" s="1261" t="s">
        <v>256</v>
      </c>
      <c r="X77" s="1370" t="s">
        <v>256</v>
      </c>
      <c r="Y77" s="1369" t="s">
        <v>256</v>
      </c>
      <c r="Z77" s="1369" t="s">
        <v>256</v>
      </c>
      <c r="AA77" s="1369" t="s">
        <v>256</v>
      </c>
      <c r="AB77" s="1369" t="s">
        <v>256</v>
      </c>
      <c r="AC77" s="1220"/>
      <c r="AD77" s="1326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431" t="s">
        <v>452</v>
      </c>
      <c r="S78" s="1378">
        <v>3331566704</v>
      </c>
      <c r="T78" s="1202" t="s">
        <v>27</v>
      </c>
      <c r="U78" s="1378">
        <v>24142320</v>
      </c>
      <c r="V78" s="1386" t="s">
        <v>158</v>
      </c>
      <c r="W78" s="1373" t="s">
        <v>199</v>
      </c>
      <c r="X78" s="1380">
        <v>37022.355000000003</v>
      </c>
      <c r="Y78" s="1202" t="s">
        <v>200</v>
      </c>
      <c r="Z78" s="1369">
        <v>1</v>
      </c>
      <c r="AA78" s="1369">
        <v>1</v>
      </c>
      <c r="AB78" s="1369" t="s">
        <v>204</v>
      </c>
      <c r="AC78" s="1217"/>
      <c r="AD78" s="1326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01" t="s">
        <v>452</v>
      </c>
      <c r="S79" s="1202">
        <v>3331566708</v>
      </c>
      <c r="T79" s="1202" t="s">
        <v>27</v>
      </c>
      <c r="U79" s="1202">
        <v>24142321</v>
      </c>
      <c r="V79" s="1386" t="s">
        <v>158</v>
      </c>
      <c r="W79" s="1373" t="s">
        <v>199</v>
      </c>
      <c r="X79" s="1203">
        <v>34251.091</v>
      </c>
      <c r="Y79" s="1202" t="s">
        <v>200</v>
      </c>
      <c r="Z79" s="1369">
        <v>1</v>
      </c>
      <c r="AA79" s="1369">
        <v>1</v>
      </c>
      <c r="AB79" s="1369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452</v>
      </c>
      <c r="S80" s="1202">
        <v>3331567089</v>
      </c>
      <c r="T80" s="1202" t="s">
        <v>27</v>
      </c>
      <c r="U80" s="1202">
        <v>24142348</v>
      </c>
      <c r="V80" s="1202" t="s">
        <v>779</v>
      </c>
      <c r="W80" s="1373" t="s">
        <v>199</v>
      </c>
      <c r="X80" s="1203">
        <f>1737.362+13190.625+3148.911+4357.238</f>
        <v>22434.136000000002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452</v>
      </c>
      <c r="S81" s="1202">
        <v>3331567090</v>
      </c>
      <c r="T81" s="1202" t="s">
        <v>256</v>
      </c>
      <c r="U81" s="1202" t="s">
        <v>256</v>
      </c>
      <c r="V81" s="1202" t="s">
        <v>256</v>
      </c>
      <c r="W81" s="1202" t="s">
        <v>256</v>
      </c>
      <c r="X81" s="1203" t="s">
        <v>256</v>
      </c>
      <c r="Y81" s="1202" t="s">
        <v>256</v>
      </c>
      <c r="Z81" s="1202" t="s">
        <v>256</v>
      </c>
      <c r="AA81" s="1202" t="s">
        <v>256</v>
      </c>
      <c r="AB81" s="1202" t="s">
        <v>256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452</v>
      </c>
      <c r="S82" s="1210">
        <v>3331567095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376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452</v>
      </c>
      <c r="S83" s="1210">
        <v>3331567088</v>
      </c>
      <c r="T83" s="1209" t="s">
        <v>34</v>
      </c>
      <c r="U83" s="1201">
        <v>24142344</v>
      </c>
      <c r="V83" s="1210" t="s">
        <v>150</v>
      </c>
      <c r="W83" s="1373" t="s">
        <v>199</v>
      </c>
      <c r="X83" s="1376">
        <v>25373.835999999999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439" t="s">
        <v>452</v>
      </c>
      <c r="S84" s="1322">
        <v>3331567091</v>
      </c>
      <c r="T84" s="1322" t="s">
        <v>34</v>
      </c>
      <c r="U84" s="1322">
        <v>24142345</v>
      </c>
      <c r="V84" s="1440" t="s">
        <v>150</v>
      </c>
      <c r="W84" s="1441" t="s">
        <v>199</v>
      </c>
      <c r="X84" s="1442">
        <v>24341.679</v>
      </c>
      <c r="Y84" s="1322" t="s">
        <v>200</v>
      </c>
      <c r="Z84" s="1322">
        <v>1</v>
      </c>
      <c r="AA84" s="1322">
        <v>1</v>
      </c>
      <c r="AB84" s="1443" t="s">
        <v>204</v>
      </c>
      <c r="AC84" s="1444"/>
      <c r="AD84" s="1445" t="s">
        <v>232</v>
      </c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452</v>
      </c>
      <c r="S85" s="1202">
        <v>3331567093</v>
      </c>
      <c r="T85" s="1202" t="s">
        <v>287</v>
      </c>
      <c r="U85" s="1202">
        <v>24142346</v>
      </c>
      <c r="V85" s="1210" t="s">
        <v>150</v>
      </c>
      <c r="W85" s="1373" t="s">
        <v>199</v>
      </c>
      <c r="X85" s="1203">
        <v>25460.988000000001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452</v>
      </c>
      <c r="S86" s="1202">
        <v>3331567096</v>
      </c>
      <c r="T86" s="1202" t="s">
        <v>34</v>
      </c>
      <c r="U86" s="1202">
        <v>24142347</v>
      </c>
      <c r="V86" s="1210" t="s">
        <v>150</v>
      </c>
      <c r="W86" s="1373" t="s">
        <v>199</v>
      </c>
      <c r="X86" s="1203">
        <v>25776.795999999998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452</v>
      </c>
      <c r="S87" s="1202">
        <v>3331567102</v>
      </c>
      <c r="T87" s="1202" t="s">
        <v>27</v>
      </c>
      <c r="U87" s="1202">
        <v>24142349</v>
      </c>
      <c r="V87" s="1202" t="s">
        <v>601</v>
      </c>
      <c r="W87" s="1373" t="s">
        <v>199</v>
      </c>
      <c r="X87" s="1203">
        <v>24571.092000000001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452</v>
      </c>
      <c r="S88" s="1210">
        <v>3331567079</v>
      </c>
      <c r="T88" s="1202" t="s">
        <v>137</v>
      </c>
      <c r="U88" s="1201">
        <v>24142350</v>
      </c>
      <c r="V88" s="1210" t="s">
        <v>290</v>
      </c>
      <c r="W88" s="1373" t="s">
        <v>199</v>
      </c>
      <c r="X88" s="1376">
        <v>25430.423999999999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452</v>
      </c>
      <c r="S89" s="1210">
        <v>3331567116</v>
      </c>
      <c r="T89" s="1202" t="s">
        <v>287</v>
      </c>
      <c r="U89" s="1201">
        <v>24142351</v>
      </c>
      <c r="V89" s="1202" t="s">
        <v>219</v>
      </c>
      <c r="W89" s="1373" t="s">
        <v>199</v>
      </c>
      <c r="X89" s="1203">
        <v>25504.289000000001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452</v>
      </c>
      <c r="S90" s="1202">
        <v>3331567121</v>
      </c>
      <c r="T90" s="1202" t="s">
        <v>287</v>
      </c>
      <c r="U90" s="1202">
        <v>24142352</v>
      </c>
      <c r="V90" s="1202" t="s">
        <v>780</v>
      </c>
      <c r="W90" s="1373" t="s">
        <v>199</v>
      </c>
      <c r="X90" s="1203">
        <v>23347.788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452</v>
      </c>
      <c r="S91" s="1202">
        <v>3331567124</v>
      </c>
      <c r="T91" s="1202" t="s">
        <v>34</v>
      </c>
      <c r="U91" s="1202">
        <v>24142354</v>
      </c>
      <c r="V91" s="1202" t="s">
        <v>158</v>
      </c>
      <c r="W91" s="1373" t="s">
        <v>199</v>
      </c>
      <c r="X91" s="1203">
        <v>24941.376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2" t="s">
        <v>452</v>
      </c>
      <c r="S92" s="1202">
        <v>3331567133</v>
      </c>
      <c r="T92" s="1202" t="s">
        <v>34</v>
      </c>
      <c r="U92" s="1202">
        <v>24142355</v>
      </c>
      <c r="V92" s="1202" t="s">
        <v>158</v>
      </c>
      <c r="W92" s="1373" t="s">
        <v>199</v>
      </c>
      <c r="X92" s="1203">
        <v>27019.824000000001</v>
      </c>
      <c r="Y92" s="1202" t="s">
        <v>200</v>
      </c>
      <c r="Z92" s="1202">
        <v>1</v>
      </c>
      <c r="AA92" s="1202">
        <v>1</v>
      </c>
      <c r="AB92" s="1208" t="s">
        <v>204</v>
      </c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2" t="s">
        <v>452</v>
      </c>
      <c r="S93" s="1202">
        <v>3331567140</v>
      </c>
      <c r="T93" s="1202" t="s">
        <v>11</v>
      </c>
      <c r="U93" s="1202">
        <v>24142356</v>
      </c>
      <c r="V93" s="1202" t="s">
        <v>158</v>
      </c>
      <c r="W93" s="1373" t="s">
        <v>199</v>
      </c>
      <c r="X93" s="1203">
        <v>24900.763999999999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452</v>
      </c>
      <c r="S94" s="1209">
        <v>3331567098</v>
      </c>
      <c r="T94" s="1247" t="s">
        <v>34</v>
      </c>
      <c r="U94" s="1209">
        <v>24142357</v>
      </c>
      <c r="V94" s="1209" t="s">
        <v>366</v>
      </c>
      <c r="W94" s="1209" t="s">
        <v>340</v>
      </c>
      <c r="X94" s="1281">
        <v>25952.788</v>
      </c>
      <c r="Y94" s="1209" t="s">
        <v>200</v>
      </c>
      <c r="Z94" s="1209">
        <v>1</v>
      </c>
      <c r="AA94" s="1209">
        <v>1</v>
      </c>
      <c r="AB94" s="1208" t="s">
        <v>204</v>
      </c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452</v>
      </c>
      <c r="S95" s="1209">
        <v>3331567101</v>
      </c>
      <c r="T95" s="1247" t="s">
        <v>34</v>
      </c>
      <c r="U95" s="1209">
        <v>24142358</v>
      </c>
      <c r="V95" s="1209" t="s">
        <v>366</v>
      </c>
      <c r="W95" s="1209" t="s">
        <v>340</v>
      </c>
      <c r="X95" s="1281">
        <v>25182.695</v>
      </c>
      <c r="Y95" s="1209" t="s">
        <v>200</v>
      </c>
      <c r="Z95" s="1209">
        <v>1</v>
      </c>
      <c r="AA95" s="1209">
        <v>1</v>
      </c>
      <c r="AB95" s="1208" t="s">
        <v>204</v>
      </c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452</v>
      </c>
      <c r="S96" s="1202">
        <v>3331567149</v>
      </c>
      <c r="T96" s="1202" t="s">
        <v>287</v>
      </c>
      <c r="U96" s="1202">
        <v>24142359</v>
      </c>
      <c r="V96" s="1202" t="s">
        <v>466</v>
      </c>
      <c r="W96" s="1373" t="s">
        <v>199</v>
      </c>
      <c r="X96" s="1203">
        <f>15005.747+12284.266</f>
        <v>27290.012999999999</v>
      </c>
      <c r="Y96" s="1202" t="s">
        <v>200</v>
      </c>
      <c r="Z96" s="1202">
        <v>1</v>
      </c>
      <c r="AA96" s="1202">
        <v>1</v>
      </c>
      <c r="AB96" s="1208" t="s">
        <v>204</v>
      </c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452</v>
      </c>
      <c r="S97" s="1202">
        <v>3331567155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2" t="s">
        <v>256</v>
      </c>
      <c r="AA97" s="1202" t="s">
        <v>256</v>
      </c>
      <c r="AB97" s="1202" t="s">
        <v>256</v>
      </c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174" t="s">
        <v>452</v>
      </c>
      <c r="S98" s="105">
        <v>3331567141</v>
      </c>
      <c r="T98" s="1202" t="s">
        <v>206</v>
      </c>
      <c r="U98" s="105">
        <v>24142367</v>
      </c>
      <c r="V98" s="1202" t="s">
        <v>158</v>
      </c>
      <c r="W98" s="1373" t="s">
        <v>199</v>
      </c>
      <c r="X98" s="209">
        <f>7664.277+5542.528+2009.485+4085.618+2924.443+3150.792+6199.475+1281.644+5067.222</f>
        <v>37925.484000000004</v>
      </c>
      <c r="Y98" s="1202" t="s">
        <v>128</v>
      </c>
      <c r="Z98" s="1202">
        <v>1</v>
      </c>
      <c r="AA98" s="1202">
        <v>1</v>
      </c>
      <c r="AB98" s="1208" t="s">
        <v>204</v>
      </c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174" t="s">
        <v>452</v>
      </c>
      <c r="S99" s="105">
        <v>3331567142</v>
      </c>
      <c r="T99" s="1202" t="s">
        <v>256</v>
      </c>
      <c r="U99" s="1202" t="s">
        <v>256</v>
      </c>
      <c r="V99" s="1202" t="s">
        <v>256</v>
      </c>
      <c r="W99" s="1202" t="s">
        <v>256</v>
      </c>
      <c r="X99" s="209" t="s">
        <v>256</v>
      </c>
      <c r="Y99" s="1202" t="s">
        <v>256</v>
      </c>
      <c r="Z99" s="1202" t="s">
        <v>256</v>
      </c>
      <c r="AA99" s="1202" t="s">
        <v>256</v>
      </c>
      <c r="AB99" s="1202" t="s">
        <v>256</v>
      </c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174" t="s">
        <v>452</v>
      </c>
      <c r="S100" s="105">
        <v>3331567143</v>
      </c>
      <c r="T100" s="1202" t="s">
        <v>256</v>
      </c>
      <c r="U100" s="1202" t="s">
        <v>256</v>
      </c>
      <c r="V100" s="1202" t="s">
        <v>256</v>
      </c>
      <c r="W100" s="1202" t="s">
        <v>256</v>
      </c>
      <c r="X100" s="209" t="s">
        <v>256</v>
      </c>
      <c r="Y100" s="1202" t="s">
        <v>256</v>
      </c>
      <c r="Z100" s="1202" t="s">
        <v>256</v>
      </c>
      <c r="AA100" s="1202" t="s">
        <v>256</v>
      </c>
      <c r="AB100" s="1202" t="s">
        <v>256</v>
      </c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174" t="s">
        <v>452</v>
      </c>
      <c r="S101" s="105">
        <v>3331567144</v>
      </c>
      <c r="T101" s="1202" t="s">
        <v>256</v>
      </c>
      <c r="U101" s="1202" t="s">
        <v>256</v>
      </c>
      <c r="V101" s="1202" t="s">
        <v>256</v>
      </c>
      <c r="W101" s="1202" t="s">
        <v>256</v>
      </c>
      <c r="X101" s="209" t="s">
        <v>256</v>
      </c>
      <c r="Y101" s="1202" t="s">
        <v>256</v>
      </c>
      <c r="Z101" s="1202" t="s">
        <v>256</v>
      </c>
      <c r="AA101" s="1202" t="s">
        <v>256</v>
      </c>
      <c r="AB101" s="1202" t="s">
        <v>256</v>
      </c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174" t="s">
        <v>452</v>
      </c>
      <c r="S102" s="105">
        <v>3331567145</v>
      </c>
      <c r="T102" s="1202" t="s">
        <v>256</v>
      </c>
      <c r="U102" s="1202" t="s">
        <v>256</v>
      </c>
      <c r="V102" s="1202" t="s">
        <v>256</v>
      </c>
      <c r="W102" s="1202" t="s">
        <v>256</v>
      </c>
      <c r="X102" s="209" t="s">
        <v>256</v>
      </c>
      <c r="Y102" s="1202" t="s">
        <v>256</v>
      </c>
      <c r="Z102" s="1202" t="s">
        <v>256</v>
      </c>
      <c r="AA102" s="1202" t="s">
        <v>256</v>
      </c>
      <c r="AB102" s="1202" t="s">
        <v>256</v>
      </c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174" t="s">
        <v>452</v>
      </c>
      <c r="S103" s="105">
        <v>3331567147</v>
      </c>
      <c r="T103" s="1202" t="s">
        <v>256</v>
      </c>
      <c r="U103" s="1202" t="s">
        <v>256</v>
      </c>
      <c r="V103" s="1202" t="s">
        <v>256</v>
      </c>
      <c r="W103" s="1202" t="s">
        <v>256</v>
      </c>
      <c r="X103" s="209" t="s">
        <v>256</v>
      </c>
      <c r="Y103" s="1202" t="s">
        <v>256</v>
      </c>
      <c r="Z103" s="1202" t="s">
        <v>256</v>
      </c>
      <c r="AA103" s="1202" t="s">
        <v>256</v>
      </c>
      <c r="AB103" s="1202" t="s">
        <v>256</v>
      </c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174" t="s">
        <v>452</v>
      </c>
      <c r="S104" s="105">
        <v>3331567150</v>
      </c>
      <c r="T104" s="1202" t="s">
        <v>256</v>
      </c>
      <c r="U104" s="1202" t="s">
        <v>256</v>
      </c>
      <c r="V104" s="1202" t="s">
        <v>256</v>
      </c>
      <c r="W104" s="1202" t="s">
        <v>256</v>
      </c>
      <c r="X104" s="209" t="s">
        <v>256</v>
      </c>
      <c r="Y104" s="1202" t="s">
        <v>256</v>
      </c>
      <c r="Z104" s="1202" t="s">
        <v>256</v>
      </c>
      <c r="AA104" s="1202" t="s">
        <v>256</v>
      </c>
      <c r="AB104" s="1202" t="s">
        <v>256</v>
      </c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174" t="s">
        <v>452</v>
      </c>
      <c r="S105" s="105">
        <v>3331567164</v>
      </c>
      <c r="T105" s="1202" t="s">
        <v>256</v>
      </c>
      <c r="U105" s="1202" t="s">
        <v>256</v>
      </c>
      <c r="V105" s="1202" t="s">
        <v>256</v>
      </c>
      <c r="W105" s="1202" t="s">
        <v>256</v>
      </c>
      <c r="X105" s="209" t="s">
        <v>256</v>
      </c>
      <c r="Y105" s="1202" t="s">
        <v>256</v>
      </c>
      <c r="Z105" s="1202" t="s">
        <v>256</v>
      </c>
      <c r="AA105" s="1202" t="s">
        <v>256</v>
      </c>
      <c r="AB105" s="1202" t="s">
        <v>256</v>
      </c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174" t="s">
        <v>452</v>
      </c>
      <c r="S106" s="105">
        <v>3331567165</v>
      </c>
      <c r="T106" s="1202" t="s">
        <v>256</v>
      </c>
      <c r="U106" s="1202" t="s">
        <v>256</v>
      </c>
      <c r="V106" s="1202" t="s">
        <v>256</v>
      </c>
      <c r="W106" s="1202" t="s">
        <v>256</v>
      </c>
      <c r="X106" s="209" t="s">
        <v>256</v>
      </c>
      <c r="Y106" s="1202" t="s">
        <v>256</v>
      </c>
      <c r="Z106" s="1202" t="s">
        <v>256</v>
      </c>
      <c r="AA106" s="1202" t="s">
        <v>256</v>
      </c>
      <c r="AB106" s="1202" t="s">
        <v>256</v>
      </c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174" t="s">
        <v>452</v>
      </c>
      <c r="S107" s="105">
        <v>3331567123</v>
      </c>
      <c r="T107" s="1202" t="s">
        <v>441</v>
      </c>
      <c r="U107" s="1202">
        <v>24142368</v>
      </c>
      <c r="V107" s="1202" t="s">
        <v>158</v>
      </c>
      <c r="W107" s="1373" t="s">
        <v>199</v>
      </c>
      <c r="X107" s="209">
        <f>11994.377+25980.6</f>
        <v>37974.976999999999</v>
      </c>
      <c r="Y107" s="1202" t="s">
        <v>128</v>
      </c>
      <c r="Z107" s="1202">
        <v>1</v>
      </c>
      <c r="AA107" s="1202">
        <v>1</v>
      </c>
      <c r="AB107" s="1208" t="s">
        <v>204</v>
      </c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174" t="s">
        <v>452</v>
      </c>
      <c r="S108" s="105">
        <v>3331567153</v>
      </c>
      <c r="T108" s="1202" t="s">
        <v>256</v>
      </c>
      <c r="U108" s="1202" t="s">
        <v>256</v>
      </c>
      <c r="V108" s="1202" t="s">
        <v>256</v>
      </c>
      <c r="W108" s="1202" t="s">
        <v>256</v>
      </c>
      <c r="X108" s="209" t="s">
        <v>256</v>
      </c>
      <c r="Y108" s="1202" t="s">
        <v>256</v>
      </c>
      <c r="Z108" s="1202" t="s">
        <v>256</v>
      </c>
      <c r="AA108" s="1202" t="s">
        <v>256</v>
      </c>
      <c r="AB108" s="1202" t="s">
        <v>256</v>
      </c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1" t="s">
        <v>452</v>
      </c>
      <c r="S109" s="1202">
        <v>3331567151</v>
      </c>
      <c r="T109" s="1202" t="s">
        <v>287</v>
      </c>
      <c r="U109" s="1202">
        <v>24142362</v>
      </c>
      <c r="V109" s="1202" t="s">
        <v>601</v>
      </c>
      <c r="W109" s="1373" t="s">
        <v>199</v>
      </c>
      <c r="X109" s="1203">
        <f>5862.465+3873.582+1589.48+10919.427+3857.004</f>
        <v>26101.957999999999</v>
      </c>
      <c r="Y109" s="1202" t="s">
        <v>200</v>
      </c>
      <c r="Z109" s="1202">
        <v>1</v>
      </c>
      <c r="AA109" s="1202">
        <v>1</v>
      </c>
      <c r="AB109" s="1208" t="s">
        <v>204</v>
      </c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01" t="s">
        <v>452</v>
      </c>
      <c r="S110" s="1202">
        <v>3331567154</v>
      </c>
      <c r="T110" s="1202" t="s">
        <v>256</v>
      </c>
      <c r="U110" s="1202" t="s">
        <v>256</v>
      </c>
      <c r="V110" s="1202" t="s">
        <v>256</v>
      </c>
      <c r="W110" s="1202" t="s">
        <v>256</v>
      </c>
      <c r="X110" s="1202" t="s">
        <v>256</v>
      </c>
      <c r="Y110" s="1202" t="s">
        <v>256</v>
      </c>
      <c r="Z110" s="1202" t="s">
        <v>256</v>
      </c>
      <c r="AA110" s="1202" t="s">
        <v>256</v>
      </c>
      <c r="AB110" s="1202" t="s">
        <v>256</v>
      </c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01" t="s">
        <v>452</v>
      </c>
      <c r="S111" s="1202">
        <v>3331567163</v>
      </c>
      <c r="T111" s="1202" t="s">
        <v>256</v>
      </c>
      <c r="U111" s="1202" t="s">
        <v>256</v>
      </c>
      <c r="V111" s="1202" t="s">
        <v>256</v>
      </c>
      <c r="W111" s="1202" t="s">
        <v>256</v>
      </c>
      <c r="X111" s="1202" t="s">
        <v>256</v>
      </c>
      <c r="Y111" s="1202" t="s">
        <v>256</v>
      </c>
      <c r="Z111" s="1202" t="s">
        <v>256</v>
      </c>
      <c r="AA111" s="1202" t="s">
        <v>256</v>
      </c>
      <c r="AB111" s="1202" t="s">
        <v>256</v>
      </c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01" t="s">
        <v>452</v>
      </c>
      <c r="S112" s="1202">
        <v>3331567161</v>
      </c>
      <c r="T112" s="1202" t="s">
        <v>256</v>
      </c>
      <c r="U112" s="1202" t="s">
        <v>256</v>
      </c>
      <c r="V112" s="1202" t="s">
        <v>256</v>
      </c>
      <c r="W112" s="1202" t="s">
        <v>256</v>
      </c>
      <c r="X112" s="1202" t="s">
        <v>256</v>
      </c>
      <c r="Y112" s="1202" t="s">
        <v>256</v>
      </c>
      <c r="Z112" s="1202" t="s">
        <v>256</v>
      </c>
      <c r="AA112" s="1202" t="s">
        <v>256</v>
      </c>
      <c r="AB112" s="1202" t="s">
        <v>256</v>
      </c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01" t="s">
        <v>452</v>
      </c>
      <c r="S113" s="1202">
        <v>3331567167</v>
      </c>
      <c r="T113" s="1202" t="s">
        <v>256</v>
      </c>
      <c r="U113" s="1202" t="s">
        <v>256</v>
      </c>
      <c r="V113" s="1202" t="s">
        <v>256</v>
      </c>
      <c r="W113" s="1202" t="s">
        <v>256</v>
      </c>
      <c r="X113" s="1202" t="s">
        <v>256</v>
      </c>
      <c r="Y113" s="1202" t="s">
        <v>256</v>
      </c>
      <c r="Z113" s="1202" t="s">
        <v>256</v>
      </c>
      <c r="AA113" s="1202" t="s">
        <v>256</v>
      </c>
      <c r="AB113" s="1202" t="s">
        <v>256</v>
      </c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01" t="s">
        <v>452</v>
      </c>
      <c r="S114" s="1202">
        <v>3331567174</v>
      </c>
      <c r="T114" s="1202" t="s">
        <v>287</v>
      </c>
      <c r="U114" s="1202">
        <v>24142364</v>
      </c>
      <c r="V114" s="1202" t="s">
        <v>440</v>
      </c>
      <c r="W114" s="1373" t="s">
        <v>199</v>
      </c>
      <c r="X114" s="1203">
        <f>9375.417+9577.12+1282.65+5434.779</f>
        <v>25669.966</v>
      </c>
      <c r="Y114" s="1202" t="s">
        <v>200</v>
      </c>
      <c r="Z114" s="1202">
        <v>1</v>
      </c>
      <c r="AA114" s="1202">
        <v>1</v>
      </c>
      <c r="AB114" s="1208" t="s">
        <v>204</v>
      </c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01" t="s">
        <v>452</v>
      </c>
      <c r="S115" s="1202">
        <v>3331567176</v>
      </c>
      <c r="T115" s="1202" t="s">
        <v>256</v>
      </c>
      <c r="U115" s="1202" t="s">
        <v>256</v>
      </c>
      <c r="V115" s="1202" t="s">
        <v>256</v>
      </c>
      <c r="W115" s="1202" t="s">
        <v>256</v>
      </c>
      <c r="X115" s="1203" t="s">
        <v>256</v>
      </c>
      <c r="Y115" s="1202" t="s">
        <v>256</v>
      </c>
      <c r="Z115" s="1202" t="s">
        <v>256</v>
      </c>
      <c r="AA115" s="1202" t="s">
        <v>256</v>
      </c>
      <c r="AB115" s="1202" t="s">
        <v>256</v>
      </c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01" t="s">
        <v>452</v>
      </c>
      <c r="S116" s="1202">
        <v>3331567177</v>
      </c>
      <c r="T116" s="1202" t="s">
        <v>256</v>
      </c>
      <c r="U116" s="1202" t="s">
        <v>256</v>
      </c>
      <c r="V116" s="1202" t="s">
        <v>256</v>
      </c>
      <c r="W116" s="1202" t="s">
        <v>256</v>
      </c>
      <c r="X116" s="1203" t="s">
        <v>256</v>
      </c>
      <c r="Y116" s="1202" t="s">
        <v>256</v>
      </c>
      <c r="Z116" s="1202" t="s">
        <v>256</v>
      </c>
      <c r="AA116" s="1202" t="s">
        <v>256</v>
      </c>
      <c r="AB116" s="1202" t="s">
        <v>256</v>
      </c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01" t="s">
        <v>452</v>
      </c>
      <c r="S117" s="1202">
        <v>3331567181</v>
      </c>
      <c r="T117" s="1202" t="s">
        <v>256</v>
      </c>
      <c r="U117" s="1202" t="s">
        <v>256</v>
      </c>
      <c r="V117" s="1202" t="s">
        <v>256</v>
      </c>
      <c r="W117" s="1202" t="s">
        <v>256</v>
      </c>
      <c r="X117" s="1203" t="s">
        <v>256</v>
      </c>
      <c r="Y117" s="1202" t="s">
        <v>256</v>
      </c>
      <c r="Z117" s="1202" t="s">
        <v>256</v>
      </c>
      <c r="AA117" s="1202" t="s">
        <v>256</v>
      </c>
      <c r="AB117" s="1202" t="s">
        <v>256</v>
      </c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52" t="s">
        <v>452</v>
      </c>
      <c r="S118" s="1209">
        <v>3331567199</v>
      </c>
      <c r="T118" s="1209" t="s">
        <v>34</v>
      </c>
      <c r="U118" s="1209">
        <v>24142365</v>
      </c>
      <c r="V118" s="1209" t="s">
        <v>290</v>
      </c>
      <c r="W118" s="1209" t="s">
        <v>340</v>
      </c>
      <c r="X118" s="1281">
        <f>7763.805+13752.862</f>
        <v>21516.667000000001</v>
      </c>
      <c r="Y118" s="1209" t="s">
        <v>200</v>
      </c>
      <c r="Z118" s="1209">
        <v>1</v>
      </c>
      <c r="AA118" s="1209">
        <v>1</v>
      </c>
      <c r="AB118" s="1208" t="s">
        <v>204</v>
      </c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01" t="s">
        <v>452</v>
      </c>
      <c r="S119" s="1202">
        <v>3331567200</v>
      </c>
      <c r="T119" s="1202" t="s">
        <v>256</v>
      </c>
      <c r="U119" s="1202" t="s">
        <v>256</v>
      </c>
      <c r="V119" s="1202" t="s">
        <v>256</v>
      </c>
      <c r="W119" s="1202" t="s">
        <v>256</v>
      </c>
      <c r="X119" s="1203" t="s">
        <v>256</v>
      </c>
      <c r="Y119" s="1202" t="s">
        <v>256</v>
      </c>
      <c r="Z119" s="1202" t="s">
        <v>256</v>
      </c>
      <c r="AA119" s="1202" t="s">
        <v>256</v>
      </c>
      <c r="AB119" s="1202" t="s">
        <v>256</v>
      </c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52" t="s">
        <v>452</v>
      </c>
      <c r="S120" s="1209">
        <v>3331567219</v>
      </c>
      <c r="T120" s="1209" t="s">
        <v>781</v>
      </c>
      <c r="U120" s="1202">
        <v>24142366</v>
      </c>
      <c r="V120" s="1202" t="s">
        <v>782</v>
      </c>
      <c r="W120" s="1202" t="s">
        <v>783</v>
      </c>
      <c r="X120" s="1203">
        <v>2071.38</v>
      </c>
      <c r="Y120" s="1202" t="s">
        <v>784</v>
      </c>
      <c r="Z120" s="1209">
        <v>1</v>
      </c>
      <c r="AA120" s="1209">
        <v>1</v>
      </c>
      <c r="AB120" s="1208" t="s">
        <v>204</v>
      </c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01" t="s">
        <v>452</v>
      </c>
      <c r="S121" s="1202">
        <v>3331567294</v>
      </c>
      <c r="T121" s="1202" t="s">
        <v>287</v>
      </c>
      <c r="U121" s="1202">
        <v>24142380</v>
      </c>
      <c r="V121" s="1202" t="s">
        <v>158</v>
      </c>
      <c r="W121" s="1209" t="s">
        <v>340</v>
      </c>
      <c r="X121" s="1203">
        <v>25821.611000000001</v>
      </c>
      <c r="Y121" s="1209" t="s">
        <v>200</v>
      </c>
      <c r="Z121" s="1209">
        <v>1</v>
      </c>
      <c r="AA121" s="1209">
        <v>1</v>
      </c>
      <c r="AB121" s="1208" t="s">
        <v>204</v>
      </c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01" t="s">
        <v>452</v>
      </c>
      <c r="S122" s="1202">
        <v>3331567297</v>
      </c>
      <c r="T122" s="1202" t="s">
        <v>11</v>
      </c>
      <c r="U122" s="1202">
        <v>24142381</v>
      </c>
      <c r="V122" s="1202" t="s">
        <v>158</v>
      </c>
      <c r="W122" s="1209" t="s">
        <v>340</v>
      </c>
      <c r="X122" s="1203">
        <v>26379.834999999999</v>
      </c>
      <c r="Y122" s="1209" t="s">
        <v>200</v>
      </c>
      <c r="Z122" s="1209">
        <v>1</v>
      </c>
      <c r="AA122" s="1209">
        <v>1</v>
      </c>
      <c r="AB122" s="1208" t="s">
        <v>204</v>
      </c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01" t="s">
        <v>691</v>
      </c>
      <c r="S123" s="1202">
        <v>3331567301</v>
      </c>
      <c r="T123" s="1259" t="s">
        <v>462</v>
      </c>
      <c r="U123" s="1202">
        <v>24142382</v>
      </c>
      <c r="V123" s="1202" t="s">
        <v>158</v>
      </c>
      <c r="W123" s="1209" t="s">
        <v>340</v>
      </c>
      <c r="X123" s="1203">
        <v>24528.705000000002</v>
      </c>
      <c r="Y123" s="1209" t="s">
        <v>200</v>
      </c>
      <c r="Z123" s="1209">
        <v>1</v>
      </c>
      <c r="AA123" s="1209">
        <v>1</v>
      </c>
      <c r="AB123" s="1208" t="s">
        <v>204</v>
      </c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01" t="s">
        <v>452</v>
      </c>
      <c r="S124" s="1202">
        <v>3331567308</v>
      </c>
      <c r="T124" s="1202" t="s">
        <v>34</v>
      </c>
      <c r="U124" s="1202">
        <v>24142383</v>
      </c>
      <c r="V124" s="1202" t="s">
        <v>158</v>
      </c>
      <c r="W124" s="1209" t="s">
        <v>340</v>
      </c>
      <c r="X124" s="1203">
        <v>24465.064999999999</v>
      </c>
      <c r="Y124" s="1209" t="s">
        <v>200</v>
      </c>
      <c r="Z124" s="1209">
        <v>1</v>
      </c>
      <c r="AA124" s="1209">
        <v>1</v>
      </c>
      <c r="AB124" s="1208" t="s">
        <v>204</v>
      </c>
      <c r="AC124" s="1271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01" t="s">
        <v>452</v>
      </c>
      <c r="S125" s="1202">
        <v>3331567310</v>
      </c>
      <c r="T125" s="1202" t="s">
        <v>11</v>
      </c>
      <c r="U125" s="1202">
        <v>24142384</v>
      </c>
      <c r="V125" s="1202" t="s">
        <v>158</v>
      </c>
      <c r="W125" s="1209" t="s">
        <v>340</v>
      </c>
      <c r="X125" s="1203">
        <v>24858.042000000001</v>
      </c>
      <c r="Y125" s="1209" t="s">
        <v>200</v>
      </c>
      <c r="Z125" s="1209">
        <v>1</v>
      </c>
      <c r="AA125" s="1209">
        <v>1</v>
      </c>
      <c r="AB125" s="1208" t="s">
        <v>204</v>
      </c>
      <c r="AC125" s="1271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01" t="s">
        <v>691</v>
      </c>
      <c r="S126" s="1202">
        <v>3331567312</v>
      </c>
      <c r="T126" s="1259" t="s">
        <v>287</v>
      </c>
      <c r="U126" s="1202">
        <v>24142385</v>
      </c>
      <c r="V126" s="1202" t="s">
        <v>158</v>
      </c>
      <c r="W126" s="1209" t="s">
        <v>340</v>
      </c>
      <c r="X126" s="1203">
        <v>25103.692999999999</v>
      </c>
      <c r="Y126" s="1209" t="s">
        <v>200</v>
      </c>
      <c r="Z126" s="1209">
        <v>1</v>
      </c>
      <c r="AA126" s="1209">
        <v>1</v>
      </c>
      <c r="AB126" s="1208" t="s">
        <v>204</v>
      </c>
      <c r="AC126" s="1271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01" t="s">
        <v>691</v>
      </c>
      <c r="S127" s="1202">
        <v>3331567318</v>
      </c>
      <c r="T127" s="1259" t="s">
        <v>27</v>
      </c>
      <c r="U127" s="1202">
        <v>24142386</v>
      </c>
      <c r="V127" s="1202" t="s">
        <v>158</v>
      </c>
      <c r="W127" s="1209" t="s">
        <v>340</v>
      </c>
      <c r="X127" s="1203">
        <v>26327.008000000002</v>
      </c>
      <c r="Y127" s="1209" t="s">
        <v>200</v>
      </c>
      <c r="Z127" s="1209">
        <v>1</v>
      </c>
      <c r="AA127" s="1209">
        <v>1</v>
      </c>
      <c r="AB127" s="1208" t="s">
        <v>204</v>
      </c>
      <c r="AC127" s="1271"/>
      <c r="AD127" s="81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01" t="s">
        <v>691</v>
      </c>
      <c r="S128" s="1202">
        <v>3331567325</v>
      </c>
      <c r="T128" s="1259" t="s">
        <v>27</v>
      </c>
      <c r="U128" s="1202">
        <v>24142387</v>
      </c>
      <c r="V128" s="1202" t="s">
        <v>158</v>
      </c>
      <c r="W128" s="1209" t="s">
        <v>340</v>
      </c>
      <c r="X128" s="1203">
        <v>25893.998</v>
      </c>
      <c r="Y128" s="1209" t="s">
        <v>200</v>
      </c>
      <c r="Z128" s="1209">
        <v>1</v>
      </c>
      <c r="AA128" s="1209">
        <v>1</v>
      </c>
      <c r="AB128" s="1208" t="s">
        <v>204</v>
      </c>
      <c r="AC128" s="1271"/>
      <c r="AD128" s="81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189"/>
      <c r="S129" s="1190"/>
      <c r="T129" s="1190"/>
      <c r="U129" s="1190"/>
      <c r="V129" s="1190"/>
      <c r="W129" s="1190"/>
      <c r="X129" s="1190"/>
      <c r="Y129" s="1190"/>
      <c r="Z129" s="1190"/>
      <c r="AA129" s="1190"/>
      <c r="AB129" s="1190"/>
      <c r="AC129" s="1271"/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190"/>
      <c r="U130" s="1190"/>
      <c r="V130" s="1190"/>
      <c r="W130" s="1190"/>
      <c r="X130" s="1190"/>
      <c r="Y130" s="1190"/>
      <c r="Z130" s="1190"/>
      <c r="AA130" s="1190"/>
      <c r="AB130" s="1190"/>
      <c r="AC130" s="1271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190"/>
      <c r="U131" s="1190"/>
      <c r="V131" s="1190"/>
      <c r="W131" s="1190"/>
      <c r="X131" s="1190"/>
      <c r="Y131" s="1190"/>
      <c r="Z131" s="1190"/>
      <c r="AA131" s="1190"/>
      <c r="AB131" s="1190"/>
      <c r="AC131" s="1271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190"/>
      <c r="U132" s="1190"/>
      <c r="V132" s="1190"/>
      <c r="W132" s="1190"/>
      <c r="X132" s="1190"/>
      <c r="Y132" s="1190"/>
      <c r="Z132" s="1190"/>
      <c r="AA132" s="1190"/>
      <c r="AB132" s="1190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189"/>
      <c r="S133" s="1190"/>
      <c r="T133" s="1190"/>
      <c r="U133" s="1190"/>
      <c r="V133" s="1190"/>
      <c r="W133" s="1190"/>
      <c r="X133" s="1190"/>
      <c r="Y133" s="1190"/>
      <c r="Z133" s="1190"/>
      <c r="AA133" s="1190"/>
      <c r="AB133" s="1190"/>
      <c r="AC133" s="1271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189"/>
      <c r="S134" s="1190"/>
      <c r="T134" s="1414"/>
      <c r="U134" s="1190"/>
      <c r="V134" s="1190"/>
      <c r="W134" s="1362"/>
      <c r="X134" s="1191"/>
      <c r="Y134" s="1190"/>
      <c r="Z134" s="1190"/>
      <c r="AA134" s="1190"/>
      <c r="AB134" s="1200"/>
      <c r="AC134" s="1271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189"/>
      <c r="S135" s="1190"/>
      <c r="T135" s="1190"/>
      <c r="U135" s="1190"/>
      <c r="V135" s="1190"/>
      <c r="W135" s="1190"/>
      <c r="X135" s="1191"/>
      <c r="Y135" s="1190"/>
      <c r="Z135" s="1190"/>
      <c r="AA135" s="1190"/>
      <c r="AB135" s="1190"/>
      <c r="AC135" s="1271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189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190"/>
      <c r="AC136" s="1271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189"/>
      <c r="S137" s="1190"/>
      <c r="T137" s="1190"/>
      <c r="U137" s="1190"/>
      <c r="V137" s="1190"/>
      <c r="W137" s="1190"/>
      <c r="X137" s="1191"/>
      <c r="Y137" s="1190"/>
      <c r="Z137" s="1190"/>
      <c r="AA137" s="1190"/>
      <c r="AB137" s="1190"/>
      <c r="AC137" s="1271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189"/>
      <c r="S139" s="1190"/>
      <c r="T139" s="1190"/>
      <c r="U139" s="1190"/>
      <c r="V139" s="1190"/>
      <c r="W139" s="1362"/>
      <c r="X139" s="1191"/>
      <c r="Y139" s="1190"/>
      <c r="Z139" s="1190"/>
      <c r="AA139" s="1190"/>
      <c r="AB139" s="1200"/>
      <c r="AC139" s="1271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190"/>
      <c r="S140" s="1190"/>
      <c r="T140" s="1217"/>
      <c r="U140" s="1190"/>
      <c r="V140" s="1224"/>
      <c r="W140" s="1293"/>
      <c r="X140" s="1191"/>
      <c r="Y140" s="1190"/>
      <c r="Z140" s="1217"/>
      <c r="AA140" s="1217"/>
      <c r="AB140" s="1218"/>
      <c r="AC140" s="1217"/>
      <c r="AD140" s="1326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17"/>
      <c r="S141" s="1217"/>
      <c r="T141" s="1217"/>
      <c r="U141" s="1294"/>
      <c r="V141" s="1224"/>
      <c r="W141" s="1293"/>
      <c r="X141" s="1191"/>
      <c r="Y141" s="1294"/>
      <c r="Z141" s="1294"/>
      <c r="AA141" s="1294"/>
      <c r="AB141" s="1294"/>
      <c r="AC141" s="1217"/>
      <c r="AD141" s="1326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17"/>
      <c r="S142" s="1217"/>
      <c r="T142" s="1217"/>
      <c r="U142" s="1294"/>
      <c r="V142" s="1224"/>
      <c r="W142" s="1293"/>
      <c r="X142" s="1191"/>
      <c r="Y142" s="1294"/>
      <c r="Z142" s="1294"/>
      <c r="AA142" s="1294"/>
      <c r="AB142" s="1294"/>
      <c r="AC142" s="1270"/>
      <c r="AD142" s="1293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294"/>
      <c r="V143" s="1294"/>
      <c r="W143" s="1294"/>
      <c r="X143" s="1295"/>
      <c r="Y143" s="1294"/>
      <c r="Z143" s="1294"/>
      <c r="AA143" s="1294"/>
      <c r="AB143" s="1294"/>
      <c r="AC143" s="1270"/>
      <c r="AD143" s="1293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294"/>
      <c r="V144" s="1294"/>
      <c r="W144" s="1294"/>
      <c r="X144" s="1295"/>
      <c r="Y144" s="1294"/>
      <c r="Z144" s="1293"/>
      <c r="AA144" s="1293"/>
      <c r="AB144" s="1352"/>
      <c r="AC144" s="1270"/>
      <c r="AD144" s="1293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220"/>
      <c r="S145" s="1217"/>
      <c r="T145" s="1217"/>
      <c r="U145" s="1294"/>
      <c r="V145" s="1294"/>
      <c r="W145" s="1293"/>
      <c r="X145" s="1191"/>
      <c r="Y145" s="1294"/>
      <c r="Z145" s="1190"/>
      <c r="AA145" s="1190"/>
      <c r="AB145" s="1200"/>
      <c r="AC145" s="1271"/>
      <c r="AD145" s="81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220"/>
      <c r="S146" s="1217"/>
      <c r="T146" s="1217"/>
      <c r="U146" s="1294"/>
      <c r="V146" s="1294"/>
      <c r="W146" s="1293"/>
      <c r="X146" s="1191"/>
      <c r="Y146" s="1294"/>
      <c r="Z146" s="1190"/>
      <c r="AA146" s="1190"/>
      <c r="AB146" s="1200"/>
      <c r="AC146" s="1271"/>
      <c r="AD146" s="81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220"/>
      <c r="S147" s="1217"/>
      <c r="T147" s="1217"/>
      <c r="U147" s="1294"/>
      <c r="V147" s="1217"/>
      <c r="W147" s="1294"/>
      <c r="X147" s="1191"/>
      <c r="Y147" s="1294"/>
      <c r="Z147" s="1190"/>
      <c r="AA147" s="1190"/>
      <c r="AB147" s="1200"/>
      <c r="AC147" s="1271"/>
      <c r="AD147" s="81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220"/>
      <c r="S148" s="1217"/>
      <c r="T148" s="1217"/>
      <c r="U148" s="1294"/>
      <c r="V148" s="1217"/>
      <c r="W148" s="1294"/>
      <c r="X148" s="1191"/>
      <c r="Y148" s="1294"/>
      <c r="Z148" s="1190"/>
      <c r="AA148" s="1190"/>
      <c r="AB148" s="1200"/>
      <c r="AC148" s="1271"/>
      <c r="AD148" s="81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220"/>
      <c r="S149" s="1217"/>
      <c r="T149" s="1217"/>
      <c r="U149" s="1294"/>
      <c r="V149" s="1217"/>
      <c r="W149" s="1294"/>
      <c r="X149" s="1191"/>
      <c r="Y149" s="1294"/>
      <c r="Z149" s="1190"/>
      <c r="AA149" s="1190"/>
      <c r="AB149" s="1200"/>
      <c r="AC149" s="1271"/>
      <c r="AD149" s="81"/>
    </row>
    <row r="150" spans="1:30" s="44" customFormat="1" ht="15.6">
      <c r="R150" s="1220"/>
      <c r="S150" s="1217"/>
      <c r="T150" s="1217"/>
      <c r="U150" s="1294"/>
      <c r="V150" s="1217"/>
      <c r="W150" s="1294"/>
      <c r="X150" s="1191"/>
      <c r="Y150" s="1294"/>
      <c r="Z150" s="1190"/>
      <c r="AA150" s="1190"/>
      <c r="AB150" s="1200"/>
      <c r="AC150" s="1271"/>
      <c r="AD150" s="81"/>
    </row>
    <row r="151" spans="1:30" s="44" customFormat="1" ht="15.6">
      <c r="R151" s="1220"/>
      <c r="S151" s="1217"/>
      <c r="T151" s="1217"/>
      <c r="U151" s="1294"/>
      <c r="V151" s="1217"/>
      <c r="W151" s="1294"/>
      <c r="X151" s="1191"/>
      <c r="Y151" s="1294"/>
      <c r="Z151" s="1190"/>
      <c r="AA151" s="1190"/>
      <c r="AB151" s="1200"/>
      <c r="AC151" s="1271"/>
      <c r="AD151" s="81"/>
    </row>
    <row r="152" spans="1:30" s="44" customFormat="1" ht="15.6">
      <c r="R152" s="1220"/>
      <c r="S152" s="1217"/>
      <c r="T152" s="1217"/>
      <c r="U152" s="1294"/>
      <c r="V152" s="1217"/>
      <c r="W152" s="1294"/>
      <c r="X152" s="1191"/>
      <c r="Y152" s="1294"/>
      <c r="Z152" s="1190"/>
      <c r="AA152" s="1190"/>
      <c r="AB152" s="1200"/>
      <c r="AC152" s="1271"/>
      <c r="AD152" s="81"/>
    </row>
    <row r="153" spans="1:30" s="44" customFormat="1">
      <c r="R153" s="1220"/>
      <c r="S153" s="1217"/>
      <c r="T153" s="1217"/>
      <c r="U153" s="1294"/>
      <c r="V153" s="1217"/>
      <c r="W153" s="1294"/>
      <c r="X153" s="1191"/>
      <c r="Y153" s="1294"/>
      <c r="Z153" s="1294"/>
      <c r="AA153" s="1294"/>
      <c r="AB153" s="1294"/>
      <c r="AC153" s="1271"/>
      <c r="AD153" s="81"/>
    </row>
    <row r="154" spans="1:30" s="44" customFormat="1">
      <c r="R154" s="1220"/>
      <c r="S154" s="1217"/>
      <c r="T154" s="1217"/>
      <c r="U154" s="1294"/>
      <c r="V154" s="1217"/>
      <c r="W154" s="1294"/>
      <c r="X154" s="1191"/>
      <c r="Y154" s="1294"/>
      <c r="Z154" s="1294"/>
      <c r="AA154" s="1294"/>
      <c r="AB154" s="1294"/>
      <c r="AC154" s="1271"/>
      <c r="AD154" s="81"/>
    </row>
    <row r="155" spans="1:30" s="44" customFormat="1" ht="15.6">
      <c r="R155" s="1220"/>
      <c r="S155" s="1217"/>
      <c r="T155" s="1217"/>
      <c r="U155" s="1294"/>
      <c r="V155" s="1217"/>
      <c r="W155" s="1294"/>
      <c r="X155" s="1191"/>
      <c r="Y155" s="1294"/>
      <c r="Z155" s="1190"/>
      <c r="AA155" s="1190"/>
      <c r="AB155" s="1200"/>
      <c r="AC155" s="1271"/>
      <c r="AD155" s="81"/>
    </row>
    <row r="156" spans="1:30" s="44" customFormat="1" ht="15.6">
      <c r="R156" s="1220"/>
      <c r="S156" s="1217"/>
      <c r="T156" s="1217"/>
      <c r="U156" s="1294"/>
      <c r="V156" s="1217"/>
      <c r="W156" s="1293"/>
      <c r="X156" s="1191"/>
      <c r="Y156" s="1294"/>
      <c r="Z156" s="1190"/>
      <c r="AA156" s="1190"/>
      <c r="AB156" s="1200"/>
      <c r="AC156" s="1271"/>
      <c r="AD156" s="81"/>
    </row>
    <row r="157" spans="1:30" s="44" customFormat="1">
      <c r="R157" s="1220"/>
      <c r="S157" s="1217"/>
      <c r="T157" s="1217"/>
      <c r="U157" s="1294"/>
      <c r="V157" s="1217"/>
      <c r="W157" s="1293"/>
      <c r="X157" s="1191"/>
      <c r="Y157" s="1294"/>
      <c r="Z157" s="1294"/>
      <c r="AA157" s="1294"/>
      <c r="AB157" s="1294"/>
      <c r="AC157" s="1271"/>
      <c r="AD157" s="81"/>
    </row>
    <row r="158" spans="1:30" s="44" customFormat="1" ht="15.6">
      <c r="R158" s="1220"/>
      <c r="S158" s="1217"/>
      <c r="T158" s="1217"/>
      <c r="U158" s="1294"/>
      <c r="V158" s="1217"/>
      <c r="W158" s="1293"/>
      <c r="X158" s="1191"/>
      <c r="Y158" s="1294"/>
      <c r="Z158" s="1190"/>
      <c r="AA158" s="1190"/>
      <c r="AB158" s="1200"/>
      <c r="AC158" s="1271"/>
      <c r="AD158" s="81"/>
    </row>
    <row r="159" spans="1:30" s="44" customFormat="1">
      <c r="R159" s="1220"/>
      <c r="S159" s="1217"/>
      <c r="T159" s="1217"/>
      <c r="U159" s="1294"/>
      <c r="V159" s="1217"/>
      <c r="W159" s="1293"/>
      <c r="X159" s="1191"/>
      <c r="Y159" s="1294"/>
      <c r="Z159" s="1294"/>
      <c r="AA159" s="1294"/>
      <c r="AB159" s="1294"/>
      <c r="AC159" s="1271"/>
      <c r="AD159" s="81"/>
    </row>
    <row r="160" spans="1:30" s="44" customFormat="1">
      <c r="R160" s="1220"/>
      <c r="S160" s="1217"/>
      <c r="T160" s="1217"/>
      <c r="U160" s="1294"/>
      <c r="V160" s="1217"/>
      <c r="W160" s="1293"/>
      <c r="X160" s="1191"/>
      <c r="Y160" s="1294"/>
      <c r="Z160" s="1294"/>
      <c r="AA160" s="1294"/>
      <c r="AB160" s="1294"/>
      <c r="AC160" s="1271"/>
      <c r="AD160" s="81"/>
    </row>
    <row r="161" spans="18:30" s="44" customFormat="1">
      <c r="R161" s="1220"/>
      <c r="S161" s="1217"/>
      <c r="T161" s="1217"/>
      <c r="U161" s="1294"/>
      <c r="V161" s="1217"/>
      <c r="W161" s="1293"/>
      <c r="X161" s="1191"/>
      <c r="Y161" s="1294"/>
      <c r="Z161" s="1294"/>
      <c r="AA161" s="1294"/>
      <c r="AB161" s="1294"/>
      <c r="AC161" s="1271"/>
      <c r="AD161" s="81"/>
    </row>
    <row r="162" spans="18:30" s="44" customFormat="1">
      <c r="R162" s="1220"/>
      <c r="S162" s="1217"/>
      <c r="T162" s="1217"/>
      <c r="U162" s="1294"/>
      <c r="V162" s="1217"/>
      <c r="W162" s="1293"/>
      <c r="X162" s="1191"/>
      <c r="Y162" s="1294"/>
      <c r="Z162" s="1294"/>
      <c r="AA162" s="1294"/>
      <c r="AB162" s="1294"/>
      <c r="AC162" s="1271"/>
      <c r="AD162" s="81"/>
    </row>
    <row r="163" spans="18:30" s="44" customFormat="1">
      <c r="R163" s="1220"/>
      <c r="S163" s="1217"/>
      <c r="T163" s="1217"/>
      <c r="U163" s="1294"/>
      <c r="V163" s="1217"/>
      <c r="W163" s="1293"/>
      <c r="X163" s="1191"/>
      <c r="Y163" s="1294"/>
      <c r="Z163" s="1294"/>
      <c r="AA163" s="1294"/>
      <c r="AB163" s="1294"/>
      <c r="AC163" s="1271"/>
      <c r="AD163" s="81"/>
    </row>
    <row r="164" spans="18:30" s="44" customFormat="1" ht="15.6">
      <c r="R164" s="1220"/>
      <c r="S164" s="1217"/>
      <c r="T164" s="1217"/>
      <c r="U164" s="1217"/>
      <c r="V164" s="1217"/>
      <c r="W164" s="1293"/>
      <c r="X164" s="1296"/>
      <c r="Y164" s="1294"/>
      <c r="Z164" s="1294"/>
      <c r="AA164" s="1294"/>
      <c r="AB164" s="1099"/>
      <c r="AC164" s="1217"/>
      <c r="AD164" s="1326"/>
    </row>
    <row r="165" spans="18:30" s="44" customFormat="1">
      <c r="R165" s="1189"/>
      <c r="S165" s="1190"/>
      <c r="T165" s="1217"/>
      <c r="U165" s="1190"/>
      <c r="V165" s="1217"/>
      <c r="W165" s="1293"/>
      <c r="X165" s="1325"/>
      <c r="Y165" s="1294"/>
      <c r="Z165" s="1190"/>
      <c r="AA165" s="1190"/>
      <c r="AB165" s="1190"/>
      <c r="AC165" s="1217"/>
      <c r="AD165" s="1326"/>
    </row>
    <row r="166" spans="18:30" s="44" customFormat="1">
      <c r="R166" s="1220"/>
      <c r="S166" s="1217"/>
      <c r="T166" s="1217"/>
      <c r="U166" s="1190"/>
      <c r="V166" s="1190"/>
      <c r="W166" s="1190"/>
      <c r="X166" s="1325"/>
      <c r="Y166" s="1190"/>
      <c r="Z166" s="1190"/>
      <c r="AA166" s="1190"/>
      <c r="AB166" s="1190"/>
      <c r="AC166" s="1217"/>
      <c r="AD166" s="1326"/>
    </row>
    <row r="167" spans="18:30" s="44" customFormat="1">
      <c r="R167" s="1220"/>
      <c r="S167" s="1217"/>
      <c r="T167" s="1217"/>
      <c r="U167" s="1190"/>
      <c r="V167" s="1190"/>
      <c r="W167" s="1293"/>
      <c r="X167" s="1325"/>
      <c r="Y167" s="1294"/>
      <c r="Z167" s="1190"/>
      <c r="AA167" s="1190"/>
      <c r="AB167" s="1190"/>
      <c r="AC167" s="1217"/>
      <c r="AD167" s="1326"/>
    </row>
    <row r="168" spans="18:30" s="44" customFormat="1">
      <c r="R168" s="1190"/>
      <c r="S168" s="1190"/>
      <c r="T168" s="1217"/>
      <c r="U168" s="1293"/>
      <c r="V168" s="1190"/>
      <c r="W168" s="1293"/>
      <c r="X168" s="1191"/>
      <c r="Y168" s="1294"/>
      <c r="Z168" s="1190"/>
      <c r="AA168" s="1190"/>
      <c r="AB168" s="1190"/>
      <c r="AC168" s="1217"/>
      <c r="AD168" s="1326"/>
    </row>
    <row r="169" spans="18:30" s="44" customFormat="1">
      <c r="R169" s="1190"/>
      <c r="S169" s="1190"/>
      <c r="T169" s="1217"/>
      <c r="U169" s="1293"/>
      <c r="V169" s="1190"/>
      <c r="W169" s="1293"/>
      <c r="X169" s="1191"/>
      <c r="Y169" s="1294"/>
      <c r="Z169" s="1190"/>
      <c r="AA169" s="1190"/>
      <c r="AB169" s="1190"/>
      <c r="AC169" s="1217"/>
      <c r="AD169" s="1326"/>
    </row>
    <row r="170" spans="18:30" s="44" customFormat="1">
      <c r="R170" s="1190"/>
      <c r="S170" s="1293"/>
      <c r="T170" s="1217"/>
      <c r="U170" s="1190"/>
      <c r="V170" s="1190"/>
      <c r="W170" s="1293"/>
      <c r="X170" s="1191"/>
      <c r="Y170" s="1294"/>
      <c r="Z170" s="1190"/>
      <c r="AA170" s="1190"/>
      <c r="AB170" s="1190"/>
      <c r="AC170" s="1217"/>
      <c r="AD170" s="1326"/>
    </row>
    <row r="171" spans="18:30" s="44" customFormat="1">
      <c r="R171" s="1190"/>
      <c r="S171" s="1190"/>
      <c r="T171" s="1217"/>
      <c r="U171" s="1293"/>
      <c r="V171" s="1190"/>
      <c r="W171" s="1293"/>
      <c r="X171" s="1191"/>
      <c r="Y171" s="1294"/>
      <c r="Z171" s="1190"/>
      <c r="AA171" s="1190"/>
      <c r="AB171" s="1190"/>
      <c r="AC171" s="1217"/>
      <c r="AD171" s="1326"/>
    </row>
    <row r="172" spans="18:30" s="44" customFormat="1">
      <c r="R172" s="1189"/>
      <c r="S172" s="1224"/>
      <c r="T172" s="1217"/>
      <c r="U172" s="1224"/>
      <c r="V172" s="1190"/>
      <c r="W172" s="1293"/>
      <c r="X172" s="1225"/>
      <c r="Y172" s="1294"/>
      <c r="Z172" s="1190"/>
      <c r="AA172" s="1190"/>
      <c r="AB172" s="1190"/>
      <c r="AC172" s="1217"/>
      <c r="AD172" s="1326"/>
    </row>
    <row r="173" spans="18:30" s="44" customFormat="1" ht="15.6">
      <c r="R173" s="1189"/>
      <c r="S173" s="1359"/>
      <c r="T173" s="1217"/>
      <c r="U173" s="1224"/>
      <c r="V173" s="1217"/>
      <c r="W173" s="1224"/>
      <c r="X173" s="1225"/>
      <c r="Y173" s="1190"/>
      <c r="Z173" s="1190"/>
      <c r="AA173" s="1190"/>
      <c r="AB173" s="1241"/>
      <c r="AC173" s="1270"/>
      <c r="AD173" s="81"/>
    </row>
    <row r="174" spans="18:30" s="44" customFormat="1" ht="15.6">
      <c r="R174" s="1190"/>
      <c r="S174" s="1190"/>
      <c r="T174" s="1293"/>
      <c r="U174" s="1293"/>
      <c r="V174" s="1190"/>
      <c r="W174" s="1293"/>
      <c r="X174" s="1191"/>
      <c r="Y174" s="1190"/>
      <c r="Z174" s="1190"/>
      <c r="AA174" s="1190"/>
      <c r="AB174" s="1241"/>
      <c r="AC174" s="1217"/>
      <c r="AD174" s="1326"/>
    </row>
    <row r="175" spans="18:30" s="44" customFormat="1" ht="15.6">
      <c r="R175" s="1189"/>
      <c r="S175" s="1190"/>
      <c r="T175" s="1293"/>
      <c r="U175" s="1293"/>
      <c r="V175" s="1190"/>
      <c r="W175" s="1293"/>
      <c r="X175" s="1191"/>
      <c r="Y175" s="1190"/>
      <c r="Z175" s="1190"/>
      <c r="AA175" s="1190"/>
      <c r="AB175" s="1241"/>
      <c r="AC175" s="1271"/>
      <c r="AD175" s="81"/>
    </row>
    <row r="176" spans="18:30" s="44" customFormat="1" ht="15.6">
      <c r="R176" s="1339"/>
      <c r="S176" s="1339"/>
      <c r="T176" s="1190"/>
      <c r="U176" s="1293"/>
      <c r="V176" s="1190"/>
      <c r="W176" s="1293"/>
      <c r="X176" s="1191"/>
      <c r="Y176" s="1190"/>
      <c r="Z176" s="1190"/>
      <c r="AA176" s="1190"/>
      <c r="AB176" s="1110"/>
      <c r="AC176" s="1271"/>
      <c r="AD176" s="81"/>
    </row>
    <row r="177" spans="18:30" s="44" customFormat="1" ht="15.6">
      <c r="R177" s="1190"/>
      <c r="S177" s="1190"/>
      <c r="T177" s="1190"/>
      <c r="U177" s="1190"/>
      <c r="V177" s="1190"/>
      <c r="W177" s="1293"/>
      <c r="X177" s="1191"/>
      <c r="Y177" s="1190"/>
      <c r="Z177" s="1190"/>
      <c r="AA177" s="1190"/>
      <c r="AB177" s="1241"/>
      <c r="AC177" s="1271"/>
      <c r="AD177" s="81"/>
    </row>
    <row r="178" spans="18:30" s="44" customFormat="1" ht="15.6">
      <c r="R178" s="1189"/>
      <c r="S178" s="1190"/>
      <c r="T178" s="1190"/>
      <c r="U178" s="1190"/>
      <c r="V178" s="1190"/>
      <c r="W178" s="1293"/>
      <c r="X178" s="1191"/>
      <c r="Y178" s="1190"/>
      <c r="Z178" s="1190"/>
      <c r="AA178" s="1190"/>
      <c r="AB178" s="1241"/>
      <c r="AC178" s="1271"/>
      <c r="AD178" s="81"/>
    </row>
    <row r="179" spans="18:30" s="44" customFormat="1" ht="15.6">
      <c r="R179" s="1353"/>
      <c r="S179" s="1339"/>
      <c r="T179" s="1190"/>
      <c r="U179" s="1190"/>
      <c r="V179" s="1190"/>
      <c r="W179" s="1293"/>
      <c r="X179" s="1191"/>
      <c r="Y179" s="1190"/>
      <c r="Z179" s="1190"/>
      <c r="AA179" s="1190"/>
      <c r="AB179" s="1241"/>
      <c r="AC179" s="1217"/>
      <c r="AD179" s="81"/>
    </row>
    <row r="180" spans="18:30" s="44" customFormat="1" ht="15.6">
      <c r="R180" s="1190"/>
      <c r="S180" s="1224"/>
      <c r="T180" s="1190"/>
      <c r="U180" s="1224"/>
      <c r="V180" s="1224"/>
      <c r="W180" s="1293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6">
      <c r="R181" s="1189"/>
      <c r="S181" s="1224"/>
      <c r="T181" s="1294"/>
      <c r="U181" s="1224"/>
      <c r="V181" s="1224"/>
      <c r="W181" s="1293"/>
      <c r="X181" s="1225"/>
      <c r="Y181" s="1190"/>
      <c r="Z181" s="1190"/>
      <c r="AA181" s="1190"/>
      <c r="AB181" s="1241"/>
      <c r="AC181" s="1271"/>
      <c r="AD181" s="81"/>
    </row>
    <row r="182" spans="18:30" s="44" customFormat="1" ht="15.6">
      <c r="R182" s="1189"/>
      <c r="S182" s="1224"/>
      <c r="T182" s="1294"/>
      <c r="U182" s="1224"/>
      <c r="V182" s="1224"/>
      <c r="W182" s="1293"/>
      <c r="X182" s="1225"/>
      <c r="Y182" s="1190"/>
      <c r="Z182" s="1190"/>
      <c r="AA182" s="1190"/>
      <c r="AB182" s="1241"/>
      <c r="AC182" s="1271"/>
      <c r="AD182" s="81"/>
    </row>
    <row r="183" spans="18:30" s="44" customFormat="1" ht="15.6">
      <c r="R183" s="1189"/>
      <c r="S183" s="1224"/>
      <c r="T183" s="1279"/>
      <c r="U183" s="1224"/>
      <c r="V183" s="1224"/>
      <c r="W183" s="1293"/>
      <c r="X183" s="1225"/>
      <c r="Y183" s="1190"/>
      <c r="Z183" s="1190"/>
      <c r="AA183" s="1190"/>
      <c r="AB183" s="1241"/>
      <c r="AC183" s="1271"/>
      <c r="AD183" s="81"/>
    </row>
    <row r="184" spans="18:30" s="44" customFormat="1" ht="15.6">
      <c r="R184" s="1190"/>
      <c r="S184" s="1190"/>
      <c r="T184" s="1217"/>
      <c r="U184" s="1190"/>
      <c r="V184" s="1224"/>
      <c r="W184" s="1293"/>
      <c r="X184" s="1191"/>
      <c r="Y184" s="1190"/>
      <c r="Z184" s="1217"/>
      <c r="AA184" s="1217"/>
      <c r="AB184" s="1218"/>
      <c r="AC184" s="1190"/>
      <c r="AD184" s="1329"/>
    </row>
    <row r="185" spans="18:30" s="44" customFormat="1">
      <c r="R185" s="1217"/>
      <c r="S185" s="1217"/>
      <c r="T185" s="1294"/>
      <c r="U185" s="1294"/>
      <c r="V185" s="1224"/>
      <c r="W185" s="1293"/>
      <c r="X185" s="1191"/>
      <c r="Y185" s="1294"/>
      <c r="Z185" s="1294"/>
      <c r="AA185" s="1294"/>
      <c r="AB185" s="1294"/>
      <c r="AC185" s="1217"/>
      <c r="AD185" s="1326"/>
    </row>
    <row r="186" spans="18:30" s="44" customFormat="1">
      <c r="R186" s="1217"/>
      <c r="S186" s="1217"/>
      <c r="T186" s="1294"/>
      <c r="U186" s="1294"/>
      <c r="V186" s="1224"/>
      <c r="W186" s="1293"/>
      <c r="X186" s="1191"/>
      <c r="Y186" s="1294"/>
      <c r="Z186" s="1294"/>
      <c r="AA186" s="1294"/>
      <c r="AB186" s="1294"/>
      <c r="AC186" s="1217"/>
      <c r="AD186" s="1326"/>
    </row>
    <row r="187" spans="18:30" s="44" customFormat="1">
      <c r="R187" s="1217"/>
      <c r="S187" s="1217"/>
      <c r="T187" s="1294"/>
      <c r="U187" s="1190"/>
      <c r="V187" s="1294"/>
      <c r="W187" s="1294"/>
      <c r="X187" s="1191"/>
      <c r="Y187" s="1294"/>
      <c r="Z187" s="1190"/>
      <c r="AA187" s="1190"/>
      <c r="AB187" s="1294"/>
      <c r="AC187" s="1217"/>
      <c r="AD187" s="1326"/>
    </row>
    <row r="188" spans="18:30" s="44" customFormat="1">
      <c r="R188" s="1217"/>
      <c r="S188" s="1217"/>
      <c r="T188" s="1294"/>
      <c r="U188" s="1190"/>
      <c r="V188" s="1294"/>
      <c r="W188" s="1294"/>
      <c r="X188" s="1191"/>
      <c r="Y188" s="1294"/>
      <c r="Z188" s="1190"/>
      <c r="AA188" s="1190"/>
      <c r="AB188" s="1294"/>
      <c r="AC188" s="1217"/>
      <c r="AD188" s="1326"/>
    </row>
    <row r="189" spans="18:30" s="44" customFormat="1">
      <c r="R189" s="1217"/>
      <c r="S189" s="1217"/>
      <c r="T189" s="1217"/>
      <c r="U189" s="1190"/>
      <c r="V189" s="1294"/>
      <c r="W189" s="1294"/>
      <c r="X189" s="1191"/>
      <c r="Y189" s="1294"/>
      <c r="Z189" s="1190"/>
      <c r="AA189" s="1190"/>
      <c r="AB189" s="1294"/>
      <c r="AC189" s="1217"/>
      <c r="AD189" s="1326"/>
    </row>
    <row r="190" spans="18:30" s="44" customFormat="1" ht="15.6">
      <c r="R190" s="1217"/>
      <c r="S190" s="1217"/>
      <c r="T190" s="1217"/>
      <c r="U190" s="1190"/>
      <c r="V190" s="1294"/>
      <c r="W190" s="1294"/>
      <c r="X190" s="1191"/>
      <c r="Y190" s="1294"/>
      <c r="Z190" s="1190"/>
      <c r="AA190" s="1190"/>
      <c r="AB190" s="1200"/>
      <c r="AC190" s="1217"/>
      <c r="AD190" s="1326"/>
    </row>
    <row r="191" spans="18:30" s="44" customFormat="1" ht="15.6">
      <c r="R191" s="1217"/>
      <c r="S191" s="1217"/>
      <c r="T191" s="1217"/>
      <c r="U191" s="1190"/>
      <c r="V191" s="1294"/>
      <c r="W191" s="1294"/>
      <c r="X191" s="1191"/>
      <c r="Y191" s="1190"/>
      <c r="Z191" s="1190"/>
      <c r="AA191" s="1190"/>
      <c r="AB191" s="1200"/>
      <c r="AC191" s="1217"/>
      <c r="AD191" s="1326"/>
    </row>
    <row r="192" spans="18:30" s="44" customFormat="1" ht="15.6">
      <c r="R192" s="1217"/>
      <c r="S192" s="1217"/>
      <c r="T192" s="1294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s="44" customFormat="1" ht="15.6">
      <c r="R193" s="1217"/>
      <c r="S193" s="1217"/>
      <c r="T193" s="1294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s="44" customFormat="1" ht="15.6">
      <c r="R194" s="1217"/>
      <c r="S194" s="1217"/>
      <c r="T194" s="1294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 s="44" customFormat="1" ht="15.6">
      <c r="R195" s="1217"/>
      <c r="S195" s="1217"/>
      <c r="T195" s="1217"/>
      <c r="U195" s="1190"/>
      <c r="V195" s="1190"/>
      <c r="W195" s="1294"/>
      <c r="X195" s="1191"/>
      <c r="Y195" s="1190"/>
      <c r="Z195" s="1190"/>
      <c r="AA195" s="1190"/>
      <c r="AB195" s="1200"/>
      <c r="AC195" s="1217"/>
      <c r="AD195" s="1326"/>
    </row>
    <row r="196" spans="18:30" s="44" customFormat="1" ht="15.6">
      <c r="R196" s="1217"/>
      <c r="S196" s="1217"/>
      <c r="T196" s="1217"/>
      <c r="U196" s="1190"/>
      <c r="V196" s="1190"/>
      <c r="W196" s="1294"/>
      <c r="X196" s="1191"/>
      <c r="Y196" s="1190"/>
      <c r="Z196" s="1190"/>
      <c r="AA196" s="1190"/>
      <c r="AB196" s="1200"/>
      <c r="AC196" s="1217"/>
      <c r="AD196" s="1326"/>
    </row>
    <row r="197" spans="18:30" s="44" customFormat="1" ht="15.6">
      <c r="R197" s="1217"/>
      <c r="S197" s="1217"/>
      <c r="T197" s="1294"/>
      <c r="U197" s="1190"/>
      <c r="V197" s="1190"/>
      <c r="W197" s="1190"/>
      <c r="X197" s="1191"/>
      <c r="Y197" s="1190"/>
      <c r="Z197" s="1190"/>
      <c r="AA197" s="1190"/>
      <c r="AB197" s="1200"/>
      <c r="AC197" s="1217"/>
      <c r="AD197" s="1326"/>
    </row>
    <row r="198" spans="18:30" s="44" customFormat="1" ht="15.6">
      <c r="R198" s="1190"/>
      <c r="S198" s="1294"/>
      <c r="T198" s="1217"/>
      <c r="U198" s="1190"/>
      <c r="V198" s="1190"/>
      <c r="W198" s="1294"/>
      <c r="X198" s="1191"/>
      <c r="Y198" s="1190"/>
      <c r="Z198" s="1190"/>
      <c r="AA198" s="1190"/>
      <c r="AB198" s="1200"/>
      <c r="AC198" s="1217"/>
      <c r="AD198" s="1326"/>
    </row>
    <row r="199" spans="18:30" s="44" customFormat="1" ht="15.6">
      <c r="R199" s="1190"/>
      <c r="S199" s="1294"/>
      <c r="T199" s="1294"/>
      <c r="U199" s="1190"/>
      <c r="V199" s="1190"/>
      <c r="W199" s="1294"/>
      <c r="X199" s="1191"/>
      <c r="Y199" s="1190"/>
      <c r="Z199" s="1190"/>
      <c r="AA199" s="1190"/>
      <c r="AB199" s="1200"/>
      <c r="AC199" s="1217"/>
      <c r="AD199" s="1326"/>
    </row>
    <row r="200" spans="18:30" s="44" customFormat="1" ht="15.6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s="44" customFormat="1" ht="15.6">
      <c r="R201" s="1190"/>
      <c r="S201" s="1224"/>
      <c r="T201" s="1279"/>
      <c r="U201" s="1224"/>
      <c r="V201" s="1224"/>
      <c r="W201" s="1224"/>
      <c r="X201" s="1225"/>
      <c r="Y201" s="1190"/>
      <c r="Z201" s="1190"/>
      <c r="AA201" s="1190"/>
      <c r="AB201" s="1241"/>
      <c r="AC201" s="1217"/>
      <c r="AD201" s="1326"/>
    </row>
    <row r="202" spans="18:30" ht="15.6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6">
      <c r="R203" s="1190"/>
      <c r="S203" s="1224"/>
      <c r="T203" s="1279"/>
      <c r="U203" s="1224"/>
      <c r="V203" s="1224"/>
      <c r="W203" s="1224"/>
      <c r="X203" s="1225"/>
      <c r="Y203" s="1190"/>
      <c r="Z203" s="1190"/>
      <c r="AA203" s="1190"/>
      <c r="AB203" s="1241"/>
      <c r="AC203" s="1217"/>
      <c r="AD203" s="1326"/>
    </row>
    <row r="204" spans="18:30" ht="15.6">
      <c r="R204" s="1190"/>
      <c r="S204" s="1224"/>
      <c r="T204" s="1279"/>
      <c r="U204" s="1224"/>
      <c r="V204" s="1224"/>
      <c r="W204" s="1224"/>
      <c r="X204" s="1225"/>
      <c r="Y204" s="1190"/>
      <c r="Z204" s="1190"/>
      <c r="AA204" s="1190"/>
      <c r="AB204" s="1241"/>
      <c r="AC204" s="1217"/>
      <c r="AD204" s="1326"/>
    </row>
    <row r="205" spans="18:30" ht="15.6">
      <c r="R205" s="1190"/>
      <c r="S205" s="1224"/>
      <c r="T205" s="1279"/>
      <c r="U205" s="1224"/>
      <c r="V205" s="1224"/>
      <c r="W205" s="1224"/>
      <c r="X205" s="1225"/>
      <c r="Y205" s="1190"/>
      <c r="Z205" s="1190"/>
      <c r="AA205" s="1190"/>
      <c r="AB205" s="1241"/>
      <c r="AC205" s="1217"/>
      <c r="AD205" s="1326"/>
    </row>
    <row r="206" spans="18:30" ht="15.6">
      <c r="R206" s="1190"/>
      <c r="S206" s="1224"/>
      <c r="T206" s="1279"/>
      <c r="U206" s="1224"/>
      <c r="V206" s="1224"/>
      <c r="W206" s="1224"/>
      <c r="X206" s="1225"/>
      <c r="Y206" s="1190"/>
      <c r="Z206" s="1190"/>
      <c r="AA206" s="1190"/>
      <c r="AB206" s="1241"/>
      <c r="AC206" s="1217"/>
      <c r="AD206" s="1326"/>
    </row>
    <row r="207" spans="18:30" ht="15.6">
      <c r="R207" s="1190"/>
      <c r="S207" s="1224"/>
      <c r="T207" s="1279"/>
      <c r="U207" s="1224"/>
      <c r="V207" s="1224"/>
      <c r="W207" s="1190"/>
      <c r="X207" s="1225"/>
      <c r="Y207" s="1190"/>
      <c r="Z207" s="1190"/>
      <c r="AA207" s="1190"/>
      <c r="AB207" s="1241"/>
      <c r="AC207" s="1217"/>
      <c r="AD207" s="1326"/>
    </row>
    <row r="208" spans="18:30" ht="15.6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s="44" customFormat="1" ht="15.6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s="44" customFormat="1" ht="15.6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s="44" customFormat="1" ht="15.6">
      <c r="R211" s="1190"/>
      <c r="S211" s="1224"/>
      <c r="T211" s="1279"/>
      <c r="U211" s="1224"/>
      <c r="V211" s="1224"/>
      <c r="W211" s="1190"/>
      <c r="X211" s="1225"/>
      <c r="Y211" s="1190"/>
      <c r="Z211" s="1190"/>
      <c r="AA211" s="1190"/>
      <c r="AB211" s="1241"/>
      <c r="AC211" s="1217"/>
      <c r="AD211" s="1326"/>
    </row>
    <row r="212" spans="18:30" s="44" customFormat="1" ht="15.6">
      <c r="R212" s="1190"/>
      <c r="S212" s="1224"/>
      <c r="T212" s="1279"/>
      <c r="U212" s="1224"/>
      <c r="V212" s="1224"/>
      <c r="W212" s="1190"/>
      <c r="X212" s="1225"/>
      <c r="Y212" s="1190"/>
      <c r="Z212" s="1190"/>
      <c r="AA212" s="1190"/>
      <c r="AB212" s="1241"/>
      <c r="AC212" s="1217"/>
      <c r="AD212" s="1326"/>
    </row>
    <row r="213" spans="18:30" s="44" customFormat="1" ht="15.6">
      <c r="R213" s="1190"/>
      <c r="S213" s="1224"/>
      <c r="T213" s="1279"/>
      <c r="U213" s="1224"/>
      <c r="V213" s="1224"/>
      <c r="W213" s="1294"/>
      <c r="X213" s="1225"/>
      <c r="Y213" s="1190"/>
      <c r="Z213" s="1190"/>
      <c r="AA213" s="1190"/>
      <c r="AB213" s="1241"/>
      <c r="AC213" s="1217"/>
      <c r="AD213" s="1326"/>
    </row>
    <row r="214" spans="18:30" s="44" customFormat="1" ht="15.6">
      <c r="R214" s="1190"/>
      <c r="S214" s="1224"/>
      <c r="T214" s="1279"/>
      <c r="U214" s="1224"/>
      <c r="V214" s="1224"/>
      <c r="W214" s="1294"/>
      <c r="X214" s="1225"/>
      <c r="Y214" s="1190"/>
      <c r="Z214" s="1190"/>
      <c r="AA214" s="1190"/>
      <c r="AB214" s="1241"/>
      <c r="AC214" s="1217"/>
      <c r="AD214" s="1326"/>
    </row>
    <row r="215" spans="18:30" s="44" customFormat="1" ht="15.6">
      <c r="R215" s="1190"/>
      <c r="S215" s="1224"/>
      <c r="T215" s="1279"/>
      <c r="U215" s="1224"/>
      <c r="V215" s="1224"/>
      <c r="W215" s="1294"/>
      <c r="X215" s="1225"/>
      <c r="Y215" s="1190"/>
      <c r="Z215" s="1190"/>
      <c r="AA215" s="1190"/>
      <c r="AB215" s="1241"/>
      <c r="AC215" s="1217"/>
      <c r="AD215" s="1326"/>
    </row>
    <row r="216" spans="18:30" s="44" customFormat="1" ht="15.6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6">
      <c r="R217" s="1190"/>
      <c r="S217" s="1224"/>
      <c r="T217" s="1279"/>
      <c r="U217" s="1224"/>
      <c r="V217" s="1224"/>
      <c r="W217" s="1294"/>
      <c r="X217" s="1225"/>
      <c r="Y217" s="1190"/>
      <c r="Z217" s="1190"/>
      <c r="AA217" s="1190"/>
      <c r="AB217" s="1241"/>
      <c r="AC217" s="1217"/>
      <c r="AD217" s="1326"/>
    </row>
    <row r="218" spans="18:30" ht="15.6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6">
      <c r="R219" s="1190"/>
      <c r="S219" s="1224"/>
      <c r="T219" s="1279"/>
      <c r="U219" s="1224"/>
      <c r="V219" s="1224"/>
      <c r="W219" s="1294"/>
      <c r="X219" s="1225"/>
      <c r="Y219" s="1190"/>
      <c r="Z219" s="1190"/>
      <c r="AA219" s="1190"/>
      <c r="AB219" s="1241"/>
      <c r="AC219" s="1217"/>
      <c r="AD219" s="1326"/>
    </row>
    <row r="220" spans="18:30" ht="15.6">
      <c r="R220" s="1190"/>
      <c r="S220" s="1224"/>
      <c r="T220" s="1279"/>
      <c r="U220" s="1224"/>
      <c r="V220" s="1224"/>
      <c r="W220" s="1294"/>
      <c r="X220" s="1225"/>
      <c r="Y220" s="1190"/>
      <c r="Z220" s="1190"/>
      <c r="AA220" s="1190"/>
      <c r="AB220" s="1241"/>
      <c r="AC220" s="1217"/>
      <c r="AD220" s="1326"/>
    </row>
    <row r="221" spans="18:30" ht="15.6">
      <c r="R221" s="1190"/>
      <c r="S221" s="1224"/>
      <c r="T221" s="1279"/>
      <c r="U221" s="1224"/>
      <c r="V221" s="1224"/>
      <c r="W221" s="1294"/>
      <c r="X221" s="1225"/>
      <c r="Y221" s="1190"/>
      <c r="Z221" s="1190"/>
      <c r="AA221" s="1190"/>
      <c r="AB221" s="1241"/>
      <c r="AC221" s="1217"/>
      <c r="AD221" s="1326"/>
    </row>
    <row r="222" spans="18:30" ht="15.6">
      <c r="R222" s="1190"/>
      <c r="S222" s="1224"/>
      <c r="T222" s="1279"/>
      <c r="U222" s="1224"/>
      <c r="V222" s="1224"/>
      <c r="W222" s="1294"/>
      <c r="X222" s="1225"/>
      <c r="Y222" s="1190"/>
      <c r="Z222" s="1190"/>
      <c r="AA222" s="1190"/>
      <c r="AB222" s="1241"/>
      <c r="AC222" s="1217"/>
      <c r="AD222" s="1326"/>
    </row>
    <row r="223" spans="18:30" ht="15.6">
      <c r="R223" s="1190"/>
      <c r="S223" s="1224"/>
      <c r="T223" s="1279"/>
      <c r="U223" s="1224"/>
      <c r="V223" s="1224"/>
      <c r="W223" s="1294"/>
      <c r="X223" s="1225"/>
      <c r="Y223" s="1190"/>
      <c r="Z223" s="1190"/>
      <c r="AA223" s="1190"/>
      <c r="AB223" s="1241"/>
      <c r="AC223" s="1217"/>
      <c r="AD223" s="1326"/>
    </row>
    <row r="224" spans="18:30" ht="15.6">
      <c r="R224" s="1190"/>
      <c r="S224" s="1294"/>
      <c r="T224" s="1293"/>
      <c r="U224" s="1190"/>
      <c r="V224" s="1217"/>
      <c r="W224" s="1190"/>
      <c r="X224" s="1191"/>
      <c r="Y224" s="1190"/>
      <c r="Z224" s="1190"/>
      <c r="AA224" s="1190"/>
      <c r="AB224" s="1241"/>
      <c r="AC224" s="1217"/>
      <c r="AD224" s="1326"/>
    </row>
    <row r="225" spans="18:30" ht="15.6">
      <c r="R225" s="1190"/>
      <c r="S225" s="1294"/>
      <c r="T225" s="1293"/>
      <c r="U225" s="1190"/>
      <c r="V225" s="1217"/>
      <c r="W225" s="1190"/>
      <c r="X225" s="1191"/>
      <c r="Y225" s="1190"/>
      <c r="Z225" s="1190"/>
      <c r="AA225" s="1190"/>
      <c r="AB225" s="1241"/>
      <c r="AC225" s="1217"/>
      <c r="AD225" s="1326"/>
    </row>
    <row r="226" spans="18:30" ht="15.6">
      <c r="R226" s="1190"/>
      <c r="S226" s="1294"/>
      <c r="T226" s="1293"/>
      <c r="U226" s="1190"/>
      <c r="V226" s="1217"/>
      <c r="W226" s="1190"/>
      <c r="X226" s="1191"/>
      <c r="Y226" s="1190"/>
      <c r="Z226" s="1190"/>
      <c r="AA226" s="1190"/>
      <c r="AB226" s="1200"/>
      <c r="AC226" s="1217"/>
      <c r="AD226" s="1326"/>
    </row>
    <row r="227" spans="18:30" ht="15.6">
      <c r="R227" s="1190"/>
      <c r="S227" s="1190"/>
      <c r="T227" s="1293"/>
      <c r="U227" s="1190"/>
      <c r="V227" s="1190"/>
      <c r="W227" s="1190"/>
      <c r="X227" s="1191"/>
      <c r="Y227" s="1190"/>
      <c r="Z227" s="1190"/>
      <c r="AA227" s="1190"/>
      <c r="AB227" s="1200"/>
      <c r="AC227" s="1217"/>
      <c r="AD227" s="1326"/>
    </row>
    <row r="228" spans="18:30" ht="15.6">
      <c r="R228" s="1190"/>
      <c r="S228" s="1190"/>
      <c r="T228" s="1293"/>
      <c r="U228" s="1190"/>
      <c r="V228" s="1190"/>
      <c r="W228" s="1190"/>
      <c r="X228" s="1191"/>
      <c r="Y228" s="1190"/>
      <c r="Z228" s="1190"/>
      <c r="AA228" s="1190"/>
      <c r="AB228" s="1200"/>
      <c r="AC228" s="1217"/>
      <c r="AD228" s="1326"/>
    </row>
    <row r="229" spans="18:30" ht="15.6">
      <c r="R229" s="1190"/>
      <c r="S229" s="1190"/>
      <c r="T229" s="1293"/>
      <c r="U229" s="1190"/>
      <c r="V229" s="1190"/>
      <c r="W229" s="1190"/>
      <c r="X229" s="1191"/>
      <c r="Y229" s="1190"/>
      <c r="Z229" s="1190"/>
      <c r="AA229" s="1190"/>
      <c r="AB229" s="1200"/>
      <c r="AC229" s="1217"/>
      <c r="AD229" s="1326"/>
    </row>
    <row r="230" spans="18:30" ht="15.6">
      <c r="R230" s="1190"/>
      <c r="S230" s="1190"/>
      <c r="T230" s="1293"/>
      <c r="U230" s="1190"/>
      <c r="V230" s="1190"/>
      <c r="W230" s="1190"/>
      <c r="X230" s="1191"/>
      <c r="Y230" s="1190"/>
      <c r="Z230" s="1190"/>
      <c r="AA230" s="1190"/>
      <c r="AB230" s="1200"/>
      <c r="AC230" s="1217"/>
      <c r="AD230" s="1326"/>
    </row>
    <row r="231" spans="18:30" ht="15.6">
      <c r="R231" s="1190"/>
      <c r="S231" s="1190"/>
      <c r="T231" s="1293"/>
      <c r="U231" s="1190"/>
      <c r="V231" s="1190"/>
      <c r="W231" s="1190"/>
      <c r="X231" s="1191"/>
      <c r="Y231" s="1190"/>
      <c r="Z231" s="1190"/>
      <c r="AA231" s="1190"/>
      <c r="AB231" s="1200"/>
      <c r="AC231" s="1217"/>
      <c r="AD231" s="1326"/>
    </row>
    <row r="232" spans="18:30" ht="15.6">
      <c r="R232" s="1190"/>
      <c r="S232" s="1190"/>
      <c r="T232" s="1293"/>
      <c r="U232" s="1190"/>
      <c r="V232" s="1190"/>
      <c r="W232" s="1190"/>
      <c r="X232" s="1191"/>
      <c r="Y232" s="1190"/>
      <c r="Z232" s="1190"/>
      <c r="AA232" s="1190"/>
      <c r="AB232" s="1200"/>
      <c r="AC232" s="1217"/>
      <c r="AD232" s="1326"/>
    </row>
    <row r="233" spans="18:30" ht="15.6">
      <c r="R233" s="1190"/>
      <c r="S233" s="1190"/>
      <c r="T233" s="1293"/>
      <c r="U233" s="1190"/>
      <c r="V233" s="1190"/>
      <c r="W233" s="1190"/>
      <c r="X233" s="1191"/>
      <c r="Y233" s="1190"/>
      <c r="Z233" s="1190"/>
      <c r="AA233" s="1190"/>
      <c r="AB233" s="1200"/>
      <c r="AC233" s="1217"/>
      <c r="AD233" s="1326"/>
    </row>
    <row r="234" spans="18:30" ht="15.6">
      <c r="R234" s="1190"/>
      <c r="S234" s="1190"/>
      <c r="T234" s="1190"/>
      <c r="U234" s="1190"/>
      <c r="V234" s="1190"/>
      <c r="W234" s="1190"/>
      <c r="X234" s="1191"/>
      <c r="Y234" s="1190"/>
      <c r="Z234" s="1190"/>
      <c r="AA234" s="1190"/>
      <c r="AB234" s="1200"/>
      <c r="AC234" s="1217"/>
      <c r="AD234" s="1326"/>
    </row>
    <row r="235" spans="18:30" ht="15.6">
      <c r="R235" s="1190"/>
      <c r="S235" s="1190"/>
      <c r="T235" s="1293"/>
      <c r="U235" s="1190"/>
      <c r="V235" s="1190"/>
      <c r="W235" s="1190"/>
      <c r="X235" s="1191"/>
      <c r="Y235" s="1190"/>
      <c r="Z235" s="1190"/>
      <c r="AA235" s="1190"/>
      <c r="AB235" s="1200"/>
      <c r="AC235" s="1217"/>
      <c r="AD235" s="1326"/>
    </row>
    <row r="236" spans="18:30" ht="15.6">
      <c r="R236" s="1190"/>
      <c r="S236" s="1190"/>
      <c r="T236" s="1293"/>
      <c r="U236" s="1190"/>
      <c r="V236" s="1190"/>
      <c r="W236" s="1190"/>
      <c r="X236" s="1191"/>
      <c r="Y236" s="1190"/>
      <c r="Z236" s="1190"/>
      <c r="AA236" s="1190"/>
      <c r="AB236" s="1200"/>
      <c r="AC236" s="1217"/>
      <c r="AD236" s="1326"/>
    </row>
    <row r="237" spans="18:30" ht="15.6">
      <c r="R237" s="1190"/>
      <c r="S237" s="1190"/>
      <c r="T237" s="1293"/>
      <c r="U237" s="1190"/>
      <c r="V237" s="1190"/>
      <c r="W237" s="1190"/>
      <c r="X237" s="1191"/>
      <c r="Y237" s="1190"/>
      <c r="Z237" s="1190"/>
      <c r="AA237" s="1190"/>
      <c r="AB237" s="1200"/>
      <c r="AC237" s="1217"/>
      <c r="AD237" s="1326"/>
    </row>
    <row r="238" spans="18:30">
      <c r="R238" s="1190"/>
      <c r="S238" s="1190"/>
      <c r="T238" s="1293"/>
      <c r="U238" s="1190"/>
      <c r="V238" s="1190"/>
      <c r="W238" s="1190"/>
      <c r="X238" s="1191"/>
      <c r="Y238" s="1190"/>
      <c r="Z238" s="1190"/>
      <c r="AA238" s="1190"/>
      <c r="AB238" s="1190"/>
      <c r="AC238" s="1217"/>
      <c r="AD238" s="1326"/>
    </row>
    <row r="239" spans="18:30" ht="15.6">
      <c r="R239" s="1190"/>
      <c r="S239" s="1190"/>
      <c r="T239" s="1224"/>
      <c r="U239" s="1190"/>
      <c r="V239" s="1190"/>
      <c r="W239" s="1190"/>
      <c r="X239" s="1191"/>
      <c r="Y239" s="1190"/>
      <c r="Z239" s="1217"/>
      <c r="AA239" s="1217"/>
      <c r="AB239" s="1218"/>
      <c r="AC239" s="1190"/>
      <c r="AD239" s="1326"/>
    </row>
    <row r="240" spans="18:30" ht="15.6">
      <c r="R240" s="1190"/>
      <c r="S240" s="1190"/>
      <c r="T240" s="1190"/>
      <c r="U240" s="1190"/>
      <c r="V240" s="1190"/>
      <c r="W240" s="1190"/>
      <c r="X240" s="1191"/>
      <c r="Y240" s="1190"/>
      <c r="Z240" s="1217"/>
      <c r="AA240" s="1217"/>
      <c r="AB240" s="1218"/>
      <c r="AC240" s="1190"/>
      <c r="AD240" s="1326"/>
    </row>
    <row r="241" spans="18:30" ht="15.6">
      <c r="R241" s="1190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0"/>
      <c r="AD241" s="1326"/>
    </row>
    <row r="242" spans="18:30" ht="15.6">
      <c r="R242" s="1190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0"/>
      <c r="AD242" s="1326"/>
    </row>
    <row r="243" spans="18:30" ht="15.6">
      <c r="R243" s="1190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0"/>
      <c r="AD243" s="1326"/>
    </row>
    <row r="244" spans="18:30" ht="15.6">
      <c r="R244" s="1190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0"/>
      <c r="AD244" s="1326"/>
    </row>
    <row r="245" spans="18:30" ht="15.6">
      <c r="R245" s="1190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0"/>
      <c r="AD245" s="1326"/>
    </row>
    <row r="246" spans="18:30" ht="15.6">
      <c r="R246" s="1190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0"/>
      <c r="AD246" s="1326"/>
    </row>
    <row r="247" spans="18:30" ht="15.6">
      <c r="R247" s="81"/>
      <c r="S247" s="81"/>
      <c r="T247" s="81"/>
      <c r="U247" s="81"/>
      <c r="V247" s="1190"/>
      <c r="W247" s="1190"/>
      <c r="X247" s="191"/>
      <c r="Y247" s="81"/>
      <c r="Z247" s="1217"/>
      <c r="AA247" s="1217"/>
      <c r="AB247" s="1218"/>
      <c r="AC247" s="1190"/>
      <c r="AD247" s="1326"/>
    </row>
    <row r="248" spans="18:30" ht="15.6">
      <c r="R248" s="81"/>
      <c r="S248" s="81"/>
      <c r="T248" s="81"/>
      <c r="U248" s="81"/>
      <c r="V248" s="1190"/>
      <c r="W248" s="1190"/>
      <c r="X248" s="1325"/>
      <c r="Y248" s="1190"/>
      <c r="Z248" s="1190"/>
      <c r="AA248" s="1190"/>
      <c r="AB248" s="1218"/>
      <c r="AC248" s="1190"/>
      <c r="AD248" s="1326"/>
    </row>
    <row r="249" spans="18:30" ht="15.6">
      <c r="R249" s="1190"/>
      <c r="S249" s="1190"/>
      <c r="T249" s="1217"/>
      <c r="U249" s="1190"/>
      <c r="V249" s="1190"/>
      <c r="W249" s="1190"/>
      <c r="X249" s="1325"/>
      <c r="Y249" s="1190"/>
      <c r="Z249" s="1190"/>
      <c r="AA249" s="1190"/>
      <c r="AB249" s="1218"/>
      <c r="AC249" s="1190"/>
      <c r="AD249" s="1326"/>
    </row>
    <row r="250" spans="18:30" ht="15.6">
      <c r="R250" s="1190"/>
      <c r="S250" s="1190"/>
      <c r="T250" s="1190"/>
      <c r="U250" s="1190"/>
      <c r="V250" s="1190"/>
      <c r="W250" s="1190"/>
      <c r="X250" s="1190"/>
      <c r="Y250" s="1190"/>
      <c r="Z250" s="1190"/>
      <c r="AA250" s="1190"/>
      <c r="AB250" s="1218"/>
      <c r="AC250" s="1190"/>
      <c r="AD250" s="1326"/>
    </row>
    <row r="251" spans="18:30" ht="15.6">
      <c r="R251" s="1190"/>
      <c r="S251" s="1190"/>
      <c r="T251" s="1217"/>
      <c r="U251" s="1190"/>
      <c r="V251" s="1190"/>
      <c r="W251" s="1190"/>
      <c r="X251" s="1191"/>
      <c r="Y251" s="1190"/>
      <c r="Z251" s="1217"/>
      <c r="AA251" s="1217"/>
      <c r="AB251" s="1218"/>
      <c r="AC251" s="1190"/>
      <c r="AD251" s="1326"/>
    </row>
    <row r="252" spans="18:30" ht="15.6">
      <c r="R252" s="1330"/>
      <c r="S252" s="1331"/>
      <c r="T252" s="1332"/>
      <c r="U252" s="1331"/>
      <c r="V252" s="1331"/>
      <c r="W252" s="1331"/>
      <c r="X252" s="1333"/>
      <c r="Y252" s="1331"/>
      <c r="Z252" s="1332"/>
      <c r="AA252" s="1332"/>
      <c r="AB252" s="1334"/>
      <c r="AC252" s="1335"/>
      <c r="AD252" s="81"/>
    </row>
    <row r="253" spans="18:30" ht="15.6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6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6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6">
      <c r="R256" s="1189"/>
      <c r="S256" s="1190"/>
      <c r="T256" s="1217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6">
      <c r="R257" s="1189"/>
      <c r="S257" s="1190"/>
      <c r="T257" s="1217"/>
      <c r="U257" s="1190"/>
      <c r="V257" s="1190"/>
      <c r="W257" s="1190"/>
      <c r="X257" s="1191"/>
      <c r="Y257" s="1190"/>
      <c r="Z257" s="1217"/>
      <c r="AA257" s="1217"/>
      <c r="AB257" s="1218"/>
      <c r="AC257" s="1192"/>
      <c r="AD257" s="81"/>
    </row>
    <row r="258" spans="18:30" ht="15.6">
      <c r="R258" s="1189"/>
      <c r="S258" s="1190"/>
      <c r="T258" s="1190"/>
      <c r="U258" s="1190"/>
      <c r="V258" s="1190"/>
      <c r="W258" s="1190"/>
      <c r="X258" s="1191"/>
      <c r="Y258" s="1190"/>
      <c r="Z258" s="1217"/>
      <c r="AA258" s="1217"/>
      <c r="AB258" s="1218"/>
      <c r="AC258" s="1192"/>
      <c r="AD258" s="81"/>
    </row>
    <row r="259" spans="18:30" ht="15.6">
      <c r="R259" s="1189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2"/>
      <c r="AD259" s="81"/>
    </row>
    <row r="260" spans="18:30" ht="15.6">
      <c r="R260" s="1189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2"/>
      <c r="AD260" s="81"/>
    </row>
    <row r="261" spans="18:30" ht="15.6">
      <c r="R261" s="1189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2"/>
      <c r="AD261" s="81"/>
    </row>
    <row r="262" spans="18:30" ht="15.6">
      <c r="R262" s="1189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2"/>
      <c r="AD262" s="81"/>
    </row>
    <row r="263" spans="18:30" ht="15.6">
      <c r="R263" s="1189"/>
      <c r="S263" s="1190"/>
      <c r="T263" s="1190"/>
      <c r="U263" s="1190"/>
      <c r="V263" s="1190"/>
      <c r="W263" s="1190"/>
      <c r="X263" s="1191"/>
      <c r="Y263" s="1190"/>
      <c r="Z263" s="1217"/>
      <c r="AA263" s="1217"/>
      <c r="AB263" s="1218"/>
      <c r="AC263" s="1192"/>
      <c r="AD263" s="81"/>
    </row>
    <row r="264" spans="18:30" ht="15.6">
      <c r="R264" s="1189"/>
      <c r="S264" s="1190"/>
      <c r="T264" s="1190"/>
      <c r="U264" s="1190"/>
      <c r="V264" s="1190"/>
      <c r="W264" s="1190"/>
      <c r="X264" s="1191"/>
      <c r="Y264" s="1190"/>
      <c r="Z264" s="1217"/>
      <c r="AA264" s="1217"/>
      <c r="AB264" s="1218"/>
      <c r="AC264" s="1192"/>
      <c r="AD264" s="81"/>
    </row>
    <row r="265" spans="18:30" ht="15.6">
      <c r="R265" s="1189"/>
      <c r="S265" s="1190"/>
      <c r="T265" s="1190"/>
      <c r="U265" s="1190"/>
      <c r="V265" s="1190"/>
      <c r="W265" s="1190"/>
      <c r="X265" s="1191"/>
      <c r="Y265" s="1190"/>
      <c r="Z265" s="1217"/>
      <c r="AA265" s="1217"/>
      <c r="AB265" s="1218"/>
      <c r="AC265" s="1192"/>
      <c r="AD265" s="81"/>
    </row>
    <row r="266" spans="18:30" ht="15.6">
      <c r="R266" s="1189"/>
      <c r="S266" s="1190"/>
      <c r="T266" s="1217"/>
      <c r="U266" s="1190"/>
      <c r="V266" s="1190"/>
      <c r="W266" s="1190"/>
      <c r="X266" s="1191"/>
      <c r="Y266" s="1190"/>
      <c r="Z266" s="1217"/>
      <c r="AA266" s="1217"/>
      <c r="AB266" s="1218"/>
      <c r="AC266" s="1192"/>
      <c r="AD266" s="81"/>
    </row>
    <row r="267" spans="18:30" ht="15.6">
      <c r="R267" s="1189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2"/>
      <c r="AD267" s="81"/>
    </row>
    <row r="268" spans="18:30" ht="15.6">
      <c r="R268" s="1189"/>
      <c r="S268" s="1190"/>
      <c r="T268" s="1190"/>
      <c r="U268" s="1190"/>
      <c r="V268" s="1190"/>
      <c r="W268" s="1190"/>
      <c r="X268" s="1191"/>
      <c r="Y268" s="1190"/>
      <c r="Z268" s="1217"/>
      <c r="AA268" s="1217"/>
      <c r="AB268" s="1218"/>
      <c r="AC268" s="1192"/>
      <c r="AD268" s="81"/>
    </row>
    <row r="269" spans="18:30" ht="15.6">
      <c r="R269" s="1189"/>
      <c r="S269" s="1190"/>
      <c r="T269" s="1190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6">
      <c r="R270" s="1189"/>
      <c r="S270" s="1190"/>
      <c r="T270" s="1111"/>
      <c r="U270" s="1190"/>
      <c r="V270" s="1190"/>
      <c r="W270" s="1190"/>
      <c r="X270" s="1191"/>
      <c r="Y270" s="1190"/>
      <c r="Z270" s="1106"/>
      <c r="AA270" s="1106"/>
      <c r="AB270" s="1110"/>
      <c r="AC270" s="1192"/>
      <c r="AD270" s="81"/>
    </row>
    <row r="271" spans="18:30" ht="15.6">
      <c r="R271" s="1189"/>
      <c r="S271" s="1190"/>
      <c r="T271" s="1111"/>
      <c r="U271" s="1190"/>
      <c r="V271" s="1190"/>
      <c r="W271" s="1190"/>
      <c r="X271" s="1191"/>
      <c r="Y271" s="1190"/>
      <c r="Z271" s="1190"/>
      <c r="AA271" s="1190"/>
      <c r="AB271" s="1110"/>
      <c r="AC271" s="1192"/>
      <c r="AD271" s="81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81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81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81"/>
    </row>
    <row r="275" spans="18:30">
      <c r="R275" s="1189"/>
      <c r="S275" s="1190"/>
      <c r="T275" s="1106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06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89"/>
      <c r="S277" s="1190"/>
      <c r="T277" s="1111"/>
      <c r="U277" s="1190"/>
      <c r="V277" s="1190"/>
      <c r="W277" s="1190"/>
      <c r="X277" s="1191"/>
      <c r="Y277" s="1190"/>
      <c r="Z277" s="1190"/>
      <c r="AA277" s="1190"/>
      <c r="AB277" s="1190"/>
      <c r="AC277" s="1192"/>
      <c r="AD277" s="26"/>
    </row>
    <row r="278" spans="18:30">
      <c r="R278" s="1189"/>
      <c r="S278" s="1190"/>
      <c r="T278" s="1106"/>
      <c r="U278" s="1190"/>
      <c r="V278" s="1190"/>
      <c r="W278" s="1190"/>
      <c r="X278" s="1191"/>
      <c r="Y278" s="1190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0"/>
      <c r="Z279" s="1190"/>
      <c r="AA279" s="1190"/>
      <c r="AB279" s="1190"/>
      <c r="AC279" s="1192"/>
      <c r="AD279" s="26"/>
    </row>
    <row r="280" spans="18:30">
      <c r="R280" s="1189"/>
      <c r="S280" s="1190"/>
      <c r="T280" s="1106"/>
      <c r="U280" s="1190"/>
      <c r="V280" s="1190"/>
      <c r="W280" s="1190"/>
      <c r="X280" s="1191"/>
      <c r="Y280" s="1190"/>
      <c r="Z280" s="1190"/>
      <c r="AA280" s="1190"/>
      <c r="AB280" s="1190"/>
      <c r="AC280" s="1192"/>
      <c r="AD280" s="26"/>
    </row>
    <row r="281" spans="18:30">
      <c r="R281" s="1189"/>
      <c r="S281" s="1190"/>
      <c r="T281" s="1106"/>
      <c r="U281" s="1190"/>
      <c r="V281" s="1190"/>
      <c r="W281" s="1190"/>
      <c r="X281" s="1191"/>
      <c r="Y281" s="1190"/>
      <c r="Z281" s="1190"/>
      <c r="AA281" s="1190"/>
      <c r="AB281" s="1190"/>
      <c r="AC281" s="1192"/>
      <c r="AD281" s="26"/>
    </row>
    <row r="282" spans="18:30">
      <c r="R282" s="1189"/>
      <c r="S282" s="1190"/>
      <c r="T282" s="1111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06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0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06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06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06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06"/>
      <c r="U288" s="1190"/>
      <c r="V288" s="1190"/>
      <c r="W288" s="1190"/>
      <c r="X288" s="1193"/>
      <c r="Y288" s="1190"/>
      <c r="Z288" s="1190"/>
      <c r="AA288" s="1190"/>
      <c r="AB288" s="1190"/>
      <c r="AC288" s="1192"/>
      <c r="AD288" s="26"/>
    </row>
    <row r="289" spans="18:30">
      <c r="R289" s="1189"/>
      <c r="S289" s="1190"/>
      <c r="T289" s="1111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26"/>
    </row>
    <row r="290" spans="18:30">
      <c r="R290" s="1194"/>
      <c r="S290" s="1195"/>
      <c r="T290" s="1111"/>
      <c r="U290" s="1195"/>
      <c r="V290" s="1190"/>
      <c r="W290" s="1190"/>
      <c r="X290" s="1196"/>
      <c r="Y290" s="1195"/>
      <c r="Z290" s="1195"/>
      <c r="AA290" s="1195"/>
      <c r="AB290" s="1195"/>
      <c r="AC290" s="1192"/>
      <c r="AD290" s="26"/>
    </row>
    <row r="291" spans="18:30">
      <c r="R291" s="1194"/>
      <c r="S291" s="1195"/>
      <c r="T291" s="1111"/>
      <c r="U291" s="1195"/>
      <c r="V291" s="1190"/>
      <c r="W291" s="1190"/>
      <c r="X291" s="1196"/>
      <c r="Y291" s="1195"/>
      <c r="Z291" s="1195"/>
      <c r="AA291" s="1195"/>
      <c r="AB291" s="1195"/>
      <c r="AC291" s="1192"/>
      <c r="AD291" s="26"/>
    </row>
    <row r="292" spans="18:30">
      <c r="R292" s="1189"/>
      <c r="S292" s="1190"/>
      <c r="T292" s="1111"/>
      <c r="U292" s="1190"/>
      <c r="V292" s="1190"/>
      <c r="W292" s="1190"/>
      <c r="X292" s="1191"/>
      <c r="Y292" s="1195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5"/>
      <c r="Z293" s="1190"/>
      <c r="AA293" s="1190"/>
      <c r="AB293" s="1190"/>
      <c r="AC293" s="1192"/>
      <c r="AD293" s="26"/>
    </row>
    <row r="294" spans="18:30">
      <c r="R294" s="1194"/>
      <c r="S294" s="1195"/>
      <c r="T294" s="1111"/>
      <c r="U294" s="1195"/>
      <c r="V294" s="1195"/>
      <c r="W294" s="1190"/>
      <c r="X294" s="1196"/>
      <c r="Y294" s="1195"/>
      <c r="Z294" s="1195"/>
      <c r="AA294" s="1195"/>
      <c r="AB294" s="1190"/>
      <c r="AC294" s="1192"/>
      <c r="AD294" s="26"/>
    </row>
    <row r="295" spans="18:30">
      <c r="R295" s="1194"/>
      <c r="S295" s="1195"/>
      <c r="T295" s="1106"/>
      <c r="U295" s="1195"/>
      <c r="V295" s="1195"/>
      <c r="W295" s="1195"/>
      <c r="X295" s="1196"/>
      <c r="Y295" s="1195"/>
      <c r="Z295" s="1195"/>
      <c r="AA295" s="1195"/>
      <c r="AB295" s="1195"/>
      <c r="AC295" s="1197"/>
      <c r="AD295" s="26"/>
    </row>
    <row r="296" spans="18:30">
      <c r="R296" s="1189"/>
      <c r="S296" s="1190"/>
      <c r="T296" s="1190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90"/>
      <c r="U297" s="1190"/>
      <c r="V297" s="1195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90"/>
      <c r="U298" s="1190"/>
      <c r="V298" s="1195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90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90"/>
      <c r="U301" s="1190"/>
      <c r="V301" s="1195"/>
      <c r="W301" s="1190"/>
      <c r="X301" s="1191"/>
      <c r="Y301" s="1190"/>
      <c r="Z301" s="1190"/>
      <c r="AA301" s="1190"/>
      <c r="AB301" s="1190"/>
      <c r="AC301" s="1192"/>
      <c r="AD301" s="81"/>
    </row>
    <row r="302" spans="18:30">
      <c r="R302" s="1189"/>
      <c r="S302" s="1190"/>
      <c r="T302" s="1190"/>
      <c r="U302" s="1190"/>
      <c r="V302" s="1195"/>
      <c r="W302" s="1190"/>
      <c r="X302" s="1191"/>
      <c r="Y302" s="1190"/>
      <c r="Z302" s="1190"/>
      <c r="AA302" s="1190"/>
      <c r="AB302" s="1190"/>
      <c r="AC302" s="1192"/>
      <c r="AD302" s="203"/>
    </row>
    <row r="303" spans="18:30">
      <c r="R303" s="1194"/>
      <c r="S303" s="1195"/>
      <c r="T303" s="1195"/>
      <c r="U303" s="1195"/>
      <c r="V303" s="1195"/>
      <c r="W303" s="1195"/>
      <c r="X303" s="1196"/>
      <c r="Y303" s="1195"/>
      <c r="Z303" s="1195"/>
      <c r="AA303" s="1195"/>
      <c r="AB303" s="1195"/>
      <c r="AC303" s="1197"/>
      <c r="AD303" s="203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B22:D22 E27:P149" name="Range1_65_32_32_30_30_30_30_30_30_30_30_30_30_30_30_30_30_30_30_30_30_30_30"/>
    <protectedRange algorithmName="SHA-512" hashValue="XYWjC+iAz2ErgjMh7TSLHlxfTfK0uVcITDFdCCZFdnsWWbUNnsQqu9AM+0WFXQpYcy9ZvQx2KUXfpLhpOROHkg==" saltValue="47TiGLG0rJVTo3iAJH8T4w==" spinCount="100000" sqref="B27:D149" name="Range2_5_2_2_2_2_2_2_2_2_2_2_2_2_2_2_2"/>
    <protectedRange algorithmName="SHA-512" hashValue="24Yg3M703G5L8OyJWxlkx8c1Gwfrkael5W/l3TUk/Rcz5tR8QOgCx5v0Ebb/UGz+9BDKPJ5wV4hH8uuxvmtGIw==" saltValue="ZSJQ8EEnwGxsiYzxIw6K0Q==" spinCount="100000" sqref="B27:D149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_2"/>
    <protectedRange algorithmName="SHA-512" hashValue="24Yg3M703G5L8OyJWxlkx8c1Gwfrkael5W/l3TUk/Rcz5tR8QOgCx5v0Ebb/UGz+9BDKPJ5wV4hH8uuxvmtGIw==" saltValue="ZSJQ8EEnwGxsiYzxIw6K0Q==" spinCount="100000" sqref="B19:D21" name="Range1_65_32_2_2_2_2_2_2_3_3_2_2"/>
  </protectedRanges>
  <mergeCells count="22">
    <mergeCell ref="A19:A20"/>
    <mergeCell ref="A3:A4"/>
    <mergeCell ref="B3:D3"/>
    <mergeCell ref="F3:H3"/>
    <mergeCell ref="J3:L3"/>
    <mergeCell ref="A10:A11"/>
    <mergeCell ref="B10:D10"/>
    <mergeCell ref="F10:H10"/>
    <mergeCell ref="J10:L10"/>
    <mergeCell ref="N3:P3"/>
    <mergeCell ref="F1:H1"/>
    <mergeCell ref="J1:L1"/>
    <mergeCell ref="N1:P2"/>
    <mergeCell ref="F2:H2"/>
    <mergeCell ref="J2:L2"/>
    <mergeCell ref="N10:P10"/>
    <mergeCell ref="B19:D19"/>
    <mergeCell ref="F8:H8"/>
    <mergeCell ref="J8:L8"/>
    <mergeCell ref="N8:P9"/>
    <mergeCell ref="F9:H9"/>
    <mergeCell ref="J9:L9"/>
  </mergeCells>
  <conditionalFormatting sqref="S2:S18">
    <cfRule type="duplicateValues" dxfId="8" priority="40"/>
  </conditionalFormatting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9F60-5D09-4922-8A6B-7933B2151830}">
  <dimension ref="A1:AG329"/>
  <sheetViews>
    <sheetView showGridLines="0" topLeftCell="P1" zoomScale="55" zoomScaleNormal="55" workbookViewId="0">
      <selection activeCell="R1" sqref="R1"/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6" width="25.44140625" customWidth="1"/>
    <col min="17" max="17" width="9.109375" bestFit="1" customWidth="1"/>
    <col min="18" max="18" width="12.33203125" bestFit="1" customWidth="1"/>
    <col min="19" max="19" width="12.6640625" bestFit="1" customWidth="1"/>
    <col min="20" max="20" width="27" bestFit="1" customWidth="1"/>
    <col min="21" max="21" width="10.44140625" bestFit="1" customWidth="1"/>
    <col min="22" max="22" width="55.88671875" bestFit="1" customWidth="1"/>
    <col min="23" max="23" width="30.109375" bestFit="1" customWidth="1"/>
    <col min="24" max="24" width="17.109375" bestFit="1" customWidth="1"/>
    <col min="25" max="25" width="22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14.6640625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785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786</v>
      </c>
      <c r="B2" s="733"/>
      <c r="C2" s="733"/>
      <c r="D2" s="733"/>
      <c r="E2" s="735"/>
      <c r="F2" s="1525" t="s">
        <v>787</v>
      </c>
      <c r="G2" s="1525"/>
      <c r="H2" s="1525"/>
      <c r="I2" s="742"/>
      <c r="J2" s="1525" t="s">
        <v>788</v>
      </c>
      <c r="K2" s="1525"/>
      <c r="L2" s="1525"/>
      <c r="M2" s="735"/>
      <c r="N2" s="1526"/>
      <c r="O2" s="1526"/>
      <c r="P2" s="1526"/>
      <c r="R2" s="1360" t="s">
        <v>770</v>
      </c>
      <c r="S2" s="1364">
        <v>3331565735</v>
      </c>
      <c r="T2" s="1294" t="s">
        <v>599</v>
      </c>
      <c r="U2" s="1362">
        <v>24142106</v>
      </c>
      <c r="V2" s="1362" t="s">
        <v>772</v>
      </c>
      <c r="W2" s="1362" t="s">
        <v>362</v>
      </c>
      <c r="X2" s="1363">
        <v>25975.925999999999</v>
      </c>
      <c r="Y2" s="1361" t="s">
        <v>200</v>
      </c>
      <c r="Z2" s="1361">
        <v>1</v>
      </c>
      <c r="AA2" s="1361">
        <v>1</v>
      </c>
      <c r="AB2" s="1361" t="s">
        <v>207</v>
      </c>
      <c r="AC2" s="1217"/>
      <c r="AD2" s="81"/>
      <c r="AE2" s="1243"/>
      <c r="AF2" s="1243"/>
      <c r="AG2" s="1243"/>
    </row>
    <row r="3" spans="1:33" ht="17.399999999999999">
      <c r="A3" s="1559" t="s">
        <v>414</v>
      </c>
      <c r="B3" s="1529" t="s">
        <v>415</v>
      </c>
      <c r="C3" s="1530"/>
      <c r="D3" s="1531"/>
      <c r="E3" s="734"/>
      <c r="F3" s="1529" t="s">
        <v>416</v>
      </c>
      <c r="G3" s="1530"/>
      <c r="H3" s="1531"/>
      <c r="I3" s="734"/>
      <c r="J3" s="1529" t="s">
        <v>416</v>
      </c>
      <c r="K3" s="1530"/>
      <c r="L3" s="1531"/>
      <c r="M3" s="734"/>
      <c r="N3" s="1529" t="s">
        <v>417</v>
      </c>
      <c r="O3" s="1530"/>
      <c r="P3" s="1531"/>
      <c r="R3" s="1368" t="s">
        <v>770</v>
      </c>
      <c r="S3" s="1372">
        <v>3331565740</v>
      </c>
      <c r="T3" s="1209" t="s">
        <v>608</v>
      </c>
      <c r="U3" s="1373">
        <v>24142108</v>
      </c>
      <c r="V3" s="1373" t="s">
        <v>772</v>
      </c>
      <c r="W3" s="1373" t="s">
        <v>362</v>
      </c>
      <c r="X3" s="1374">
        <v>24599.718000000001</v>
      </c>
      <c r="Y3" s="1369" t="s">
        <v>200</v>
      </c>
      <c r="Z3" s="1369">
        <v>1</v>
      </c>
      <c r="AA3" s="1369">
        <v>1</v>
      </c>
      <c r="AB3" s="1369" t="s">
        <v>204</v>
      </c>
      <c r="AC3" s="1366"/>
      <c r="AD3" s="124"/>
      <c r="AE3" s="44"/>
      <c r="AF3" s="44"/>
      <c r="AG3" s="44"/>
    </row>
    <row r="4" spans="1:33" ht="36.75" customHeight="1">
      <c r="A4" s="1591"/>
      <c r="B4" s="743" t="s">
        <v>419</v>
      </c>
      <c r="C4" s="743" t="s">
        <v>420</v>
      </c>
      <c r="D4" s="1424" t="s">
        <v>421</v>
      </c>
      <c r="E4" s="734"/>
      <c r="F4" s="1427" t="s">
        <v>422</v>
      </c>
      <c r="G4" s="743" t="s">
        <v>420</v>
      </c>
      <c r="H4" s="1424" t="s">
        <v>421</v>
      </c>
      <c r="I4" s="734"/>
      <c r="J4" s="1427" t="s">
        <v>310</v>
      </c>
      <c r="K4" s="743" t="s">
        <v>420</v>
      </c>
      <c r="L4" s="1424" t="s">
        <v>421</v>
      </c>
      <c r="M4" s="734"/>
      <c r="N4" s="1423" t="s">
        <v>423</v>
      </c>
      <c r="O4" s="743" t="s">
        <v>420</v>
      </c>
      <c r="P4" s="1424" t="s">
        <v>421</v>
      </c>
      <c r="R4" s="1368" t="s">
        <v>770</v>
      </c>
      <c r="S4" s="1372">
        <v>3331565755</v>
      </c>
      <c r="T4" s="1264" t="s">
        <v>698</v>
      </c>
      <c r="U4" s="1373">
        <v>24142117</v>
      </c>
      <c r="V4" s="1373" t="s">
        <v>772</v>
      </c>
      <c r="W4" s="1373" t="s">
        <v>362</v>
      </c>
      <c r="X4" s="1374">
        <v>25547.59</v>
      </c>
      <c r="Y4" s="1369" t="s">
        <v>200</v>
      </c>
      <c r="Z4" s="1369">
        <v>1</v>
      </c>
      <c r="AA4" s="1369">
        <v>1</v>
      </c>
      <c r="AB4" s="1369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SUMPRODUCT(--ISNUMBER(MATCH(TRIM(W1:W481), {"JABODETABEK","JAWA TENGAH","JAWA TIMUR","LUAR PULAU"}, 0)), --(AC1:AC481=""))</f>
        <v>42</v>
      </c>
      <c r="C5" s="1303" cm="1">
        <f t="array" ref="C5">SUMPRODUCT(--(LOWER(TRIM(AB1:AB507))="masuk"), --(ISNUMBER(MATCH(TRIM(W1:W507), {"JABODETABEK","JAWA TENGAH","JAWA TIMUR","LUAR PULAU"}, 0))), --(LOWER(AC1:AC507)&lt;&gt;"add"))</f>
        <v>36</v>
      </c>
      <c r="D5" s="1304">
        <f>C5+-B5</f>
        <v>-6</v>
      </c>
      <c r="E5" s="734"/>
      <c r="F5" s="1306" cm="1">
        <f t="array" ref="F5">SUMPRODUCT(--(LOWER(AC1:AC507)="add"), --(ISNUMBER(MATCH(W1:W507, {"JABODETABEK","JAWA TENGAH","JAWA TIMUR","LUAR PULAU"}, 0))))</f>
        <v>6</v>
      </c>
      <c r="G5" s="1303" cm="1">
        <f t="array" ref="G5">SUMPRODUCT(--(LOWER(AB1:AB507)="masuk"), --(LOWER(AC1:AC507)="add"))</f>
        <v>2</v>
      </c>
      <c r="H5" s="1304">
        <f>G5+-F5</f>
        <v>-4</v>
      </c>
      <c r="I5" s="734"/>
      <c r="J5" s="1306" cm="1">
        <f t="array" ref="J5">SUMPRODUCT(--(ISNUMBER(SEARCH("next day",LOWER(W1:W507)))+ISNUMBER(SEARCH("nextday",LOWER(W1:W507)))&gt; 0))</f>
        <v>35</v>
      </c>
      <c r="K5" s="1303" cm="1">
        <f t="array" ref="K5">SUMPRODUCT(--(LOWER(AB1:AB507)="masuk"), --ISNUMBER(SEARCH("next day", LOWER(W1:W507))))</f>
        <v>5</v>
      </c>
      <c r="L5" s="1304">
        <f>K5+-J5</f>
        <v>-30</v>
      </c>
      <c r="M5" s="734"/>
      <c r="N5" s="1306">
        <f>B5+F5+J5</f>
        <v>83</v>
      </c>
      <c r="O5" s="1303">
        <f>C5+G5+K5</f>
        <v>43</v>
      </c>
      <c r="P5" s="1304">
        <f>D5+H5+L5</f>
        <v>-40</v>
      </c>
      <c r="R5" s="1360" t="s">
        <v>770</v>
      </c>
      <c r="S5" s="1364">
        <v>3331565761</v>
      </c>
      <c r="T5" s="1183" t="s">
        <v>189</v>
      </c>
      <c r="U5" s="1362">
        <v>24142121</v>
      </c>
      <c r="V5" s="1362" t="s">
        <v>772</v>
      </c>
      <c r="W5" s="1362" t="s">
        <v>703</v>
      </c>
      <c r="X5" s="1363">
        <v>26023.901000000002</v>
      </c>
      <c r="Y5" s="1361" t="s">
        <v>200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42</v>
      </c>
      <c r="C6" s="733">
        <f>SUM(C5)</f>
        <v>36</v>
      </c>
      <c r="D6" s="739">
        <f>SUM(D5)</f>
        <v>-6</v>
      </c>
      <c r="E6" s="734"/>
      <c r="F6" s="733">
        <f>SUM(F5)</f>
        <v>6</v>
      </c>
      <c r="G6" s="733">
        <f>SUM(G5)</f>
        <v>2</v>
      </c>
      <c r="H6" s="739">
        <f>SUM(H5)</f>
        <v>-4</v>
      </c>
      <c r="I6" s="733"/>
      <c r="J6" s="733">
        <f>SUM(J5)</f>
        <v>35</v>
      </c>
      <c r="K6" s="733">
        <f>SUM(K5)</f>
        <v>5</v>
      </c>
      <c r="L6" s="739">
        <f>SUM(L5)</f>
        <v>-30</v>
      </c>
      <c r="M6" s="733"/>
      <c r="N6" s="760">
        <f>SUM(N5:N5)</f>
        <v>83</v>
      </c>
      <c r="O6" s="760">
        <f>SUM(O5:O5)</f>
        <v>43</v>
      </c>
      <c r="P6" s="761">
        <f>SUM(P5:P5)</f>
        <v>-40</v>
      </c>
      <c r="R6" s="1360" t="s">
        <v>770</v>
      </c>
      <c r="S6" s="1364">
        <v>3331565763</v>
      </c>
      <c r="T6" s="1183" t="s">
        <v>189</v>
      </c>
      <c r="U6" s="1362">
        <v>24142123</v>
      </c>
      <c r="V6" s="1362" t="s">
        <v>772</v>
      </c>
      <c r="W6" s="1362" t="s">
        <v>703</v>
      </c>
      <c r="X6" s="1363">
        <v>25374.385999999999</v>
      </c>
      <c r="Y6" s="1361" t="s">
        <v>200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8" t="s">
        <v>773</v>
      </c>
      <c r="S7" s="1372">
        <v>3331563596</v>
      </c>
      <c r="T7" s="1369" t="s">
        <v>336</v>
      </c>
      <c r="U7" s="1373">
        <v>24142168</v>
      </c>
      <c r="V7" s="1373" t="s">
        <v>529</v>
      </c>
      <c r="W7" s="1373" t="s">
        <v>434</v>
      </c>
      <c r="X7" s="1374">
        <f>13726.417+4214.637+2052.24+9127.438+7866.92</f>
        <v>36987.652000000002</v>
      </c>
      <c r="Y7" s="1369" t="s">
        <v>128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30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68" t="s">
        <v>773</v>
      </c>
      <c r="S8" s="1372">
        <v>3331565997</v>
      </c>
      <c r="T8" s="1369" t="s">
        <v>256</v>
      </c>
      <c r="U8" s="1373" t="s">
        <v>256</v>
      </c>
      <c r="V8" s="1373" t="s">
        <v>256</v>
      </c>
      <c r="W8" s="1373" t="s">
        <v>256</v>
      </c>
      <c r="X8" s="1374" t="s">
        <v>256</v>
      </c>
      <c r="Y8" s="1369" t="s">
        <v>256</v>
      </c>
      <c r="Z8" s="1369" t="s">
        <v>256</v>
      </c>
      <c r="AA8" s="1369" t="s">
        <v>256</v>
      </c>
      <c r="AB8" s="1369" t="s">
        <v>256</v>
      </c>
      <c r="AC8" s="1271"/>
      <c r="AD8" s="81"/>
      <c r="AE8" s="44"/>
      <c r="AF8" s="44"/>
      <c r="AG8" s="44"/>
    </row>
    <row r="9" spans="1:33" ht="18">
      <c r="A9" s="763" t="str">
        <f>A2</f>
        <v>Realz update 31 OKT’25 jam 07.00</v>
      </c>
      <c r="B9" s="825"/>
      <c r="C9" s="825"/>
      <c r="D9" s="825"/>
      <c r="E9" s="734"/>
      <c r="F9" s="1525" t="str">
        <f>F2</f>
        <v>Tgl 30 OKT’25 diatas jam 15.00</v>
      </c>
      <c r="G9" s="1525"/>
      <c r="H9" s="1525"/>
      <c r="I9" s="826"/>
      <c r="J9" s="1525" t="str">
        <f>J2</f>
        <v>Tgl 30 OKT’25</v>
      </c>
      <c r="K9" s="1525"/>
      <c r="L9" s="1525"/>
      <c r="M9" s="734"/>
      <c r="N9" s="1526"/>
      <c r="O9" s="1526"/>
      <c r="P9" s="1526"/>
      <c r="R9" s="1368" t="s">
        <v>773</v>
      </c>
      <c r="S9" s="1372">
        <v>3331566000</v>
      </c>
      <c r="T9" s="1369" t="s">
        <v>256</v>
      </c>
      <c r="U9" s="1373" t="s">
        <v>256</v>
      </c>
      <c r="V9" s="1373" t="s">
        <v>256</v>
      </c>
      <c r="W9" s="1373" t="s">
        <v>256</v>
      </c>
      <c r="X9" s="1374" t="s">
        <v>256</v>
      </c>
      <c r="Y9" s="1369" t="s">
        <v>256</v>
      </c>
      <c r="Z9" s="1369" t="s">
        <v>256</v>
      </c>
      <c r="AA9" s="1369" t="s">
        <v>256</v>
      </c>
      <c r="AB9" s="1369" t="s">
        <v>256</v>
      </c>
      <c r="AC9" s="1217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368" t="s">
        <v>452</v>
      </c>
      <c r="S10" s="1372">
        <v>3331566006</v>
      </c>
      <c r="T10" s="1369" t="s">
        <v>256</v>
      </c>
      <c r="U10" s="1373" t="s">
        <v>256</v>
      </c>
      <c r="V10" s="1373" t="s">
        <v>256</v>
      </c>
      <c r="W10" s="1373" t="s">
        <v>256</v>
      </c>
      <c r="X10" s="1374" t="s">
        <v>256</v>
      </c>
      <c r="Y10" s="1369" t="s">
        <v>256</v>
      </c>
      <c r="Z10" s="1369" t="s">
        <v>256</v>
      </c>
      <c r="AA10" s="1369" t="s">
        <v>256</v>
      </c>
      <c r="AB10" s="1369" t="s">
        <v>256</v>
      </c>
      <c r="AC10" s="1271"/>
      <c r="AD10" s="81"/>
      <c r="AE10" s="44"/>
      <c r="AF10" s="44"/>
      <c r="AG10" s="44"/>
    </row>
    <row r="11" spans="1:33" ht="27.6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1428" t="s">
        <v>423</v>
      </c>
      <c r="O11" s="1429" t="s">
        <v>420</v>
      </c>
      <c r="P11" s="1430" t="s">
        <v>421</v>
      </c>
      <c r="R11" s="1368" t="s">
        <v>773</v>
      </c>
      <c r="S11" s="1372">
        <v>3331566007</v>
      </c>
      <c r="T11" s="1369" t="s">
        <v>256</v>
      </c>
      <c r="U11" s="1373" t="s">
        <v>256</v>
      </c>
      <c r="V11" s="1373" t="s">
        <v>256</v>
      </c>
      <c r="W11" s="1373" t="s">
        <v>256</v>
      </c>
      <c r="X11" s="1374" t="s">
        <v>256</v>
      </c>
      <c r="Y11" s="1369" t="s">
        <v>256</v>
      </c>
      <c r="Z11" s="1369" t="s">
        <v>256</v>
      </c>
      <c r="AA11" s="1369" t="s">
        <v>256</v>
      </c>
      <c r="AB11" s="1369" t="s">
        <v>256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SUMPRODUCT(--(TRIM(LOWER(W1:W507))="jabodetabek"), --(LOWER(AC1:AC507)&lt;&gt;"add"))</f>
        <v>27</v>
      </c>
      <c r="C12" s="748" cm="1">
        <f t="array" ref="C12">SUMPRODUCT(--(LOWER(AB1:AB507)="masuk"), --(TRIM(LOWER(W1:W507))="jabodetabek"), --(LOWER(AC1:AC507)&lt;&gt;"add"))</f>
        <v>27</v>
      </c>
      <c r="D12" s="973">
        <f>C12+-B12</f>
        <v>0</v>
      </c>
      <c r="E12" s="734"/>
      <c r="F12" s="748" cm="1">
        <f t="array" ref="F12">SUMPRODUCT(--(LOWER(AC1:AC507)="add"), --(TRIM(LOWER(W1:W507))="jabodetabek"))</f>
        <v>0</v>
      </c>
      <c r="G12" s="747" cm="1">
        <f t="array" ref="G12">SUMPRODUCT(--(LOWER(AB1:AB507)="masuk"), --(LOWER(AC1:AC507)="add"), --(TRIM(LOWER(W1:W507))="jabodetabek"))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day",LOWER(W1:W507)))+ISNUMBER(SEARCH("jabodetabek nextday",LOWER(W1:W507)))&gt; 0))</f>
        <v>5</v>
      </c>
      <c r="K12" s="747" cm="1">
        <f t="array" ref="K12">SUMPRODUCT(--(LOWER(AB1:AB507)="masuk"), --(LOWER(TRIM(W1:W507))="jabodetabek next day"))</f>
        <v>5</v>
      </c>
      <c r="L12" s="740">
        <f>K12+-J12</f>
        <v>0</v>
      </c>
      <c r="M12" s="734"/>
      <c r="N12" s="748">
        <f t="shared" ref="N12:P16" si="0">B12+F12+J12</f>
        <v>32</v>
      </c>
      <c r="O12" s="747">
        <f t="shared" si="0"/>
        <v>32</v>
      </c>
      <c r="P12" s="740">
        <f t="shared" si="0"/>
        <v>0</v>
      </c>
      <c r="R12" s="1368" t="s">
        <v>773</v>
      </c>
      <c r="S12" s="1372">
        <v>3331566011</v>
      </c>
      <c r="T12" s="1369" t="s">
        <v>256</v>
      </c>
      <c r="U12" s="1373" t="s">
        <v>256</v>
      </c>
      <c r="V12" s="1373" t="s">
        <v>256</v>
      </c>
      <c r="W12" s="1373" t="s">
        <v>256</v>
      </c>
      <c r="X12" s="1374" t="s">
        <v>256</v>
      </c>
      <c r="Y12" s="1369" t="s">
        <v>256</v>
      </c>
      <c r="Z12" s="1369" t="s">
        <v>256</v>
      </c>
      <c r="AA12" s="1369" t="s">
        <v>256</v>
      </c>
      <c r="AB12" s="1369" t="s">
        <v>256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SUMPRODUCT(--(TRIM(LOWER(W1:W507))="jawa tengah"), --(LOWER(AC1:AC507)&lt;&gt;"add"))</f>
        <v>3</v>
      </c>
      <c r="C13" s="750" cm="1">
        <f t="array" ref="C13">SUMPRODUCT(--(LOWER(AB1:AB507)="masuk"), --(TRIM(LOWER(W1:W507))="jawa tengah"), --(LOWER(AC1:AC507)&lt;&gt;"add"))</f>
        <v>2</v>
      </c>
      <c r="D13" s="846">
        <f>C13+-B13</f>
        <v>-1</v>
      </c>
      <c r="E13" s="734"/>
      <c r="F13" s="751" cm="1">
        <f t="array" ref="F13">SUMPRODUCT(--(LOWER(AC1:AC507)="add"), --(TRIM(LOWER(W1:W507))="jawa tengah"))</f>
        <v>0</v>
      </c>
      <c r="G13" s="747" cm="1">
        <f t="array" ref="G13">SUMPRODUCT(--(LOWER(AB1:AB507)="masuk"), --(LOWER(AC1:AC507)="add"), --(TRIM(LOWER(W1:W507))="jawa tengah"))</f>
        <v>0</v>
      </c>
      <c r="H13" s="740">
        <f>G13+-F13</f>
        <v>0</v>
      </c>
      <c r="I13" s="734"/>
      <c r="J13" s="748" cm="1">
        <f t="array" ref="J13">SUMPRODUCT(--((LOWER(TRIM(W1:W507))="jawa tengah next day")+(LOWER(TRIM(W1:W507))="jawa tengah nextday")))</f>
        <v>15</v>
      </c>
      <c r="K13" s="747" cm="1">
        <f t="array" ref="K13">SUMPRODUCT(--(LOWER(AB1:AB507)="masuk"), --(LOWER(TRIM(W1:W507))="jawa tengah next day"))</f>
        <v>0</v>
      </c>
      <c r="L13" s="740">
        <f>K13+-J13</f>
        <v>-15</v>
      </c>
      <c r="M13" s="734"/>
      <c r="N13" s="748">
        <f t="shared" si="0"/>
        <v>18</v>
      </c>
      <c r="O13" s="747">
        <f t="shared" si="0"/>
        <v>2</v>
      </c>
      <c r="P13" s="740">
        <f t="shared" si="0"/>
        <v>-16</v>
      </c>
      <c r="R13" s="1360" t="s">
        <v>774</v>
      </c>
      <c r="S13" s="1364">
        <v>3331566279</v>
      </c>
      <c r="T13" s="1183" t="s">
        <v>189</v>
      </c>
      <c r="U13" s="1362">
        <v>24142209</v>
      </c>
      <c r="V13" s="1362" t="s">
        <v>772</v>
      </c>
      <c r="W13" s="1362" t="s">
        <v>703</v>
      </c>
      <c r="X13" s="1363">
        <v>24771.743999999999</v>
      </c>
      <c r="Y13" s="1361" t="s">
        <v>200</v>
      </c>
      <c r="Z13" s="1361">
        <v>1</v>
      </c>
      <c r="AA13" s="1361">
        <v>1</v>
      </c>
      <c r="AB13" s="1361" t="s">
        <v>207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SUMPRODUCT(--(TRIM(LOWER(W1:W507))="jawa timur"), --(LOWER(AC1:AC507)&lt;&gt;"add"))</f>
        <v>3</v>
      </c>
      <c r="C14" s="750" cm="1">
        <f t="array" ref="C14">SUMPRODUCT(--(LOWER(AB1:AB507)="masuk"), --(TRIM(LOWER(W1:W507))="jawa timur"), --(LOWER(AC1:AC507)&lt;&gt;"add"))</f>
        <v>2</v>
      </c>
      <c r="D14" s="846">
        <f>C14+-B14</f>
        <v>-1</v>
      </c>
      <c r="E14" s="734"/>
      <c r="F14" s="750" cm="1">
        <f t="array" ref="F14">SUMPRODUCT(--(LOWER(AC1:AC507)="add"), --(TRIM(LOWER(W1:W507))="jawa timur"))</f>
        <v>4</v>
      </c>
      <c r="G14" s="747" cm="1">
        <f t="array" ref="G14">SUMPRODUCT(--(LOWER(AB1:AB507)="masuk"), --(LOWER(AC1:AC507)="add"), --(TRIM(LOWER(W1:W507))="jawa timur"))</f>
        <v>1</v>
      </c>
      <c r="H14" s="740">
        <f>G14+-F14</f>
        <v>-3</v>
      </c>
      <c r="I14" s="734"/>
      <c r="J14" s="748" cm="1">
        <f t="array" ref="J14">SUMPRODUCT(--((LOWER(TRIM(W1:W507))="jawa timur next day")+(LOWER(TRIM(W1:W507))="jawa timur nextday")))</f>
        <v>0</v>
      </c>
      <c r="K14" s="747" cm="1">
        <f t="array" ref="K14">SUMPRODUCT(--(LOWER(AB1:AB507)="masuk"), --(LOWER(TRIM(W1:W507))="jawa timur next day"))</f>
        <v>0</v>
      </c>
      <c r="L14" s="740">
        <f>K14+-J14</f>
        <v>0</v>
      </c>
      <c r="M14" s="734"/>
      <c r="N14" s="748">
        <f t="shared" si="0"/>
        <v>7</v>
      </c>
      <c r="O14" s="747">
        <f t="shared" si="0"/>
        <v>3</v>
      </c>
      <c r="P14" s="740">
        <f t="shared" si="0"/>
        <v>-4</v>
      </c>
      <c r="R14" s="1360" t="s">
        <v>774</v>
      </c>
      <c r="S14" s="1364">
        <v>3331566281</v>
      </c>
      <c r="T14" s="1183" t="s">
        <v>189</v>
      </c>
      <c r="U14" s="1362">
        <v>24142210</v>
      </c>
      <c r="V14" s="1362" t="s">
        <v>772</v>
      </c>
      <c r="W14" s="1362" t="s">
        <v>703</v>
      </c>
      <c r="X14" s="1363">
        <v>24599.718000000001</v>
      </c>
      <c r="Y14" s="1361" t="s">
        <v>200</v>
      </c>
      <c r="Z14" s="1361">
        <v>1</v>
      </c>
      <c r="AA14" s="1361">
        <v>1</v>
      </c>
      <c r="AB14" s="1361" t="s">
        <v>207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SUMPRODUCT(--(TRIM(LOWER(W1:W507))="luar pulau"), --(LOWER(AC1:AC507)&lt;&gt;"add"))</f>
        <v>9</v>
      </c>
      <c r="C15" s="750" cm="1">
        <f t="array" ref="C15">SUMPRODUCT(--(LOWER(AB1:AB507)="masuk"), --(TRIM(LOWER(W1:W507))="luar pulau"), --(LOWER(AC1:AC507)&lt;&gt;"add"))</f>
        <v>5</v>
      </c>
      <c r="D15" s="846">
        <f>C15+-B15</f>
        <v>-4</v>
      </c>
      <c r="E15" s="734"/>
      <c r="F15" s="748" cm="1">
        <f t="array" ref="F15">SUMPRODUCT(--(LOWER(AC1:AC507)="add"), --(TRIM(LOWER(W1:W507))="luar pulau"))</f>
        <v>2</v>
      </c>
      <c r="G15" s="747" cm="1">
        <f t="array" ref="G15">SUMPRODUCT(--(LOWER(AB1:AB507)="masuk"), --(LOWER(AC1:AC507)="add"), --(TRIM(LOWER(W1:W507))="luar pulau"))</f>
        <v>1</v>
      </c>
      <c r="H15" s="740">
        <f>G15+-F15</f>
        <v>-1</v>
      </c>
      <c r="I15" s="734"/>
      <c r="J15" s="748" cm="1">
        <f t="array" ref="J15">SUMPRODUCT(--((LOWER(TRIM(W1:W507))="luar pulau next day")+(LOWER(TRIM(W1:W507))="luar pulau nextday")))</f>
        <v>15</v>
      </c>
      <c r="K15" s="747" cm="1">
        <f t="array" ref="K15">SUMPRODUCT(--(LOWER(AB1:AB507)="masuk"), --(LOWER(TRIM(W1:W507))="luar pulau next day"))</f>
        <v>0</v>
      </c>
      <c r="L15" s="740">
        <f>K15+-J15</f>
        <v>-15</v>
      </c>
      <c r="M15" s="734"/>
      <c r="N15" s="748">
        <f t="shared" si="0"/>
        <v>26</v>
      </c>
      <c r="O15" s="747">
        <f t="shared" si="0"/>
        <v>6</v>
      </c>
      <c r="P15" s="740">
        <f t="shared" si="0"/>
        <v>-20</v>
      </c>
      <c r="R15" s="1174" t="s">
        <v>774</v>
      </c>
      <c r="S15" s="105">
        <v>3331566287</v>
      </c>
      <c r="T15" s="1264" t="s">
        <v>789</v>
      </c>
      <c r="U15" s="105">
        <v>24142213</v>
      </c>
      <c r="V15" s="1373" t="s">
        <v>772</v>
      </c>
      <c r="W15" s="1373" t="s">
        <v>362</v>
      </c>
      <c r="X15" s="209">
        <v>23352.53</v>
      </c>
      <c r="Y15" s="1369" t="s">
        <v>200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42</v>
      </c>
      <c r="C16" s="733">
        <f>SUM(C12:C15)</f>
        <v>36</v>
      </c>
      <c r="D16" s="739">
        <f>SUM(D12:D15)</f>
        <v>-6</v>
      </c>
      <c r="E16" s="734"/>
      <c r="F16" s="733">
        <f>SUM(F12:F15)</f>
        <v>6</v>
      </c>
      <c r="G16" s="733">
        <f>SUM(G12:G15)</f>
        <v>2</v>
      </c>
      <c r="H16" s="739">
        <f>SUM(H12:H15)</f>
        <v>-4</v>
      </c>
      <c r="I16" s="734"/>
      <c r="J16" s="733">
        <f>SUM(J12:J15)</f>
        <v>35</v>
      </c>
      <c r="K16" s="733">
        <f>SUM(K12:K15)</f>
        <v>5</v>
      </c>
      <c r="L16" s="739">
        <f>SUM(L12:L15)</f>
        <v>-30</v>
      </c>
      <c r="M16" s="734"/>
      <c r="N16" s="760">
        <f t="shared" si="0"/>
        <v>83</v>
      </c>
      <c r="O16" s="760">
        <f t="shared" si="0"/>
        <v>43</v>
      </c>
      <c r="P16" s="761">
        <f t="shared" si="0"/>
        <v>-40</v>
      </c>
      <c r="R16" s="1174" t="s">
        <v>774</v>
      </c>
      <c r="S16" s="105">
        <v>3331566289</v>
      </c>
      <c r="T16" s="1264" t="s">
        <v>789</v>
      </c>
      <c r="U16" s="105">
        <v>24142214</v>
      </c>
      <c r="V16" s="1373" t="s">
        <v>772</v>
      </c>
      <c r="W16" s="1373" t="s">
        <v>362</v>
      </c>
      <c r="X16" s="209">
        <v>25889.913</v>
      </c>
      <c r="Y16" s="1369" t="s">
        <v>200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26" t="s">
        <v>774</v>
      </c>
      <c r="S17" s="81">
        <v>3331566292</v>
      </c>
      <c r="T17" s="1294" t="s">
        <v>599</v>
      </c>
      <c r="U17" s="81">
        <v>24142215</v>
      </c>
      <c r="V17" s="1362" t="s">
        <v>772</v>
      </c>
      <c r="W17" s="1362" t="s">
        <v>362</v>
      </c>
      <c r="X17" s="191">
        <v>25588.866999999998</v>
      </c>
      <c r="Y17" s="1361" t="s">
        <v>200</v>
      </c>
      <c r="Z17" s="1361">
        <v>1</v>
      </c>
      <c r="AA17" s="1361">
        <v>1</v>
      </c>
      <c r="AB17" s="1361" t="s">
        <v>207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774</v>
      </c>
      <c r="S18" s="1372">
        <v>3331566297</v>
      </c>
      <c r="T18" s="1264" t="s">
        <v>599</v>
      </c>
      <c r="U18" s="1373">
        <v>24142216</v>
      </c>
      <c r="V18" s="1373" t="s">
        <v>772</v>
      </c>
      <c r="W18" s="1373" t="s">
        <v>362</v>
      </c>
      <c r="X18" s="1374">
        <v>24685.732</v>
      </c>
      <c r="Y18" s="1369" t="s">
        <v>200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7.399999999999999">
      <c r="A19" s="1583" t="s">
        <v>434</v>
      </c>
      <c r="B19" s="1585" t="s">
        <v>415</v>
      </c>
      <c r="C19" s="1586"/>
      <c r="D19" s="1587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26" t="s">
        <v>774</v>
      </c>
      <c r="S19" s="81">
        <v>3331566304</v>
      </c>
      <c r="T19" s="1294" t="s">
        <v>599</v>
      </c>
      <c r="U19" s="81">
        <v>24142217</v>
      </c>
      <c r="V19" s="1362" t="s">
        <v>772</v>
      </c>
      <c r="W19" s="1362" t="s">
        <v>362</v>
      </c>
      <c r="X19" s="191">
        <f>1861.943+22578.664</f>
        <v>24440.607</v>
      </c>
      <c r="Y19" s="1361" t="s">
        <v>200</v>
      </c>
      <c r="Z19" s="1361">
        <v>1</v>
      </c>
      <c r="AA19" s="1361">
        <v>1</v>
      </c>
      <c r="AB19" s="1361" t="s">
        <v>207</v>
      </c>
      <c r="AC19" s="1271"/>
      <c r="AD19" s="81"/>
    </row>
    <row r="20" spans="1:30" s="44" customFormat="1" ht="17.399999999999999">
      <c r="A20" s="1521"/>
      <c r="B20" s="1425" t="s">
        <v>419</v>
      </c>
      <c r="C20" s="1425" t="s">
        <v>420</v>
      </c>
      <c r="D20" s="1426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26" t="s">
        <v>774</v>
      </c>
      <c r="S20" s="81">
        <v>3331566306</v>
      </c>
      <c r="T20" s="81" t="s">
        <v>256</v>
      </c>
      <c r="U20" s="81" t="s">
        <v>256</v>
      </c>
      <c r="V20" s="1362" t="s">
        <v>256</v>
      </c>
      <c r="W20" s="1362" t="s">
        <v>256</v>
      </c>
      <c r="X20" s="191" t="s">
        <v>256</v>
      </c>
      <c r="Y20" s="81" t="s">
        <v>256</v>
      </c>
      <c r="Z20" s="81" t="s">
        <v>256</v>
      </c>
      <c r="AA20" s="81" t="s">
        <v>256</v>
      </c>
      <c r="AB20" s="81" t="s">
        <v>256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SUMPRODUCT(--((LOWER(TRIM($W$2:$W$275))="ambil sendiri")+(LOWER(TRIM($W$2:$W$275))="cokot sorangan")))</f>
        <v>3</v>
      </c>
      <c r="C21" s="969" cm="1">
        <f t="array" ref="C21">SUMPRODUCT(--(LOWER(AB6:AB305)="masuk"), --((LOWER(TRIM($W$2:$W$301))="cokot sorangan") + (LOWER(TRIM(W6:W305))="ambil sendiri")))</f>
        <v>3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0" t="s">
        <v>774</v>
      </c>
      <c r="S21" s="1364">
        <v>3331566379</v>
      </c>
      <c r="T21" s="1361" t="s">
        <v>206</v>
      </c>
      <c r="U21" s="1362">
        <v>24142239</v>
      </c>
      <c r="V21" s="1362" t="s">
        <v>729</v>
      </c>
      <c r="W21" s="1362" t="s">
        <v>203</v>
      </c>
      <c r="X21" s="1363">
        <f>35171.772+2064.312</f>
        <v>37236.083999999995</v>
      </c>
      <c r="Y21" s="81" t="s">
        <v>128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7.399999999999999">
      <c r="A22" s="993"/>
      <c r="B22" s="1021"/>
      <c r="C22" s="1021"/>
      <c r="D22" s="1021"/>
      <c r="E22" s="1021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0" t="s">
        <v>774</v>
      </c>
      <c r="S22" s="1364">
        <v>3331566399</v>
      </c>
      <c r="T22" s="1361" t="s">
        <v>256</v>
      </c>
      <c r="U22" s="1362" t="s">
        <v>256</v>
      </c>
      <c r="V22" s="1362" t="s">
        <v>256</v>
      </c>
      <c r="W22" s="1362" t="s">
        <v>256</v>
      </c>
      <c r="X22" s="1363" t="s">
        <v>256</v>
      </c>
      <c r="Y22" s="1361" t="s">
        <v>256</v>
      </c>
      <c r="Z22" s="1411" t="s">
        <v>256</v>
      </c>
      <c r="AA22" s="1361" t="s">
        <v>256</v>
      </c>
      <c r="AB22" s="1361" t="s">
        <v>256</v>
      </c>
      <c r="AC22" s="1271"/>
      <c r="AD22" s="81"/>
    </row>
    <row r="23" spans="1:30" s="44" customFormat="1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74" t="s">
        <v>774</v>
      </c>
      <c r="S23" s="105">
        <v>3331566451</v>
      </c>
      <c r="T23" s="105" t="s">
        <v>336</v>
      </c>
      <c r="U23" s="105">
        <v>24142264</v>
      </c>
      <c r="V23" s="1202" t="s">
        <v>185</v>
      </c>
      <c r="W23" s="1373" t="s">
        <v>434</v>
      </c>
      <c r="X23" s="209">
        <f>23295.938+15205.7</f>
        <v>38501.637999999999</v>
      </c>
      <c r="Y23" s="105" t="s">
        <v>128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7.399999999999999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8" t="s">
        <v>774</v>
      </c>
      <c r="S24" s="1372">
        <v>3331566459</v>
      </c>
      <c r="T24" s="1369" t="s">
        <v>256</v>
      </c>
      <c r="U24" s="1373" t="s">
        <v>256</v>
      </c>
      <c r="V24" s="1373" t="s">
        <v>256</v>
      </c>
      <c r="W24" s="1373" t="s">
        <v>256</v>
      </c>
      <c r="X24" s="1374" t="s">
        <v>256</v>
      </c>
      <c r="Y24" s="1369" t="s">
        <v>256</v>
      </c>
      <c r="Z24" s="1369" t="s">
        <v>256</v>
      </c>
      <c r="AA24" s="1369" t="s">
        <v>256</v>
      </c>
      <c r="AB24" s="1369" t="s">
        <v>256</v>
      </c>
      <c r="AC24" s="1271"/>
      <c r="AD24" s="81"/>
    </row>
    <row r="25" spans="1:30" s="44" customFormat="1" ht="17.399999999999999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8" t="s">
        <v>774</v>
      </c>
      <c r="S25" s="1372">
        <v>3331566441</v>
      </c>
      <c r="T25" s="105" t="s">
        <v>336</v>
      </c>
      <c r="U25" s="1373">
        <v>24142267</v>
      </c>
      <c r="V25" s="1373" t="s">
        <v>185</v>
      </c>
      <c r="W25" s="1373" t="s">
        <v>434</v>
      </c>
      <c r="X25" s="1374" t="s">
        <v>790</v>
      </c>
      <c r="Y25" s="105" t="s">
        <v>128</v>
      </c>
      <c r="Z25" s="1369">
        <v>1</v>
      </c>
      <c r="AA25" s="1369">
        <v>1</v>
      </c>
      <c r="AB25" s="1369" t="s">
        <v>204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74" t="s">
        <v>774</v>
      </c>
      <c r="S26" s="105">
        <v>3331566443</v>
      </c>
      <c r="T26" s="1369" t="s">
        <v>256</v>
      </c>
      <c r="U26" s="1373" t="s">
        <v>256</v>
      </c>
      <c r="V26" s="1373" t="s">
        <v>256</v>
      </c>
      <c r="W26" s="1373" t="s">
        <v>256</v>
      </c>
      <c r="X26" s="1374" t="s">
        <v>256</v>
      </c>
      <c r="Y26" s="1369" t="s">
        <v>256</v>
      </c>
      <c r="Z26" s="1369" t="s">
        <v>256</v>
      </c>
      <c r="AA26" s="1369" t="s">
        <v>256</v>
      </c>
      <c r="AB26" s="1369" t="s">
        <v>256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774</v>
      </c>
      <c r="S27" s="1364">
        <v>3331566444</v>
      </c>
      <c r="T27" s="1361" t="s">
        <v>256</v>
      </c>
      <c r="U27" s="1362" t="s">
        <v>256</v>
      </c>
      <c r="V27" s="1362" t="s">
        <v>256</v>
      </c>
      <c r="W27" s="1362" t="s">
        <v>256</v>
      </c>
      <c r="X27" s="1363" t="s">
        <v>256</v>
      </c>
      <c r="Y27" s="1361" t="s">
        <v>256</v>
      </c>
      <c r="Z27" s="1361" t="s">
        <v>256</v>
      </c>
      <c r="AA27" s="1361" t="s">
        <v>256</v>
      </c>
      <c r="AB27" s="1361" t="s">
        <v>256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8" t="s">
        <v>774</v>
      </c>
      <c r="S28" s="1372">
        <v>3331566468</v>
      </c>
      <c r="T28" s="1369" t="s">
        <v>256</v>
      </c>
      <c r="U28" s="1373" t="s">
        <v>256</v>
      </c>
      <c r="V28" s="1373" t="s">
        <v>256</v>
      </c>
      <c r="W28" s="1373" t="s">
        <v>256</v>
      </c>
      <c r="X28" s="1374" t="s">
        <v>256</v>
      </c>
      <c r="Y28" s="1369" t="s">
        <v>256</v>
      </c>
      <c r="Z28" s="1369" t="s">
        <v>256</v>
      </c>
      <c r="AA28" s="1369" t="s">
        <v>256</v>
      </c>
      <c r="AB28" s="1369" t="s">
        <v>256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68" t="s">
        <v>774</v>
      </c>
      <c r="S29" s="1372">
        <v>3331566470</v>
      </c>
      <c r="T29" s="1369" t="s">
        <v>256</v>
      </c>
      <c r="U29" s="1373" t="s">
        <v>256</v>
      </c>
      <c r="V29" s="1373" t="s">
        <v>256</v>
      </c>
      <c r="W29" s="1373" t="s">
        <v>256</v>
      </c>
      <c r="X29" s="1374" t="s">
        <v>256</v>
      </c>
      <c r="Y29" s="1369" t="s">
        <v>256</v>
      </c>
      <c r="Z29" s="1369" t="s">
        <v>256</v>
      </c>
      <c r="AA29" s="1369" t="s">
        <v>256</v>
      </c>
      <c r="AB29" s="1369" t="s">
        <v>256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8" t="s">
        <v>774</v>
      </c>
      <c r="S30" s="1372">
        <v>3331566471</v>
      </c>
      <c r="T30" s="1369" t="s">
        <v>256</v>
      </c>
      <c r="U30" s="1373" t="s">
        <v>256</v>
      </c>
      <c r="V30" s="1373" t="s">
        <v>256</v>
      </c>
      <c r="W30" s="1373" t="s">
        <v>256</v>
      </c>
      <c r="X30" s="1374" t="s">
        <v>256</v>
      </c>
      <c r="Y30" s="1369" t="s">
        <v>256</v>
      </c>
      <c r="Z30" s="1369" t="s">
        <v>256</v>
      </c>
      <c r="AA30" s="1369" t="s">
        <v>256</v>
      </c>
      <c r="AB30" s="1369" t="s">
        <v>256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8" t="s">
        <v>774</v>
      </c>
      <c r="S31" s="1372">
        <v>3331566476</v>
      </c>
      <c r="T31" s="1369" t="s">
        <v>256</v>
      </c>
      <c r="U31" s="1373" t="s">
        <v>256</v>
      </c>
      <c r="V31" s="1373" t="s">
        <v>256</v>
      </c>
      <c r="W31" s="1373" t="s">
        <v>256</v>
      </c>
      <c r="X31" s="1374" t="s">
        <v>256</v>
      </c>
      <c r="Y31" s="1369" t="s">
        <v>256</v>
      </c>
      <c r="Z31" s="1369" t="s">
        <v>256</v>
      </c>
      <c r="AA31" s="1369" t="s">
        <v>256</v>
      </c>
      <c r="AB31" s="1369" t="s">
        <v>256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774</v>
      </c>
      <c r="S32" s="1209">
        <v>3331566516</v>
      </c>
      <c r="T32" s="1209" t="s">
        <v>791</v>
      </c>
      <c r="U32" s="1202">
        <v>24142278</v>
      </c>
      <c r="V32" s="1373" t="s">
        <v>772</v>
      </c>
      <c r="W32" s="1373" t="s">
        <v>362</v>
      </c>
      <c r="X32" s="1203">
        <v>24602.105</v>
      </c>
      <c r="Y32" s="105" t="s">
        <v>200</v>
      </c>
      <c r="Z32" s="105">
        <v>1</v>
      </c>
      <c r="AA32" s="105">
        <v>1</v>
      </c>
      <c r="AB32" s="1369" t="s">
        <v>204</v>
      </c>
      <c r="AC32" s="1365" t="s">
        <v>422</v>
      </c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412" t="s">
        <v>774</v>
      </c>
      <c r="S33" s="1412">
        <v>3331566518</v>
      </c>
      <c r="T33" s="1217" t="s">
        <v>791</v>
      </c>
      <c r="U33" s="1412">
        <v>24142279</v>
      </c>
      <c r="V33" s="1362" t="s">
        <v>772</v>
      </c>
      <c r="W33" s="1362" t="s">
        <v>362</v>
      </c>
      <c r="X33" s="1413">
        <v>25295.170999999998</v>
      </c>
      <c r="Y33" s="81" t="s">
        <v>200</v>
      </c>
      <c r="Z33" s="81">
        <v>1</v>
      </c>
      <c r="AA33" s="81">
        <v>1</v>
      </c>
      <c r="AB33" s="1361" t="s">
        <v>207</v>
      </c>
      <c r="AC33" s="1365" t="s">
        <v>422</v>
      </c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74" t="s">
        <v>765</v>
      </c>
      <c r="S34" s="105">
        <v>3331566700</v>
      </c>
      <c r="T34" s="105" t="s">
        <v>789</v>
      </c>
      <c r="U34" s="105">
        <v>24142294</v>
      </c>
      <c r="V34" s="1202" t="s">
        <v>792</v>
      </c>
      <c r="W34" s="105" t="s">
        <v>205</v>
      </c>
      <c r="X34" s="209">
        <f>8500.553+13644.35</f>
        <v>22144.902999999998</v>
      </c>
      <c r="Y34" s="105" t="s">
        <v>200</v>
      </c>
      <c r="Z34" s="105">
        <v>1</v>
      </c>
      <c r="AA34" s="105">
        <v>1</v>
      </c>
      <c r="AB34" s="1369" t="s">
        <v>204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174" t="s">
        <v>765</v>
      </c>
      <c r="S35" s="105">
        <v>3331566714</v>
      </c>
      <c r="T35" s="105" t="s">
        <v>256</v>
      </c>
      <c r="U35" s="105" t="s">
        <v>256</v>
      </c>
      <c r="V35" s="1202" t="s">
        <v>256</v>
      </c>
      <c r="W35" s="105" t="s">
        <v>256</v>
      </c>
      <c r="X35" s="209" t="s">
        <v>256</v>
      </c>
      <c r="Y35" s="105" t="s">
        <v>256</v>
      </c>
      <c r="Z35" s="105" t="s">
        <v>256</v>
      </c>
      <c r="AA35" s="105" t="s">
        <v>256</v>
      </c>
      <c r="AB35" s="105" t="s">
        <v>256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174" t="s">
        <v>765</v>
      </c>
      <c r="S36" s="105">
        <v>3331566723</v>
      </c>
      <c r="T36" s="105" t="s">
        <v>27</v>
      </c>
      <c r="U36" s="105">
        <v>24142295</v>
      </c>
      <c r="V36" s="1202" t="s">
        <v>793</v>
      </c>
      <c r="W36" s="105" t="s">
        <v>203</v>
      </c>
      <c r="X36" s="209">
        <v>22793.445</v>
      </c>
      <c r="Y36" s="105" t="s">
        <v>200</v>
      </c>
      <c r="Z36" s="105">
        <v>1</v>
      </c>
      <c r="AA36" s="105">
        <v>1</v>
      </c>
      <c r="AB36" s="1369" t="s">
        <v>204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174" t="s">
        <v>765</v>
      </c>
      <c r="S37" s="105">
        <v>3331566726</v>
      </c>
      <c r="T37" s="105" t="s">
        <v>518</v>
      </c>
      <c r="U37" s="105">
        <v>24142296</v>
      </c>
      <c r="V37" s="1202" t="s">
        <v>793</v>
      </c>
      <c r="W37" s="105" t="s">
        <v>203</v>
      </c>
      <c r="X37" s="209">
        <v>20124.212</v>
      </c>
      <c r="Y37" s="105" t="s">
        <v>200</v>
      </c>
      <c r="Z37" s="105">
        <v>1</v>
      </c>
      <c r="AA37" s="105">
        <v>1</v>
      </c>
      <c r="AB37" s="1369" t="s">
        <v>204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74" t="s">
        <v>765</v>
      </c>
      <c r="S38" s="105">
        <v>3331566727</v>
      </c>
      <c r="T38" s="105" t="s">
        <v>256</v>
      </c>
      <c r="U38" s="105" t="s">
        <v>256</v>
      </c>
      <c r="V38" s="1202" t="s">
        <v>256</v>
      </c>
      <c r="W38" s="105" t="s">
        <v>256</v>
      </c>
      <c r="X38" s="209" t="s">
        <v>256</v>
      </c>
      <c r="Y38" s="105" t="s">
        <v>256</v>
      </c>
      <c r="Z38" s="105" t="s">
        <v>256</v>
      </c>
      <c r="AA38" s="105" t="s">
        <v>256</v>
      </c>
      <c r="AB38" s="105" t="s">
        <v>256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26" t="s">
        <v>765</v>
      </c>
      <c r="S39" s="81">
        <v>3331566742</v>
      </c>
      <c r="T39" s="1183" t="s">
        <v>189</v>
      </c>
      <c r="U39" s="81">
        <v>24142297</v>
      </c>
      <c r="V39" s="1190" t="s">
        <v>772</v>
      </c>
      <c r="W39" s="1362" t="s">
        <v>703</v>
      </c>
      <c r="X39" s="191">
        <v>23310.780999999999</v>
      </c>
      <c r="Y39" s="81" t="s">
        <v>200</v>
      </c>
      <c r="Z39" s="81">
        <v>1</v>
      </c>
      <c r="AA39" s="81">
        <v>1</v>
      </c>
      <c r="AB39" s="1361" t="s">
        <v>207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26" t="s">
        <v>765</v>
      </c>
      <c r="S40" s="81">
        <v>3331566752</v>
      </c>
      <c r="T40" s="1183" t="s">
        <v>27</v>
      </c>
      <c r="U40" s="81">
        <v>24142298</v>
      </c>
      <c r="V40" s="1190" t="s">
        <v>772</v>
      </c>
      <c r="W40" s="1362" t="s">
        <v>703</v>
      </c>
      <c r="X40" s="191">
        <v>23907.083999999999</v>
      </c>
      <c r="Y40" s="81" t="s">
        <v>200</v>
      </c>
      <c r="Z40" s="81">
        <v>1</v>
      </c>
      <c r="AA40" s="81">
        <v>1</v>
      </c>
      <c r="AB40" s="1361" t="s">
        <v>207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26" t="s">
        <v>765</v>
      </c>
      <c r="S41" s="81">
        <v>3331566760</v>
      </c>
      <c r="T41" s="1183" t="s">
        <v>189</v>
      </c>
      <c r="U41" s="81">
        <v>24142299</v>
      </c>
      <c r="V41" s="1190" t="s">
        <v>772</v>
      </c>
      <c r="W41" s="1362" t="s">
        <v>703</v>
      </c>
      <c r="X41" s="191">
        <v>23438.542000000001</v>
      </c>
      <c r="Y41" s="81" t="s">
        <v>200</v>
      </c>
      <c r="Z41" s="81">
        <v>1</v>
      </c>
      <c r="AA41" s="81">
        <v>1</v>
      </c>
      <c r="AB41" s="1361" t="s">
        <v>207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26" t="s">
        <v>765</v>
      </c>
      <c r="S42" s="81">
        <v>3331566761</v>
      </c>
      <c r="T42" s="1183" t="s">
        <v>189</v>
      </c>
      <c r="U42" s="81">
        <v>24142300</v>
      </c>
      <c r="V42" s="1190" t="s">
        <v>772</v>
      </c>
      <c r="W42" s="1362" t="s">
        <v>703</v>
      </c>
      <c r="X42" s="191">
        <v>23472.494999999999</v>
      </c>
      <c r="Y42" s="81" t="s">
        <v>200</v>
      </c>
      <c r="Z42" s="81">
        <v>1</v>
      </c>
      <c r="AA42" s="81">
        <v>1</v>
      </c>
      <c r="AB42" s="1361" t="s">
        <v>207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26" t="s">
        <v>765</v>
      </c>
      <c r="S43" s="81">
        <v>3331566746</v>
      </c>
      <c r="T43" s="1183" t="s">
        <v>189</v>
      </c>
      <c r="U43" s="81">
        <v>24142301</v>
      </c>
      <c r="V43" s="1190" t="s">
        <v>446</v>
      </c>
      <c r="W43" s="81" t="s">
        <v>205</v>
      </c>
      <c r="X43" s="191">
        <f>27938.884+2314.806</f>
        <v>30253.69</v>
      </c>
      <c r="Y43" s="81" t="s">
        <v>128</v>
      </c>
      <c r="Z43" s="81">
        <v>1</v>
      </c>
      <c r="AA43" s="81">
        <v>1</v>
      </c>
      <c r="AB43" s="1361" t="s">
        <v>207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26" t="s">
        <v>765</v>
      </c>
      <c r="S44" s="81">
        <v>3331566747</v>
      </c>
      <c r="T44" s="81" t="s">
        <v>256</v>
      </c>
      <c r="U44" s="81" t="s">
        <v>256</v>
      </c>
      <c r="V44" s="1190" t="s">
        <v>256</v>
      </c>
      <c r="W44" s="81" t="s">
        <v>256</v>
      </c>
      <c r="X44" s="191" t="s">
        <v>256</v>
      </c>
      <c r="Y44" s="81" t="s">
        <v>256</v>
      </c>
      <c r="Z44" s="81" t="s">
        <v>256</v>
      </c>
      <c r="AA44" s="81" t="s">
        <v>256</v>
      </c>
      <c r="AB44" s="81" t="s">
        <v>256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26" t="s">
        <v>765</v>
      </c>
      <c r="S45" s="81">
        <v>3331566787</v>
      </c>
      <c r="T45" s="1183" t="s">
        <v>189</v>
      </c>
      <c r="U45" s="81">
        <v>24142302</v>
      </c>
      <c r="V45" s="1190" t="s">
        <v>772</v>
      </c>
      <c r="W45" s="1362" t="s">
        <v>703</v>
      </c>
      <c r="X45" s="191">
        <v>23340.453000000001</v>
      </c>
      <c r="Y45" s="81" t="s">
        <v>200</v>
      </c>
      <c r="Z45" s="81">
        <v>1</v>
      </c>
      <c r="AA45" s="81">
        <v>1</v>
      </c>
      <c r="AB45" s="1361" t="s">
        <v>207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26" t="s">
        <v>765</v>
      </c>
      <c r="S46" s="81">
        <v>3331566789</v>
      </c>
      <c r="T46" s="81" t="s">
        <v>599</v>
      </c>
      <c r="U46" s="81">
        <v>24142305</v>
      </c>
      <c r="V46" s="1190" t="s">
        <v>772</v>
      </c>
      <c r="W46" s="1362" t="s">
        <v>362</v>
      </c>
      <c r="X46" s="191">
        <v>25287.784</v>
      </c>
      <c r="Y46" s="81" t="s">
        <v>200</v>
      </c>
      <c r="Z46" s="81">
        <v>1</v>
      </c>
      <c r="AA46" s="81">
        <v>1</v>
      </c>
      <c r="AB46" s="1361" t="s">
        <v>207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26" t="s">
        <v>765</v>
      </c>
      <c r="S47" s="81">
        <v>3331566795</v>
      </c>
      <c r="T47" s="1183" t="s">
        <v>189</v>
      </c>
      <c r="U47" s="81">
        <v>24142308</v>
      </c>
      <c r="V47" s="1190" t="s">
        <v>772</v>
      </c>
      <c r="W47" s="1362" t="s">
        <v>703</v>
      </c>
      <c r="X47" s="191">
        <v>22516.52</v>
      </c>
      <c r="Y47" s="81" t="s">
        <v>200</v>
      </c>
      <c r="Z47" s="81">
        <v>1</v>
      </c>
      <c r="AA47" s="81">
        <v>1</v>
      </c>
      <c r="AB47" s="1361" t="s">
        <v>207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26" t="s">
        <v>765</v>
      </c>
      <c r="S48" s="81">
        <v>3331566798</v>
      </c>
      <c r="T48" s="1183" t="s">
        <v>189</v>
      </c>
      <c r="U48" s="81">
        <v>24142309</v>
      </c>
      <c r="V48" s="1190" t="s">
        <v>772</v>
      </c>
      <c r="W48" s="1362" t="s">
        <v>703</v>
      </c>
      <c r="X48" s="191">
        <v>22516.52</v>
      </c>
      <c r="Y48" s="81" t="s">
        <v>200</v>
      </c>
      <c r="Z48" s="81">
        <v>1</v>
      </c>
      <c r="AA48" s="81">
        <v>1</v>
      </c>
      <c r="AB48" s="1361" t="s">
        <v>207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26" t="s">
        <v>765</v>
      </c>
      <c r="S49" s="81">
        <v>3331566800</v>
      </c>
      <c r="T49" s="1183" t="s">
        <v>189</v>
      </c>
      <c r="U49" s="81">
        <v>24142310</v>
      </c>
      <c r="V49" s="1190" t="s">
        <v>772</v>
      </c>
      <c r="W49" s="1362" t="s">
        <v>703</v>
      </c>
      <c r="X49" s="191">
        <v>23054.125</v>
      </c>
      <c r="Y49" s="81" t="s">
        <v>200</v>
      </c>
      <c r="Z49" s="81">
        <v>1</v>
      </c>
      <c r="AA49" s="81">
        <v>1</v>
      </c>
      <c r="AB49" s="1361" t="s">
        <v>207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26" t="s">
        <v>765</v>
      </c>
      <c r="S50" s="81">
        <v>3331566804</v>
      </c>
      <c r="T50" s="1183" t="s">
        <v>189</v>
      </c>
      <c r="U50" s="81">
        <v>24142311</v>
      </c>
      <c r="V50" s="1190" t="s">
        <v>772</v>
      </c>
      <c r="W50" s="1362" t="s">
        <v>703</v>
      </c>
      <c r="X50" s="191">
        <v>22375.132000000001</v>
      </c>
      <c r="Y50" s="81" t="s">
        <v>200</v>
      </c>
      <c r="Z50" s="81">
        <v>1</v>
      </c>
      <c r="AA50" s="81">
        <v>1</v>
      </c>
      <c r="AB50" s="1361" t="s">
        <v>207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174" t="s">
        <v>774</v>
      </c>
      <c r="S51" s="105">
        <v>3331566526</v>
      </c>
      <c r="T51" s="1209" t="s">
        <v>27</v>
      </c>
      <c r="U51" s="105">
        <v>24142314</v>
      </c>
      <c r="V51" s="1202" t="s">
        <v>173</v>
      </c>
      <c r="W51" s="1373" t="s">
        <v>205</v>
      </c>
      <c r="X51" s="209">
        <f>9277.835+10929.375+2297.451</f>
        <v>22504.661</v>
      </c>
      <c r="Y51" s="105" t="s">
        <v>200</v>
      </c>
      <c r="Z51" s="105">
        <v>1</v>
      </c>
      <c r="AA51" s="105">
        <v>1</v>
      </c>
      <c r="AB51" s="1369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174" t="s">
        <v>774</v>
      </c>
      <c r="S52" s="105">
        <v>3331566528</v>
      </c>
      <c r="T52" s="1209" t="s">
        <v>256</v>
      </c>
      <c r="U52" s="1209" t="s">
        <v>256</v>
      </c>
      <c r="V52" s="1209" t="s">
        <v>256</v>
      </c>
      <c r="W52" s="1209" t="s">
        <v>256</v>
      </c>
      <c r="X52" s="209" t="s">
        <v>256</v>
      </c>
      <c r="Y52" s="209" t="s">
        <v>256</v>
      </c>
      <c r="Z52" s="209" t="s">
        <v>256</v>
      </c>
      <c r="AA52" s="209" t="s">
        <v>256</v>
      </c>
      <c r="AB52" s="209" t="s">
        <v>256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174" t="s">
        <v>774</v>
      </c>
      <c r="S53" s="105">
        <v>3331566532</v>
      </c>
      <c r="T53" s="1209" t="s">
        <v>256</v>
      </c>
      <c r="U53" s="1209" t="s">
        <v>256</v>
      </c>
      <c r="V53" s="1209" t="s">
        <v>256</v>
      </c>
      <c r="W53" s="1209" t="s">
        <v>256</v>
      </c>
      <c r="X53" s="209" t="s">
        <v>256</v>
      </c>
      <c r="Y53" s="209" t="s">
        <v>256</v>
      </c>
      <c r="Z53" s="209" t="s">
        <v>256</v>
      </c>
      <c r="AA53" s="209" t="s">
        <v>256</v>
      </c>
      <c r="AB53" s="209" t="s">
        <v>256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26" t="s">
        <v>765</v>
      </c>
      <c r="S54" s="81">
        <v>3331566790</v>
      </c>
      <c r="T54" s="1183" t="s">
        <v>189</v>
      </c>
      <c r="U54" s="81">
        <v>24142322</v>
      </c>
      <c r="V54" s="1190" t="s">
        <v>772</v>
      </c>
      <c r="W54" s="1362" t="s">
        <v>703</v>
      </c>
      <c r="X54" s="191">
        <f>15241.952+7361.17</f>
        <v>22603.121999999999</v>
      </c>
      <c r="Y54" s="81" t="s">
        <v>200</v>
      </c>
      <c r="Z54" s="81">
        <v>1</v>
      </c>
      <c r="AA54" s="81">
        <v>1</v>
      </c>
      <c r="AB54" s="1361" t="s">
        <v>207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189" t="s">
        <v>452</v>
      </c>
      <c r="S55" s="1190">
        <v>3331566877</v>
      </c>
      <c r="T55" s="1190" t="s">
        <v>256</v>
      </c>
      <c r="U55" s="1190" t="s">
        <v>256</v>
      </c>
      <c r="V55" s="1190" t="s">
        <v>256</v>
      </c>
      <c r="W55" s="1190" t="s">
        <v>256</v>
      </c>
      <c r="X55" s="1191" t="s">
        <v>256</v>
      </c>
      <c r="Y55" s="1190" t="s">
        <v>256</v>
      </c>
      <c r="Z55" s="1190" t="s">
        <v>256</v>
      </c>
      <c r="AA55" s="1190" t="s">
        <v>256</v>
      </c>
      <c r="AB55" s="1190" t="s">
        <v>256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26" t="s">
        <v>765</v>
      </c>
      <c r="S56" s="81">
        <v>3331566793</v>
      </c>
      <c r="T56" s="1183" t="s">
        <v>189</v>
      </c>
      <c r="U56" s="81">
        <v>24142323</v>
      </c>
      <c r="V56" s="1190" t="s">
        <v>772</v>
      </c>
      <c r="W56" s="1362" t="s">
        <v>703</v>
      </c>
      <c r="X56" s="191">
        <f>1881.22+17862.732+1849.28+3810.488</f>
        <v>25403.72</v>
      </c>
      <c r="Y56" s="81" t="s">
        <v>200</v>
      </c>
      <c r="Z56" s="81">
        <v>1</v>
      </c>
      <c r="AA56" s="81">
        <v>1</v>
      </c>
      <c r="AB56" s="1361" t="s">
        <v>207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189" t="s">
        <v>452</v>
      </c>
      <c r="S57" s="1190">
        <v>3331566858</v>
      </c>
      <c r="T57" s="1190" t="s">
        <v>256</v>
      </c>
      <c r="U57" s="1190" t="s">
        <v>256</v>
      </c>
      <c r="V57" s="1190" t="s">
        <v>256</v>
      </c>
      <c r="W57" s="1190" t="s">
        <v>256</v>
      </c>
      <c r="X57" s="191" t="s">
        <v>256</v>
      </c>
      <c r="Y57" s="1190" t="s">
        <v>256</v>
      </c>
      <c r="Z57" s="1190" t="s">
        <v>256</v>
      </c>
      <c r="AA57" s="1190" t="s">
        <v>256</v>
      </c>
      <c r="AB57" s="1190" t="s">
        <v>256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189" t="s">
        <v>765</v>
      </c>
      <c r="S58" s="1190">
        <v>3331566860</v>
      </c>
      <c r="T58" s="1190" t="s">
        <v>256</v>
      </c>
      <c r="U58" s="1190" t="s">
        <v>256</v>
      </c>
      <c r="V58" s="1190" t="s">
        <v>256</v>
      </c>
      <c r="W58" s="1190" t="s">
        <v>256</v>
      </c>
      <c r="X58" s="191" t="s">
        <v>256</v>
      </c>
      <c r="Y58" s="1190" t="s">
        <v>256</v>
      </c>
      <c r="Z58" s="1190" t="s">
        <v>256</v>
      </c>
      <c r="AA58" s="1190" t="s">
        <v>256</v>
      </c>
      <c r="AB58" s="1190" t="s">
        <v>256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326" t="s">
        <v>452</v>
      </c>
      <c r="S59" s="81">
        <v>3331566879</v>
      </c>
      <c r="T59" s="1190" t="s">
        <v>256</v>
      </c>
      <c r="U59" s="1190" t="s">
        <v>256</v>
      </c>
      <c r="V59" s="1190" t="s">
        <v>256</v>
      </c>
      <c r="W59" s="1190" t="s">
        <v>256</v>
      </c>
      <c r="X59" s="191" t="s">
        <v>256</v>
      </c>
      <c r="Y59" s="1190" t="s">
        <v>256</v>
      </c>
      <c r="Z59" s="1190" t="s">
        <v>256</v>
      </c>
      <c r="AA59" s="1190" t="s">
        <v>256</v>
      </c>
      <c r="AB59" s="1190" t="s">
        <v>256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189" t="s">
        <v>765</v>
      </c>
      <c r="S60" s="1190">
        <v>3331566888</v>
      </c>
      <c r="T60" s="1217" t="s">
        <v>336</v>
      </c>
      <c r="U60" s="1190">
        <v>24142324</v>
      </c>
      <c r="V60" s="1190" t="s">
        <v>497</v>
      </c>
      <c r="W60" s="1190" t="s">
        <v>205</v>
      </c>
      <c r="X60" s="1191">
        <v>39291.845000000001</v>
      </c>
      <c r="Y60" s="1190" t="s">
        <v>128</v>
      </c>
      <c r="Z60" s="81">
        <v>1</v>
      </c>
      <c r="AA60" s="81">
        <v>1</v>
      </c>
      <c r="AB60" s="1361" t="s">
        <v>207</v>
      </c>
      <c r="AC60" s="1271" t="s">
        <v>422</v>
      </c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189" t="s">
        <v>452</v>
      </c>
      <c r="S61" s="81">
        <v>3331566899</v>
      </c>
      <c r="T61" s="1183" t="s">
        <v>206</v>
      </c>
      <c r="U61" s="1190">
        <v>24142327</v>
      </c>
      <c r="V61" s="1190" t="s">
        <v>486</v>
      </c>
      <c r="W61" s="1190" t="s">
        <v>205</v>
      </c>
      <c r="X61" s="1191">
        <v>39305.089</v>
      </c>
      <c r="Y61" s="1190" t="s">
        <v>128</v>
      </c>
      <c r="Z61" s="81">
        <v>1</v>
      </c>
      <c r="AA61" s="81">
        <v>1</v>
      </c>
      <c r="AB61" s="1361" t="s">
        <v>207</v>
      </c>
      <c r="AC61" s="1271" t="s">
        <v>422</v>
      </c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189" t="s">
        <v>452</v>
      </c>
      <c r="S62" s="81">
        <v>3331566918</v>
      </c>
      <c r="T62" s="1183" t="s">
        <v>206</v>
      </c>
      <c r="U62" s="1190">
        <v>24142328</v>
      </c>
      <c r="V62" s="1190" t="s">
        <v>486</v>
      </c>
      <c r="W62" s="1190" t="s">
        <v>205</v>
      </c>
      <c r="X62" s="1191">
        <f>28825.924+17249.527</f>
        <v>46075.451000000001</v>
      </c>
      <c r="Y62" s="1190" t="s">
        <v>128</v>
      </c>
      <c r="Z62" s="81">
        <v>1</v>
      </c>
      <c r="AA62" s="81">
        <v>1</v>
      </c>
      <c r="AB62" s="1361" t="s">
        <v>207</v>
      </c>
      <c r="AC62" s="1271" t="s">
        <v>422</v>
      </c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189" t="s">
        <v>777</v>
      </c>
      <c r="S63" s="81">
        <v>3331566895</v>
      </c>
      <c r="T63" s="1190" t="s">
        <v>256</v>
      </c>
      <c r="U63" s="1190" t="s">
        <v>256</v>
      </c>
      <c r="V63" s="1190" t="s">
        <v>256</v>
      </c>
      <c r="W63" s="1190" t="s">
        <v>256</v>
      </c>
      <c r="X63" s="1191" t="s">
        <v>256</v>
      </c>
      <c r="Y63" s="1190" t="s">
        <v>256</v>
      </c>
      <c r="Z63" s="1190" t="s">
        <v>256</v>
      </c>
      <c r="AA63" s="1190" t="s">
        <v>256</v>
      </c>
      <c r="AB63" s="1361" t="s">
        <v>256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765</v>
      </c>
      <c r="S64" s="105">
        <v>3331566926</v>
      </c>
      <c r="T64" s="1209" t="s">
        <v>27</v>
      </c>
      <c r="U64" s="1202">
        <v>24142329</v>
      </c>
      <c r="V64" s="1202" t="s">
        <v>497</v>
      </c>
      <c r="W64" s="1202" t="s">
        <v>205</v>
      </c>
      <c r="X64" s="1203">
        <v>22623.006000000001</v>
      </c>
      <c r="Y64" s="1202" t="s">
        <v>200</v>
      </c>
      <c r="Z64" s="105">
        <v>1</v>
      </c>
      <c r="AA64" s="105">
        <v>1</v>
      </c>
      <c r="AB64" s="1369" t="s">
        <v>204</v>
      </c>
      <c r="AC64" s="1271" t="s">
        <v>422</v>
      </c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189" t="s">
        <v>691</v>
      </c>
      <c r="S65" s="81">
        <v>3331566914</v>
      </c>
      <c r="T65" s="1217" t="s">
        <v>459</v>
      </c>
      <c r="U65" s="1190">
        <v>24142325</v>
      </c>
      <c r="V65" s="1190" t="s">
        <v>224</v>
      </c>
      <c r="W65" s="1190" t="s">
        <v>344</v>
      </c>
      <c r="X65" s="1191">
        <v>30448.035</v>
      </c>
      <c r="Y65" s="1190" t="s">
        <v>426</v>
      </c>
      <c r="Z65" s="81">
        <v>1</v>
      </c>
      <c r="AA65" s="81">
        <v>1</v>
      </c>
      <c r="AB65" s="1361" t="s">
        <v>207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189" t="s">
        <v>691</v>
      </c>
      <c r="S66" s="81">
        <v>3331566941</v>
      </c>
      <c r="T66" s="1217" t="s">
        <v>459</v>
      </c>
      <c r="U66" s="1190">
        <v>24142330</v>
      </c>
      <c r="V66" s="1190" t="s">
        <v>224</v>
      </c>
      <c r="W66" s="1190" t="s">
        <v>344</v>
      </c>
      <c r="X66" s="1191">
        <v>27326.541000000001</v>
      </c>
      <c r="Y66" s="1190" t="s">
        <v>426</v>
      </c>
      <c r="Z66" s="81">
        <v>1</v>
      </c>
      <c r="AA66" s="81">
        <v>1</v>
      </c>
      <c r="AB66" s="1361" t="s">
        <v>207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189" t="s">
        <v>691</v>
      </c>
      <c r="S67" s="81">
        <v>3331566943</v>
      </c>
      <c r="T67" s="1217" t="s">
        <v>459</v>
      </c>
      <c r="U67" s="1190">
        <v>24142331</v>
      </c>
      <c r="V67" s="1190" t="s">
        <v>224</v>
      </c>
      <c r="W67" s="1190" t="s">
        <v>344</v>
      </c>
      <c r="X67" s="1191">
        <v>25909.53</v>
      </c>
      <c r="Y67" s="1190" t="s">
        <v>426</v>
      </c>
      <c r="Z67" s="81">
        <v>1</v>
      </c>
      <c r="AA67" s="81">
        <v>1</v>
      </c>
      <c r="AB67" s="1361" t="s">
        <v>207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189" t="s">
        <v>691</v>
      </c>
      <c r="S68" s="81">
        <v>3331566944</v>
      </c>
      <c r="T68" s="1217" t="s">
        <v>459</v>
      </c>
      <c r="U68" s="1190">
        <v>24142332</v>
      </c>
      <c r="V68" s="1190" t="s">
        <v>224</v>
      </c>
      <c r="W68" s="1190" t="s">
        <v>344</v>
      </c>
      <c r="X68" s="1191">
        <v>28925.067999999999</v>
      </c>
      <c r="Y68" s="1190" t="s">
        <v>426</v>
      </c>
      <c r="Z68" s="81">
        <v>1</v>
      </c>
      <c r="AA68" s="81">
        <v>1</v>
      </c>
      <c r="AB68" s="1361" t="s">
        <v>207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189" t="s">
        <v>691</v>
      </c>
      <c r="S69" s="81">
        <v>3331566945</v>
      </c>
      <c r="T69" s="1217" t="s">
        <v>459</v>
      </c>
      <c r="U69" s="1190">
        <v>24142333</v>
      </c>
      <c r="V69" s="1190" t="s">
        <v>224</v>
      </c>
      <c r="W69" s="1190" t="s">
        <v>344</v>
      </c>
      <c r="X69" s="1191">
        <v>29228.174999999999</v>
      </c>
      <c r="Y69" s="1190" t="s">
        <v>426</v>
      </c>
      <c r="Z69" s="81">
        <v>1</v>
      </c>
      <c r="AA69" s="81">
        <v>1</v>
      </c>
      <c r="AB69" s="1361" t="s">
        <v>207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26" t="s">
        <v>691</v>
      </c>
      <c r="S70" s="81">
        <v>3331566952</v>
      </c>
      <c r="T70" s="1217" t="s">
        <v>459</v>
      </c>
      <c r="U70" s="81">
        <v>24142337</v>
      </c>
      <c r="V70" s="1190" t="s">
        <v>224</v>
      </c>
      <c r="W70" s="1190" t="s">
        <v>344</v>
      </c>
      <c r="X70" s="191">
        <v>29338.043000000001</v>
      </c>
      <c r="Y70" s="1190" t="s">
        <v>426</v>
      </c>
      <c r="Z70" s="81">
        <v>1</v>
      </c>
      <c r="AA70" s="81">
        <v>1</v>
      </c>
      <c r="AB70" s="1361" t="s">
        <v>207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189" t="s">
        <v>765</v>
      </c>
      <c r="S71" s="81">
        <v>3331566916</v>
      </c>
      <c r="T71" s="1217" t="s">
        <v>459</v>
      </c>
      <c r="U71" s="1190">
        <v>24142326</v>
      </c>
      <c r="V71" s="1190" t="s">
        <v>226</v>
      </c>
      <c r="W71" s="1190" t="s">
        <v>344</v>
      </c>
      <c r="X71" s="384">
        <f>6413.25+22669.456</f>
        <v>29082.705999999998</v>
      </c>
      <c r="Y71" s="1190" t="s">
        <v>426</v>
      </c>
      <c r="Z71" s="81">
        <v>1</v>
      </c>
      <c r="AA71" s="81">
        <v>1</v>
      </c>
      <c r="AB71" s="1361" t="s">
        <v>207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189" t="s">
        <v>691</v>
      </c>
      <c r="S72" s="81">
        <v>3331566917</v>
      </c>
      <c r="T72" s="1190" t="s">
        <v>256</v>
      </c>
      <c r="U72" s="1190" t="s">
        <v>256</v>
      </c>
      <c r="V72" s="1190" t="s">
        <v>256</v>
      </c>
      <c r="W72" s="1190" t="s">
        <v>256</v>
      </c>
      <c r="X72" s="191" t="s">
        <v>256</v>
      </c>
      <c r="Y72" s="1190" t="s">
        <v>256</v>
      </c>
      <c r="Z72" s="1190" t="s">
        <v>256</v>
      </c>
      <c r="AA72" s="1190" t="s">
        <v>256</v>
      </c>
      <c r="AB72" s="1361" t="s">
        <v>256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326" t="s">
        <v>452</v>
      </c>
      <c r="S73" s="81">
        <v>3331566940</v>
      </c>
      <c r="T73" s="1217" t="s">
        <v>459</v>
      </c>
      <c r="U73" s="81">
        <v>24142334</v>
      </c>
      <c r="V73" s="1190" t="s">
        <v>226</v>
      </c>
      <c r="W73" s="1190" t="s">
        <v>344</v>
      </c>
      <c r="X73" s="191">
        <v>29507.237000000001</v>
      </c>
      <c r="Y73" s="1190" t="s">
        <v>426</v>
      </c>
      <c r="Z73" s="81">
        <v>1</v>
      </c>
      <c r="AA73" s="81">
        <v>1</v>
      </c>
      <c r="AB73" s="1361" t="s">
        <v>207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326" t="s">
        <v>452</v>
      </c>
      <c r="S74" s="81">
        <v>3331566942</v>
      </c>
      <c r="T74" s="1217" t="s">
        <v>459</v>
      </c>
      <c r="U74" s="81">
        <v>24142335</v>
      </c>
      <c r="V74" s="1190" t="s">
        <v>226</v>
      </c>
      <c r="W74" s="1190" t="s">
        <v>344</v>
      </c>
      <c r="X74" s="191">
        <v>25587.107</v>
      </c>
      <c r="Y74" s="1190" t="s">
        <v>426</v>
      </c>
      <c r="Z74" s="81">
        <v>1</v>
      </c>
      <c r="AA74" s="81">
        <v>1</v>
      </c>
      <c r="AB74" s="1361" t="s">
        <v>207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89" t="s">
        <v>452</v>
      </c>
      <c r="S75" s="81">
        <v>3331566946</v>
      </c>
      <c r="T75" s="1217" t="s">
        <v>459</v>
      </c>
      <c r="U75" s="1190">
        <v>24142336</v>
      </c>
      <c r="V75" s="1190" t="s">
        <v>226</v>
      </c>
      <c r="W75" s="1190" t="s">
        <v>344</v>
      </c>
      <c r="X75" s="1191">
        <v>25716.881000000001</v>
      </c>
      <c r="Y75" s="1190" t="s">
        <v>426</v>
      </c>
      <c r="Z75" s="81">
        <v>1</v>
      </c>
      <c r="AA75" s="81">
        <v>1</v>
      </c>
      <c r="AB75" s="1361" t="s">
        <v>207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189" t="s">
        <v>452</v>
      </c>
      <c r="S76" s="81">
        <v>3331566948</v>
      </c>
      <c r="T76" s="1217" t="s">
        <v>459</v>
      </c>
      <c r="U76" s="1190">
        <v>24142338</v>
      </c>
      <c r="V76" s="1190" t="s">
        <v>226</v>
      </c>
      <c r="W76" s="1190" t="s">
        <v>344</v>
      </c>
      <c r="X76" s="1191">
        <v>24321.809000000001</v>
      </c>
      <c r="Y76" s="1190" t="s">
        <v>426</v>
      </c>
      <c r="Z76" s="81">
        <v>1</v>
      </c>
      <c r="AA76" s="81">
        <v>1</v>
      </c>
      <c r="AB76" s="1361" t="s">
        <v>207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189" t="s">
        <v>691</v>
      </c>
      <c r="S77" s="81">
        <v>3331566954</v>
      </c>
      <c r="T77" s="1217" t="s">
        <v>459</v>
      </c>
      <c r="U77" s="1190">
        <v>24142339</v>
      </c>
      <c r="V77" s="1190" t="s">
        <v>226</v>
      </c>
      <c r="W77" s="1190" t="s">
        <v>344</v>
      </c>
      <c r="X77" s="1191">
        <v>24579.598000000002</v>
      </c>
      <c r="Y77" s="1190" t="s">
        <v>426</v>
      </c>
      <c r="Z77" s="81">
        <v>1</v>
      </c>
      <c r="AA77" s="81">
        <v>1</v>
      </c>
      <c r="AB77" s="1361" t="s">
        <v>207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189" t="s">
        <v>691</v>
      </c>
      <c r="S78" s="81">
        <v>3331566959</v>
      </c>
      <c r="T78" s="1217" t="s">
        <v>459</v>
      </c>
      <c r="U78" s="1190">
        <v>24142340</v>
      </c>
      <c r="V78" s="1190" t="s">
        <v>226</v>
      </c>
      <c r="W78" s="1190" t="s">
        <v>344</v>
      </c>
      <c r="X78" s="1191">
        <v>23676.964</v>
      </c>
      <c r="Y78" s="1190" t="s">
        <v>426</v>
      </c>
      <c r="Z78" s="81">
        <v>1</v>
      </c>
      <c r="AA78" s="81">
        <v>1</v>
      </c>
      <c r="AB78" s="1361" t="s">
        <v>207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89" t="s">
        <v>691</v>
      </c>
      <c r="S79" s="81">
        <v>3331566965</v>
      </c>
      <c r="T79" s="1217" t="s">
        <v>459</v>
      </c>
      <c r="U79" s="1190">
        <v>24142341</v>
      </c>
      <c r="V79" s="1190" t="s">
        <v>226</v>
      </c>
      <c r="W79" s="1190" t="s">
        <v>344</v>
      </c>
      <c r="X79" s="1191">
        <v>25077.819</v>
      </c>
      <c r="Y79" s="1190" t="s">
        <v>426</v>
      </c>
      <c r="Z79" s="81">
        <v>1</v>
      </c>
      <c r="AA79" s="81">
        <v>1</v>
      </c>
      <c r="AB79" s="1361" t="s">
        <v>207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326" t="s">
        <v>774</v>
      </c>
      <c r="S80" s="81">
        <v>3331566972</v>
      </c>
      <c r="T80" s="1217" t="s">
        <v>459</v>
      </c>
      <c r="U80" s="81">
        <v>24142342</v>
      </c>
      <c r="V80" s="1190" t="s">
        <v>226</v>
      </c>
      <c r="W80" s="1190" t="s">
        <v>344</v>
      </c>
      <c r="X80" s="191">
        <v>26154.491000000002</v>
      </c>
      <c r="Y80" s="1190" t="s">
        <v>426</v>
      </c>
      <c r="Z80" s="81">
        <v>1</v>
      </c>
      <c r="AA80" s="81">
        <v>1</v>
      </c>
      <c r="AB80" s="1361" t="s">
        <v>207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368" t="s">
        <v>774</v>
      </c>
      <c r="S81" s="1373">
        <v>3331566367</v>
      </c>
      <c r="T81" s="1202" t="s">
        <v>27</v>
      </c>
      <c r="U81" s="1373">
        <v>24142266</v>
      </c>
      <c r="V81" s="1373" t="s">
        <v>219</v>
      </c>
      <c r="W81" s="1373" t="s">
        <v>199</v>
      </c>
      <c r="X81" s="1374">
        <f>9961.915+14639.88</f>
        <v>24601.794999999998</v>
      </c>
      <c r="Y81" s="1369" t="s">
        <v>200</v>
      </c>
      <c r="Z81" s="1369">
        <v>1</v>
      </c>
      <c r="AA81" s="1369">
        <v>1</v>
      </c>
      <c r="AB81" s="1369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368" t="s">
        <v>774</v>
      </c>
      <c r="S82" s="1373">
        <v>3331566369</v>
      </c>
      <c r="T82" s="1202" t="s">
        <v>256</v>
      </c>
      <c r="U82" s="1202" t="s">
        <v>256</v>
      </c>
      <c r="V82" s="1202" t="s">
        <v>256</v>
      </c>
      <c r="W82" s="1202" t="s">
        <v>256</v>
      </c>
      <c r="X82" s="1374" t="s">
        <v>256</v>
      </c>
      <c r="Y82" s="1202" t="s">
        <v>256</v>
      </c>
      <c r="Z82" s="1202" t="s">
        <v>256</v>
      </c>
      <c r="AA82" s="1202" t="s">
        <v>256</v>
      </c>
      <c r="AB82" s="1202" t="s">
        <v>256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368" t="s">
        <v>774</v>
      </c>
      <c r="S83" s="1373">
        <v>3331566302</v>
      </c>
      <c r="T83" s="1202" t="s">
        <v>34</v>
      </c>
      <c r="U83" s="1373">
        <v>24142242</v>
      </c>
      <c r="V83" s="1373" t="s">
        <v>368</v>
      </c>
      <c r="W83" s="1373" t="s">
        <v>199</v>
      </c>
      <c r="X83" s="1374">
        <v>24556.710999999999</v>
      </c>
      <c r="Y83" s="1369" t="s">
        <v>200</v>
      </c>
      <c r="Z83" s="1369">
        <v>1</v>
      </c>
      <c r="AA83" s="1369">
        <v>1</v>
      </c>
      <c r="AB83" s="1369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368" t="s">
        <v>774</v>
      </c>
      <c r="S84" s="1373">
        <v>3331566305</v>
      </c>
      <c r="T84" s="1202" t="s">
        <v>287</v>
      </c>
      <c r="U84" s="1373">
        <v>24142243</v>
      </c>
      <c r="V84" s="1373" t="s">
        <v>368</v>
      </c>
      <c r="W84" s="1373" t="s">
        <v>199</v>
      </c>
      <c r="X84" s="1374">
        <v>24599.717000000001</v>
      </c>
      <c r="Y84" s="1369" t="s">
        <v>200</v>
      </c>
      <c r="Z84" s="1369">
        <v>1</v>
      </c>
      <c r="AA84" s="1369">
        <v>1</v>
      </c>
      <c r="AB84" s="1369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368" t="s">
        <v>774</v>
      </c>
      <c r="S85" s="1373">
        <v>3331566345</v>
      </c>
      <c r="T85" s="1202" t="s">
        <v>34</v>
      </c>
      <c r="U85" s="1373">
        <v>24142244</v>
      </c>
      <c r="V85" s="1373" t="s">
        <v>150</v>
      </c>
      <c r="W85" s="1373" t="s">
        <v>199</v>
      </c>
      <c r="X85" s="1374">
        <v>24513.705000000002</v>
      </c>
      <c r="Y85" s="1369" t="s">
        <v>200</v>
      </c>
      <c r="Z85" s="1369">
        <v>1</v>
      </c>
      <c r="AA85" s="1369">
        <v>1</v>
      </c>
      <c r="AB85" s="1369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368" t="s">
        <v>452</v>
      </c>
      <c r="S86" s="1373">
        <v>3331566351</v>
      </c>
      <c r="T86" s="1369" t="s">
        <v>34</v>
      </c>
      <c r="U86" s="1373">
        <v>24142245</v>
      </c>
      <c r="V86" s="1373" t="s">
        <v>150</v>
      </c>
      <c r="W86" s="1373" t="s">
        <v>199</v>
      </c>
      <c r="X86" s="1374">
        <v>26104.946</v>
      </c>
      <c r="Y86" s="1369" t="s">
        <v>200</v>
      </c>
      <c r="Z86" s="1369">
        <v>1</v>
      </c>
      <c r="AA86" s="1369">
        <v>1</v>
      </c>
      <c r="AB86" s="1369" t="s">
        <v>204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368" t="s">
        <v>774</v>
      </c>
      <c r="S87" s="1373">
        <v>3331566352</v>
      </c>
      <c r="T87" s="1369" t="s">
        <v>11</v>
      </c>
      <c r="U87" s="1373">
        <v>24142246</v>
      </c>
      <c r="V87" s="1373" t="s">
        <v>150</v>
      </c>
      <c r="W87" s="1373" t="s">
        <v>199</v>
      </c>
      <c r="X87" s="1374">
        <v>25158.803</v>
      </c>
      <c r="Y87" s="1369" t="s">
        <v>200</v>
      </c>
      <c r="Z87" s="1369">
        <v>1</v>
      </c>
      <c r="AA87" s="1369">
        <v>1</v>
      </c>
      <c r="AB87" s="1369" t="s">
        <v>204</v>
      </c>
      <c r="AC87" s="1365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368" t="s">
        <v>774</v>
      </c>
      <c r="S88" s="1373">
        <v>3331566355</v>
      </c>
      <c r="T88" s="1369" t="s">
        <v>287</v>
      </c>
      <c r="U88" s="1373">
        <v>24142247</v>
      </c>
      <c r="V88" s="1373" t="s">
        <v>150</v>
      </c>
      <c r="W88" s="1373" t="s">
        <v>199</v>
      </c>
      <c r="X88" s="1374">
        <v>25760.893</v>
      </c>
      <c r="Y88" s="1369" t="s">
        <v>200</v>
      </c>
      <c r="Z88" s="1369">
        <v>1</v>
      </c>
      <c r="AA88" s="1369">
        <v>1</v>
      </c>
      <c r="AB88" s="1369" t="s">
        <v>204</v>
      </c>
      <c r="AC88" s="1365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368" t="s">
        <v>774</v>
      </c>
      <c r="S89" s="1373">
        <v>3331566358</v>
      </c>
      <c r="T89" s="1369" t="s">
        <v>287</v>
      </c>
      <c r="U89" s="1373">
        <v>24142248</v>
      </c>
      <c r="V89" s="1373" t="s">
        <v>150</v>
      </c>
      <c r="W89" s="1373" t="s">
        <v>199</v>
      </c>
      <c r="X89" s="1374">
        <v>25803.9</v>
      </c>
      <c r="Y89" s="1369" t="s">
        <v>200</v>
      </c>
      <c r="Z89" s="1369">
        <v>1</v>
      </c>
      <c r="AA89" s="1369">
        <v>1</v>
      </c>
      <c r="AB89" s="1369" t="s">
        <v>204</v>
      </c>
      <c r="AC89" s="1365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368" t="s">
        <v>774</v>
      </c>
      <c r="S90" s="1373">
        <v>3331566359</v>
      </c>
      <c r="T90" s="1369" t="s">
        <v>27</v>
      </c>
      <c r="U90" s="1373">
        <v>24142249</v>
      </c>
      <c r="V90" s="1373" t="s">
        <v>150</v>
      </c>
      <c r="W90" s="1373" t="s">
        <v>199</v>
      </c>
      <c r="X90" s="1374">
        <v>24943.77</v>
      </c>
      <c r="Y90" s="1369" t="s">
        <v>200</v>
      </c>
      <c r="Z90" s="1369">
        <v>1</v>
      </c>
      <c r="AA90" s="1369">
        <v>1</v>
      </c>
      <c r="AB90" s="1369" t="s">
        <v>204</v>
      </c>
      <c r="AC90" s="1365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368" t="s">
        <v>774</v>
      </c>
      <c r="S91" s="1373">
        <v>3331566362</v>
      </c>
      <c r="T91" s="1369" t="s">
        <v>27</v>
      </c>
      <c r="U91" s="1373">
        <v>24142250</v>
      </c>
      <c r="V91" s="1373" t="s">
        <v>150</v>
      </c>
      <c r="W91" s="1373" t="s">
        <v>199</v>
      </c>
      <c r="X91" s="1374">
        <v>25889.913</v>
      </c>
      <c r="Y91" s="1369" t="s">
        <v>200</v>
      </c>
      <c r="Z91" s="1369">
        <v>1</v>
      </c>
      <c r="AA91" s="1369">
        <v>1</v>
      </c>
      <c r="AB91" s="1369" t="s">
        <v>204</v>
      </c>
      <c r="AC91" s="1365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368" t="s">
        <v>774</v>
      </c>
      <c r="S92" s="1373">
        <v>3331566364</v>
      </c>
      <c r="T92" s="1369" t="s">
        <v>27</v>
      </c>
      <c r="U92" s="1373">
        <v>24142251</v>
      </c>
      <c r="V92" s="1373" t="s">
        <v>150</v>
      </c>
      <c r="W92" s="1373" t="s">
        <v>199</v>
      </c>
      <c r="X92" s="1374">
        <v>25889.913</v>
      </c>
      <c r="Y92" s="1369" t="s">
        <v>200</v>
      </c>
      <c r="Z92" s="1369">
        <v>1</v>
      </c>
      <c r="AA92" s="1369">
        <v>1</v>
      </c>
      <c r="AB92" s="1369" t="s">
        <v>204</v>
      </c>
      <c r="AC92" s="1220"/>
      <c r="AD92" s="1326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174" t="s">
        <v>774</v>
      </c>
      <c r="S93" s="105">
        <v>3331566366</v>
      </c>
      <c r="T93" s="105" t="s">
        <v>441</v>
      </c>
      <c r="U93" s="105">
        <v>24142269</v>
      </c>
      <c r="V93" s="1202" t="s">
        <v>158</v>
      </c>
      <c r="W93" s="1373" t="s">
        <v>199</v>
      </c>
      <c r="X93" s="209">
        <v>37501.667999999998</v>
      </c>
      <c r="Y93" s="105" t="s">
        <v>128</v>
      </c>
      <c r="Z93" s="1369">
        <v>1</v>
      </c>
      <c r="AA93" s="1369">
        <v>1</v>
      </c>
      <c r="AB93" s="1369" t="s">
        <v>204</v>
      </c>
      <c r="AC93" s="1217"/>
      <c r="AD93" s="1326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174" t="s">
        <v>774</v>
      </c>
      <c r="S94" s="105">
        <v>3331566368</v>
      </c>
      <c r="T94" s="105" t="s">
        <v>441</v>
      </c>
      <c r="U94" s="105">
        <v>24142270</v>
      </c>
      <c r="V94" s="1202" t="s">
        <v>158</v>
      </c>
      <c r="W94" s="1373" t="s">
        <v>199</v>
      </c>
      <c r="X94" s="209">
        <v>37157.616000000002</v>
      </c>
      <c r="Y94" s="105" t="s">
        <v>128</v>
      </c>
      <c r="Z94" s="1369">
        <v>1</v>
      </c>
      <c r="AA94" s="1369">
        <v>1</v>
      </c>
      <c r="AB94" s="1369" t="s">
        <v>204</v>
      </c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418" t="s">
        <v>774</v>
      </c>
      <c r="S95" s="1417">
        <v>3331566370</v>
      </c>
      <c r="T95" s="1417" t="s">
        <v>441</v>
      </c>
      <c r="U95" s="1417">
        <v>24142271</v>
      </c>
      <c r="V95" s="1419" t="s">
        <v>158</v>
      </c>
      <c r="W95" s="1420" t="s">
        <v>199</v>
      </c>
      <c r="X95" s="1421">
        <v>35824.667000000001</v>
      </c>
      <c r="Y95" s="1417" t="s">
        <v>128</v>
      </c>
      <c r="Z95" s="1422">
        <v>1</v>
      </c>
      <c r="AA95" s="1422">
        <v>1</v>
      </c>
      <c r="AB95" s="1422" t="s">
        <v>204</v>
      </c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2" t="s">
        <v>794</v>
      </c>
      <c r="S96" s="1202">
        <v>3331563971</v>
      </c>
      <c r="T96" s="1261" t="s">
        <v>27</v>
      </c>
      <c r="U96" s="1261">
        <v>24141864</v>
      </c>
      <c r="V96" s="1261" t="s">
        <v>366</v>
      </c>
      <c r="W96" s="1373" t="s">
        <v>199</v>
      </c>
      <c r="X96" s="1203">
        <v>24599.718000000001</v>
      </c>
      <c r="Y96" s="1261" t="s">
        <v>200</v>
      </c>
      <c r="Z96" s="1261">
        <v>1</v>
      </c>
      <c r="AA96" s="1261">
        <v>1</v>
      </c>
      <c r="AB96" s="1416" t="s">
        <v>204</v>
      </c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794</v>
      </c>
      <c r="S97" s="1202">
        <v>3331563982</v>
      </c>
      <c r="T97" s="1261" t="s">
        <v>27</v>
      </c>
      <c r="U97" s="1261">
        <v>24141872</v>
      </c>
      <c r="V97" s="1202" t="s">
        <v>366</v>
      </c>
      <c r="W97" s="1373" t="s">
        <v>199</v>
      </c>
      <c r="X97" s="1203">
        <v>25803.9</v>
      </c>
      <c r="Y97" s="1261" t="s">
        <v>200</v>
      </c>
      <c r="Z97" s="1261">
        <v>1</v>
      </c>
      <c r="AA97" s="1261">
        <v>1</v>
      </c>
      <c r="AB97" s="1416" t="s">
        <v>204</v>
      </c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765</v>
      </c>
      <c r="S98" s="1210">
        <v>3331566678</v>
      </c>
      <c r="T98" s="1202" t="s">
        <v>27</v>
      </c>
      <c r="U98" s="1201">
        <v>24142283</v>
      </c>
      <c r="V98" s="1210" t="s">
        <v>243</v>
      </c>
      <c r="W98" s="1373" t="s">
        <v>199</v>
      </c>
      <c r="X98" s="1376">
        <v>25391.957999999999</v>
      </c>
      <c r="Y98" s="1369" t="s">
        <v>200</v>
      </c>
      <c r="Z98" s="1369">
        <v>1</v>
      </c>
      <c r="AA98" s="1369">
        <v>1</v>
      </c>
      <c r="AB98" s="1369" t="s">
        <v>204</v>
      </c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765</v>
      </c>
      <c r="S99" s="1210">
        <v>3331566688</v>
      </c>
      <c r="T99" s="1202" t="s">
        <v>34</v>
      </c>
      <c r="U99" s="1201">
        <v>24142289</v>
      </c>
      <c r="V99" s="1210" t="s">
        <v>779</v>
      </c>
      <c r="W99" s="1264" t="s">
        <v>199</v>
      </c>
      <c r="X99" s="1376">
        <f>6991.208+7914.386+9995.616</f>
        <v>24901.21</v>
      </c>
      <c r="Y99" s="1202" t="s">
        <v>200</v>
      </c>
      <c r="Z99" s="1202">
        <v>1</v>
      </c>
      <c r="AA99" s="1202">
        <v>1</v>
      </c>
      <c r="AB99" s="1067" t="s">
        <v>204</v>
      </c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765</v>
      </c>
      <c r="S100" s="1202">
        <v>3331566689</v>
      </c>
      <c r="T100" s="1261" t="s">
        <v>256</v>
      </c>
      <c r="U100" s="1261" t="s">
        <v>256</v>
      </c>
      <c r="V100" s="1261" t="s">
        <v>256</v>
      </c>
      <c r="W100" s="1261" t="s">
        <v>256</v>
      </c>
      <c r="X100" s="1203" t="s">
        <v>256</v>
      </c>
      <c r="Y100" s="1261" t="s">
        <v>256</v>
      </c>
      <c r="Z100" s="1261" t="s">
        <v>256</v>
      </c>
      <c r="AA100" s="1261" t="s">
        <v>256</v>
      </c>
      <c r="AB100" s="1261" t="s">
        <v>256</v>
      </c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765</v>
      </c>
      <c r="S101" s="1202">
        <v>3331566690</v>
      </c>
      <c r="T101" s="1261" t="s">
        <v>256</v>
      </c>
      <c r="U101" s="1261" t="s">
        <v>256</v>
      </c>
      <c r="V101" s="1261" t="s">
        <v>256</v>
      </c>
      <c r="W101" s="1261" t="s">
        <v>256</v>
      </c>
      <c r="X101" s="1203" t="s">
        <v>256</v>
      </c>
      <c r="Y101" s="1261" t="s">
        <v>256</v>
      </c>
      <c r="Z101" s="1261" t="s">
        <v>256</v>
      </c>
      <c r="AA101" s="1261" t="s">
        <v>256</v>
      </c>
      <c r="AB101" s="1261" t="s">
        <v>256</v>
      </c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765</v>
      </c>
      <c r="S102" s="1202">
        <v>3331566738</v>
      </c>
      <c r="T102" s="1261" t="s">
        <v>11</v>
      </c>
      <c r="U102" s="1202">
        <v>24142290</v>
      </c>
      <c r="V102" s="1202" t="s">
        <v>779</v>
      </c>
      <c r="W102" s="1264" t="s">
        <v>199</v>
      </c>
      <c r="X102" s="1203">
        <v>23149.179</v>
      </c>
      <c r="Y102" s="1202" t="s">
        <v>200</v>
      </c>
      <c r="Z102" s="1202">
        <v>1</v>
      </c>
      <c r="AA102" s="1202">
        <v>1</v>
      </c>
      <c r="AB102" s="1067" t="s">
        <v>204</v>
      </c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765</v>
      </c>
      <c r="S103" s="1202">
        <v>3331566696</v>
      </c>
      <c r="T103" s="1261" t="s">
        <v>287</v>
      </c>
      <c r="U103" s="1202">
        <v>24142303</v>
      </c>
      <c r="V103" s="1202" t="s">
        <v>368</v>
      </c>
      <c r="W103" s="1264" t="s">
        <v>199</v>
      </c>
      <c r="X103" s="1203">
        <v>26153.804</v>
      </c>
      <c r="Y103" s="1202" t="s">
        <v>200</v>
      </c>
      <c r="Z103" s="1202">
        <v>1</v>
      </c>
      <c r="AA103" s="1202">
        <v>1</v>
      </c>
      <c r="AB103" s="1067" t="s">
        <v>204</v>
      </c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01" t="s">
        <v>765</v>
      </c>
      <c r="S104" s="1210">
        <v>3331566792</v>
      </c>
      <c r="T104" s="1202" t="s">
        <v>34</v>
      </c>
      <c r="U104" s="1201">
        <v>24142304</v>
      </c>
      <c r="V104" s="1210" t="s">
        <v>601</v>
      </c>
      <c r="W104" s="1264" t="s">
        <v>199</v>
      </c>
      <c r="X104" s="1376">
        <v>25157.042000000001</v>
      </c>
      <c r="Y104" s="1202" t="s">
        <v>200</v>
      </c>
      <c r="Z104" s="1202">
        <v>1</v>
      </c>
      <c r="AA104" s="1202">
        <v>1</v>
      </c>
      <c r="AB104" s="1067" t="s">
        <v>204</v>
      </c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01" t="s">
        <v>765</v>
      </c>
      <c r="S105" s="1210">
        <v>3331566796</v>
      </c>
      <c r="T105" s="1202" t="s">
        <v>287</v>
      </c>
      <c r="U105" s="1201">
        <v>24142312</v>
      </c>
      <c r="V105" s="1202" t="s">
        <v>601</v>
      </c>
      <c r="W105" s="1264" t="s">
        <v>199</v>
      </c>
      <c r="X105" s="1203">
        <f>9287.094+16879.673</f>
        <v>26166.767</v>
      </c>
      <c r="Y105" s="1202" t="s">
        <v>200</v>
      </c>
      <c r="Z105" s="1202">
        <v>1</v>
      </c>
      <c r="AA105" s="1202">
        <v>1</v>
      </c>
      <c r="AB105" s="1067" t="s">
        <v>204</v>
      </c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765</v>
      </c>
      <c r="S106" s="1202">
        <v>3331566805</v>
      </c>
      <c r="T106" s="1261" t="s">
        <v>256</v>
      </c>
      <c r="U106" s="1264" t="s">
        <v>256</v>
      </c>
      <c r="V106" s="1202" t="s">
        <v>256</v>
      </c>
      <c r="W106" s="1264" t="s">
        <v>256</v>
      </c>
      <c r="X106" s="1203" t="s">
        <v>256</v>
      </c>
      <c r="Y106" s="1202" t="s">
        <v>256</v>
      </c>
      <c r="Z106" s="1202" t="s">
        <v>256</v>
      </c>
      <c r="AA106" s="1202" t="s">
        <v>256</v>
      </c>
      <c r="AB106" s="1202" t="s">
        <v>256</v>
      </c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765</v>
      </c>
      <c r="S107" s="1202">
        <v>3331566794</v>
      </c>
      <c r="T107" s="1202" t="s">
        <v>287</v>
      </c>
      <c r="U107" s="1202">
        <v>24142313</v>
      </c>
      <c r="V107" s="1202" t="s">
        <v>601</v>
      </c>
      <c r="W107" s="1264" t="s">
        <v>199</v>
      </c>
      <c r="X107" s="1203">
        <f>9749.628+15567.226</f>
        <v>25316.853999999999</v>
      </c>
      <c r="Y107" s="1202" t="s">
        <v>200</v>
      </c>
      <c r="Z107" s="1202">
        <v>1</v>
      </c>
      <c r="AA107" s="1202">
        <v>1</v>
      </c>
      <c r="AB107" s="1067" t="s">
        <v>204</v>
      </c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765</v>
      </c>
      <c r="S108" s="1202">
        <v>3331566819</v>
      </c>
      <c r="T108" s="1209" t="s">
        <v>256</v>
      </c>
      <c r="U108" s="1202" t="s">
        <v>256</v>
      </c>
      <c r="V108" s="1202" t="s">
        <v>256</v>
      </c>
      <c r="W108" s="1202" t="s">
        <v>256</v>
      </c>
      <c r="X108" s="1203" t="s">
        <v>256</v>
      </c>
      <c r="Y108" s="1202" t="s">
        <v>256</v>
      </c>
      <c r="Z108" s="1202" t="s">
        <v>256</v>
      </c>
      <c r="AA108" s="1202" t="s">
        <v>256</v>
      </c>
      <c r="AB108" s="1202" t="s">
        <v>256</v>
      </c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02" t="s">
        <v>765</v>
      </c>
      <c r="S109" s="1202">
        <v>3331566852</v>
      </c>
      <c r="T109" s="1202" t="s">
        <v>34</v>
      </c>
      <c r="U109" s="1202">
        <v>24142317</v>
      </c>
      <c r="V109" s="1202" t="s">
        <v>219</v>
      </c>
      <c r="W109" s="1264" t="s">
        <v>199</v>
      </c>
      <c r="X109" s="1203">
        <v>25504.847000000002</v>
      </c>
      <c r="Y109" s="1202" t="s">
        <v>200</v>
      </c>
      <c r="Z109" s="1202">
        <v>1</v>
      </c>
      <c r="AA109" s="1202">
        <v>1</v>
      </c>
      <c r="AB109" s="1067" t="s">
        <v>204</v>
      </c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368" t="s">
        <v>452</v>
      </c>
      <c r="S110" s="1373">
        <v>3331566404</v>
      </c>
      <c r="T110" s="1202" t="s">
        <v>287</v>
      </c>
      <c r="U110" s="1373">
        <v>24142255</v>
      </c>
      <c r="V110" s="1373" t="s">
        <v>150</v>
      </c>
      <c r="W110" s="1264" t="s">
        <v>199</v>
      </c>
      <c r="X110" s="1374">
        <f>3999.605+22191.354</f>
        <v>26190.958999999999</v>
      </c>
      <c r="Y110" s="1202" t="s">
        <v>200</v>
      </c>
      <c r="Z110" s="1369">
        <v>1</v>
      </c>
      <c r="AA110" s="1369">
        <v>1</v>
      </c>
      <c r="AB110" s="1369" t="s">
        <v>204</v>
      </c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174" t="s">
        <v>774</v>
      </c>
      <c r="S111" s="105">
        <v>3331566406</v>
      </c>
      <c r="T111" s="1202" t="s">
        <v>256</v>
      </c>
      <c r="U111" s="105" t="s">
        <v>256</v>
      </c>
      <c r="V111" s="1373" t="s">
        <v>256</v>
      </c>
      <c r="W111" s="1373" t="s">
        <v>256</v>
      </c>
      <c r="X111" s="209" t="s">
        <v>256</v>
      </c>
      <c r="Y111" s="1369" t="s">
        <v>256</v>
      </c>
      <c r="Z111" s="105"/>
      <c r="AA111" s="105"/>
      <c r="AB111" s="105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174" t="s">
        <v>774</v>
      </c>
      <c r="S112" s="105">
        <v>3331566405</v>
      </c>
      <c r="T112" s="1202" t="s">
        <v>11</v>
      </c>
      <c r="U112" s="105">
        <v>24142253</v>
      </c>
      <c r="V112" s="1373" t="s">
        <v>150</v>
      </c>
      <c r="W112" s="1264" t="s">
        <v>199</v>
      </c>
      <c r="X112" s="209">
        <v>26216.805</v>
      </c>
      <c r="Y112" s="1202" t="s">
        <v>200</v>
      </c>
      <c r="Z112" s="1369">
        <v>1</v>
      </c>
      <c r="AA112" s="1369">
        <v>1</v>
      </c>
      <c r="AB112" s="1369" t="s">
        <v>204</v>
      </c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174" t="s">
        <v>774</v>
      </c>
      <c r="S113" s="105">
        <v>3331566408</v>
      </c>
      <c r="T113" s="1202" t="s">
        <v>34</v>
      </c>
      <c r="U113" s="105">
        <v>24142254</v>
      </c>
      <c r="V113" s="1373" t="s">
        <v>150</v>
      </c>
      <c r="W113" s="1264" t="s">
        <v>199</v>
      </c>
      <c r="X113" s="209">
        <v>25158.803</v>
      </c>
      <c r="Y113" s="1202" t="s">
        <v>200</v>
      </c>
      <c r="Z113" s="1369">
        <v>1</v>
      </c>
      <c r="AA113" s="1369">
        <v>1</v>
      </c>
      <c r="AB113" s="1369" t="s">
        <v>204</v>
      </c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74" t="s">
        <v>774</v>
      </c>
      <c r="S114" s="105">
        <v>3331566413</v>
      </c>
      <c r="T114" s="1202" t="s">
        <v>462</v>
      </c>
      <c r="U114" s="105">
        <v>24142257</v>
      </c>
      <c r="V114" s="1373" t="s">
        <v>150</v>
      </c>
      <c r="W114" s="1373" t="s">
        <v>340</v>
      </c>
      <c r="X114" s="209">
        <v>23954.620999999999</v>
      </c>
      <c r="Y114" s="1202" t="s">
        <v>200</v>
      </c>
      <c r="Z114" s="1369">
        <v>1</v>
      </c>
      <c r="AA114" s="1369">
        <v>1</v>
      </c>
      <c r="AB114" s="1369" t="s">
        <v>204</v>
      </c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174" t="s">
        <v>774</v>
      </c>
      <c r="S115" s="105">
        <v>3331566420</v>
      </c>
      <c r="T115" s="1202" t="s">
        <v>287</v>
      </c>
      <c r="U115" s="105">
        <v>24142258</v>
      </c>
      <c r="V115" s="1373" t="s">
        <v>150</v>
      </c>
      <c r="W115" s="1373" t="s">
        <v>340</v>
      </c>
      <c r="X115" s="209">
        <v>23911.614000000001</v>
      </c>
      <c r="Y115" s="1202" t="s">
        <v>200</v>
      </c>
      <c r="Z115" s="1369">
        <v>1</v>
      </c>
      <c r="AA115" s="1369">
        <v>1</v>
      </c>
      <c r="AB115" s="1369" t="s">
        <v>204</v>
      </c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368" t="s">
        <v>774</v>
      </c>
      <c r="S116" s="1373">
        <v>3331566423</v>
      </c>
      <c r="T116" s="1202" t="s">
        <v>287</v>
      </c>
      <c r="U116" s="1373">
        <v>24142259</v>
      </c>
      <c r="V116" s="1373" t="s">
        <v>150</v>
      </c>
      <c r="W116" s="1373" t="s">
        <v>340</v>
      </c>
      <c r="X116" s="1374">
        <v>25330.828000000001</v>
      </c>
      <c r="Y116" s="1202" t="s">
        <v>200</v>
      </c>
      <c r="Z116" s="1369">
        <v>1</v>
      </c>
      <c r="AA116" s="1369">
        <v>1</v>
      </c>
      <c r="AB116" s="1369" t="s">
        <v>204</v>
      </c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174" t="s">
        <v>774</v>
      </c>
      <c r="S117" s="105">
        <v>3331566425</v>
      </c>
      <c r="T117" s="1202" t="s">
        <v>34</v>
      </c>
      <c r="U117" s="105">
        <v>24142260</v>
      </c>
      <c r="V117" s="1373" t="s">
        <v>150</v>
      </c>
      <c r="W117" s="1373" t="s">
        <v>340</v>
      </c>
      <c r="X117" s="209">
        <v>24556.710999999999</v>
      </c>
      <c r="Y117" s="1202" t="s">
        <v>200</v>
      </c>
      <c r="Z117" s="1369">
        <v>1</v>
      </c>
      <c r="AA117" s="1369">
        <v>1</v>
      </c>
      <c r="AB117" s="1369" t="s">
        <v>204</v>
      </c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174" t="s">
        <v>774</v>
      </c>
      <c r="S118" s="105">
        <v>3331566427</v>
      </c>
      <c r="T118" s="1202" t="s">
        <v>34</v>
      </c>
      <c r="U118" s="105">
        <v>24142261</v>
      </c>
      <c r="V118" s="1373" t="s">
        <v>150</v>
      </c>
      <c r="W118" s="1373" t="s">
        <v>340</v>
      </c>
      <c r="X118" s="209">
        <v>25760.894</v>
      </c>
      <c r="Y118" s="1202" t="s">
        <v>200</v>
      </c>
      <c r="Z118" s="1369">
        <v>1</v>
      </c>
      <c r="AA118" s="1369">
        <v>1</v>
      </c>
      <c r="AB118" s="1369" t="s">
        <v>204</v>
      </c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189"/>
      <c r="S119" s="1190"/>
      <c r="T119" s="1217"/>
      <c r="U119" s="1190"/>
      <c r="V119" s="1190"/>
      <c r="W119" s="1294"/>
      <c r="X119" s="1191"/>
      <c r="Y119" s="1190"/>
      <c r="Z119" s="1190"/>
      <c r="AA119" s="1190"/>
      <c r="AB119" s="1311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189"/>
      <c r="S120" s="1190"/>
      <c r="T120" s="1217"/>
      <c r="U120" s="1190"/>
      <c r="V120" s="1190"/>
      <c r="W120" s="1294"/>
      <c r="X120" s="1191"/>
      <c r="Y120" s="1190"/>
      <c r="Z120" s="1190"/>
      <c r="AA120" s="1190"/>
      <c r="AB120" s="1311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326"/>
      <c r="S121" s="81"/>
      <c r="T121" s="81"/>
      <c r="U121" s="81"/>
      <c r="V121" s="1190"/>
      <c r="W121" s="81"/>
      <c r="X121" s="191"/>
      <c r="Y121" s="81"/>
      <c r="Z121" s="81"/>
      <c r="AA121" s="81"/>
      <c r="AB121" s="81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326"/>
      <c r="S122" s="81"/>
      <c r="T122" s="81"/>
      <c r="U122" s="81"/>
      <c r="V122" s="1190"/>
      <c r="W122" s="81"/>
      <c r="X122" s="191"/>
      <c r="Y122" s="81"/>
      <c r="Z122" s="81"/>
      <c r="AA122" s="81"/>
      <c r="AB122" s="81"/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326"/>
      <c r="S123" s="81"/>
      <c r="T123" s="81"/>
      <c r="U123" s="81"/>
      <c r="V123" s="1190"/>
      <c r="W123" s="81"/>
      <c r="X123" s="191"/>
      <c r="Y123" s="81"/>
      <c r="Z123" s="81"/>
      <c r="AA123" s="81"/>
      <c r="AB123" s="81"/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326"/>
      <c r="S124" s="81"/>
      <c r="T124" s="81"/>
      <c r="U124" s="81"/>
      <c r="V124" s="1190"/>
      <c r="W124" s="81"/>
      <c r="X124" s="191"/>
      <c r="Y124" s="81"/>
      <c r="Z124" s="81"/>
      <c r="AA124" s="81"/>
      <c r="AB124" s="81"/>
      <c r="AC124" s="1271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326"/>
      <c r="S125" s="81"/>
      <c r="T125" s="81"/>
      <c r="U125" s="81"/>
      <c r="V125" s="1190"/>
      <c r="W125" s="81"/>
      <c r="X125" s="191"/>
      <c r="Y125" s="81"/>
      <c r="Z125" s="81"/>
      <c r="AA125" s="81"/>
      <c r="AB125" s="81"/>
      <c r="AC125" s="1271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89"/>
      <c r="S126" s="1190"/>
      <c r="T126" s="81"/>
      <c r="U126" s="1190"/>
      <c r="V126" s="1190"/>
      <c r="W126" s="1294"/>
      <c r="X126" s="1191"/>
      <c r="Y126" s="81"/>
      <c r="Z126" s="1190"/>
      <c r="AA126" s="1190"/>
      <c r="AB126" s="1311"/>
      <c r="AC126" s="1271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326"/>
      <c r="S127" s="81"/>
      <c r="T127" s="81"/>
      <c r="U127" s="81"/>
      <c r="V127" s="1190"/>
      <c r="W127" s="81"/>
      <c r="X127" s="191"/>
      <c r="Y127" s="81"/>
      <c r="Z127" s="81"/>
      <c r="AA127" s="81"/>
      <c r="AB127" s="81"/>
      <c r="AC127" s="1271"/>
      <c r="AD127" s="81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326"/>
      <c r="S128" s="81"/>
      <c r="T128" s="81"/>
      <c r="U128" s="81"/>
      <c r="V128" s="1190"/>
      <c r="W128" s="81"/>
      <c r="X128" s="191"/>
      <c r="Y128" s="81"/>
      <c r="Z128" s="81"/>
      <c r="AA128" s="81"/>
      <c r="AB128" s="81"/>
      <c r="AC128" s="1271"/>
      <c r="AD128" s="81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326"/>
      <c r="S129" s="81"/>
      <c r="T129" s="81"/>
      <c r="U129" s="81"/>
      <c r="V129" s="1190"/>
      <c r="W129" s="81"/>
      <c r="X129" s="191"/>
      <c r="Y129" s="81"/>
      <c r="Z129" s="81"/>
      <c r="AA129" s="81"/>
      <c r="AB129" s="81"/>
      <c r="AC129" s="1271"/>
      <c r="AD129" s="81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189"/>
      <c r="S130" s="1190"/>
      <c r="T130" s="1217"/>
      <c r="U130" s="1190"/>
      <c r="V130" s="1190"/>
      <c r="W130" s="1294"/>
      <c r="X130" s="1191"/>
      <c r="Y130" s="1190"/>
      <c r="Z130" s="1190"/>
      <c r="AA130" s="1190"/>
      <c r="AB130" s="1311"/>
      <c r="AC130" s="1271"/>
      <c r="AD130" s="81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189"/>
      <c r="S131" s="1190"/>
      <c r="T131" s="1217"/>
      <c r="U131" s="1190"/>
      <c r="V131" s="1190"/>
      <c r="W131" s="1294"/>
      <c r="X131" s="1191"/>
      <c r="Y131" s="1190"/>
      <c r="Z131" s="1190"/>
      <c r="AA131" s="1190"/>
      <c r="AB131" s="1311"/>
      <c r="AC131" s="1271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189"/>
      <c r="S132" s="1190"/>
      <c r="T132" s="1217"/>
      <c r="U132" s="1190"/>
      <c r="V132" s="1190"/>
      <c r="W132" s="1294"/>
      <c r="X132" s="1191"/>
      <c r="Y132" s="1190"/>
      <c r="Z132" s="1190"/>
      <c r="AA132" s="1190"/>
      <c r="AB132" s="1311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190"/>
      <c r="V133" s="1190"/>
      <c r="W133" s="1190"/>
      <c r="X133" s="1191"/>
      <c r="Y133" s="1190"/>
      <c r="Z133" s="1190"/>
      <c r="AA133" s="1190"/>
      <c r="AB133" s="1200"/>
      <c r="AC133" s="1271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190"/>
      <c r="V134" s="1190"/>
      <c r="W134" s="1190"/>
      <c r="X134" s="1191"/>
      <c r="Y134" s="1190"/>
      <c r="Z134" s="1190"/>
      <c r="AA134" s="1190"/>
      <c r="AB134" s="1200"/>
      <c r="AC134" s="1271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190"/>
      <c r="V135" s="1190"/>
      <c r="W135" s="1190"/>
      <c r="X135" s="1191"/>
      <c r="Y135" s="1190"/>
      <c r="Z135" s="1190"/>
      <c r="AA135" s="1190"/>
      <c r="AB135" s="1200"/>
      <c r="AC135" s="1271"/>
      <c r="AD135" s="81"/>
    </row>
    <row r="136" spans="1:30" s="44" customFormat="1" ht="17.399999999999999">
      <c r="A136" s="1324"/>
      <c r="B136" s="1021"/>
      <c r="C136" s="1021"/>
      <c r="D136" s="1022"/>
      <c r="E136" s="1023"/>
      <c r="F136" s="1021"/>
      <c r="G136" s="1021"/>
      <c r="H136" s="1022"/>
      <c r="I136" s="1023"/>
      <c r="J136" s="1021"/>
      <c r="K136" s="1021"/>
      <c r="L136" s="1021"/>
      <c r="M136" s="1023"/>
      <c r="N136" s="1021"/>
      <c r="O136" s="1021"/>
      <c r="P136" s="1022"/>
      <c r="R136" s="1220"/>
      <c r="S136" s="1217"/>
      <c r="T136" s="1217"/>
      <c r="U136" s="1190"/>
      <c r="V136" s="1190"/>
      <c r="W136" s="1190"/>
      <c r="X136" s="1191"/>
      <c r="Y136" s="1190"/>
      <c r="Z136" s="1190"/>
      <c r="AA136" s="1190"/>
      <c r="AB136" s="1200"/>
      <c r="AC136" s="1271"/>
      <c r="AD136" s="81"/>
    </row>
    <row r="137" spans="1:30" s="44" customFormat="1" ht="17.399999999999999">
      <c r="A137" s="1324"/>
      <c r="B137" s="1021"/>
      <c r="C137" s="1021"/>
      <c r="D137" s="1022"/>
      <c r="E137" s="1023"/>
      <c r="F137" s="1021"/>
      <c r="G137" s="1021"/>
      <c r="H137" s="1022"/>
      <c r="I137" s="1023"/>
      <c r="J137" s="1021"/>
      <c r="K137" s="1021"/>
      <c r="L137" s="1021"/>
      <c r="M137" s="1023"/>
      <c r="N137" s="1021"/>
      <c r="O137" s="1021"/>
      <c r="P137" s="1022"/>
      <c r="R137" s="1220"/>
      <c r="S137" s="1217"/>
      <c r="T137" s="1217"/>
      <c r="U137" s="1190"/>
      <c r="V137" s="1190"/>
      <c r="W137" s="1190"/>
      <c r="X137" s="1191"/>
      <c r="Y137" s="1190"/>
      <c r="Z137" s="1190"/>
      <c r="AA137" s="1190"/>
      <c r="AB137" s="1200"/>
      <c r="AC137" s="1271"/>
      <c r="AD137" s="81"/>
    </row>
    <row r="138" spans="1:30" s="44" customFormat="1" ht="17.399999999999999">
      <c r="A138" s="1324"/>
      <c r="B138" s="1021"/>
      <c r="C138" s="1021"/>
      <c r="D138" s="1022"/>
      <c r="E138" s="1023"/>
      <c r="F138" s="1021"/>
      <c r="G138" s="1021"/>
      <c r="H138" s="1022"/>
      <c r="I138" s="1023"/>
      <c r="J138" s="1021"/>
      <c r="K138" s="1021"/>
      <c r="L138" s="1021"/>
      <c r="M138" s="1023"/>
      <c r="N138" s="1021"/>
      <c r="O138" s="1021"/>
      <c r="P138" s="1022"/>
      <c r="R138" s="1220"/>
      <c r="S138" s="1217"/>
      <c r="T138" s="1217"/>
      <c r="U138" s="1190"/>
      <c r="V138" s="1190"/>
      <c r="W138" s="1190"/>
      <c r="X138" s="1191"/>
      <c r="Y138" s="1190"/>
      <c r="Z138" s="1190"/>
      <c r="AA138" s="1190"/>
      <c r="AB138" s="1200"/>
      <c r="AC138" s="1271"/>
      <c r="AD138" s="81"/>
    </row>
    <row r="139" spans="1:30" s="44" customFormat="1" ht="17.399999999999999">
      <c r="A139" s="1324"/>
      <c r="B139" s="1021"/>
      <c r="C139" s="1021"/>
      <c r="D139" s="1022"/>
      <c r="E139" s="1023"/>
      <c r="F139" s="1021"/>
      <c r="G139" s="1021"/>
      <c r="H139" s="1022"/>
      <c r="I139" s="1023"/>
      <c r="J139" s="1021"/>
      <c r="K139" s="1021"/>
      <c r="L139" s="1021"/>
      <c r="M139" s="1023"/>
      <c r="N139" s="1021"/>
      <c r="O139" s="1021"/>
      <c r="P139" s="1022"/>
      <c r="R139" s="1220"/>
      <c r="S139" s="1217"/>
      <c r="T139" s="1217"/>
      <c r="U139" s="1190"/>
      <c r="V139" s="1190"/>
      <c r="W139" s="1190"/>
      <c r="X139" s="1191"/>
      <c r="Y139" s="1190"/>
      <c r="Z139" s="1190"/>
      <c r="AA139" s="1190"/>
      <c r="AB139" s="1200"/>
      <c r="AC139" s="1271"/>
      <c r="AD139" s="81"/>
    </row>
    <row r="140" spans="1:30" s="44" customFormat="1" ht="17.399999999999999">
      <c r="A140" s="1324"/>
      <c r="B140" s="1021"/>
      <c r="C140" s="1021"/>
      <c r="D140" s="1022"/>
      <c r="E140" s="1023"/>
      <c r="F140" s="1021"/>
      <c r="G140" s="1021"/>
      <c r="H140" s="1022"/>
      <c r="I140" s="1023"/>
      <c r="J140" s="1021"/>
      <c r="K140" s="1021"/>
      <c r="L140" s="1021"/>
      <c r="M140" s="1023"/>
      <c r="N140" s="1021"/>
      <c r="O140" s="1021"/>
      <c r="P140" s="1022"/>
      <c r="R140" s="1220"/>
      <c r="S140" s="1183"/>
      <c r="T140" s="1217"/>
      <c r="U140" s="1190"/>
      <c r="V140" s="1190"/>
      <c r="W140" s="1190"/>
      <c r="X140" s="1191"/>
      <c r="Y140" s="1190"/>
      <c r="Z140" s="1190"/>
      <c r="AA140" s="1190"/>
      <c r="AB140" s="1200"/>
      <c r="AC140" s="1271"/>
      <c r="AD140" s="81"/>
    </row>
    <row r="141" spans="1:30" s="44" customFormat="1" ht="17.399999999999999">
      <c r="A141" s="1324"/>
      <c r="B141" s="1021"/>
      <c r="C141" s="1021"/>
      <c r="D141" s="1022"/>
      <c r="E141" s="1023"/>
      <c r="F141" s="1021"/>
      <c r="G141" s="1021"/>
      <c r="H141" s="1022"/>
      <c r="I141" s="1023"/>
      <c r="J141" s="1021"/>
      <c r="K141" s="1021"/>
      <c r="L141" s="1021"/>
      <c r="M141" s="1023"/>
      <c r="N141" s="1021"/>
      <c r="O141" s="1021"/>
      <c r="P141" s="1022"/>
      <c r="R141" s="1220"/>
      <c r="S141" s="1217"/>
      <c r="T141" s="1217"/>
      <c r="U141" s="1190"/>
      <c r="V141" s="1190"/>
      <c r="W141" s="1190"/>
      <c r="X141" s="1191"/>
      <c r="Y141" s="1190"/>
      <c r="Z141" s="1190"/>
      <c r="AA141" s="1190"/>
      <c r="AB141" s="1200"/>
      <c r="AC141" s="1271"/>
      <c r="AD141" s="81"/>
    </row>
    <row r="142" spans="1:30" s="44" customFormat="1" ht="17.399999999999999">
      <c r="A142" s="1324"/>
      <c r="B142" s="1021"/>
      <c r="C142" s="1021"/>
      <c r="D142" s="1022"/>
      <c r="E142" s="1023"/>
      <c r="F142" s="1021"/>
      <c r="G142" s="1021"/>
      <c r="H142" s="1022"/>
      <c r="I142" s="1023"/>
      <c r="J142" s="1021"/>
      <c r="K142" s="1021"/>
      <c r="L142" s="1021"/>
      <c r="M142" s="1023"/>
      <c r="N142" s="1021"/>
      <c r="O142" s="1021"/>
      <c r="P142" s="1022"/>
      <c r="R142" s="1220"/>
      <c r="S142" s="1217"/>
      <c r="T142" s="1217"/>
      <c r="U142" s="1190"/>
      <c r="V142" s="1190"/>
      <c r="W142" s="1190"/>
      <c r="X142" s="1191"/>
      <c r="Y142" s="1190"/>
      <c r="Z142" s="1190"/>
      <c r="AA142" s="1190"/>
      <c r="AB142" s="1200"/>
      <c r="AC142" s="1271"/>
      <c r="AD142" s="81"/>
    </row>
    <row r="143" spans="1:30" s="44" customFormat="1" ht="17.399999999999999">
      <c r="A143" s="1324"/>
      <c r="B143" s="1021"/>
      <c r="C143" s="1021"/>
      <c r="D143" s="1022"/>
      <c r="E143" s="1023"/>
      <c r="F143" s="1021"/>
      <c r="G143" s="1021"/>
      <c r="H143" s="1022"/>
      <c r="I143" s="1023"/>
      <c r="J143" s="1021"/>
      <c r="K143" s="1021"/>
      <c r="L143" s="1021"/>
      <c r="M143" s="1023"/>
      <c r="N143" s="1021"/>
      <c r="O143" s="1021"/>
      <c r="P143" s="1022"/>
      <c r="R143" s="1220"/>
      <c r="S143" s="1217"/>
      <c r="T143" s="1217"/>
      <c r="U143" s="1190"/>
      <c r="V143" s="1190"/>
      <c r="W143" s="1190"/>
      <c r="X143" s="1191"/>
      <c r="Y143" s="1190"/>
      <c r="Z143" s="1190"/>
      <c r="AA143" s="1190"/>
      <c r="AB143" s="1200"/>
      <c r="AC143" s="1271"/>
      <c r="AD143" s="81"/>
    </row>
    <row r="144" spans="1:30" s="44" customFormat="1" ht="17.399999999999999">
      <c r="A144" s="1324"/>
      <c r="B144" s="1021"/>
      <c r="C144" s="1021"/>
      <c r="D144" s="1022"/>
      <c r="E144" s="1023"/>
      <c r="F144" s="1021"/>
      <c r="G144" s="1021"/>
      <c r="H144" s="1022"/>
      <c r="I144" s="1023"/>
      <c r="J144" s="1021"/>
      <c r="K144" s="1021"/>
      <c r="L144" s="1021"/>
      <c r="M144" s="1023"/>
      <c r="N144" s="1021"/>
      <c r="O144" s="1021"/>
      <c r="P144" s="1022"/>
      <c r="R144" s="1220"/>
      <c r="S144" s="1217"/>
      <c r="T144" s="1217"/>
      <c r="U144" s="1190"/>
      <c r="V144" s="1190"/>
      <c r="W144" s="1190"/>
      <c r="X144" s="1191"/>
      <c r="Y144" s="1190"/>
      <c r="Z144" s="1190"/>
      <c r="AA144" s="1190"/>
      <c r="AB144" s="1200"/>
      <c r="AC144" s="1271"/>
      <c r="AD144" s="81"/>
    </row>
    <row r="145" spans="1:30" s="44" customFormat="1" ht="17.399999999999999">
      <c r="A145" s="1324"/>
      <c r="B145" s="1021"/>
      <c r="C145" s="1021"/>
      <c r="D145" s="1022"/>
      <c r="E145" s="1023"/>
      <c r="F145" s="1021"/>
      <c r="G145" s="1021"/>
      <c r="H145" s="1022"/>
      <c r="I145" s="1023"/>
      <c r="J145" s="1021"/>
      <c r="K145" s="1021"/>
      <c r="L145" s="1021"/>
      <c r="M145" s="1023"/>
      <c r="N145" s="1021"/>
      <c r="O145" s="1021"/>
      <c r="P145" s="1022"/>
      <c r="R145" s="1220"/>
      <c r="S145" s="1217"/>
      <c r="T145" s="1217"/>
      <c r="U145" s="1190"/>
      <c r="V145" s="1190"/>
      <c r="W145" s="1190"/>
      <c r="X145" s="1191"/>
      <c r="Y145" s="1190"/>
      <c r="Z145" s="1190"/>
      <c r="AA145" s="1190"/>
      <c r="AB145" s="1200"/>
      <c r="AC145" s="1271"/>
      <c r="AD145" s="81"/>
    </row>
    <row r="146" spans="1:30" s="44" customFormat="1" ht="17.399999999999999">
      <c r="A146" s="1324"/>
      <c r="B146" s="1021"/>
      <c r="C146" s="1021"/>
      <c r="D146" s="1022"/>
      <c r="E146" s="1023"/>
      <c r="F146" s="1021"/>
      <c r="G146" s="1021"/>
      <c r="H146" s="1022"/>
      <c r="I146" s="1023"/>
      <c r="J146" s="1021"/>
      <c r="K146" s="1021"/>
      <c r="L146" s="1021"/>
      <c r="M146" s="1023"/>
      <c r="N146" s="1021"/>
      <c r="O146" s="1021"/>
      <c r="P146" s="1022"/>
      <c r="R146" s="1220"/>
      <c r="S146" s="1217"/>
      <c r="T146" s="1217"/>
      <c r="U146" s="1190"/>
      <c r="V146" s="1190"/>
      <c r="W146" s="1190"/>
      <c r="X146" s="1191"/>
      <c r="Y146" s="1190"/>
      <c r="Z146" s="1190"/>
      <c r="AA146" s="1190"/>
      <c r="AB146" s="1200"/>
      <c r="AC146" s="1271"/>
      <c r="AD146" s="81"/>
    </row>
    <row r="147" spans="1:30" s="44" customFormat="1" ht="17.399999999999999">
      <c r="A147" s="1324"/>
      <c r="B147" s="1021"/>
      <c r="C147" s="1021"/>
      <c r="D147" s="1022"/>
      <c r="E147" s="1023"/>
      <c r="F147" s="1021"/>
      <c r="G147" s="1021"/>
      <c r="H147" s="1022"/>
      <c r="I147" s="1023"/>
      <c r="J147" s="1021"/>
      <c r="K147" s="1021"/>
      <c r="L147" s="1021"/>
      <c r="M147" s="1023"/>
      <c r="N147" s="1021"/>
      <c r="O147" s="1021"/>
      <c r="P147" s="1022"/>
      <c r="R147" s="1220"/>
      <c r="S147" s="1217"/>
      <c r="T147" s="1217"/>
      <c r="U147" s="1190"/>
      <c r="V147" s="1190"/>
      <c r="W147" s="1190"/>
      <c r="X147" s="1191"/>
      <c r="Y147" s="1190"/>
      <c r="Z147" s="1190"/>
      <c r="AA147" s="1190"/>
      <c r="AB147" s="1200"/>
      <c r="AC147" s="1271"/>
      <c r="AD147" s="81"/>
    </row>
    <row r="148" spans="1:30" s="44" customFormat="1" ht="17.399999999999999">
      <c r="A148" s="1324"/>
      <c r="B148" s="1021"/>
      <c r="C148" s="1021"/>
      <c r="D148" s="1022"/>
      <c r="E148" s="1023"/>
      <c r="F148" s="1021"/>
      <c r="G148" s="1021"/>
      <c r="H148" s="1022"/>
      <c r="I148" s="1023"/>
      <c r="J148" s="1021"/>
      <c r="K148" s="1021"/>
      <c r="L148" s="1021"/>
      <c r="M148" s="1023"/>
      <c r="N148" s="1021"/>
      <c r="O148" s="1021"/>
      <c r="P148" s="1022"/>
      <c r="R148" s="1220"/>
      <c r="S148" s="1217"/>
      <c r="T148" s="1217"/>
      <c r="U148" s="1190"/>
      <c r="V148" s="1190"/>
      <c r="W148" s="1190"/>
      <c r="X148" s="1191"/>
      <c r="Y148" s="1190"/>
      <c r="Z148" s="1190"/>
      <c r="AA148" s="1190"/>
      <c r="AB148" s="1200"/>
      <c r="AC148" s="1271"/>
      <c r="AD148" s="81"/>
    </row>
    <row r="149" spans="1:30" s="44" customFormat="1" ht="17.399999999999999">
      <c r="A149" s="1324"/>
      <c r="B149" s="1021"/>
      <c r="C149" s="1021"/>
      <c r="D149" s="1022"/>
      <c r="E149" s="1023"/>
      <c r="F149" s="1021"/>
      <c r="G149" s="1021"/>
      <c r="H149" s="1022"/>
      <c r="I149" s="1023"/>
      <c r="J149" s="1021"/>
      <c r="K149" s="1021"/>
      <c r="L149" s="1021"/>
      <c r="M149" s="1023"/>
      <c r="N149" s="1021"/>
      <c r="O149" s="1021"/>
      <c r="P149" s="1022"/>
      <c r="R149" s="1220"/>
      <c r="S149" s="1217"/>
      <c r="T149" s="1183"/>
      <c r="U149" s="1190"/>
      <c r="V149" s="1190"/>
      <c r="W149" s="1190"/>
      <c r="X149" s="1191"/>
      <c r="Y149" s="1190"/>
      <c r="Z149" s="1190"/>
      <c r="AA149" s="1190"/>
      <c r="AB149" s="1200"/>
      <c r="AC149" s="1271"/>
      <c r="AD149" s="81"/>
    </row>
    <row r="150" spans="1:30" s="44" customFormat="1" ht="17.399999999999999">
      <c r="A150" s="1324"/>
      <c r="B150" s="1021"/>
      <c r="C150" s="1021"/>
      <c r="D150" s="1022"/>
      <c r="E150" s="1023"/>
      <c r="F150" s="1021"/>
      <c r="G150" s="1021"/>
      <c r="H150" s="1022"/>
      <c r="I150" s="1023"/>
      <c r="J150" s="1021"/>
      <c r="K150" s="1021"/>
      <c r="L150" s="1021"/>
      <c r="M150" s="1023"/>
      <c r="N150" s="1021"/>
      <c r="O150" s="1021"/>
      <c r="P150" s="1022"/>
      <c r="R150" s="1220"/>
      <c r="S150" s="1217"/>
      <c r="T150" s="1183"/>
      <c r="U150" s="1190"/>
      <c r="V150" s="1190"/>
      <c r="W150" s="1190"/>
      <c r="X150" s="1191"/>
      <c r="Y150" s="1190"/>
      <c r="Z150" s="1190"/>
      <c r="AA150" s="1190"/>
      <c r="AB150" s="1200"/>
      <c r="AC150" s="1271"/>
      <c r="AD150" s="81"/>
    </row>
    <row r="151" spans="1:30" s="44" customFormat="1" ht="17.399999999999999">
      <c r="A151" s="1324"/>
      <c r="B151" s="1021"/>
      <c r="C151" s="1021"/>
      <c r="D151" s="1022"/>
      <c r="E151" s="1023"/>
      <c r="F151" s="1021"/>
      <c r="G151" s="1021"/>
      <c r="H151" s="1022"/>
      <c r="I151" s="1023"/>
      <c r="J151" s="1021"/>
      <c r="K151" s="1021"/>
      <c r="L151" s="1021"/>
      <c r="M151" s="1023"/>
      <c r="N151" s="1021"/>
      <c r="O151" s="1021"/>
      <c r="P151" s="1022"/>
      <c r="R151" s="1220"/>
      <c r="S151" s="1217"/>
      <c r="T151" s="1183"/>
      <c r="U151" s="1190"/>
      <c r="V151" s="1190"/>
      <c r="W151" s="1190"/>
      <c r="X151" s="1191"/>
      <c r="Y151" s="1190"/>
      <c r="Z151" s="1190"/>
      <c r="AA151" s="1190"/>
      <c r="AB151" s="1200"/>
      <c r="AC151" s="1271"/>
      <c r="AD151" s="81"/>
    </row>
    <row r="152" spans="1:30" s="44" customFormat="1" ht="17.399999999999999">
      <c r="A152" s="1324"/>
      <c r="B152" s="1021"/>
      <c r="C152" s="1021"/>
      <c r="D152" s="1022"/>
      <c r="E152" s="1023"/>
      <c r="F152" s="1021"/>
      <c r="G152" s="1021"/>
      <c r="H152" s="1022"/>
      <c r="I152" s="1023"/>
      <c r="J152" s="1021"/>
      <c r="K152" s="1021"/>
      <c r="L152" s="1021"/>
      <c r="M152" s="1023"/>
      <c r="N152" s="1021"/>
      <c r="O152" s="1021"/>
      <c r="P152" s="1022"/>
      <c r="R152" s="1220"/>
      <c r="S152" s="1217"/>
      <c r="T152" s="1183"/>
      <c r="U152" s="1190"/>
      <c r="V152" s="1190"/>
      <c r="W152" s="1190"/>
      <c r="X152" s="1191"/>
      <c r="Y152" s="1190"/>
      <c r="Z152" s="1190"/>
      <c r="AA152" s="1190"/>
      <c r="AB152" s="1200"/>
      <c r="AC152" s="1271"/>
      <c r="AD152" s="81"/>
    </row>
    <row r="153" spans="1:30" s="44" customFormat="1" ht="17.399999999999999">
      <c r="A153" s="1324"/>
      <c r="B153" s="1021"/>
      <c r="C153" s="1021"/>
      <c r="D153" s="1022"/>
      <c r="E153" s="1023"/>
      <c r="F153" s="1021"/>
      <c r="G153" s="1021"/>
      <c r="H153" s="1022"/>
      <c r="I153" s="1023"/>
      <c r="J153" s="1021"/>
      <c r="K153" s="1021"/>
      <c r="L153" s="1021"/>
      <c r="M153" s="1023"/>
      <c r="N153" s="1021"/>
      <c r="O153" s="1021"/>
      <c r="P153" s="1022"/>
      <c r="R153" s="1220"/>
      <c r="S153" s="1217"/>
      <c r="T153" s="1217"/>
      <c r="U153" s="1190"/>
      <c r="V153" s="1190"/>
      <c r="W153" s="1190"/>
      <c r="X153" s="1191"/>
      <c r="Y153" s="1190"/>
      <c r="Z153" s="1190"/>
      <c r="AA153" s="1190"/>
      <c r="AB153" s="1200"/>
      <c r="AC153" s="1271"/>
      <c r="AD153" s="81"/>
    </row>
    <row r="154" spans="1:30" s="44" customFormat="1" ht="17.399999999999999">
      <c r="A154" s="1324"/>
      <c r="B154" s="1021"/>
      <c r="C154" s="1021"/>
      <c r="D154" s="1022"/>
      <c r="E154" s="1023"/>
      <c r="F154" s="1021"/>
      <c r="G154" s="1021"/>
      <c r="H154" s="1022"/>
      <c r="I154" s="1023"/>
      <c r="J154" s="1021"/>
      <c r="K154" s="1021"/>
      <c r="L154" s="1021"/>
      <c r="M154" s="1023"/>
      <c r="N154" s="1021"/>
      <c r="O154" s="1021"/>
      <c r="P154" s="1022"/>
      <c r="R154" s="1220"/>
      <c r="S154" s="1217"/>
      <c r="T154" s="1217"/>
      <c r="U154" s="1190"/>
      <c r="V154" s="1190"/>
      <c r="W154" s="1190"/>
      <c r="X154" s="1191"/>
      <c r="Y154" s="1190"/>
      <c r="Z154" s="1190"/>
      <c r="AA154" s="1190"/>
      <c r="AB154" s="1200"/>
      <c r="AC154" s="1271"/>
      <c r="AD154" s="81"/>
    </row>
    <row r="155" spans="1:30" s="44" customFormat="1" ht="17.399999999999999">
      <c r="A155" s="1324"/>
      <c r="B155" s="1021"/>
      <c r="C155" s="1021"/>
      <c r="D155" s="1022"/>
      <c r="E155" s="1023"/>
      <c r="F155" s="1021"/>
      <c r="G155" s="1021"/>
      <c r="H155" s="1022"/>
      <c r="I155" s="1023"/>
      <c r="J155" s="1021"/>
      <c r="K155" s="1021"/>
      <c r="L155" s="1021"/>
      <c r="M155" s="1023"/>
      <c r="N155" s="1021"/>
      <c r="O155" s="1021"/>
      <c r="P155" s="1022"/>
      <c r="R155" s="1220"/>
      <c r="S155" s="1217"/>
      <c r="T155" s="1217"/>
      <c r="U155" s="1190"/>
      <c r="V155" s="1190"/>
      <c r="W155" s="1190"/>
      <c r="X155" s="1191"/>
      <c r="Y155" s="1190"/>
      <c r="Z155" s="1190"/>
      <c r="AA155" s="1190"/>
      <c r="AB155" s="1200"/>
      <c r="AC155" s="1271"/>
      <c r="AD155" s="81"/>
    </row>
    <row r="156" spans="1:30" s="44" customFormat="1" ht="17.399999999999999">
      <c r="A156" s="1324"/>
      <c r="B156" s="1021"/>
      <c r="C156" s="1021"/>
      <c r="D156" s="1022"/>
      <c r="E156" s="1023"/>
      <c r="F156" s="1021"/>
      <c r="G156" s="1021"/>
      <c r="H156" s="1022"/>
      <c r="I156" s="1023"/>
      <c r="J156" s="1021"/>
      <c r="K156" s="1021"/>
      <c r="L156" s="1021"/>
      <c r="M156" s="1023"/>
      <c r="N156" s="1021"/>
      <c r="O156" s="1021"/>
      <c r="P156" s="1022"/>
      <c r="R156" s="1190"/>
      <c r="S156" s="1190"/>
      <c r="T156" s="1217"/>
      <c r="U156" s="1190"/>
      <c r="V156" s="1224"/>
      <c r="W156" s="1293"/>
      <c r="X156" s="1191"/>
      <c r="Y156" s="1190"/>
      <c r="Z156" s="1217"/>
      <c r="AA156" s="1217"/>
      <c r="AB156" s="1218"/>
      <c r="AC156" s="1217"/>
      <c r="AD156" s="1326"/>
    </row>
    <row r="157" spans="1:30" s="44" customFormat="1" ht="17.399999999999999">
      <c r="A157" s="1324"/>
      <c r="B157" s="1021"/>
      <c r="C157" s="1021"/>
      <c r="D157" s="1022"/>
      <c r="E157" s="1023"/>
      <c r="F157" s="1021"/>
      <c r="G157" s="1021"/>
      <c r="H157" s="1022"/>
      <c r="I157" s="1023"/>
      <c r="J157" s="1021"/>
      <c r="K157" s="1021"/>
      <c r="L157" s="1021"/>
      <c r="M157" s="1023"/>
      <c r="N157" s="1021"/>
      <c r="O157" s="1021"/>
      <c r="P157" s="1022"/>
      <c r="R157" s="1217"/>
      <c r="S157" s="1217"/>
      <c r="T157" s="1217"/>
      <c r="U157" s="1294"/>
      <c r="V157" s="1224"/>
      <c r="W157" s="1293"/>
      <c r="X157" s="1191"/>
      <c r="Y157" s="1294"/>
      <c r="Z157" s="1294"/>
      <c r="AA157" s="1294"/>
      <c r="AB157" s="1294"/>
      <c r="AC157" s="1217"/>
      <c r="AD157" s="1326"/>
    </row>
    <row r="158" spans="1:30" s="44" customFormat="1" ht="17.399999999999999">
      <c r="A158" s="1324"/>
      <c r="B158" s="1021"/>
      <c r="C158" s="1021"/>
      <c r="D158" s="1022"/>
      <c r="E158" s="1023"/>
      <c r="F158" s="1021"/>
      <c r="G158" s="1021"/>
      <c r="H158" s="1022"/>
      <c r="I158" s="1023"/>
      <c r="J158" s="1021"/>
      <c r="K158" s="1021"/>
      <c r="L158" s="1021"/>
      <c r="M158" s="1023"/>
      <c r="N158" s="1021"/>
      <c r="O158" s="1021"/>
      <c r="P158" s="1022"/>
      <c r="R158" s="1217"/>
      <c r="S158" s="1217"/>
      <c r="T158" s="1217"/>
      <c r="U158" s="1294"/>
      <c r="V158" s="1224"/>
      <c r="W158" s="1293"/>
      <c r="X158" s="1191"/>
      <c r="Y158" s="1294"/>
      <c r="Z158" s="1294"/>
      <c r="AA158" s="1294"/>
      <c r="AB158" s="1294"/>
      <c r="AC158" s="1270"/>
      <c r="AD158" s="1293"/>
    </row>
    <row r="159" spans="1:30" s="44" customFormat="1" ht="17.399999999999999">
      <c r="A159" s="1324"/>
      <c r="B159" s="1021"/>
      <c r="C159" s="1021"/>
      <c r="D159" s="1022"/>
      <c r="E159" s="1023"/>
      <c r="F159" s="1021"/>
      <c r="G159" s="1021"/>
      <c r="H159" s="1022"/>
      <c r="I159" s="1023"/>
      <c r="J159" s="1021"/>
      <c r="K159" s="1021"/>
      <c r="L159" s="1021"/>
      <c r="M159" s="1023"/>
      <c r="N159" s="1021"/>
      <c r="O159" s="1021"/>
      <c r="P159" s="1022"/>
      <c r="R159" s="1220"/>
      <c r="S159" s="1217"/>
      <c r="T159" s="1217"/>
      <c r="U159" s="1294"/>
      <c r="V159" s="1294"/>
      <c r="W159" s="1294"/>
      <c r="X159" s="1295"/>
      <c r="Y159" s="1294"/>
      <c r="Z159" s="1294"/>
      <c r="AA159" s="1294"/>
      <c r="AB159" s="1294"/>
      <c r="AC159" s="1270"/>
      <c r="AD159" s="1293"/>
    </row>
    <row r="160" spans="1:30" s="44" customFormat="1" ht="17.399999999999999">
      <c r="A160" s="1324"/>
      <c r="B160" s="1021"/>
      <c r="C160" s="1021"/>
      <c r="D160" s="1022"/>
      <c r="E160" s="1023"/>
      <c r="F160" s="1021"/>
      <c r="G160" s="1021"/>
      <c r="H160" s="1022"/>
      <c r="I160" s="1023"/>
      <c r="J160" s="1021"/>
      <c r="K160" s="1021"/>
      <c r="L160" s="1021"/>
      <c r="M160" s="1023"/>
      <c r="N160" s="1021"/>
      <c r="O160" s="1021"/>
      <c r="P160" s="1022"/>
      <c r="R160" s="1220"/>
      <c r="S160" s="1217"/>
      <c r="T160" s="1217"/>
      <c r="U160" s="1294"/>
      <c r="V160" s="1294"/>
      <c r="W160" s="1294"/>
      <c r="X160" s="1295"/>
      <c r="Y160" s="1294"/>
      <c r="Z160" s="1293"/>
      <c r="AA160" s="1293"/>
      <c r="AB160" s="1352"/>
      <c r="AC160" s="1270"/>
      <c r="AD160" s="1293"/>
    </row>
    <row r="161" spans="1:30" s="44" customFormat="1" ht="17.399999999999999">
      <c r="A161" s="1324"/>
      <c r="B161" s="1021"/>
      <c r="C161" s="1021"/>
      <c r="D161" s="1022"/>
      <c r="E161" s="1023"/>
      <c r="F161" s="1021"/>
      <c r="G161" s="1021"/>
      <c r="H161" s="1022"/>
      <c r="I161" s="1023"/>
      <c r="J161" s="1021"/>
      <c r="K161" s="1021"/>
      <c r="L161" s="1021"/>
      <c r="M161" s="1023"/>
      <c r="N161" s="1021"/>
      <c r="O161" s="1021"/>
      <c r="P161" s="1022"/>
      <c r="R161" s="1220"/>
      <c r="S161" s="1217"/>
      <c r="T161" s="1217"/>
      <c r="U161" s="1294"/>
      <c r="V161" s="1294"/>
      <c r="W161" s="1293"/>
      <c r="X161" s="1191"/>
      <c r="Y161" s="1294"/>
      <c r="Z161" s="1190"/>
      <c r="AA161" s="1190"/>
      <c r="AB161" s="1200"/>
      <c r="AC161" s="1271"/>
      <c r="AD161" s="81"/>
    </row>
    <row r="162" spans="1:30" s="44" customFormat="1" ht="17.399999999999999">
      <c r="A162" s="1324"/>
      <c r="B162" s="1021"/>
      <c r="C162" s="1021"/>
      <c r="D162" s="1022"/>
      <c r="E162" s="1023"/>
      <c r="F162" s="1021"/>
      <c r="G162" s="1021"/>
      <c r="H162" s="1022"/>
      <c r="I162" s="1023"/>
      <c r="J162" s="1021"/>
      <c r="K162" s="1021"/>
      <c r="L162" s="1021"/>
      <c r="M162" s="1023"/>
      <c r="N162" s="1021"/>
      <c r="O162" s="1021"/>
      <c r="P162" s="1022"/>
      <c r="R162" s="1220"/>
      <c r="S162" s="1217"/>
      <c r="T162" s="1217"/>
      <c r="U162" s="1294"/>
      <c r="V162" s="1294"/>
      <c r="W162" s="1293"/>
      <c r="X162" s="1191"/>
      <c r="Y162" s="1294"/>
      <c r="Z162" s="1190"/>
      <c r="AA162" s="1190"/>
      <c r="AB162" s="1200"/>
      <c r="AC162" s="1271"/>
      <c r="AD162" s="81"/>
    </row>
    <row r="163" spans="1:30" s="44" customFormat="1" ht="17.399999999999999">
      <c r="A163" s="1324"/>
      <c r="B163" s="1021"/>
      <c r="C163" s="1021"/>
      <c r="D163" s="1022"/>
      <c r="E163" s="1023"/>
      <c r="F163" s="1021"/>
      <c r="G163" s="1021"/>
      <c r="H163" s="1022"/>
      <c r="I163" s="1023"/>
      <c r="J163" s="1021"/>
      <c r="K163" s="1021"/>
      <c r="L163" s="1021"/>
      <c r="M163" s="1023"/>
      <c r="N163" s="1021"/>
      <c r="O163" s="1021"/>
      <c r="P163" s="1022"/>
      <c r="R163" s="1220"/>
      <c r="S163" s="1217"/>
      <c r="T163" s="1217"/>
      <c r="U163" s="1294"/>
      <c r="V163" s="1217"/>
      <c r="W163" s="1294"/>
      <c r="X163" s="1191"/>
      <c r="Y163" s="1294"/>
      <c r="Z163" s="1190"/>
      <c r="AA163" s="1190"/>
      <c r="AB163" s="1200"/>
      <c r="AC163" s="1271"/>
      <c r="AD163" s="81"/>
    </row>
    <row r="164" spans="1:30" s="44" customFormat="1" ht="17.399999999999999">
      <c r="A164" s="1324"/>
      <c r="B164" s="1021"/>
      <c r="C164" s="1021"/>
      <c r="D164" s="1022"/>
      <c r="E164" s="1023"/>
      <c r="F164" s="1021"/>
      <c r="G164" s="1021"/>
      <c r="H164" s="1022"/>
      <c r="I164" s="1023"/>
      <c r="J164" s="1021"/>
      <c r="K164" s="1021"/>
      <c r="L164" s="1021"/>
      <c r="M164" s="1023"/>
      <c r="N164" s="1021"/>
      <c r="O164" s="1021"/>
      <c r="P164" s="1022"/>
      <c r="R164" s="1220"/>
      <c r="S164" s="1217"/>
      <c r="T164" s="1217"/>
      <c r="U164" s="1294"/>
      <c r="V164" s="1217"/>
      <c r="W164" s="1294"/>
      <c r="X164" s="1191"/>
      <c r="Y164" s="1294"/>
      <c r="Z164" s="1190"/>
      <c r="AA164" s="1190"/>
      <c r="AB164" s="1200"/>
      <c r="AC164" s="1271"/>
      <c r="AD164" s="81"/>
    </row>
    <row r="165" spans="1:30" s="44" customFormat="1" ht="15.6">
      <c r="R165" s="1220"/>
      <c r="S165" s="1217"/>
      <c r="T165" s="1217"/>
      <c r="U165" s="1294"/>
      <c r="V165" s="1217"/>
      <c r="W165" s="1294"/>
      <c r="X165" s="1191"/>
      <c r="Y165" s="1294"/>
      <c r="Z165" s="1190"/>
      <c r="AA165" s="1190"/>
      <c r="AB165" s="1200"/>
      <c r="AC165" s="1271"/>
      <c r="AD165" s="81"/>
    </row>
    <row r="166" spans="1:30" s="44" customFormat="1" ht="15.6">
      <c r="R166" s="1220"/>
      <c r="S166" s="1217"/>
      <c r="T166" s="1217"/>
      <c r="U166" s="1294"/>
      <c r="V166" s="1217"/>
      <c r="W166" s="1294"/>
      <c r="X166" s="1191"/>
      <c r="Y166" s="1294"/>
      <c r="Z166" s="1190"/>
      <c r="AA166" s="1190"/>
      <c r="AB166" s="1200"/>
      <c r="AC166" s="1271"/>
      <c r="AD166" s="81"/>
    </row>
    <row r="167" spans="1:30" s="44" customFormat="1" ht="15.6">
      <c r="R167" s="1220"/>
      <c r="S167" s="1217"/>
      <c r="T167" s="1217"/>
      <c r="U167" s="1294"/>
      <c r="V167" s="1217"/>
      <c r="W167" s="1294"/>
      <c r="X167" s="1191"/>
      <c r="Y167" s="1294"/>
      <c r="Z167" s="1190"/>
      <c r="AA167" s="1190"/>
      <c r="AB167" s="1200"/>
      <c r="AC167" s="1271"/>
      <c r="AD167" s="81"/>
    </row>
    <row r="168" spans="1:30" s="44" customFormat="1" ht="15.6">
      <c r="R168" s="1220"/>
      <c r="S168" s="1217"/>
      <c r="T168" s="1217"/>
      <c r="U168" s="1294"/>
      <c r="V168" s="1217"/>
      <c r="W168" s="1294"/>
      <c r="X168" s="1191"/>
      <c r="Y168" s="1294"/>
      <c r="Z168" s="1190"/>
      <c r="AA168" s="1190"/>
      <c r="AB168" s="1200"/>
      <c r="AC168" s="1271"/>
      <c r="AD168" s="81"/>
    </row>
    <row r="169" spans="1:30" s="44" customFormat="1">
      <c r="R169" s="1220"/>
      <c r="S169" s="1217"/>
      <c r="T169" s="1217"/>
      <c r="U169" s="1294"/>
      <c r="V169" s="1217"/>
      <c r="W169" s="1294"/>
      <c r="X169" s="1191"/>
      <c r="Y169" s="1294"/>
      <c r="Z169" s="1294"/>
      <c r="AA169" s="1294"/>
      <c r="AB169" s="1294"/>
      <c r="AC169" s="1271"/>
      <c r="AD169" s="81"/>
    </row>
    <row r="170" spans="1:30" s="44" customFormat="1">
      <c r="R170" s="1220"/>
      <c r="S170" s="1217"/>
      <c r="T170" s="1217"/>
      <c r="U170" s="1294"/>
      <c r="V170" s="1217"/>
      <c r="W170" s="1294"/>
      <c r="X170" s="1191"/>
      <c r="Y170" s="1294"/>
      <c r="Z170" s="1294"/>
      <c r="AA170" s="1294"/>
      <c r="AB170" s="1294"/>
      <c r="AC170" s="1271"/>
      <c r="AD170" s="81"/>
    </row>
    <row r="171" spans="1:30" s="44" customFormat="1" ht="15.6">
      <c r="R171" s="1220"/>
      <c r="S171" s="1217"/>
      <c r="T171" s="1217"/>
      <c r="U171" s="1294"/>
      <c r="V171" s="1217"/>
      <c r="W171" s="1294"/>
      <c r="X171" s="1191"/>
      <c r="Y171" s="1294"/>
      <c r="Z171" s="1190"/>
      <c r="AA171" s="1190"/>
      <c r="AB171" s="1200"/>
      <c r="AC171" s="1271"/>
      <c r="AD171" s="81"/>
    </row>
    <row r="172" spans="1:30" s="44" customFormat="1" ht="15.6">
      <c r="R172" s="1220"/>
      <c r="S172" s="1217"/>
      <c r="T172" s="1217"/>
      <c r="U172" s="1294"/>
      <c r="V172" s="1217"/>
      <c r="W172" s="1293"/>
      <c r="X172" s="1191"/>
      <c r="Y172" s="1294"/>
      <c r="Z172" s="1190"/>
      <c r="AA172" s="1190"/>
      <c r="AB172" s="1200"/>
      <c r="AC172" s="1271"/>
      <c r="AD172" s="81"/>
    </row>
    <row r="173" spans="1:30" s="44" customFormat="1">
      <c r="R173" s="1220"/>
      <c r="S173" s="1217"/>
      <c r="T173" s="1217"/>
      <c r="U173" s="1294"/>
      <c r="V173" s="1217"/>
      <c r="W173" s="1293"/>
      <c r="X173" s="1191"/>
      <c r="Y173" s="1294"/>
      <c r="Z173" s="1294"/>
      <c r="AA173" s="1294"/>
      <c r="AB173" s="1294"/>
      <c r="AC173" s="1271"/>
      <c r="AD173" s="81"/>
    </row>
    <row r="174" spans="1:30" s="44" customFormat="1" ht="15.6">
      <c r="R174" s="1220"/>
      <c r="S174" s="1217"/>
      <c r="T174" s="1217"/>
      <c r="U174" s="1294"/>
      <c r="V174" s="1217"/>
      <c r="W174" s="1293"/>
      <c r="X174" s="1191"/>
      <c r="Y174" s="1294"/>
      <c r="Z174" s="1190"/>
      <c r="AA174" s="1190"/>
      <c r="AB174" s="1200"/>
      <c r="AC174" s="1271"/>
      <c r="AD174" s="81"/>
    </row>
    <row r="175" spans="1:30" s="44" customFormat="1">
      <c r="R175" s="1220"/>
      <c r="S175" s="1217"/>
      <c r="T175" s="1217"/>
      <c r="U175" s="1294"/>
      <c r="V175" s="1217"/>
      <c r="W175" s="1293"/>
      <c r="X175" s="1191"/>
      <c r="Y175" s="1294"/>
      <c r="Z175" s="1294"/>
      <c r="AA175" s="1294"/>
      <c r="AB175" s="1294"/>
      <c r="AC175" s="1271"/>
      <c r="AD175" s="81"/>
    </row>
    <row r="176" spans="1:30" s="44" customFormat="1">
      <c r="R176" s="1220"/>
      <c r="S176" s="1217"/>
      <c r="T176" s="1217"/>
      <c r="U176" s="1294"/>
      <c r="V176" s="1217"/>
      <c r="W176" s="1293"/>
      <c r="X176" s="1191"/>
      <c r="Y176" s="1294"/>
      <c r="Z176" s="1294"/>
      <c r="AA176" s="1294"/>
      <c r="AB176" s="1294"/>
      <c r="AC176" s="1271"/>
      <c r="AD176" s="81"/>
    </row>
    <row r="177" spans="18:30" s="44" customFormat="1">
      <c r="R177" s="1220"/>
      <c r="S177" s="1217"/>
      <c r="T177" s="1217"/>
      <c r="U177" s="1294"/>
      <c r="V177" s="1217"/>
      <c r="W177" s="1293"/>
      <c r="X177" s="1191"/>
      <c r="Y177" s="1294"/>
      <c r="Z177" s="1294"/>
      <c r="AA177" s="1294"/>
      <c r="AB177" s="1294"/>
      <c r="AC177" s="1271"/>
      <c r="AD177" s="81"/>
    </row>
    <row r="178" spans="18:30" s="44" customFormat="1">
      <c r="R178" s="1220"/>
      <c r="S178" s="1217"/>
      <c r="T178" s="1217"/>
      <c r="U178" s="1294"/>
      <c r="V178" s="1217"/>
      <c r="W178" s="1293"/>
      <c r="X178" s="1191"/>
      <c r="Y178" s="1294"/>
      <c r="Z178" s="1294"/>
      <c r="AA178" s="1294"/>
      <c r="AB178" s="1294"/>
      <c r="AC178" s="1271"/>
      <c r="AD178" s="81"/>
    </row>
    <row r="179" spans="18:30" s="44" customFormat="1">
      <c r="R179" s="1220"/>
      <c r="S179" s="1217"/>
      <c r="T179" s="1217"/>
      <c r="U179" s="1294"/>
      <c r="V179" s="1217"/>
      <c r="W179" s="1293"/>
      <c r="X179" s="1191"/>
      <c r="Y179" s="1294"/>
      <c r="Z179" s="1294"/>
      <c r="AA179" s="1294"/>
      <c r="AB179" s="1294"/>
      <c r="AC179" s="1271"/>
      <c r="AD179" s="81"/>
    </row>
    <row r="180" spans="18:30" s="44" customFormat="1" ht="15.6">
      <c r="R180" s="1220"/>
      <c r="S180" s="1217"/>
      <c r="T180" s="1217"/>
      <c r="U180" s="1217"/>
      <c r="V180" s="1217"/>
      <c r="W180" s="1293"/>
      <c r="X180" s="1296"/>
      <c r="Y180" s="1294"/>
      <c r="Z180" s="1294"/>
      <c r="AA180" s="1294"/>
      <c r="AB180" s="1099"/>
      <c r="AC180" s="1217"/>
      <c r="AD180" s="1326"/>
    </row>
    <row r="181" spans="18:30" s="44" customFormat="1">
      <c r="R181" s="1189"/>
      <c r="S181" s="1190"/>
      <c r="T181" s="1217"/>
      <c r="U181" s="1190"/>
      <c r="V181" s="1217"/>
      <c r="W181" s="1293"/>
      <c r="X181" s="1325"/>
      <c r="Y181" s="1294"/>
      <c r="Z181" s="1190"/>
      <c r="AA181" s="1190"/>
      <c r="AB181" s="1190"/>
      <c r="AC181" s="1217"/>
      <c r="AD181" s="1326"/>
    </row>
    <row r="182" spans="18:30" s="44" customFormat="1">
      <c r="R182" s="1220"/>
      <c r="S182" s="1217"/>
      <c r="T182" s="1217"/>
      <c r="U182" s="1190"/>
      <c r="V182" s="1190"/>
      <c r="W182" s="1190"/>
      <c r="X182" s="1325"/>
      <c r="Y182" s="1190"/>
      <c r="Z182" s="1190"/>
      <c r="AA182" s="1190"/>
      <c r="AB182" s="1190"/>
      <c r="AC182" s="1217"/>
      <c r="AD182" s="1326"/>
    </row>
    <row r="183" spans="18:30" s="44" customFormat="1">
      <c r="R183" s="1220"/>
      <c r="S183" s="1217"/>
      <c r="T183" s="1217"/>
      <c r="U183" s="1190"/>
      <c r="V183" s="1190"/>
      <c r="W183" s="1293"/>
      <c r="X183" s="1325"/>
      <c r="Y183" s="1294"/>
      <c r="Z183" s="1190"/>
      <c r="AA183" s="1190"/>
      <c r="AB183" s="1190"/>
      <c r="AC183" s="1217"/>
      <c r="AD183" s="1326"/>
    </row>
    <row r="184" spans="18:30" s="44" customFormat="1">
      <c r="R184" s="1190"/>
      <c r="S184" s="1190"/>
      <c r="T184" s="1217"/>
      <c r="U184" s="1293"/>
      <c r="V184" s="1190"/>
      <c r="W184" s="1293"/>
      <c r="X184" s="1191"/>
      <c r="Y184" s="1294"/>
      <c r="Z184" s="1190"/>
      <c r="AA184" s="1190"/>
      <c r="AB184" s="1190"/>
      <c r="AC184" s="1217"/>
      <c r="AD184" s="1326"/>
    </row>
    <row r="185" spans="18:30" s="44" customFormat="1">
      <c r="R185" s="1190"/>
      <c r="S185" s="1190"/>
      <c r="T185" s="1217"/>
      <c r="U185" s="1293"/>
      <c r="V185" s="1190"/>
      <c r="W185" s="1293"/>
      <c r="X185" s="1191"/>
      <c r="Y185" s="1294"/>
      <c r="Z185" s="1190"/>
      <c r="AA185" s="1190"/>
      <c r="AB185" s="1190"/>
      <c r="AC185" s="1217"/>
      <c r="AD185" s="1326"/>
    </row>
    <row r="186" spans="18:30" s="44" customFormat="1">
      <c r="R186" s="1190"/>
      <c r="S186" s="1293"/>
      <c r="T186" s="1217"/>
      <c r="U186" s="1190"/>
      <c r="V186" s="1190"/>
      <c r="W186" s="1293"/>
      <c r="X186" s="1191"/>
      <c r="Y186" s="1294"/>
      <c r="Z186" s="1190"/>
      <c r="AA186" s="1190"/>
      <c r="AB186" s="1190"/>
      <c r="AC186" s="1217"/>
      <c r="AD186" s="1326"/>
    </row>
    <row r="187" spans="18:30" s="44" customFormat="1">
      <c r="R187" s="1190"/>
      <c r="S187" s="1190"/>
      <c r="T187" s="1217"/>
      <c r="U187" s="1293"/>
      <c r="V187" s="1190"/>
      <c r="W187" s="1293"/>
      <c r="X187" s="1191"/>
      <c r="Y187" s="1294"/>
      <c r="Z187" s="1190"/>
      <c r="AA187" s="1190"/>
      <c r="AB187" s="1190"/>
      <c r="AC187" s="1217"/>
      <c r="AD187" s="1326"/>
    </row>
    <row r="188" spans="18:30" s="44" customFormat="1">
      <c r="R188" s="1189"/>
      <c r="S188" s="1224"/>
      <c r="T188" s="1217"/>
      <c r="U188" s="1224"/>
      <c r="V188" s="1190"/>
      <c r="W188" s="1293"/>
      <c r="X188" s="1225"/>
      <c r="Y188" s="1294"/>
      <c r="Z188" s="1190"/>
      <c r="AA188" s="1190"/>
      <c r="AB188" s="1190"/>
      <c r="AC188" s="1217"/>
      <c r="AD188" s="1326"/>
    </row>
    <row r="189" spans="18:30" s="44" customFormat="1" ht="15.6">
      <c r="R189" s="1189"/>
      <c r="S189" s="1359"/>
      <c r="T189" s="1217"/>
      <c r="U189" s="1224"/>
      <c r="V189" s="1217"/>
      <c r="W189" s="1224"/>
      <c r="X189" s="1225"/>
      <c r="Y189" s="1190"/>
      <c r="Z189" s="1190"/>
      <c r="AA189" s="1190"/>
      <c r="AB189" s="1241"/>
      <c r="AC189" s="1270"/>
      <c r="AD189" s="81"/>
    </row>
    <row r="190" spans="18:30" s="44" customFormat="1" ht="15.6">
      <c r="R190" s="1190"/>
      <c r="S190" s="1190"/>
      <c r="T190" s="1293"/>
      <c r="U190" s="1293"/>
      <c r="V190" s="1190"/>
      <c r="W190" s="1293"/>
      <c r="X190" s="1191"/>
      <c r="Y190" s="1190"/>
      <c r="Z190" s="1190"/>
      <c r="AA190" s="1190"/>
      <c r="AB190" s="1241"/>
      <c r="AC190" s="1217"/>
      <c r="AD190" s="1326"/>
    </row>
    <row r="191" spans="18:30" s="44" customFormat="1" ht="15.6">
      <c r="R191" s="1189"/>
      <c r="S191" s="1190"/>
      <c r="T191" s="1293"/>
      <c r="U191" s="1293"/>
      <c r="V191" s="1190"/>
      <c r="W191" s="1293"/>
      <c r="X191" s="1191"/>
      <c r="Y191" s="1190"/>
      <c r="Z191" s="1190"/>
      <c r="AA191" s="1190"/>
      <c r="AB191" s="1241"/>
      <c r="AC191" s="1271"/>
      <c r="AD191" s="81"/>
    </row>
    <row r="192" spans="18:30" s="44" customFormat="1" ht="15.6">
      <c r="R192" s="1339"/>
      <c r="S192" s="1339"/>
      <c r="T192" s="1190"/>
      <c r="U192" s="1293"/>
      <c r="V192" s="1190"/>
      <c r="W192" s="1293"/>
      <c r="X192" s="1191"/>
      <c r="Y192" s="1190"/>
      <c r="Z192" s="1190"/>
      <c r="AA192" s="1190"/>
      <c r="AB192" s="1110"/>
      <c r="AC192" s="1271"/>
      <c r="AD192" s="81"/>
    </row>
    <row r="193" spans="18:30" s="44" customFormat="1" ht="15.6">
      <c r="R193" s="1190"/>
      <c r="S193" s="1190"/>
      <c r="T193" s="1190"/>
      <c r="U193" s="1190"/>
      <c r="V193" s="1190"/>
      <c r="W193" s="1293"/>
      <c r="X193" s="1191"/>
      <c r="Y193" s="1190"/>
      <c r="Z193" s="1190"/>
      <c r="AA193" s="1190"/>
      <c r="AB193" s="1241"/>
      <c r="AC193" s="1271"/>
      <c r="AD193" s="81"/>
    </row>
    <row r="194" spans="18:30" s="44" customFormat="1" ht="15.6">
      <c r="R194" s="1189"/>
      <c r="S194" s="1190"/>
      <c r="T194" s="1190"/>
      <c r="U194" s="1190"/>
      <c r="V194" s="1190"/>
      <c r="W194" s="1293"/>
      <c r="X194" s="1191"/>
      <c r="Y194" s="1190"/>
      <c r="Z194" s="1190"/>
      <c r="AA194" s="1190"/>
      <c r="AB194" s="1241"/>
      <c r="AC194" s="1271"/>
      <c r="AD194" s="81"/>
    </row>
    <row r="195" spans="18:30" s="44" customFormat="1" ht="15.6">
      <c r="R195" s="1353"/>
      <c r="S195" s="1339"/>
      <c r="T195" s="1190"/>
      <c r="U195" s="1190"/>
      <c r="V195" s="1190"/>
      <c r="W195" s="1293"/>
      <c r="X195" s="1191"/>
      <c r="Y195" s="1190"/>
      <c r="Z195" s="1190"/>
      <c r="AA195" s="1190"/>
      <c r="AB195" s="1241"/>
      <c r="AC195" s="1217"/>
      <c r="AD195" s="81"/>
    </row>
    <row r="196" spans="18:30" s="44" customFormat="1" ht="15.6">
      <c r="R196" s="1190"/>
      <c r="S196" s="1224"/>
      <c r="T196" s="1190"/>
      <c r="U196" s="1224"/>
      <c r="V196" s="1224"/>
      <c r="W196" s="1293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6">
      <c r="R197" s="1189"/>
      <c r="S197" s="1224"/>
      <c r="T197" s="1294"/>
      <c r="U197" s="1224"/>
      <c r="V197" s="1224"/>
      <c r="W197" s="1293"/>
      <c r="X197" s="1225"/>
      <c r="Y197" s="1190"/>
      <c r="Z197" s="1190"/>
      <c r="AA197" s="1190"/>
      <c r="AB197" s="1241"/>
      <c r="AC197" s="1271"/>
      <c r="AD197" s="81"/>
    </row>
    <row r="198" spans="18:30" s="44" customFormat="1" ht="15.6">
      <c r="R198" s="1189"/>
      <c r="S198" s="1224"/>
      <c r="T198" s="1294"/>
      <c r="U198" s="1224"/>
      <c r="V198" s="1224"/>
      <c r="W198" s="1293"/>
      <c r="X198" s="1225"/>
      <c r="Y198" s="1190"/>
      <c r="Z198" s="1190"/>
      <c r="AA198" s="1190"/>
      <c r="AB198" s="1241"/>
      <c r="AC198" s="1271"/>
      <c r="AD198" s="81"/>
    </row>
    <row r="199" spans="18:30" s="44" customFormat="1" ht="15.6">
      <c r="R199" s="1189"/>
      <c r="S199" s="1224"/>
      <c r="T199" s="1279"/>
      <c r="U199" s="1224"/>
      <c r="V199" s="1224"/>
      <c r="W199" s="1293"/>
      <c r="X199" s="1225"/>
      <c r="Y199" s="1190"/>
      <c r="Z199" s="1190"/>
      <c r="AA199" s="1190"/>
      <c r="AB199" s="1241"/>
      <c r="AC199" s="1271"/>
      <c r="AD199" s="81"/>
    </row>
    <row r="200" spans="18:30" s="44" customFormat="1" ht="15.6">
      <c r="R200" s="1190"/>
      <c r="S200" s="1190"/>
      <c r="T200" s="1217"/>
      <c r="U200" s="1190"/>
      <c r="V200" s="1224"/>
      <c r="W200" s="1293"/>
      <c r="X200" s="1191"/>
      <c r="Y200" s="1190"/>
      <c r="Z200" s="1217"/>
      <c r="AA200" s="1217"/>
      <c r="AB200" s="1218"/>
      <c r="AC200" s="1190"/>
      <c r="AD200" s="1329"/>
    </row>
    <row r="201" spans="18:30" s="44" customFormat="1">
      <c r="R201" s="1217"/>
      <c r="S201" s="1217"/>
      <c r="T201" s="1294"/>
      <c r="U201" s="1294"/>
      <c r="V201" s="1224"/>
      <c r="W201" s="1293"/>
      <c r="X201" s="1191"/>
      <c r="Y201" s="1294"/>
      <c r="Z201" s="1294"/>
      <c r="AA201" s="1294"/>
      <c r="AB201" s="1294"/>
      <c r="AC201" s="1217"/>
      <c r="AD201" s="1326"/>
    </row>
    <row r="202" spans="18:30" s="44" customFormat="1">
      <c r="R202" s="1217"/>
      <c r="S202" s="1217"/>
      <c r="T202" s="1294"/>
      <c r="U202" s="1294"/>
      <c r="V202" s="1224"/>
      <c r="W202" s="1293"/>
      <c r="X202" s="1191"/>
      <c r="Y202" s="1294"/>
      <c r="Z202" s="1294"/>
      <c r="AA202" s="1294"/>
      <c r="AB202" s="1294"/>
      <c r="AC202" s="1217"/>
      <c r="AD202" s="1326"/>
    </row>
    <row r="203" spans="18:30" s="44" customFormat="1">
      <c r="R203" s="1217"/>
      <c r="S203" s="1217"/>
      <c r="T203" s="1294"/>
      <c r="U203" s="1190"/>
      <c r="V203" s="1294"/>
      <c r="W203" s="1294"/>
      <c r="X203" s="1191"/>
      <c r="Y203" s="1294"/>
      <c r="Z203" s="1190"/>
      <c r="AA203" s="1190"/>
      <c r="AB203" s="1294"/>
      <c r="AC203" s="1217"/>
      <c r="AD203" s="1326"/>
    </row>
    <row r="204" spans="18:30" s="44" customFormat="1">
      <c r="R204" s="1217"/>
      <c r="S204" s="1217"/>
      <c r="T204" s="1294"/>
      <c r="U204" s="1190"/>
      <c r="V204" s="1294"/>
      <c r="W204" s="1294"/>
      <c r="X204" s="1191"/>
      <c r="Y204" s="1294"/>
      <c r="Z204" s="1190"/>
      <c r="AA204" s="1190"/>
      <c r="AB204" s="1294"/>
      <c r="AC204" s="1217"/>
      <c r="AD204" s="1326"/>
    </row>
    <row r="205" spans="18:30" s="44" customFormat="1">
      <c r="R205" s="1217"/>
      <c r="S205" s="1217"/>
      <c r="T205" s="1217"/>
      <c r="U205" s="1190"/>
      <c r="V205" s="1294"/>
      <c r="W205" s="1294"/>
      <c r="X205" s="1191"/>
      <c r="Y205" s="1294"/>
      <c r="Z205" s="1190"/>
      <c r="AA205" s="1190"/>
      <c r="AB205" s="1294"/>
      <c r="AC205" s="1217"/>
      <c r="AD205" s="1326"/>
    </row>
    <row r="206" spans="18:30" s="44" customFormat="1" ht="15.6">
      <c r="R206" s="1217"/>
      <c r="S206" s="1217"/>
      <c r="T206" s="1217"/>
      <c r="U206" s="1190"/>
      <c r="V206" s="1294"/>
      <c r="W206" s="1294"/>
      <c r="X206" s="1191"/>
      <c r="Y206" s="1294"/>
      <c r="Z206" s="1190"/>
      <c r="AA206" s="1190"/>
      <c r="AB206" s="1200"/>
      <c r="AC206" s="1217"/>
      <c r="AD206" s="1326"/>
    </row>
    <row r="207" spans="18:30" s="44" customFormat="1" ht="15.6">
      <c r="R207" s="1217"/>
      <c r="S207" s="1217"/>
      <c r="T207" s="1217"/>
      <c r="U207" s="1190"/>
      <c r="V207" s="1294"/>
      <c r="W207" s="1294"/>
      <c r="X207" s="1191"/>
      <c r="Y207" s="1190"/>
      <c r="Z207" s="1190"/>
      <c r="AA207" s="1190"/>
      <c r="AB207" s="1200"/>
      <c r="AC207" s="1217"/>
      <c r="AD207" s="1326"/>
    </row>
    <row r="208" spans="18:30" s="44" customFormat="1" ht="15.6">
      <c r="R208" s="1217"/>
      <c r="S208" s="1217"/>
      <c r="T208" s="1294"/>
      <c r="U208" s="1190"/>
      <c r="V208" s="1190"/>
      <c r="W208" s="1190"/>
      <c r="X208" s="1191"/>
      <c r="Y208" s="1190"/>
      <c r="Z208" s="1190"/>
      <c r="AA208" s="1190"/>
      <c r="AB208" s="1200"/>
      <c r="AC208" s="1217"/>
      <c r="AD208" s="1326"/>
    </row>
    <row r="209" spans="18:30" s="44" customFormat="1" ht="15.6">
      <c r="R209" s="1217"/>
      <c r="S209" s="1217"/>
      <c r="T209" s="1294"/>
      <c r="U209" s="1190"/>
      <c r="V209" s="1190"/>
      <c r="W209" s="1190"/>
      <c r="X209" s="1191"/>
      <c r="Y209" s="1190"/>
      <c r="Z209" s="1190"/>
      <c r="AA209" s="1190"/>
      <c r="AB209" s="1200"/>
      <c r="AC209" s="1217"/>
      <c r="AD209" s="1326"/>
    </row>
    <row r="210" spans="18:30" s="44" customFormat="1" ht="15.6">
      <c r="R210" s="1217"/>
      <c r="S210" s="1217"/>
      <c r="T210" s="1294"/>
      <c r="U210" s="1190"/>
      <c r="V210" s="1190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s="44" customFormat="1" ht="15.6">
      <c r="R211" s="1217"/>
      <c r="S211" s="1217"/>
      <c r="T211" s="1217"/>
      <c r="U211" s="1190"/>
      <c r="V211" s="1190"/>
      <c r="W211" s="1294"/>
      <c r="X211" s="1191"/>
      <c r="Y211" s="1190"/>
      <c r="Z211" s="1190"/>
      <c r="AA211" s="1190"/>
      <c r="AB211" s="1200"/>
      <c r="AC211" s="1217"/>
      <c r="AD211" s="1326"/>
    </row>
    <row r="212" spans="18:30" s="44" customFormat="1" ht="15.6">
      <c r="R212" s="1217"/>
      <c r="S212" s="1217"/>
      <c r="T212" s="1217"/>
      <c r="U212" s="1190"/>
      <c r="V212" s="1190"/>
      <c r="W212" s="1294"/>
      <c r="X212" s="1191"/>
      <c r="Y212" s="1190"/>
      <c r="Z212" s="1190"/>
      <c r="AA212" s="1190"/>
      <c r="AB212" s="1200"/>
      <c r="AC212" s="1217"/>
      <c r="AD212" s="1326"/>
    </row>
    <row r="213" spans="18:30" s="44" customFormat="1" ht="15.6">
      <c r="R213" s="1217"/>
      <c r="S213" s="1217"/>
      <c r="T213" s="1294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s="44" customFormat="1" ht="15.6">
      <c r="R214" s="1190"/>
      <c r="S214" s="1294"/>
      <c r="T214" s="1217"/>
      <c r="U214" s="1190"/>
      <c r="V214" s="1190"/>
      <c r="W214" s="1294"/>
      <c r="X214" s="1191"/>
      <c r="Y214" s="1190"/>
      <c r="Z214" s="1190"/>
      <c r="AA214" s="1190"/>
      <c r="AB214" s="1200"/>
      <c r="AC214" s="1217"/>
      <c r="AD214" s="1326"/>
    </row>
    <row r="215" spans="18:30" s="44" customFormat="1" ht="15.6">
      <c r="R215" s="1190"/>
      <c r="S215" s="1294"/>
      <c r="T215" s="1294"/>
      <c r="U215" s="1190"/>
      <c r="V215" s="1190"/>
      <c r="W215" s="1294"/>
      <c r="X215" s="1191"/>
      <c r="Y215" s="1190"/>
      <c r="Z215" s="1190"/>
      <c r="AA215" s="1190"/>
      <c r="AB215" s="1200"/>
      <c r="AC215" s="1217"/>
      <c r="AD215" s="1326"/>
    </row>
    <row r="216" spans="18:30" s="44" customFormat="1" ht="15.6">
      <c r="R216" s="1190"/>
      <c r="S216" s="1224"/>
      <c r="T216" s="1279"/>
      <c r="U216" s="1224"/>
      <c r="V216" s="1224"/>
      <c r="W216" s="1294"/>
      <c r="X216" s="1225"/>
      <c r="Y216" s="1190"/>
      <c r="Z216" s="1190"/>
      <c r="AA216" s="1190"/>
      <c r="AB216" s="1241"/>
      <c r="AC216" s="1217"/>
      <c r="AD216" s="1326"/>
    </row>
    <row r="217" spans="18:30" ht="15.6">
      <c r="R217" s="1190"/>
      <c r="S217" s="1224"/>
      <c r="T217" s="1279"/>
      <c r="U217" s="1224"/>
      <c r="V217" s="1224"/>
      <c r="W217" s="1224"/>
      <c r="X217" s="1225"/>
      <c r="Y217" s="1190"/>
      <c r="Z217" s="1190"/>
      <c r="AA217" s="1190"/>
      <c r="AB217" s="1241"/>
      <c r="AC217" s="1217"/>
      <c r="AD217" s="1326"/>
    </row>
    <row r="218" spans="18:30" ht="15.6">
      <c r="R218" s="1190"/>
      <c r="S218" s="1224"/>
      <c r="T218" s="1279"/>
      <c r="U218" s="1224"/>
      <c r="V218" s="1224"/>
      <c r="W218" s="1294"/>
      <c r="X218" s="1225"/>
      <c r="Y218" s="1190"/>
      <c r="Z218" s="1190"/>
      <c r="AA218" s="1190"/>
      <c r="AB218" s="1241"/>
      <c r="AC218" s="1217"/>
      <c r="AD218" s="1326"/>
    </row>
    <row r="219" spans="18:30" ht="15.6">
      <c r="R219" s="1190"/>
      <c r="S219" s="1224"/>
      <c r="T219" s="1279"/>
      <c r="U219" s="1224"/>
      <c r="V219" s="1224"/>
      <c r="W219" s="1224"/>
      <c r="X219" s="1225"/>
      <c r="Y219" s="1190"/>
      <c r="Z219" s="1190"/>
      <c r="AA219" s="1190"/>
      <c r="AB219" s="1241"/>
      <c r="AC219" s="1217"/>
      <c r="AD219" s="1326"/>
    </row>
    <row r="220" spans="18:30" ht="15.6">
      <c r="R220" s="1190"/>
      <c r="S220" s="1224"/>
      <c r="T220" s="1279"/>
      <c r="U220" s="1224"/>
      <c r="V220" s="1224"/>
      <c r="W220" s="1224"/>
      <c r="X220" s="1225"/>
      <c r="Y220" s="1190"/>
      <c r="Z220" s="1190"/>
      <c r="AA220" s="1190"/>
      <c r="AB220" s="1241"/>
      <c r="AC220" s="1217"/>
      <c r="AD220" s="1326"/>
    </row>
    <row r="221" spans="18:30" ht="15.6">
      <c r="R221" s="1190"/>
      <c r="S221" s="1224"/>
      <c r="T221" s="1279"/>
      <c r="U221" s="1224"/>
      <c r="V221" s="1224"/>
      <c r="W221" s="1224"/>
      <c r="X221" s="1225"/>
      <c r="Y221" s="1190"/>
      <c r="Z221" s="1190"/>
      <c r="AA221" s="1190"/>
      <c r="AB221" s="1241"/>
      <c r="AC221" s="1217"/>
      <c r="AD221" s="1326"/>
    </row>
    <row r="222" spans="18:30" ht="15.6">
      <c r="R222" s="1190"/>
      <c r="S222" s="1224"/>
      <c r="T222" s="1279"/>
      <c r="U222" s="1224"/>
      <c r="V222" s="1224"/>
      <c r="W222" s="1224"/>
      <c r="X222" s="1225"/>
      <c r="Y222" s="1190"/>
      <c r="Z222" s="1190"/>
      <c r="AA222" s="1190"/>
      <c r="AB222" s="1241"/>
      <c r="AC222" s="1217"/>
      <c r="AD222" s="1326"/>
    </row>
    <row r="223" spans="18:30" ht="15.6">
      <c r="R223" s="1190"/>
      <c r="S223" s="1224"/>
      <c r="T223" s="1279"/>
      <c r="U223" s="1224"/>
      <c r="V223" s="1224"/>
      <c r="W223" s="1190"/>
      <c r="X223" s="1225"/>
      <c r="Y223" s="1190"/>
      <c r="Z223" s="1190"/>
      <c r="AA223" s="1190"/>
      <c r="AB223" s="1241"/>
      <c r="AC223" s="1217"/>
      <c r="AD223" s="1326"/>
    </row>
    <row r="224" spans="18:30" s="44" customFormat="1" ht="15.6">
      <c r="R224" s="1190"/>
      <c r="S224" s="1224"/>
      <c r="T224" s="1279"/>
      <c r="U224" s="1224"/>
      <c r="V224" s="1224"/>
      <c r="W224" s="1294"/>
      <c r="X224" s="1225"/>
      <c r="Y224" s="1190"/>
      <c r="Z224" s="1190"/>
      <c r="AA224" s="1190"/>
      <c r="AB224" s="1241"/>
      <c r="AC224" s="1217"/>
      <c r="AD224" s="1326"/>
    </row>
    <row r="225" spans="18:30" s="44" customFormat="1" ht="15.6">
      <c r="R225" s="1190"/>
      <c r="S225" s="1224"/>
      <c r="T225" s="1279"/>
      <c r="U225" s="1224"/>
      <c r="V225" s="1224"/>
      <c r="W225" s="1294"/>
      <c r="X225" s="1225"/>
      <c r="Y225" s="1190"/>
      <c r="Z225" s="1190"/>
      <c r="AA225" s="1190"/>
      <c r="AB225" s="1241"/>
      <c r="AC225" s="1217"/>
      <c r="AD225" s="1326"/>
    </row>
    <row r="226" spans="18:30" s="44" customFormat="1" ht="15.6">
      <c r="R226" s="1190"/>
      <c r="S226" s="1224"/>
      <c r="T226" s="1279"/>
      <c r="U226" s="1224"/>
      <c r="V226" s="1224"/>
      <c r="W226" s="1294"/>
      <c r="X226" s="1225"/>
      <c r="Y226" s="1190"/>
      <c r="Z226" s="1190"/>
      <c r="AA226" s="1190"/>
      <c r="AB226" s="1241"/>
      <c r="AC226" s="1217"/>
      <c r="AD226" s="1326"/>
    </row>
    <row r="227" spans="18:30" s="44" customFormat="1" ht="15.6">
      <c r="R227" s="1190"/>
      <c r="S227" s="1224"/>
      <c r="T227" s="1279"/>
      <c r="U227" s="1224"/>
      <c r="V227" s="1224"/>
      <c r="W227" s="1190"/>
      <c r="X227" s="1225"/>
      <c r="Y227" s="1190"/>
      <c r="Z227" s="1190"/>
      <c r="AA227" s="1190"/>
      <c r="AB227" s="1241"/>
      <c r="AC227" s="1217"/>
      <c r="AD227" s="1326"/>
    </row>
    <row r="228" spans="18:30" s="44" customFormat="1" ht="15.6">
      <c r="R228" s="1190"/>
      <c r="S228" s="1224"/>
      <c r="T228" s="1279"/>
      <c r="U228" s="1224"/>
      <c r="V228" s="1224"/>
      <c r="W228" s="1190"/>
      <c r="X228" s="1225"/>
      <c r="Y228" s="1190"/>
      <c r="Z228" s="1190"/>
      <c r="AA228" s="1190"/>
      <c r="AB228" s="1241"/>
      <c r="AC228" s="1217"/>
      <c r="AD228" s="1326"/>
    </row>
    <row r="229" spans="18:30" s="44" customFormat="1" ht="15.6">
      <c r="R229" s="1190"/>
      <c r="S229" s="1224"/>
      <c r="T229" s="1279"/>
      <c r="U229" s="1224"/>
      <c r="V229" s="1224"/>
      <c r="W229" s="1294"/>
      <c r="X229" s="1225"/>
      <c r="Y229" s="1190"/>
      <c r="Z229" s="1190"/>
      <c r="AA229" s="1190"/>
      <c r="AB229" s="1241"/>
      <c r="AC229" s="1217"/>
      <c r="AD229" s="1326"/>
    </row>
    <row r="230" spans="18:30" s="44" customFormat="1" ht="15.6">
      <c r="R230" s="1190"/>
      <c r="S230" s="1224"/>
      <c r="T230" s="1279"/>
      <c r="U230" s="1224"/>
      <c r="V230" s="1224"/>
      <c r="W230" s="1294"/>
      <c r="X230" s="1225"/>
      <c r="Y230" s="1190"/>
      <c r="Z230" s="1190"/>
      <c r="AA230" s="1190"/>
      <c r="AB230" s="1241"/>
      <c r="AC230" s="1217"/>
      <c r="AD230" s="1326"/>
    </row>
    <row r="231" spans="18:30" s="44" customFormat="1" ht="15.6">
      <c r="R231" s="1190"/>
      <c r="S231" s="1224"/>
      <c r="T231" s="1279"/>
      <c r="U231" s="1224"/>
      <c r="V231" s="1224"/>
      <c r="W231" s="1294"/>
      <c r="X231" s="1225"/>
      <c r="Y231" s="1190"/>
      <c r="Z231" s="1190"/>
      <c r="AA231" s="1190"/>
      <c r="AB231" s="1241"/>
      <c r="AC231" s="1217"/>
      <c r="AD231" s="1326"/>
    </row>
    <row r="232" spans="18:30" ht="15.6">
      <c r="R232" s="1190"/>
      <c r="S232" s="1224"/>
      <c r="T232" s="1279"/>
      <c r="U232" s="1224"/>
      <c r="V232" s="1224"/>
      <c r="W232" s="1294"/>
      <c r="X232" s="1225"/>
      <c r="Y232" s="1190"/>
      <c r="Z232" s="1190"/>
      <c r="AA232" s="1190"/>
      <c r="AB232" s="1241"/>
      <c r="AC232" s="1217"/>
      <c r="AD232" s="1326"/>
    </row>
    <row r="233" spans="18:30" ht="15.6">
      <c r="R233" s="1190"/>
      <c r="S233" s="1224"/>
      <c r="T233" s="1279"/>
      <c r="U233" s="1224"/>
      <c r="V233" s="1224"/>
      <c r="W233" s="1294"/>
      <c r="X233" s="1225"/>
      <c r="Y233" s="1190"/>
      <c r="Z233" s="1190"/>
      <c r="AA233" s="1190"/>
      <c r="AB233" s="1241"/>
      <c r="AC233" s="1217"/>
      <c r="AD233" s="1326"/>
    </row>
    <row r="234" spans="18:30" ht="15.6">
      <c r="R234" s="1190"/>
      <c r="S234" s="1224"/>
      <c r="T234" s="1279"/>
      <c r="U234" s="1224"/>
      <c r="V234" s="1224"/>
      <c r="W234" s="1294"/>
      <c r="X234" s="1225"/>
      <c r="Y234" s="1190"/>
      <c r="Z234" s="1190"/>
      <c r="AA234" s="1190"/>
      <c r="AB234" s="1241"/>
      <c r="AC234" s="1217"/>
      <c r="AD234" s="1326"/>
    </row>
    <row r="235" spans="18:30" ht="15.6">
      <c r="R235" s="1190"/>
      <c r="S235" s="1224"/>
      <c r="T235" s="1279"/>
      <c r="U235" s="1224"/>
      <c r="V235" s="1224"/>
      <c r="W235" s="1294"/>
      <c r="X235" s="1225"/>
      <c r="Y235" s="1190"/>
      <c r="Z235" s="1190"/>
      <c r="AA235" s="1190"/>
      <c r="AB235" s="1241"/>
      <c r="AC235" s="1217"/>
      <c r="AD235" s="1326"/>
    </row>
    <row r="236" spans="18:30" ht="15.6">
      <c r="R236" s="1190"/>
      <c r="S236" s="1224"/>
      <c r="T236" s="1279"/>
      <c r="U236" s="1224"/>
      <c r="V236" s="1224"/>
      <c r="W236" s="1294"/>
      <c r="X236" s="1225"/>
      <c r="Y236" s="1190"/>
      <c r="Z236" s="1190"/>
      <c r="AA236" s="1190"/>
      <c r="AB236" s="1241"/>
      <c r="AC236" s="1217"/>
      <c r="AD236" s="1326"/>
    </row>
    <row r="237" spans="18:30" ht="15.6">
      <c r="R237" s="1190"/>
      <c r="S237" s="1224"/>
      <c r="T237" s="1279"/>
      <c r="U237" s="1224"/>
      <c r="V237" s="1224"/>
      <c r="W237" s="1294"/>
      <c r="X237" s="1225"/>
      <c r="Y237" s="1190"/>
      <c r="Z237" s="1190"/>
      <c r="AA237" s="1190"/>
      <c r="AB237" s="1241"/>
      <c r="AC237" s="1217"/>
      <c r="AD237" s="1326"/>
    </row>
    <row r="238" spans="18:30" ht="15.6">
      <c r="R238" s="1190"/>
      <c r="S238" s="1224"/>
      <c r="T238" s="1279"/>
      <c r="U238" s="1224"/>
      <c r="V238" s="1224"/>
      <c r="W238" s="1294"/>
      <c r="X238" s="1225"/>
      <c r="Y238" s="1190"/>
      <c r="Z238" s="1190"/>
      <c r="AA238" s="1190"/>
      <c r="AB238" s="1241"/>
      <c r="AC238" s="1217"/>
      <c r="AD238" s="1326"/>
    </row>
    <row r="239" spans="18:30" ht="15.6">
      <c r="R239" s="1190"/>
      <c r="S239" s="1224"/>
      <c r="T239" s="1279"/>
      <c r="U239" s="1224"/>
      <c r="V239" s="1224"/>
      <c r="W239" s="1294"/>
      <c r="X239" s="1225"/>
      <c r="Y239" s="1190"/>
      <c r="Z239" s="1190"/>
      <c r="AA239" s="1190"/>
      <c r="AB239" s="1241"/>
      <c r="AC239" s="1217"/>
      <c r="AD239" s="1326"/>
    </row>
    <row r="240" spans="18:30" ht="15.6">
      <c r="R240" s="1190"/>
      <c r="S240" s="1294"/>
      <c r="T240" s="1293"/>
      <c r="U240" s="1190"/>
      <c r="V240" s="1217"/>
      <c r="W240" s="1190"/>
      <c r="X240" s="1191"/>
      <c r="Y240" s="1190"/>
      <c r="Z240" s="1190"/>
      <c r="AA240" s="1190"/>
      <c r="AB240" s="1241"/>
      <c r="AC240" s="1217"/>
      <c r="AD240" s="1326"/>
    </row>
    <row r="241" spans="18:30" ht="15.6">
      <c r="R241" s="1190"/>
      <c r="S241" s="1294"/>
      <c r="T241" s="1293"/>
      <c r="U241" s="1190"/>
      <c r="V241" s="1217"/>
      <c r="W241" s="1190"/>
      <c r="X241" s="1191"/>
      <c r="Y241" s="1190"/>
      <c r="Z241" s="1190"/>
      <c r="AA241" s="1190"/>
      <c r="AB241" s="1241"/>
      <c r="AC241" s="1217"/>
      <c r="AD241" s="1326"/>
    </row>
    <row r="242" spans="18:30" ht="15.6">
      <c r="R242" s="1190"/>
      <c r="S242" s="1294"/>
      <c r="T242" s="1293"/>
      <c r="U242" s="1190"/>
      <c r="V242" s="1217"/>
      <c r="W242" s="1190"/>
      <c r="X242" s="1191"/>
      <c r="Y242" s="1190"/>
      <c r="Z242" s="1190"/>
      <c r="AA242" s="1190"/>
      <c r="AB242" s="1200"/>
      <c r="AC242" s="1217"/>
      <c r="AD242" s="1326"/>
    </row>
    <row r="243" spans="18:30" ht="15.6">
      <c r="R243" s="1190"/>
      <c r="S243" s="1190"/>
      <c r="T243" s="1293"/>
      <c r="U243" s="1190"/>
      <c r="V243" s="1190"/>
      <c r="W243" s="1190"/>
      <c r="X243" s="1191"/>
      <c r="Y243" s="1190"/>
      <c r="Z243" s="1190"/>
      <c r="AA243" s="1190"/>
      <c r="AB243" s="1200"/>
      <c r="AC243" s="1217"/>
      <c r="AD243" s="1326"/>
    </row>
    <row r="244" spans="18:30" ht="15.6">
      <c r="R244" s="1190"/>
      <c r="S244" s="1190"/>
      <c r="T244" s="1293"/>
      <c r="U244" s="1190"/>
      <c r="V244" s="1190"/>
      <c r="W244" s="1190"/>
      <c r="X244" s="1191"/>
      <c r="Y244" s="1190"/>
      <c r="Z244" s="1190"/>
      <c r="AA244" s="1190"/>
      <c r="AB244" s="1200"/>
      <c r="AC244" s="1217"/>
      <c r="AD244" s="1326"/>
    </row>
    <row r="245" spans="18:30" ht="15.6">
      <c r="R245" s="1190"/>
      <c r="S245" s="1190"/>
      <c r="T245" s="1293"/>
      <c r="U245" s="1190"/>
      <c r="V245" s="1190"/>
      <c r="W245" s="1190"/>
      <c r="X245" s="1191"/>
      <c r="Y245" s="1190"/>
      <c r="Z245" s="1190"/>
      <c r="AA245" s="1190"/>
      <c r="AB245" s="1200"/>
      <c r="AC245" s="1217"/>
      <c r="AD245" s="1326"/>
    </row>
    <row r="246" spans="18:30" ht="15.6">
      <c r="R246" s="1190"/>
      <c r="S246" s="1190"/>
      <c r="T246" s="1293"/>
      <c r="U246" s="1190"/>
      <c r="V246" s="1190"/>
      <c r="W246" s="1190"/>
      <c r="X246" s="1191"/>
      <c r="Y246" s="1190"/>
      <c r="Z246" s="1190"/>
      <c r="AA246" s="1190"/>
      <c r="AB246" s="1200"/>
      <c r="AC246" s="1217"/>
      <c r="AD246" s="1326"/>
    </row>
    <row r="247" spans="18:30" ht="15.6">
      <c r="R247" s="1190"/>
      <c r="S247" s="1190"/>
      <c r="T247" s="1293"/>
      <c r="U247" s="1190"/>
      <c r="V247" s="1190"/>
      <c r="W247" s="1190"/>
      <c r="X247" s="1191"/>
      <c r="Y247" s="1190"/>
      <c r="Z247" s="1190"/>
      <c r="AA247" s="1190"/>
      <c r="AB247" s="1200"/>
      <c r="AC247" s="1217"/>
      <c r="AD247" s="1326"/>
    </row>
    <row r="248" spans="18:30" ht="15.6">
      <c r="R248" s="1190"/>
      <c r="S248" s="1190"/>
      <c r="T248" s="1293"/>
      <c r="U248" s="1190"/>
      <c r="V248" s="1190"/>
      <c r="W248" s="1190"/>
      <c r="X248" s="1191"/>
      <c r="Y248" s="1190"/>
      <c r="Z248" s="1190"/>
      <c r="AA248" s="1190"/>
      <c r="AB248" s="1200"/>
      <c r="AC248" s="1217"/>
      <c r="AD248" s="1326"/>
    </row>
    <row r="249" spans="18:30" ht="15.6">
      <c r="R249" s="1190"/>
      <c r="S249" s="1190"/>
      <c r="T249" s="1293"/>
      <c r="U249" s="1190"/>
      <c r="V249" s="1190"/>
      <c r="W249" s="1190"/>
      <c r="X249" s="1191"/>
      <c r="Y249" s="1190"/>
      <c r="Z249" s="1190"/>
      <c r="AA249" s="1190"/>
      <c r="AB249" s="1200"/>
      <c r="AC249" s="1217"/>
      <c r="AD249" s="1326"/>
    </row>
    <row r="250" spans="18:30" ht="15.6">
      <c r="R250" s="1190"/>
      <c r="S250" s="1190"/>
      <c r="T250" s="1190"/>
      <c r="U250" s="1190"/>
      <c r="V250" s="1190"/>
      <c r="W250" s="1190"/>
      <c r="X250" s="1191"/>
      <c r="Y250" s="1190"/>
      <c r="Z250" s="1190"/>
      <c r="AA250" s="1190"/>
      <c r="AB250" s="1200"/>
      <c r="AC250" s="1217"/>
      <c r="AD250" s="1326"/>
    </row>
    <row r="251" spans="18:30" ht="15.6">
      <c r="R251" s="1190"/>
      <c r="S251" s="1190"/>
      <c r="T251" s="1293"/>
      <c r="U251" s="1190"/>
      <c r="V251" s="1190"/>
      <c r="W251" s="1190"/>
      <c r="X251" s="1191"/>
      <c r="Y251" s="1190"/>
      <c r="Z251" s="1190"/>
      <c r="AA251" s="1190"/>
      <c r="AB251" s="1200"/>
      <c r="AC251" s="1217"/>
      <c r="AD251" s="1326"/>
    </row>
    <row r="252" spans="18:30" ht="15.6">
      <c r="R252" s="1190"/>
      <c r="S252" s="1190"/>
      <c r="T252" s="1293"/>
      <c r="U252" s="1190"/>
      <c r="V252" s="1190"/>
      <c r="W252" s="1190"/>
      <c r="X252" s="1191"/>
      <c r="Y252" s="1190"/>
      <c r="Z252" s="1190"/>
      <c r="AA252" s="1190"/>
      <c r="AB252" s="1200"/>
      <c r="AC252" s="1217"/>
      <c r="AD252" s="1326"/>
    </row>
    <row r="253" spans="18:30" ht="15.6">
      <c r="R253" s="1190"/>
      <c r="S253" s="1190"/>
      <c r="T253" s="1293"/>
      <c r="U253" s="1190"/>
      <c r="V253" s="1190"/>
      <c r="W253" s="1190"/>
      <c r="X253" s="1191"/>
      <c r="Y253" s="1190"/>
      <c r="Z253" s="1190"/>
      <c r="AA253" s="1190"/>
      <c r="AB253" s="1200"/>
      <c r="AC253" s="1217"/>
      <c r="AD253" s="1326"/>
    </row>
    <row r="254" spans="18:30">
      <c r="R254" s="1190"/>
      <c r="S254" s="1190"/>
      <c r="T254" s="1293"/>
      <c r="U254" s="1190"/>
      <c r="V254" s="1190"/>
      <c r="W254" s="1190"/>
      <c r="X254" s="1191"/>
      <c r="Y254" s="1190"/>
      <c r="Z254" s="1190"/>
      <c r="AA254" s="1190"/>
      <c r="AB254" s="1190"/>
      <c r="AC254" s="1217"/>
      <c r="AD254" s="1326"/>
    </row>
    <row r="255" spans="18:30" ht="15.6">
      <c r="R255" s="1190"/>
      <c r="S255" s="1190"/>
      <c r="T255" s="1224"/>
      <c r="U255" s="1190"/>
      <c r="V255" s="1190"/>
      <c r="W255" s="1190"/>
      <c r="X255" s="1191"/>
      <c r="Y255" s="1190"/>
      <c r="Z255" s="1217"/>
      <c r="AA255" s="1217"/>
      <c r="AB255" s="1218"/>
      <c r="AC255" s="1190"/>
      <c r="AD255" s="1326"/>
    </row>
    <row r="256" spans="18:30" ht="15.6">
      <c r="R256" s="1190"/>
      <c r="S256" s="1190"/>
      <c r="T256" s="1190"/>
      <c r="U256" s="1190"/>
      <c r="V256" s="1190"/>
      <c r="W256" s="1190"/>
      <c r="X256" s="1191"/>
      <c r="Y256" s="1190"/>
      <c r="Z256" s="1217"/>
      <c r="AA256" s="1217"/>
      <c r="AB256" s="1218"/>
      <c r="AC256" s="1190"/>
      <c r="AD256" s="1326"/>
    </row>
    <row r="257" spans="18:30" ht="15.6">
      <c r="R257" s="1190"/>
      <c r="S257" s="1190"/>
      <c r="T257" s="1190"/>
      <c r="U257" s="1190"/>
      <c r="V257" s="1190"/>
      <c r="W257" s="1190"/>
      <c r="X257" s="1191"/>
      <c r="Y257" s="1190"/>
      <c r="Z257" s="1217"/>
      <c r="AA257" s="1217"/>
      <c r="AB257" s="1218"/>
      <c r="AC257" s="1190"/>
      <c r="AD257" s="1326"/>
    </row>
    <row r="258" spans="18:30" ht="15.6">
      <c r="R258" s="1190"/>
      <c r="S258" s="1190"/>
      <c r="T258" s="1217"/>
      <c r="U258" s="1190"/>
      <c r="V258" s="1190"/>
      <c r="W258" s="1190"/>
      <c r="X258" s="1191"/>
      <c r="Y258" s="1190"/>
      <c r="Z258" s="1217"/>
      <c r="AA258" s="1217"/>
      <c r="AB258" s="1218"/>
      <c r="AC258" s="1190"/>
      <c r="AD258" s="1326"/>
    </row>
    <row r="259" spans="18:30" ht="15.6">
      <c r="R259" s="1190"/>
      <c r="S259" s="1190"/>
      <c r="T259" s="1217"/>
      <c r="U259" s="1190"/>
      <c r="V259" s="1190"/>
      <c r="W259" s="1190"/>
      <c r="X259" s="1191"/>
      <c r="Y259" s="1190"/>
      <c r="Z259" s="1217"/>
      <c r="AA259" s="1217"/>
      <c r="AB259" s="1218"/>
      <c r="AC259" s="1190"/>
      <c r="AD259" s="1326"/>
    </row>
    <row r="260" spans="18:30" ht="15.6">
      <c r="R260" s="1190"/>
      <c r="S260" s="1190"/>
      <c r="T260" s="1217"/>
      <c r="U260" s="1190"/>
      <c r="V260" s="1190"/>
      <c r="W260" s="1190"/>
      <c r="X260" s="1191"/>
      <c r="Y260" s="1190"/>
      <c r="Z260" s="1217"/>
      <c r="AA260" s="1217"/>
      <c r="AB260" s="1218"/>
      <c r="AC260" s="1190"/>
      <c r="AD260" s="1326"/>
    </row>
    <row r="261" spans="18:30" ht="15.6">
      <c r="R261" s="1190"/>
      <c r="S261" s="1190"/>
      <c r="T261" s="1217"/>
      <c r="U261" s="1190"/>
      <c r="V261" s="1190"/>
      <c r="W261" s="1190"/>
      <c r="X261" s="1191"/>
      <c r="Y261" s="1190"/>
      <c r="Z261" s="1217"/>
      <c r="AA261" s="1217"/>
      <c r="AB261" s="1218"/>
      <c r="AC261" s="1190"/>
      <c r="AD261" s="1326"/>
    </row>
    <row r="262" spans="18:30" ht="15.6">
      <c r="R262" s="1190"/>
      <c r="S262" s="1190"/>
      <c r="T262" s="1217"/>
      <c r="U262" s="1190"/>
      <c r="V262" s="1190"/>
      <c r="W262" s="1190"/>
      <c r="X262" s="1191"/>
      <c r="Y262" s="1190"/>
      <c r="Z262" s="1217"/>
      <c r="AA262" s="1217"/>
      <c r="AB262" s="1218"/>
      <c r="AC262" s="1190"/>
      <c r="AD262" s="1326"/>
    </row>
    <row r="263" spans="18:30" ht="15.6">
      <c r="R263" s="81"/>
      <c r="S263" s="81"/>
      <c r="T263" s="81"/>
      <c r="U263" s="81"/>
      <c r="V263" s="1190"/>
      <c r="W263" s="1190"/>
      <c r="X263" s="191"/>
      <c r="Y263" s="81"/>
      <c r="Z263" s="1217"/>
      <c r="AA263" s="1217"/>
      <c r="AB263" s="1218"/>
      <c r="AC263" s="1190"/>
      <c r="AD263" s="1326"/>
    </row>
    <row r="264" spans="18:30" ht="15.6">
      <c r="R264" s="81"/>
      <c r="S264" s="81"/>
      <c r="T264" s="81"/>
      <c r="U264" s="81"/>
      <c r="V264" s="1190"/>
      <c r="W264" s="1190"/>
      <c r="X264" s="1325"/>
      <c r="Y264" s="1190"/>
      <c r="Z264" s="1190"/>
      <c r="AA264" s="1190"/>
      <c r="AB264" s="1218"/>
      <c r="AC264" s="1190"/>
      <c r="AD264" s="1326"/>
    </row>
    <row r="265" spans="18:30" ht="15.6">
      <c r="R265" s="1190"/>
      <c r="S265" s="1190"/>
      <c r="T265" s="1217"/>
      <c r="U265" s="1190"/>
      <c r="V265" s="1190"/>
      <c r="W265" s="1190"/>
      <c r="X265" s="1325"/>
      <c r="Y265" s="1190"/>
      <c r="Z265" s="1190"/>
      <c r="AA265" s="1190"/>
      <c r="AB265" s="1218"/>
      <c r="AC265" s="1190"/>
      <c r="AD265" s="1326"/>
    </row>
    <row r="266" spans="18:30" ht="15.6">
      <c r="R266" s="1190"/>
      <c r="S266" s="1190"/>
      <c r="T266" s="1190"/>
      <c r="U266" s="1190"/>
      <c r="V266" s="1190"/>
      <c r="W266" s="1190"/>
      <c r="X266" s="1190"/>
      <c r="Y266" s="1190"/>
      <c r="Z266" s="1190"/>
      <c r="AA266" s="1190"/>
      <c r="AB266" s="1218"/>
      <c r="AC266" s="1190"/>
      <c r="AD266" s="1326"/>
    </row>
    <row r="267" spans="18:30" ht="15.6">
      <c r="R267" s="1190"/>
      <c r="S267" s="1190"/>
      <c r="T267" s="1217"/>
      <c r="U267" s="1190"/>
      <c r="V267" s="1190"/>
      <c r="W267" s="1190"/>
      <c r="X267" s="1191"/>
      <c r="Y267" s="1190"/>
      <c r="Z267" s="1217"/>
      <c r="AA267" s="1217"/>
      <c r="AB267" s="1218"/>
      <c r="AC267" s="1190"/>
      <c r="AD267" s="1326"/>
    </row>
    <row r="268" spans="18:30" ht="15.6">
      <c r="R268" s="1330"/>
      <c r="S268" s="1331"/>
      <c r="T268" s="1332"/>
      <c r="U268" s="1331"/>
      <c r="V268" s="1331"/>
      <c r="W268" s="1331"/>
      <c r="X268" s="1333"/>
      <c r="Y268" s="1331"/>
      <c r="Z268" s="1332"/>
      <c r="AA268" s="1332"/>
      <c r="AB268" s="1334"/>
      <c r="AC268" s="1335"/>
      <c r="AD268" s="81"/>
    </row>
    <row r="269" spans="18:30" ht="15.6">
      <c r="R269" s="1189"/>
      <c r="S269" s="1190"/>
      <c r="T269" s="1217"/>
      <c r="U269" s="1190"/>
      <c r="V269" s="1190"/>
      <c r="W269" s="1190"/>
      <c r="X269" s="1191"/>
      <c r="Y269" s="1190"/>
      <c r="Z269" s="1217"/>
      <c r="AA269" s="1217"/>
      <c r="AB269" s="1218"/>
      <c r="AC269" s="1192"/>
      <c r="AD269" s="81"/>
    </row>
    <row r="270" spans="18:30" ht="15.6">
      <c r="R270" s="1189"/>
      <c r="S270" s="1190"/>
      <c r="T270" s="1217"/>
      <c r="U270" s="1190"/>
      <c r="V270" s="1190"/>
      <c r="W270" s="1190"/>
      <c r="X270" s="1191"/>
      <c r="Y270" s="1190"/>
      <c r="Z270" s="1217"/>
      <c r="AA270" s="1217"/>
      <c r="AB270" s="1218"/>
      <c r="AC270" s="1192"/>
      <c r="AD270" s="81"/>
    </row>
    <row r="271" spans="18:30" ht="15.6">
      <c r="R271" s="1189"/>
      <c r="S271" s="1190"/>
      <c r="T271" s="1190"/>
      <c r="U271" s="1190"/>
      <c r="V271" s="1190"/>
      <c r="W271" s="1190"/>
      <c r="X271" s="1191"/>
      <c r="Y271" s="1190"/>
      <c r="Z271" s="1217"/>
      <c r="AA271" s="1217"/>
      <c r="AB271" s="1218"/>
      <c r="AC271" s="1192"/>
      <c r="AD271" s="81"/>
    </row>
    <row r="272" spans="18:30" ht="15.6">
      <c r="R272" s="1189"/>
      <c r="S272" s="1190"/>
      <c r="T272" s="1217"/>
      <c r="U272" s="1190"/>
      <c r="V272" s="1190"/>
      <c r="W272" s="1190"/>
      <c r="X272" s="1191"/>
      <c r="Y272" s="1190"/>
      <c r="Z272" s="1217"/>
      <c r="AA272" s="1217"/>
      <c r="AB272" s="1218"/>
      <c r="AC272" s="1192"/>
      <c r="AD272" s="81"/>
    </row>
    <row r="273" spans="18:30" ht="15.6">
      <c r="R273" s="1189"/>
      <c r="S273" s="1190"/>
      <c r="T273" s="1217"/>
      <c r="U273" s="1190"/>
      <c r="V273" s="1190"/>
      <c r="W273" s="1190"/>
      <c r="X273" s="1191"/>
      <c r="Y273" s="1190"/>
      <c r="Z273" s="1217"/>
      <c r="AA273" s="1217"/>
      <c r="AB273" s="1218"/>
      <c r="AC273" s="1192"/>
      <c r="AD273" s="81"/>
    </row>
    <row r="274" spans="18:30" ht="15.6">
      <c r="R274" s="1189"/>
      <c r="S274" s="1190"/>
      <c r="T274" s="1190"/>
      <c r="U274" s="1190"/>
      <c r="V274" s="1190"/>
      <c r="W274" s="1190"/>
      <c r="X274" s="1191"/>
      <c r="Y274" s="1190"/>
      <c r="Z274" s="1217"/>
      <c r="AA274" s="1217"/>
      <c r="AB274" s="1218"/>
      <c r="AC274" s="1192"/>
      <c r="AD274" s="81"/>
    </row>
    <row r="275" spans="18:30" ht="15.6">
      <c r="R275" s="1189"/>
      <c r="S275" s="1190"/>
      <c r="T275" s="1217"/>
      <c r="U275" s="1190"/>
      <c r="V275" s="1190"/>
      <c r="W275" s="1190"/>
      <c r="X275" s="1191"/>
      <c r="Y275" s="1190"/>
      <c r="Z275" s="1217"/>
      <c r="AA275" s="1217"/>
      <c r="AB275" s="1218"/>
      <c r="AC275" s="1192"/>
      <c r="AD275" s="81"/>
    </row>
    <row r="276" spans="18:30" ht="15.6">
      <c r="R276" s="1189"/>
      <c r="S276" s="1190"/>
      <c r="T276" s="1217"/>
      <c r="U276" s="1190"/>
      <c r="V276" s="1190"/>
      <c r="W276" s="1190"/>
      <c r="X276" s="1191"/>
      <c r="Y276" s="1190"/>
      <c r="Z276" s="1217"/>
      <c r="AA276" s="1217"/>
      <c r="AB276" s="1218"/>
      <c r="AC276" s="1192"/>
      <c r="AD276" s="81"/>
    </row>
    <row r="277" spans="18:30" ht="15.6">
      <c r="R277" s="1189"/>
      <c r="S277" s="1190"/>
      <c r="T277" s="1217"/>
      <c r="U277" s="1190"/>
      <c r="V277" s="1190"/>
      <c r="W277" s="1190"/>
      <c r="X277" s="1191"/>
      <c r="Y277" s="1190"/>
      <c r="Z277" s="1217"/>
      <c r="AA277" s="1217"/>
      <c r="AB277" s="1218"/>
      <c r="AC277" s="1192"/>
      <c r="AD277" s="81"/>
    </row>
    <row r="278" spans="18:30" ht="15.6">
      <c r="R278" s="1189"/>
      <c r="S278" s="1190"/>
      <c r="T278" s="1217"/>
      <c r="U278" s="1190"/>
      <c r="V278" s="1190"/>
      <c r="W278" s="1190"/>
      <c r="X278" s="1191"/>
      <c r="Y278" s="1190"/>
      <c r="Z278" s="1217"/>
      <c r="AA278" s="1217"/>
      <c r="AB278" s="1218"/>
      <c r="AC278" s="1192"/>
      <c r="AD278" s="81"/>
    </row>
    <row r="279" spans="18:30" ht="15.6">
      <c r="R279" s="1189"/>
      <c r="S279" s="1190"/>
      <c r="T279" s="1190"/>
      <c r="U279" s="1190"/>
      <c r="V279" s="1190"/>
      <c r="W279" s="1190"/>
      <c r="X279" s="1191"/>
      <c r="Y279" s="1190"/>
      <c r="Z279" s="1217"/>
      <c r="AA279" s="1217"/>
      <c r="AB279" s="1218"/>
      <c r="AC279" s="1192"/>
      <c r="AD279" s="81"/>
    </row>
    <row r="280" spans="18:30" ht="15.6">
      <c r="R280" s="1189"/>
      <c r="S280" s="1190"/>
      <c r="T280" s="1190"/>
      <c r="U280" s="1190"/>
      <c r="V280" s="1190"/>
      <c r="W280" s="1190"/>
      <c r="X280" s="1191"/>
      <c r="Y280" s="1190"/>
      <c r="Z280" s="1217"/>
      <c r="AA280" s="1217"/>
      <c r="AB280" s="1218"/>
      <c r="AC280" s="1192"/>
      <c r="AD280" s="81"/>
    </row>
    <row r="281" spans="18:30" ht="15.6">
      <c r="R281" s="1189"/>
      <c r="S281" s="1190"/>
      <c r="T281" s="1190"/>
      <c r="U281" s="1190"/>
      <c r="V281" s="1190"/>
      <c r="W281" s="1190"/>
      <c r="X281" s="1191"/>
      <c r="Y281" s="1190"/>
      <c r="Z281" s="1217"/>
      <c r="AA281" s="1217"/>
      <c r="AB281" s="1218"/>
      <c r="AC281" s="1192"/>
      <c r="AD281" s="81"/>
    </row>
    <row r="282" spans="18:30" ht="15.6">
      <c r="R282" s="1189"/>
      <c r="S282" s="1190"/>
      <c r="T282" s="1217"/>
      <c r="U282" s="1190"/>
      <c r="V282" s="1190"/>
      <c r="W282" s="1190"/>
      <c r="X282" s="1191"/>
      <c r="Y282" s="1190"/>
      <c r="Z282" s="1217"/>
      <c r="AA282" s="1217"/>
      <c r="AB282" s="1218"/>
      <c r="AC282" s="1192"/>
      <c r="AD282" s="81"/>
    </row>
    <row r="283" spans="18:30" ht="15.6">
      <c r="R283" s="1189"/>
      <c r="S283" s="1190"/>
      <c r="T283" s="1217"/>
      <c r="U283" s="1190"/>
      <c r="V283" s="1190"/>
      <c r="W283" s="1190"/>
      <c r="X283" s="1191"/>
      <c r="Y283" s="1190"/>
      <c r="Z283" s="1217"/>
      <c r="AA283" s="1217"/>
      <c r="AB283" s="1218"/>
      <c r="AC283" s="1192"/>
      <c r="AD283" s="81"/>
    </row>
    <row r="284" spans="18:30" ht="15.6">
      <c r="R284" s="1189"/>
      <c r="S284" s="1190"/>
      <c r="T284" s="1190"/>
      <c r="U284" s="1190"/>
      <c r="V284" s="1190"/>
      <c r="W284" s="1190"/>
      <c r="X284" s="1191"/>
      <c r="Y284" s="1190"/>
      <c r="Z284" s="1217"/>
      <c r="AA284" s="1217"/>
      <c r="AB284" s="1218"/>
      <c r="AC284" s="1192"/>
      <c r="AD284" s="81"/>
    </row>
    <row r="285" spans="18:30" ht="15.6">
      <c r="R285" s="1189"/>
      <c r="S285" s="1190"/>
      <c r="T285" s="1190"/>
      <c r="U285" s="1190"/>
      <c r="V285" s="1190"/>
      <c r="W285" s="1190"/>
      <c r="X285" s="1191"/>
      <c r="Y285" s="1190"/>
      <c r="Z285" s="1217"/>
      <c r="AA285" s="1217"/>
      <c r="AB285" s="1218"/>
      <c r="AC285" s="1192"/>
      <c r="AD285" s="81"/>
    </row>
    <row r="286" spans="18:30" ht="15.6">
      <c r="R286" s="1189"/>
      <c r="S286" s="1190"/>
      <c r="T286" s="1111"/>
      <c r="U286" s="1190"/>
      <c r="V286" s="1190"/>
      <c r="W286" s="1190"/>
      <c r="X286" s="1191"/>
      <c r="Y286" s="1190"/>
      <c r="Z286" s="1106"/>
      <c r="AA286" s="1106"/>
      <c r="AB286" s="1110"/>
      <c r="AC286" s="1192"/>
      <c r="AD286" s="81"/>
    </row>
    <row r="287" spans="18:30" ht="15.6">
      <c r="R287" s="1189"/>
      <c r="S287" s="1190"/>
      <c r="T287" s="1111"/>
      <c r="U287" s="1190"/>
      <c r="V287" s="1190"/>
      <c r="W287" s="1190"/>
      <c r="X287" s="1191"/>
      <c r="Y287" s="1190"/>
      <c r="Z287" s="1190"/>
      <c r="AA287" s="1190"/>
      <c r="AB287" s="1110"/>
      <c r="AC287" s="1192"/>
      <c r="AD287" s="81"/>
    </row>
    <row r="288" spans="18:30">
      <c r="R288" s="1189"/>
      <c r="S288" s="1190"/>
      <c r="T288" s="1106"/>
      <c r="U288" s="1190"/>
      <c r="V288" s="1190"/>
      <c r="W288" s="1190"/>
      <c r="X288" s="1191"/>
      <c r="Y288" s="1190"/>
      <c r="Z288" s="1190"/>
      <c r="AA288" s="1190"/>
      <c r="AB288" s="1190"/>
      <c r="AC288" s="1192"/>
      <c r="AD288" s="81"/>
    </row>
    <row r="289" spans="18:30">
      <c r="R289" s="1189"/>
      <c r="S289" s="1190"/>
      <c r="T289" s="1190"/>
      <c r="U289" s="1190"/>
      <c r="V289" s="1190"/>
      <c r="W289" s="1190"/>
      <c r="X289" s="1191"/>
      <c r="Y289" s="1190"/>
      <c r="Z289" s="1190"/>
      <c r="AA289" s="1190"/>
      <c r="AB289" s="1190"/>
      <c r="AC289" s="1192"/>
      <c r="AD289" s="81"/>
    </row>
    <row r="290" spans="18:30">
      <c r="R290" s="1189"/>
      <c r="S290" s="1190"/>
      <c r="T290" s="1190"/>
      <c r="U290" s="1190"/>
      <c r="V290" s="1190"/>
      <c r="W290" s="1190"/>
      <c r="X290" s="1191"/>
      <c r="Y290" s="1190"/>
      <c r="Z290" s="1190"/>
      <c r="AA290" s="1190"/>
      <c r="AB290" s="1190"/>
      <c r="AC290" s="1192"/>
      <c r="AD290" s="81"/>
    </row>
    <row r="291" spans="18:30">
      <c r="R291" s="1189"/>
      <c r="S291" s="1190"/>
      <c r="T291" s="1106"/>
      <c r="U291" s="1190"/>
      <c r="V291" s="1190"/>
      <c r="W291" s="1190"/>
      <c r="X291" s="1191"/>
      <c r="Y291" s="1190"/>
      <c r="Z291" s="1190"/>
      <c r="AA291" s="1190"/>
      <c r="AB291" s="1190"/>
      <c r="AC291" s="1192"/>
      <c r="AD291" s="81"/>
    </row>
    <row r="292" spans="18:30">
      <c r="R292" s="1189"/>
      <c r="S292" s="1190"/>
      <c r="T292" s="1106"/>
      <c r="U292" s="1190"/>
      <c r="V292" s="1190"/>
      <c r="W292" s="1190"/>
      <c r="X292" s="1191"/>
      <c r="Y292" s="1190"/>
      <c r="Z292" s="1190"/>
      <c r="AA292" s="1190"/>
      <c r="AB292" s="1190"/>
      <c r="AC292" s="1192"/>
      <c r="AD292" s="26"/>
    </row>
    <row r="293" spans="18:30">
      <c r="R293" s="1189"/>
      <c r="S293" s="1190"/>
      <c r="T293" s="1111"/>
      <c r="U293" s="1190"/>
      <c r="V293" s="1190"/>
      <c r="W293" s="1190"/>
      <c r="X293" s="1191"/>
      <c r="Y293" s="1190"/>
      <c r="Z293" s="1190"/>
      <c r="AA293" s="1190"/>
      <c r="AB293" s="1190"/>
      <c r="AC293" s="1192"/>
      <c r="AD293" s="26"/>
    </row>
    <row r="294" spans="18:30">
      <c r="R294" s="1189"/>
      <c r="S294" s="1190"/>
      <c r="T294" s="1106"/>
      <c r="U294" s="1190"/>
      <c r="V294" s="1190"/>
      <c r="W294" s="1190"/>
      <c r="X294" s="1191"/>
      <c r="Y294" s="1190"/>
      <c r="Z294" s="1190"/>
      <c r="AA294" s="1190"/>
      <c r="AB294" s="1190"/>
      <c r="AC294" s="1192"/>
      <c r="AD294" s="26"/>
    </row>
    <row r="295" spans="18:30">
      <c r="R295" s="1189"/>
      <c r="S295" s="1190"/>
      <c r="T295" s="1111"/>
      <c r="U295" s="1190"/>
      <c r="V295" s="1190"/>
      <c r="W295" s="1190"/>
      <c r="X295" s="1191"/>
      <c r="Y295" s="1190"/>
      <c r="Z295" s="1190"/>
      <c r="AA295" s="1190"/>
      <c r="AB295" s="1190"/>
      <c r="AC295" s="1192"/>
      <c r="AD295" s="26"/>
    </row>
    <row r="296" spans="18:30">
      <c r="R296" s="1189"/>
      <c r="S296" s="1190"/>
      <c r="T296" s="1106"/>
      <c r="U296" s="1190"/>
      <c r="V296" s="1190"/>
      <c r="W296" s="1190"/>
      <c r="X296" s="1191"/>
      <c r="Y296" s="1190"/>
      <c r="Z296" s="1190"/>
      <c r="AA296" s="1190"/>
      <c r="AB296" s="1190"/>
      <c r="AC296" s="1192"/>
      <c r="AD296" s="26"/>
    </row>
    <row r="297" spans="18:30">
      <c r="R297" s="1189"/>
      <c r="S297" s="1190"/>
      <c r="T297" s="1106"/>
      <c r="U297" s="1190"/>
      <c r="V297" s="1190"/>
      <c r="W297" s="1190"/>
      <c r="X297" s="1191"/>
      <c r="Y297" s="1190"/>
      <c r="Z297" s="1190"/>
      <c r="AA297" s="1190"/>
      <c r="AB297" s="1190"/>
      <c r="AC297" s="1192"/>
      <c r="AD297" s="26"/>
    </row>
    <row r="298" spans="18:30">
      <c r="R298" s="1189"/>
      <c r="S298" s="1190"/>
      <c r="T298" s="1111"/>
      <c r="U298" s="1190"/>
      <c r="V298" s="1190"/>
      <c r="W298" s="1190"/>
      <c r="X298" s="1191"/>
      <c r="Y298" s="1190"/>
      <c r="Z298" s="1190"/>
      <c r="AA298" s="1190"/>
      <c r="AB298" s="1190"/>
      <c r="AC298" s="1192"/>
      <c r="AD298" s="26"/>
    </row>
    <row r="299" spans="18:30">
      <c r="R299" s="1189"/>
      <c r="S299" s="1190"/>
      <c r="T299" s="1106"/>
      <c r="U299" s="1190"/>
      <c r="V299" s="1190"/>
      <c r="W299" s="1190"/>
      <c r="X299" s="1191"/>
      <c r="Y299" s="1190"/>
      <c r="Z299" s="1190"/>
      <c r="AA299" s="1190"/>
      <c r="AB299" s="1190"/>
      <c r="AC299" s="1192"/>
      <c r="AD299" s="26"/>
    </row>
    <row r="300" spans="18:30">
      <c r="R300" s="1189"/>
      <c r="S300" s="1190"/>
      <c r="T300" s="1190"/>
      <c r="U300" s="1190"/>
      <c r="V300" s="1190"/>
      <c r="W300" s="1190"/>
      <c r="X300" s="1191"/>
      <c r="Y300" s="1190"/>
      <c r="Z300" s="1190"/>
      <c r="AA300" s="1190"/>
      <c r="AB300" s="1190"/>
      <c r="AC300" s="1192"/>
      <c r="AD300" s="26"/>
    </row>
    <row r="301" spans="18:30">
      <c r="R301" s="1189"/>
      <c r="S301" s="1190"/>
      <c r="T301" s="1106"/>
      <c r="U301" s="1190"/>
      <c r="V301" s="1190"/>
      <c r="W301" s="1190"/>
      <c r="X301" s="1191"/>
      <c r="Y301" s="1190"/>
      <c r="Z301" s="1190"/>
      <c r="AA301" s="1190"/>
      <c r="AB301" s="1190"/>
      <c r="AC301" s="1192"/>
      <c r="AD301" s="26"/>
    </row>
    <row r="302" spans="18:30">
      <c r="R302" s="1189"/>
      <c r="S302" s="1190"/>
      <c r="T302" s="1106"/>
      <c r="U302" s="1190"/>
      <c r="V302" s="1190"/>
      <c r="W302" s="1190"/>
      <c r="X302" s="1191"/>
      <c r="Y302" s="1190"/>
      <c r="Z302" s="1190"/>
      <c r="AA302" s="1190"/>
      <c r="AB302" s="1190"/>
      <c r="AC302" s="1192"/>
      <c r="AD302" s="26"/>
    </row>
    <row r="303" spans="18:30">
      <c r="R303" s="1189"/>
      <c r="S303" s="1190"/>
      <c r="T303" s="1106"/>
      <c r="U303" s="1190"/>
      <c r="V303" s="1190"/>
      <c r="W303" s="1190"/>
      <c r="X303" s="1191"/>
      <c r="Y303" s="1190"/>
      <c r="Z303" s="1190"/>
      <c r="AA303" s="1190"/>
      <c r="AB303" s="1190"/>
      <c r="AC303" s="1192"/>
      <c r="AD303" s="26"/>
    </row>
    <row r="304" spans="18:30">
      <c r="R304" s="1189"/>
      <c r="S304" s="1190"/>
      <c r="T304" s="1106"/>
      <c r="U304" s="1190"/>
      <c r="V304" s="1190"/>
      <c r="W304" s="1190"/>
      <c r="X304" s="1193"/>
      <c r="Y304" s="1190"/>
      <c r="Z304" s="1190"/>
      <c r="AA304" s="1190"/>
      <c r="AB304" s="1190"/>
      <c r="AC304" s="1192"/>
      <c r="AD304" s="26"/>
    </row>
    <row r="305" spans="18:30">
      <c r="R305" s="1189"/>
      <c r="S305" s="1190"/>
      <c r="T305" s="1111"/>
      <c r="U305" s="1190"/>
      <c r="V305" s="1190"/>
      <c r="W305" s="1190"/>
      <c r="X305" s="1191"/>
      <c r="Y305" s="1190"/>
      <c r="Z305" s="1190"/>
      <c r="AA305" s="1190"/>
      <c r="AB305" s="1190"/>
      <c r="AC305" s="1192"/>
      <c r="AD305" s="26"/>
    </row>
    <row r="306" spans="18:30">
      <c r="R306" s="1194"/>
      <c r="S306" s="1195"/>
      <c r="T306" s="1111"/>
      <c r="U306" s="1195"/>
      <c r="V306" s="1190"/>
      <c r="W306" s="1190"/>
      <c r="X306" s="1196"/>
      <c r="Y306" s="1195"/>
      <c r="Z306" s="1195"/>
      <c r="AA306" s="1195"/>
      <c r="AB306" s="1195"/>
      <c r="AC306" s="1192"/>
      <c r="AD306" s="26"/>
    </row>
    <row r="307" spans="18:30">
      <c r="R307" s="1194"/>
      <c r="S307" s="1195"/>
      <c r="T307" s="1111"/>
      <c r="U307" s="1195"/>
      <c r="V307" s="1190"/>
      <c r="W307" s="1190"/>
      <c r="X307" s="1196"/>
      <c r="Y307" s="1195"/>
      <c r="Z307" s="1195"/>
      <c r="AA307" s="1195"/>
      <c r="AB307" s="1195"/>
      <c r="AC307" s="1192"/>
      <c r="AD307" s="26"/>
    </row>
    <row r="308" spans="18:30">
      <c r="R308" s="1189"/>
      <c r="S308" s="1190"/>
      <c r="T308" s="1111"/>
      <c r="U308" s="1190"/>
      <c r="V308" s="1190"/>
      <c r="W308" s="1190"/>
      <c r="X308" s="1191"/>
      <c r="Y308" s="1195"/>
      <c r="Z308" s="1190"/>
      <c r="AA308" s="1190"/>
      <c r="AB308" s="1190"/>
      <c r="AC308" s="1192"/>
      <c r="AD308" s="26"/>
    </row>
    <row r="309" spans="18:30">
      <c r="R309" s="1189"/>
      <c r="S309" s="1190"/>
      <c r="T309" s="1111"/>
      <c r="U309" s="1190"/>
      <c r="V309" s="1190"/>
      <c r="W309" s="1190"/>
      <c r="X309" s="1191"/>
      <c r="Y309" s="1195"/>
      <c r="Z309" s="1190"/>
      <c r="AA309" s="1190"/>
      <c r="AB309" s="1190"/>
      <c r="AC309" s="1192"/>
      <c r="AD309" s="26"/>
    </row>
    <row r="310" spans="18:30">
      <c r="R310" s="1194"/>
      <c r="S310" s="1195"/>
      <c r="T310" s="1111"/>
      <c r="U310" s="1195"/>
      <c r="V310" s="1195"/>
      <c r="W310" s="1190"/>
      <c r="X310" s="1196"/>
      <c r="Y310" s="1195"/>
      <c r="Z310" s="1195"/>
      <c r="AA310" s="1195"/>
      <c r="AB310" s="1190"/>
      <c r="AC310" s="1192"/>
      <c r="AD310" s="26"/>
    </row>
    <row r="311" spans="18:30">
      <c r="R311" s="1194"/>
      <c r="S311" s="1195"/>
      <c r="T311" s="1106"/>
      <c r="U311" s="1195"/>
      <c r="V311" s="1195"/>
      <c r="W311" s="1195"/>
      <c r="X311" s="1196"/>
      <c r="Y311" s="1195"/>
      <c r="Z311" s="1195"/>
      <c r="AA311" s="1195"/>
      <c r="AB311" s="1195"/>
      <c r="AC311" s="1197"/>
      <c r="AD311" s="26"/>
    </row>
    <row r="312" spans="18:30">
      <c r="R312" s="1189"/>
      <c r="S312" s="1190"/>
      <c r="T312" s="1190"/>
      <c r="U312" s="1190"/>
      <c r="V312" s="1190"/>
      <c r="W312" s="1190"/>
      <c r="X312" s="1191"/>
      <c r="Y312" s="1190"/>
      <c r="Z312" s="1190"/>
      <c r="AA312" s="1190"/>
      <c r="AB312" s="1190"/>
      <c r="AC312" s="1192"/>
      <c r="AD312" s="26"/>
    </row>
    <row r="313" spans="18:30">
      <c r="R313" s="1189"/>
      <c r="S313" s="1190"/>
      <c r="T313" s="1190"/>
      <c r="U313" s="1190"/>
      <c r="V313" s="1195"/>
      <c r="W313" s="1190"/>
      <c r="X313" s="1191"/>
      <c r="Y313" s="1190"/>
      <c r="Z313" s="1190"/>
      <c r="AA313" s="1190"/>
      <c r="AB313" s="1190"/>
      <c r="AC313" s="1192"/>
      <c r="AD313" s="26"/>
    </row>
    <row r="314" spans="18:30">
      <c r="R314" s="1189"/>
      <c r="S314" s="1190"/>
      <c r="T314" s="1190"/>
      <c r="U314" s="1190"/>
      <c r="V314" s="1195"/>
      <c r="W314" s="1190"/>
      <c r="X314" s="1191"/>
      <c r="Y314" s="1190"/>
      <c r="Z314" s="1190"/>
      <c r="AA314" s="1190"/>
      <c r="AB314" s="1190"/>
      <c r="AC314" s="1192"/>
      <c r="AD314" s="26"/>
    </row>
    <row r="315" spans="18:30">
      <c r="R315" s="1189"/>
      <c r="S315" s="1190"/>
      <c r="T315" s="1190"/>
      <c r="U315" s="1190"/>
      <c r="V315" s="1190"/>
      <c r="W315" s="1190"/>
      <c r="X315" s="1191"/>
      <c r="Y315" s="1190"/>
      <c r="Z315" s="1190"/>
      <c r="AA315" s="1190"/>
      <c r="AB315" s="1190"/>
      <c r="AC315" s="1192"/>
      <c r="AD315" s="26"/>
    </row>
    <row r="316" spans="18:30">
      <c r="R316" s="1189"/>
      <c r="S316" s="1190"/>
      <c r="T316" s="1190"/>
      <c r="U316" s="1190"/>
      <c r="V316" s="1190"/>
      <c r="W316" s="1190"/>
      <c r="X316" s="1191"/>
      <c r="Y316" s="1190"/>
      <c r="Z316" s="1190"/>
      <c r="AA316" s="1190"/>
      <c r="AB316" s="1190"/>
      <c r="AC316" s="1192"/>
      <c r="AD316" s="26"/>
    </row>
    <row r="317" spans="18:30">
      <c r="R317" s="1189"/>
      <c r="S317" s="1190"/>
      <c r="T317" s="1190"/>
      <c r="U317" s="1190"/>
      <c r="V317" s="1195"/>
      <c r="W317" s="1190"/>
      <c r="X317" s="1191"/>
      <c r="Y317" s="1190"/>
      <c r="Z317" s="1190"/>
      <c r="AA317" s="1190"/>
      <c r="AB317" s="1190"/>
      <c r="AC317" s="1192"/>
      <c r="AD317" s="81"/>
    </row>
    <row r="318" spans="18:30">
      <c r="R318" s="1189"/>
      <c r="S318" s="1190"/>
      <c r="T318" s="1190"/>
      <c r="U318" s="1190"/>
      <c r="V318" s="1195"/>
      <c r="W318" s="1190"/>
      <c r="X318" s="1191"/>
      <c r="Y318" s="1190"/>
      <c r="Z318" s="1190"/>
      <c r="AA318" s="1190"/>
      <c r="AB318" s="1190"/>
      <c r="AC318" s="1192"/>
      <c r="AD318" s="203"/>
    </row>
    <row r="319" spans="18:30">
      <c r="R319" s="1194"/>
      <c r="S319" s="1195"/>
      <c r="T319" s="1195"/>
      <c r="U319" s="1195"/>
      <c r="V319" s="1195"/>
      <c r="W319" s="1195"/>
      <c r="X319" s="1196"/>
      <c r="Y319" s="1195"/>
      <c r="Z319" s="1195"/>
      <c r="AA319" s="1195"/>
      <c r="AB319" s="1195"/>
      <c r="AC319" s="1197"/>
      <c r="AD319" s="203"/>
    </row>
    <row r="320" spans="18:30">
      <c r="R320" s="1190"/>
      <c r="S320" s="1190"/>
      <c r="T320" s="1190"/>
      <c r="U320" s="1190"/>
      <c r="V320" s="1190"/>
      <c r="W320" s="1190"/>
      <c r="X320" s="1190"/>
      <c r="Y320" s="1190"/>
      <c r="Z320" s="1190"/>
      <c r="AA320" s="1190"/>
      <c r="AB320" s="1190"/>
      <c r="AC320" s="1190"/>
      <c r="AD320" s="44"/>
    </row>
    <row r="321" spans="18:30">
      <c r="R321" s="1190"/>
      <c r="S321" s="1190"/>
      <c r="T321" s="1190"/>
      <c r="U321" s="1190"/>
      <c r="V321" s="1190"/>
      <c r="W321" s="1190"/>
      <c r="X321" s="1190"/>
      <c r="Y321" s="1190"/>
      <c r="Z321" s="1190"/>
      <c r="AA321" s="1190"/>
      <c r="AB321" s="1190"/>
      <c r="AC321" s="1190"/>
      <c r="AD321" s="44"/>
    </row>
    <row r="322" spans="18:30">
      <c r="R322" s="1190"/>
      <c r="S322" s="1190"/>
      <c r="T322" s="1190"/>
      <c r="U322" s="1190"/>
      <c r="V322" s="1190"/>
      <c r="W322" s="1190"/>
      <c r="X322" s="1190"/>
      <c r="Y322" s="1190"/>
      <c r="Z322" s="1190"/>
      <c r="AA322" s="1190"/>
      <c r="AB322" s="1190"/>
      <c r="AC322" s="1190"/>
      <c r="AD322" s="44"/>
    </row>
    <row r="323" spans="18:30">
      <c r="R323" s="1190"/>
      <c r="S323" s="1190"/>
      <c r="T323" s="1190"/>
      <c r="U323" s="1190"/>
      <c r="V323" s="1190"/>
      <c r="W323" s="1190"/>
      <c r="X323" s="1190"/>
      <c r="Y323" s="1190"/>
      <c r="Z323" s="1190"/>
      <c r="AA323" s="1190"/>
      <c r="AB323" s="1190"/>
      <c r="AC323" s="1190"/>
      <c r="AD323" s="44"/>
    </row>
    <row r="324" spans="18:30">
      <c r="R324" s="1190"/>
      <c r="S324" s="1190"/>
      <c r="T324" s="1190"/>
      <c r="U324" s="1190"/>
      <c r="V324" s="1190"/>
      <c r="W324" s="1190"/>
      <c r="X324" s="1190"/>
      <c r="Y324" s="1190"/>
      <c r="Z324" s="1190"/>
      <c r="AA324" s="1190"/>
      <c r="AB324" s="1190"/>
      <c r="AC324" s="1190"/>
      <c r="AD324" s="44"/>
    </row>
    <row r="325" spans="18:30">
      <c r="R325" s="1190"/>
      <c r="S325" s="1190"/>
      <c r="T325" s="1190"/>
      <c r="U325" s="1190"/>
      <c r="V325" s="1190"/>
      <c r="W325" s="1190"/>
      <c r="X325" s="1190"/>
      <c r="Y325" s="1190"/>
      <c r="Z325" s="1190"/>
      <c r="AA325" s="1190"/>
      <c r="AB325" s="1190"/>
      <c r="AC325" s="1190"/>
    </row>
    <row r="326" spans="18:30">
      <c r="R326" s="1190"/>
      <c r="S326" s="1190"/>
      <c r="T326" s="1190"/>
      <c r="U326" s="1190"/>
      <c r="V326" s="1190"/>
      <c r="W326" s="1190"/>
      <c r="X326" s="1190"/>
      <c r="Y326" s="1190"/>
      <c r="Z326" s="1190"/>
      <c r="AA326" s="1190"/>
      <c r="AB326" s="1190"/>
      <c r="AC326" s="1190"/>
    </row>
    <row r="327" spans="18:30">
      <c r="R327" s="1190"/>
      <c r="S327" s="1190"/>
      <c r="T327" s="1190"/>
      <c r="U327" s="1190"/>
      <c r="V327" s="1190"/>
      <c r="W327" s="1190"/>
      <c r="X327" s="1190"/>
      <c r="Y327" s="1190"/>
      <c r="Z327" s="1190"/>
      <c r="AA327" s="1190"/>
      <c r="AB327" s="1190"/>
      <c r="AC327" s="1190"/>
    </row>
    <row r="328" spans="18:30">
      <c r="R328" s="1190"/>
      <c r="S328" s="1190"/>
      <c r="T328" s="1190"/>
      <c r="U328" s="1190"/>
      <c r="V328" s="1190"/>
      <c r="W328" s="1190"/>
      <c r="X328" s="1190"/>
      <c r="Y328" s="1190"/>
      <c r="Z328" s="1190"/>
      <c r="AA328" s="1190"/>
      <c r="AB328" s="1190"/>
      <c r="AC328" s="1190"/>
    </row>
    <row r="329" spans="18:30">
      <c r="R329" s="1190"/>
      <c r="S329" s="1190"/>
      <c r="T329" s="1190"/>
      <c r="U329" s="1190"/>
      <c r="V329" s="1190"/>
      <c r="W329" s="1190"/>
      <c r="X329" s="1190"/>
      <c r="Y329" s="1190"/>
      <c r="Z329" s="1190"/>
      <c r="AA329" s="1190"/>
      <c r="AB329" s="1190"/>
      <c r="AC329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1 O4:P26 B4:D18 E23:M26 F22:M22 E27:P164" name="Range1_65_32_32_30_30_30_30_30_30_30_30_30_30_30_30_30_30_30_30_30_30_30"/>
    <protectedRange algorithmName="SHA-512" hashValue="XYWjC+iAz2ErgjMh7TSLHlxfTfK0uVcITDFdCCZFdnsWWbUNnsQqu9AM+0WFXQpYcy9ZvQx2KUXfpLhpOROHkg==" saltValue="47TiGLG0rJVTo3iAJH8T4w==" spinCount="100000" sqref="B22:E22 B27:D164" name="Range2_5_2_2_2_2_2_2_2_2_2_2_2_2_2_2_2"/>
    <protectedRange algorithmName="SHA-512" hashValue="24Yg3M703G5L8OyJWxlkx8c1Gwfrkael5W/l3TUk/Rcz5tR8QOgCx5v0Ebb/UGz+9BDKPJ5wV4hH8uuxvmtGIw==" saltValue="ZSJQ8EEnwGxsiYzxIw6K0Q==" spinCount="100000" sqref="B22:E22 B27:D164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_2"/>
    <protectedRange algorithmName="SHA-512" hashValue="24Yg3M703G5L8OyJWxlkx8c1Gwfrkael5W/l3TUk/Rcz5tR8QOgCx5v0Ebb/UGz+9BDKPJ5wV4hH8uuxvmtGIw==" saltValue="ZSJQ8EEnwGxsiYzxIw6K0Q==" spinCount="100000" sqref="B19:D21" name="Range1_65_32_2_2_2_2_2_2_3_3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9:A20"/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conditionalFormatting sqref="S2:S33">
    <cfRule type="duplicateValues" dxfId="7" priority="39"/>
  </conditionalFormatting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6B35-9923-4B95-BDB8-CAB5A4F2DCE0}">
  <dimension ref="A1:AG287"/>
  <sheetViews>
    <sheetView showGridLines="0" topLeftCell="O78" zoomScale="55" zoomScaleNormal="55" workbookViewId="0">
      <selection activeCell="S97" sqref="S97"/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6" width="25.44140625" customWidth="1"/>
    <col min="17" max="17" width="9.109375" bestFit="1" customWidth="1"/>
    <col min="18" max="18" width="12.33203125" bestFit="1" customWidth="1"/>
    <col min="19" max="19" width="12" bestFit="1" customWidth="1"/>
    <col min="20" max="20" width="16.88671875" bestFit="1" customWidth="1"/>
    <col min="21" max="21" width="9.88671875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19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795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796</v>
      </c>
      <c r="B2" s="733"/>
      <c r="C2" s="733"/>
      <c r="D2" s="733"/>
      <c r="E2" s="735"/>
      <c r="F2" s="1536" t="s">
        <v>797</v>
      </c>
      <c r="G2" s="1536"/>
      <c r="H2" s="1536"/>
      <c r="I2" s="742"/>
      <c r="J2" s="1525" t="s">
        <v>798</v>
      </c>
      <c r="K2" s="1525"/>
      <c r="L2" s="1525"/>
      <c r="M2" s="735"/>
      <c r="N2" s="1535"/>
      <c r="O2" s="1535"/>
      <c r="P2" s="1535"/>
      <c r="R2" s="1360" t="s">
        <v>770</v>
      </c>
      <c r="S2" s="1364">
        <v>3331565735</v>
      </c>
      <c r="T2" s="1183" t="s">
        <v>189</v>
      </c>
      <c r="U2" s="1362">
        <v>24142106</v>
      </c>
      <c r="V2" s="1362" t="s">
        <v>772</v>
      </c>
      <c r="W2" s="1362" t="s">
        <v>362</v>
      </c>
      <c r="X2" s="1363">
        <v>25975.925999999999</v>
      </c>
      <c r="Y2" s="1361" t="s">
        <v>200</v>
      </c>
      <c r="Z2" s="1361">
        <v>1</v>
      </c>
      <c r="AA2" s="1361">
        <v>1</v>
      </c>
      <c r="AB2" s="1361" t="s">
        <v>207</v>
      </c>
      <c r="AC2" s="1217"/>
      <c r="AD2" s="81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360" t="s">
        <v>770</v>
      </c>
      <c r="S3" s="1364">
        <v>3331565740</v>
      </c>
      <c r="T3" s="1183" t="s">
        <v>189</v>
      </c>
      <c r="U3" s="1362">
        <v>24142108</v>
      </c>
      <c r="V3" s="1362" t="s">
        <v>772</v>
      </c>
      <c r="W3" s="1362" t="s">
        <v>362</v>
      </c>
      <c r="X3" s="1363">
        <v>24599.718000000001</v>
      </c>
      <c r="Y3" s="1361" t="s">
        <v>200</v>
      </c>
      <c r="Z3" s="1361">
        <v>1</v>
      </c>
      <c r="AA3" s="1361">
        <v>1</v>
      </c>
      <c r="AB3" s="1361" t="s">
        <v>207</v>
      </c>
      <c r="AC3" s="1366"/>
      <c r="AD3" s="124"/>
      <c r="AE3" s="44"/>
      <c r="AF3" s="44"/>
      <c r="AG3" s="44"/>
    </row>
    <row r="4" spans="1:33" ht="51.7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360" t="s">
        <v>770</v>
      </c>
      <c r="S4" s="1364">
        <v>3331565755</v>
      </c>
      <c r="T4" s="1183" t="s">
        <v>189</v>
      </c>
      <c r="U4" s="1362">
        <v>24142117</v>
      </c>
      <c r="V4" s="1362" t="s">
        <v>772</v>
      </c>
      <c r="W4" s="1362" t="s">
        <v>362</v>
      </c>
      <c r="X4" s="1363">
        <v>25547.59</v>
      </c>
      <c r="Y4" s="1361" t="s">
        <v>200</v>
      </c>
      <c r="Z4" s="1361">
        <v>1</v>
      </c>
      <c r="AA4" s="1361">
        <v>1</v>
      </c>
      <c r="AB4" s="1361" t="s">
        <v>207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SUMPRODUCT(--ISNUMBER(MATCH(TRIM(W1:W439), {"JABODETABEK","JAWA TENGAH","JAWA TIMUR","LUAR PULAU"}, 0)), --(AC1:AC439=""))</f>
        <v>55</v>
      </c>
      <c r="C5" s="1303" cm="1">
        <f t="array" ref="C5">SUMPRODUCT(--(LOWER(TRIM(AB1:AB465))="masuk"), --(ISNUMBER(MATCH(TRIM(W1:W465), {"JABODETABEK","JAWA TENGAH","JAWA TIMUR","LUAR PULAU"}, 0))), --(LOWER(AC1:AC465)&lt;&gt;"add"))</f>
        <v>42</v>
      </c>
      <c r="D5" s="1304">
        <f>C5+-B5</f>
        <v>-13</v>
      </c>
      <c r="E5" s="734"/>
      <c r="F5" s="1306" cm="1">
        <f t="array" ref="F5">SUMPRODUCT(--(LOWER(AC1:AC465)="add"), --(ISNUMBER(MATCH(W1:W465, {"JABODETABEK","JAWA TENGAH","JAWA TIMUR","LUAR PULAU"}, 0))))</f>
        <v>4</v>
      </c>
      <c r="G5" s="1303" cm="1">
        <f t="array" ref="G5">SUMPRODUCT(--(LOWER(AB1:AB465)="masuk"), --(LOWER(AC1:AC465)="add"))</f>
        <v>2</v>
      </c>
      <c r="H5" s="1304">
        <f>G5+-F5</f>
        <v>-2</v>
      </c>
      <c r="I5" s="734"/>
      <c r="J5" s="1306" cm="1">
        <f t="array" ref="J5">SUMPRODUCT(--(ISNUMBER(SEARCH("next day",LOWER(W1:W465)))+ISNUMBER(SEARCH("nextday",LOWER(W1:W465)))&gt; 0))</f>
        <v>1</v>
      </c>
      <c r="K5" s="1303" cm="1">
        <f t="array" ref="K5">SUMPRODUCT(--(LOWER(AB1:AB465)="masuk"), --ISNUMBER(SEARCH("next day", LOWER(W1:W465))))</f>
        <v>1</v>
      </c>
      <c r="L5" s="1304">
        <f>K5+-J5</f>
        <v>0</v>
      </c>
      <c r="M5" s="734"/>
      <c r="N5" s="1306">
        <f>B5+F5+J5</f>
        <v>60</v>
      </c>
      <c r="O5" s="1303">
        <f>C5+G5+K5</f>
        <v>45</v>
      </c>
      <c r="P5" s="1304">
        <f>D5+H5+L5</f>
        <v>-15</v>
      </c>
      <c r="R5" s="1360" t="s">
        <v>770</v>
      </c>
      <c r="S5" s="1364">
        <v>3331565761</v>
      </c>
      <c r="T5" s="1183" t="s">
        <v>189</v>
      </c>
      <c r="U5" s="1362">
        <v>24142121</v>
      </c>
      <c r="V5" s="1362" t="s">
        <v>772</v>
      </c>
      <c r="W5" s="1362" t="s">
        <v>362</v>
      </c>
      <c r="X5" s="1363">
        <v>26023.901000000002</v>
      </c>
      <c r="Y5" s="1361" t="s">
        <v>200</v>
      </c>
      <c r="Z5" s="1361">
        <v>1</v>
      </c>
      <c r="AA5" s="1361">
        <v>1</v>
      </c>
      <c r="AB5" s="1361" t="s">
        <v>207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55</v>
      </c>
      <c r="C6" s="733">
        <f>SUM(C5)</f>
        <v>42</v>
      </c>
      <c r="D6" s="739">
        <f>SUM(D5)</f>
        <v>-13</v>
      </c>
      <c r="E6" s="734"/>
      <c r="F6" s="733">
        <f>SUM(F5)</f>
        <v>4</v>
      </c>
      <c r="G6" s="733">
        <f>SUM(G5)</f>
        <v>2</v>
      </c>
      <c r="H6" s="739">
        <f>SUM(H5)</f>
        <v>-2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60</v>
      </c>
      <c r="O6" s="760">
        <f>SUM(O5:O5)</f>
        <v>45</v>
      </c>
      <c r="P6" s="761">
        <f>SUM(P5:P5)</f>
        <v>-15</v>
      </c>
      <c r="R6" s="1360" t="s">
        <v>770</v>
      </c>
      <c r="S6" s="1364">
        <v>3331565763</v>
      </c>
      <c r="T6" s="1183" t="s">
        <v>189</v>
      </c>
      <c r="U6" s="1362">
        <v>24142123</v>
      </c>
      <c r="V6" s="1362" t="s">
        <v>772</v>
      </c>
      <c r="W6" s="1362" t="s">
        <v>362</v>
      </c>
      <c r="X6" s="1363">
        <v>25374.385999999999</v>
      </c>
      <c r="Y6" s="1361" t="s">
        <v>200</v>
      </c>
      <c r="Z6" s="1361">
        <v>1</v>
      </c>
      <c r="AA6" s="1361">
        <v>1</v>
      </c>
      <c r="AB6" s="1361" t="s">
        <v>207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0" t="s">
        <v>773</v>
      </c>
      <c r="S7" s="1364">
        <v>3331563596</v>
      </c>
      <c r="T7" s="1361" t="s">
        <v>336</v>
      </c>
      <c r="U7" s="1362">
        <v>24142168</v>
      </c>
      <c r="V7" s="1362" t="s">
        <v>529</v>
      </c>
      <c r="W7" s="1362" t="s">
        <v>434</v>
      </c>
      <c r="X7" s="1363">
        <f>13726.417+4214.637+2052.24+9127.438+7866.92</f>
        <v>36987.652000000002</v>
      </c>
      <c r="Y7" s="1361" t="s">
        <v>128</v>
      </c>
      <c r="Z7" s="1361">
        <v>1</v>
      </c>
      <c r="AA7" s="1361">
        <v>1</v>
      </c>
      <c r="AB7" s="1361" t="s">
        <v>207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29 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60" t="s">
        <v>773</v>
      </c>
      <c r="S8" s="1364">
        <v>3331565997</v>
      </c>
      <c r="T8" s="1361" t="s">
        <v>256</v>
      </c>
      <c r="U8" s="1362" t="s">
        <v>256</v>
      </c>
      <c r="V8" s="1362" t="s">
        <v>256</v>
      </c>
      <c r="W8" s="1362" t="s">
        <v>256</v>
      </c>
      <c r="X8" s="1363" t="s">
        <v>256</v>
      </c>
      <c r="Y8" s="1361" t="s">
        <v>256</v>
      </c>
      <c r="Z8" s="1361" t="s">
        <v>256</v>
      </c>
      <c r="AA8" s="1361" t="s">
        <v>256</v>
      </c>
      <c r="AB8" s="1361" t="s">
        <v>256</v>
      </c>
      <c r="AC8" s="1271"/>
      <c r="AD8" s="81"/>
      <c r="AE8" s="44"/>
      <c r="AF8" s="44"/>
      <c r="AG8" s="44"/>
    </row>
    <row r="9" spans="1:33" ht="18">
      <c r="A9" s="763" t="str">
        <f>A2</f>
        <v>Realz update 30 OKT’25 jam 07.00</v>
      </c>
      <c r="B9" s="825"/>
      <c r="C9" s="825"/>
      <c r="D9" s="825"/>
      <c r="E9" s="734"/>
      <c r="F9" s="1525" t="str">
        <f>F2</f>
        <v>Tgl 29 OKT’25 diatas jam 15.00</v>
      </c>
      <c r="G9" s="1525"/>
      <c r="H9" s="1525"/>
      <c r="I9" s="826"/>
      <c r="J9" s="1525" t="str">
        <f>J2</f>
        <v>Tgl 29 OKT’25</v>
      </c>
      <c r="K9" s="1525"/>
      <c r="L9" s="1525"/>
      <c r="M9" s="734"/>
      <c r="N9" s="1526"/>
      <c r="O9" s="1526"/>
      <c r="P9" s="1526"/>
      <c r="R9" s="1360" t="s">
        <v>773</v>
      </c>
      <c r="S9" s="1364">
        <v>3331566000</v>
      </c>
      <c r="T9" s="1361" t="s">
        <v>256</v>
      </c>
      <c r="U9" s="1362" t="s">
        <v>256</v>
      </c>
      <c r="V9" s="1362" t="s">
        <v>256</v>
      </c>
      <c r="W9" s="1362" t="s">
        <v>256</v>
      </c>
      <c r="X9" s="1363" t="s">
        <v>256</v>
      </c>
      <c r="Y9" s="1361" t="s">
        <v>256</v>
      </c>
      <c r="Z9" s="1361" t="s">
        <v>256</v>
      </c>
      <c r="AA9" s="1361" t="s">
        <v>256</v>
      </c>
      <c r="AB9" s="1361" t="s">
        <v>256</v>
      </c>
      <c r="AC9" s="1217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360" t="s">
        <v>452</v>
      </c>
      <c r="S10" s="1364">
        <v>3331566006</v>
      </c>
      <c r="T10" s="1361" t="s">
        <v>256</v>
      </c>
      <c r="U10" s="1362" t="s">
        <v>256</v>
      </c>
      <c r="V10" s="1362" t="s">
        <v>256</v>
      </c>
      <c r="W10" s="1362" t="s">
        <v>256</v>
      </c>
      <c r="X10" s="1363" t="s">
        <v>256</v>
      </c>
      <c r="Y10" s="1361" t="s">
        <v>256</v>
      </c>
      <c r="Z10" s="1361" t="s">
        <v>256</v>
      </c>
      <c r="AA10" s="1361" t="s">
        <v>256</v>
      </c>
      <c r="AB10" s="1361" t="s">
        <v>256</v>
      </c>
      <c r="AC10" s="1271"/>
      <c r="AD10" s="81"/>
      <c r="AE10" s="44"/>
      <c r="AF10" s="44"/>
      <c r="AG10" s="44"/>
    </row>
    <row r="11" spans="1:33" ht="27.6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360" t="s">
        <v>773</v>
      </c>
      <c r="S11" s="1364">
        <v>3331566007</v>
      </c>
      <c r="T11" s="1361" t="s">
        <v>256</v>
      </c>
      <c r="U11" s="1362" t="s">
        <v>256</v>
      </c>
      <c r="V11" s="1362" t="s">
        <v>256</v>
      </c>
      <c r="W11" s="1362" t="s">
        <v>256</v>
      </c>
      <c r="X11" s="1363" t="s">
        <v>256</v>
      </c>
      <c r="Y11" s="1361" t="s">
        <v>256</v>
      </c>
      <c r="Z11" s="1361" t="s">
        <v>256</v>
      </c>
      <c r="AA11" s="1361" t="s">
        <v>256</v>
      </c>
      <c r="AB11" s="1361" t="s">
        <v>256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SUMPRODUCT(--(TRIM(LOWER(W1:W465))="jabodetabek"), --(LOWER(AC1:AC465)&lt;&gt;"add"))</f>
        <v>27</v>
      </c>
      <c r="C12" s="748" cm="1">
        <f t="array" ref="C12">SUMPRODUCT(--(LOWER(AB1:AB465)="masuk"), --(TRIM(LOWER(W1:W465))="jabodetabek"), --(LOWER(AC1:AC465)&lt;&gt;"add"))</f>
        <v>27</v>
      </c>
      <c r="D12" s="973">
        <f>C12+-B12</f>
        <v>0</v>
      </c>
      <c r="E12" s="734"/>
      <c r="F12" s="748" cm="1">
        <f t="array" ref="F12">SUMPRODUCT(--(LOWER(AC1:AC465)="add"), --(TRIM(LOWER(W1:W465))="jabodetabek"))</f>
        <v>1</v>
      </c>
      <c r="G12" s="747" cm="1">
        <f t="array" ref="G12">SUMPRODUCT(--(LOWER(AB1:AB465)="masuk"), --(LOWER(AC1:AC465)="add"), --(TRIM(LOWER(W1:W465))="jabodetabek"))</f>
        <v>1</v>
      </c>
      <c r="H12" s="740">
        <f>G12+-F12</f>
        <v>0</v>
      </c>
      <c r="I12" s="734"/>
      <c r="J12" s="748" cm="1">
        <f t="array" ref="J12">SUMPRODUCT(--(ISNUMBER(SEARCH("jabodetabek next day",LOWER(W1:W465)))+ISNUMBER(SEARCH("jabodetabek nextday",LOWER(W1:W465)))&gt; 0))</f>
        <v>0</v>
      </c>
      <c r="K12" s="747" cm="1">
        <f t="array" ref="K12">SUMPRODUCT(--(LOWER(AB1:AB465)="masuk"), --(LOWER(TRIM(W1:W465))="jabodetabek next day"))</f>
        <v>0</v>
      </c>
      <c r="L12" s="740">
        <f>K12+-J12</f>
        <v>0</v>
      </c>
      <c r="M12" s="734"/>
      <c r="N12" s="748">
        <f t="shared" ref="N12:P16" si="0">B12+F12+J12</f>
        <v>28</v>
      </c>
      <c r="O12" s="747">
        <f t="shared" si="0"/>
        <v>28</v>
      </c>
      <c r="P12" s="740">
        <f t="shared" si="0"/>
        <v>0</v>
      </c>
      <c r="R12" s="1360" t="s">
        <v>773</v>
      </c>
      <c r="S12" s="1364">
        <v>3331566011</v>
      </c>
      <c r="T12" s="1361" t="s">
        <v>256</v>
      </c>
      <c r="U12" s="1362" t="s">
        <v>256</v>
      </c>
      <c r="V12" s="1362" t="s">
        <v>256</v>
      </c>
      <c r="W12" s="1362" t="s">
        <v>256</v>
      </c>
      <c r="X12" s="1363" t="s">
        <v>256</v>
      </c>
      <c r="Y12" s="1361" t="s">
        <v>256</v>
      </c>
      <c r="Z12" s="1361" t="s">
        <v>256</v>
      </c>
      <c r="AA12" s="1361" t="s">
        <v>256</v>
      </c>
      <c r="AB12" s="1361" t="s">
        <v>256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SUMPRODUCT(--(TRIM(LOWER(W1:W465))="jawa tengah"), --(LOWER(AC1:AC465)&lt;&gt;"add"))</f>
        <v>2</v>
      </c>
      <c r="C13" s="750" cm="1">
        <f t="array" ref="C13">SUMPRODUCT(--(LOWER(AB1:AB465)="masuk"), --(TRIM(LOWER(W1:W465))="jawa tengah"), --(LOWER(AC1:AC465)&lt;&gt;"add"))</f>
        <v>1</v>
      </c>
      <c r="D13" s="846">
        <f>C13+-B13</f>
        <v>-1</v>
      </c>
      <c r="E13" s="734"/>
      <c r="F13" s="751" cm="1">
        <f t="array" ref="F13">SUMPRODUCT(--(LOWER(AC1:AC465)="add"), --(TRIM(LOWER(W1:W465))="jawa tengah"))</f>
        <v>0</v>
      </c>
      <c r="G13" s="747" cm="1">
        <f t="array" ref="G13">SUMPRODUCT(--(LOWER(AB1:AB465)="masuk"), --(LOWER(AC1:AC465)="add"), --(TRIM(LOWER(W1:W465))="jawa tengah"))</f>
        <v>0</v>
      </c>
      <c r="H13" s="740">
        <f>G13+-F13</f>
        <v>0</v>
      </c>
      <c r="I13" s="734"/>
      <c r="J13" s="748" cm="1">
        <f t="array" ref="J13">SUMPRODUCT(--((LOWER(TRIM(W1:W465))="jawa tengah next day")+(LOWER(TRIM(W1:W465))="jawa tengah nextday")))</f>
        <v>1</v>
      </c>
      <c r="K13" s="747" cm="1">
        <f t="array" ref="K13">SUMPRODUCT(--(LOWER(AB1:AB465)="masuk"), --(LOWER(TRIM(W1:W465))="jawa tengah next day"))</f>
        <v>1</v>
      </c>
      <c r="L13" s="740">
        <f>K13+-J13</f>
        <v>0</v>
      </c>
      <c r="M13" s="734"/>
      <c r="N13" s="748">
        <f t="shared" si="0"/>
        <v>3</v>
      </c>
      <c r="O13" s="747">
        <f t="shared" si="0"/>
        <v>2</v>
      </c>
      <c r="P13" s="740">
        <f t="shared" si="0"/>
        <v>-1</v>
      </c>
      <c r="R13" s="1368" t="s">
        <v>773</v>
      </c>
      <c r="S13" s="1372">
        <v>3331566071</v>
      </c>
      <c r="T13" s="1369" t="s">
        <v>799</v>
      </c>
      <c r="U13" s="1373">
        <v>24142177</v>
      </c>
      <c r="V13" s="1373" t="s">
        <v>729</v>
      </c>
      <c r="W13" s="1373" t="s">
        <v>344</v>
      </c>
      <c r="X13" s="1374">
        <v>25545.861000000001</v>
      </c>
      <c r="Y13" s="1369" t="s">
        <v>800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SUMPRODUCT(--(TRIM(LOWER(W1:W465))="jawa timur"), --(LOWER(AC1:AC465)&lt;&gt;"add"))</f>
        <v>12</v>
      </c>
      <c r="C14" s="750" cm="1">
        <f t="array" ref="C14">SUMPRODUCT(--(LOWER(AB1:AB465)="masuk"), --(TRIM(LOWER(W1:W465))="jawa timur"), --(LOWER(AC1:AC465)&lt;&gt;"add"))</f>
        <v>12</v>
      </c>
      <c r="D14" s="846">
        <f>C14+-B14</f>
        <v>0</v>
      </c>
      <c r="E14" s="734"/>
      <c r="F14" s="750" cm="1">
        <f t="array" ref="F14">SUMPRODUCT(--(LOWER(AC1:AC465)="add"), --(TRIM(LOWER(W1:W465))="jawa timur"))</f>
        <v>0</v>
      </c>
      <c r="G14" s="747" cm="1">
        <f t="array" ref="G14">SUMPRODUCT(--(LOWER(AB1:AB465)="masuk"), --(LOWER(AC1:AC465)="add"), --(TRIM(LOWER(W1:W465))="jawa timur"))</f>
        <v>0</v>
      </c>
      <c r="H14" s="740">
        <f>G14+-F14</f>
        <v>0</v>
      </c>
      <c r="I14" s="734"/>
      <c r="J14" s="748" cm="1">
        <f t="array" ref="J14">SUMPRODUCT(--((LOWER(TRIM(W1:W465))="jawa timur next day")+(LOWER(TRIM(W1:W465))="jawa timur nextday")))</f>
        <v>0</v>
      </c>
      <c r="K14" s="747" cm="1">
        <f t="array" ref="K14">SUMPRODUCT(--(LOWER(AB1:AB465)="masuk"), --(LOWER(TRIM(W1:W465))="jawa timur next day"))</f>
        <v>0</v>
      </c>
      <c r="L14" s="740">
        <f>K14+-J14</f>
        <v>0</v>
      </c>
      <c r="M14" s="734"/>
      <c r="N14" s="748">
        <f t="shared" si="0"/>
        <v>12</v>
      </c>
      <c r="O14" s="747">
        <f t="shared" si="0"/>
        <v>12</v>
      </c>
      <c r="P14" s="740">
        <f t="shared" si="0"/>
        <v>0</v>
      </c>
      <c r="R14" s="1368" t="s">
        <v>773</v>
      </c>
      <c r="S14" s="1372">
        <v>3331566117</v>
      </c>
      <c r="T14" s="1369" t="s">
        <v>336</v>
      </c>
      <c r="U14" s="1373">
        <v>24142181</v>
      </c>
      <c r="V14" s="1373" t="s">
        <v>516</v>
      </c>
      <c r="W14" s="1373" t="s">
        <v>205</v>
      </c>
      <c r="X14" s="1374">
        <v>34276.436999999998</v>
      </c>
      <c r="Y14" s="1369" t="s">
        <v>128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SUMPRODUCT(--(TRIM(LOWER(W1:W465))="luar pulau"), --(LOWER(AC1:AC465)&lt;&gt;"add"))</f>
        <v>14</v>
      </c>
      <c r="C15" s="750" cm="1">
        <f t="array" ref="C15">SUMPRODUCT(--(LOWER(AB1:AB465)="masuk"), --(TRIM(LOWER(W1:W465))="luar pulau"), --(LOWER(AC1:AC465)&lt;&gt;"add"))</f>
        <v>2</v>
      </c>
      <c r="D15" s="846">
        <f>C15+-B15</f>
        <v>-12</v>
      </c>
      <c r="E15" s="734"/>
      <c r="F15" s="748" cm="1">
        <f t="array" ref="F15">SUMPRODUCT(--(LOWER(AC1:AC465)="add"), --(TRIM(LOWER(W1:W465))="luar pulau"))</f>
        <v>3</v>
      </c>
      <c r="G15" s="747" cm="1">
        <f t="array" ref="G15">SUMPRODUCT(--(LOWER(AB1:AB465)="masuk"), --(LOWER(AC1:AC465)="add"), --(TRIM(LOWER(W1:W465))="luar pulau"))</f>
        <v>1</v>
      </c>
      <c r="H15" s="740">
        <f>G15+-F15</f>
        <v>-2</v>
      </c>
      <c r="I15" s="734"/>
      <c r="J15" s="748" cm="1">
        <f t="array" ref="J15">SUMPRODUCT(--((LOWER(TRIM(W1:W465))="luar pulau next day")+(LOWER(TRIM(W1:W465))="luar pulau nextday")))</f>
        <v>0</v>
      </c>
      <c r="K15" s="747" cm="1">
        <f t="array" ref="K15">SUMPRODUCT(--(LOWER(AB1:AB465)="masuk"), --(LOWER(TRIM(W1:W465))="luar pulau next day"))</f>
        <v>0</v>
      </c>
      <c r="L15" s="740">
        <f>K15+-J15</f>
        <v>0</v>
      </c>
      <c r="M15" s="734"/>
      <c r="N15" s="748">
        <f t="shared" si="0"/>
        <v>17</v>
      </c>
      <c r="O15" s="747">
        <f t="shared" si="0"/>
        <v>3</v>
      </c>
      <c r="P15" s="740">
        <f t="shared" si="0"/>
        <v>-14</v>
      </c>
      <c r="R15" s="1368" t="s">
        <v>773</v>
      </c>
      <c r="S15" s="1372">
        <v>3331566148</v>
      </c>
      <c r="T15" s="1369" t="s">
        <v>801</v>
      </c>
      <c r="U15" s="1373">
        <v>24142194</v>
      </c>
      <c r="V15" s="1373" t="s">
        <v>802</v>
      </c>
      <c r="W15" s="1373" t="s">
        <v>205</v>
      </c>
      <c r="X15" s="1374">
        <v>24045.502</v>
      </c>
      <c r="Y15" s="1369" t="s">
        <v>200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55</v>
      </c>
      <c r="C16" s="733">
        <f>SUM(C12:C15)</f>
        <v>42</v>
      </c>
      <c r="D16" s="739">
        <f>SUM(D12:D15)</f>
        <v>-13</v>
      </c>
      <c r="E16" s="734"/>
      <c r="F16" s="733">
        <f>SUM(F12:F15)</f>
        <v>4</v>
      </c>
      <c r="G16" s="733">
        <f>SUM(G12:G15)</f>
        <v>2</v>
      </c>
      <c r="H16" s="739">
        <f>SUM(H12:H15)</f>
        <v>-2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60</v>
      </c>
      <c r="O16" s="760">
        <f t="shared" si="0"/>
        <v>45</v>
      </c>
      <c r="P16" s="761">
        <f t="shared" si="0"/>
        <v>-15</v>
      </c>
      <c r="R16" s="1368" t="s">
        <v>773</v>
      </c>
      <c r="S16" s="1372">
        <v>3331566149</v>
      </c>
      <c r="T16" s="1369" t="s">
        <v>801</v>
      </c>
      <c r="U16" s="1373">
        <v>24142195</v>
      </c>
      <c r="V16" s="1373" t="s">
        <v>802</v>
      </c>
      <c r="W16" s="1373" t="s">
        <v>205</v>
      </c>
      <c r="X16" s="1374">
        <v>24045.502</v>
      </c>
      <c r="Y16" s="1369" t="s">
        <v>200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8" t="s">
        <v>773</v>
      </c>
      <c r="S17" s="1372">
        <v>3331566150</v>
      </c>
      <c r="T17" s="1369" t="s">
        <v>801</v>
      </c>
      <c r="U17" s="1373"/>
      <c r="V17" s="1373" t="s">
        <v>802</v>
      </c>
      <c r="W17" s="1373" t="s">
        <v>205</v>
      </c>
      <c r="X17" s="1374">
        <f>21198.583+1603.031</f>
        <v>22801.613999999998</v>
      </c>
      <c r="Y17" s="1369" t="s">
        <v>200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773</v>
      </c>
      <c r="S18" s="1372">
        <v>3331566151</v>
      </c>
      <c r="T18" s="1369" t="s">
        <v>256</v>
      </c>
      <c r="U18" s="1373" t="s">
        <v>256</v>
      </c>
      <c r="V18" s="1227" t="s">
        <v>256</v>
      </c>
      <c r="W18" s="1373" t="s">
        <v>256</v>
      </c>
      <c r="X18" s="1374" t="s">
        <v>256</v>
      </c>
      <c r="Y18" s="1369" t="s">
        <v>256</v>
      </c>
      <c r="Z18" s="1369" t="s">
        <v>256</v>
      </c>
      <c r="AA18" s="1369" t="s">
        <v>256</v>
      </c>
      <c r="AB18" s="1369"/>
      <c r="AC18" s="1271"/>
      <c r="AD18" s="81"/>
    </row>
    <row r="19" spans="1:30" s="44" customFormat="1" ht="17.399999999999999">
      <c r="A19" s="1520" t="s">
        <v>434</v>
      </c>
      <c r="B19" s="1522" t="s">
        <v>415</v>
      </c>
      <c r="C19" s="1523"/>
      <c r="D19" s="152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404" t="s">
        <v>773</v>
      </c>
      <c r="S19" s="1405">
        <v>3331566155</v>
      </c>
      <c r="T19" s="1369" t="s">
        <v>801</v>
      </c>
      <c r="U19" s="1407">
        <v>24142197</v>
      </c>
      <c r="V19" s="1373" t="s">
        <v>802</v>
      </c>
      <c r="W19" s="1373" t="s">
        <v>205</v>
      </c>
      <c r="X19" s="1409">
        <v>22074.557000000001</v>
      </c>
      <c r="Y19" s="1369" t="s">
        <v>200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7.399999999999999">
      <c r="A20" s="1521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68" t="s">
        <v>773</v>
      </c>
      <c r="S20" s="1372">
        <v>3331566156</v>
      </c>
      <c r="T20" s="1369" t="s">
        <v>801</v>
      </c>
      <c r="U20" s="1373">
        <v>24142198</v>
      </c>
      <c r="V20" s="1373" t="s">
        <v>802</v>
      </c>
      <c r="W20" s="1373" t="s">
        <v>205</v>
      </c>
      <c r="X20" s="1374">
        <v>20602.919999999998</v>
      </c>
      <c r="Y20" s="1369" t="s">
        <v>200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SUMPRODUCT(--((LOWER(TRIM($W$2:$W$244))="ambil sendiri")+(LOWER(TRIM($W$2:$W$244))="cokot sorangan")))</f>
        <v>5</v>
      </c>
      <c r="C21" s="969" cm="1">
        <f t="array" ref="C21">SUMPRODUCT(--(LOWER(AB6:AB274)="masuk"), --((LOWER(TRIM($W$2:$W$270))="cokot sorangan") + (LOWER(TRIM(W6:W274))="ambil sendiri")))</f>
        <v>2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0" t="s">
        <v>774</v>
      </c>
      <c r="S21" s="1364">
        <v>3331566279</v>
      </c>
      <c r="T21" s="1183" t="s">
        <v>189</v>
      </c>
      <c r="U21" s="1362">
        <v>24142209</v>
      </c>
      <c r="V21" s="1362" t="s">
        <v>772</v>
      </c>
      <c r="W21" s="1362" t="s">
        <v>362</v>
      </c>
      <c r="X21" s="1363">
        <v>24771.743999999999</v>
      </c>
      <c r="Y21" s="1361" t="s">
        <v>200</v>
      </c>
      <c r="Z21" s="1361">
        <v>1</v>
      </c>
      <c r="AA21" s="1361">
        <v>1</v>
      </c>
      <c r="AB21" s="1361" t="s">
        <v>207</v>
      </c>
      <c r="AC21" s="1271"/>
      <c r="AD21" s="81"/>
    </row>
    <row r="22" spans="1:30" s="44" customFormat="1" ht="17.399999999999999">
      <c r="A22" s="993"/>
      <c r="B22" s="1021"/>
      <c r="C22" s="1021"/>
      <c r="D22" s="1021"/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0" t="s">
        <v>774</v>
      </c>
      <c r="S22" s="1364">
        <v>3331566281</v>
      </c>
      <c r="T22" s="1183" t="s">
        <v>189</v>
      </c>
      <c r="U22" s="1362">
        <v>24142210</v>
      </c>
      <c r="V22" s="1362" t="s">
        <v>772</v>
      </c>
      <c r="W22" s="1362" t="s">
        <v>362</v>
      </c>
      <c r="X22" s="1363">
        <v>24599.718000000001</v>
      </c>
      <c r="Y22" s="1361" t="s">
        <v>200</v>
      </c>
      <c r="Z22" s="1361">
        <v>1</v>
      </c>
      <c r="AA22" s="1361">
        <v>1</v>
      </c>
      <c r="AB22" s="1361" t="s">
        <v>207</v>
      </c>
      <c r="AC22" s="1271"/>
      <c r="AD22" s="81"/>
    </row>
    <row r="23" spans="1:30" s="44" customFormat="1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74" t="s">
        <v>774</v>
      </c>
      <c r="S23" s="105">
        <v>3331566282</v>
      </c>
      <c r="T23" s="1264" t="s">
        <v>730</v>
      </c>
      <c r="U23" s="105">
        <v>24142211</v>
      </c>
      <c r="V23" s="1373" t="s">
        <v>772</v>
      </c>
      <c r="W23" s="1373" t="s">
        <v>362</v>
      </c>
      <c r="X23" s="209">
        <v>25115.795999999998</v>
      </c>
      <c r="Y23" s="1369" t="s">
        <v>200</v>
      </c>
      <c r="Z23" s="1369">
        <v>1</v>
      </c>
      <c r="AA23" s="1369">
        <v>1</v>
      </c>
      <c r="AB23" s="1369" t="s">
        <v>204</v>
      </c>
      <c r="AC23" s="1271"/>
      <c r="AD23" s="81"/>
    </row>
    <row r="24" spans="1:30" s="44" customFormat="1" ht="17.399999999999999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74" t="s">
        <v>774</v>
      </c>
      <c r="S24" s="105">
        <v>3331566284</v>
      </c>
      <c r="T24" s="1264" t="s">
        <v>730</v>
      </c>
      <c r="U24" s="105">
        <v>24142212</v>
      </c>
      <c r="V24" s="1373" t="s">
        <v>772</v>
      </c>
      <c r="W24" s="1373" t="s">
        <v>362</v>
      </c>
      <c r="X24" s="209">
        <v>25115.795999999998</v>
      </c>
      <c r="Y24" s="1369" t="s">
        <v>200</v>
      </c>
      <c r="Z24" s="1369">
        <v>1</v>
      </c>
      <c r="AA24" s="1369">
        <v>1</v>
      </c>
      <c r="AB24" s="1369" t="s">
        <v>204</v>
      </c>
      <c r="AC24" s="1271"/>
      <c r="AD24" s="81"/>
    </row>
    <row r="25" spans="1:30" s="44" customFormat="1" ht="17.399999999999999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26" t="s">
        <v>774</v>
      </c>
      <c r="S25" s="81">
        <v>3331566287</v>
      </c>
      <c r="T25" s="1294" t="s">
        <v>789</v>
      </c>
      <c r="U25" s="81">
        <v>24142213</v>
      </c>
      <c r="V25" s="1362" t="s">
        <v>772</v>
      </c>
      <c r="W25" s="1362" t="s">
        <v>362</v>
      </c>
      <c r="X25" s="191">
        <v>23352.53</v>
      </c>
      <c r="Y25" s="1361" t="s">
        <v>200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26" t="s">
        <v>774</v>
      </c>
      <c r="S26" s="81">
        <v>3331566289</v>
      </c>
      <c r="T26" s="1294" t="s">
        <v>789</v>
      </c>
      <c r="U26" s="81">
        <v>24142214</v>
      </c>
      <c r="V26" s="1362" t="s">
        <v>772</v>
      </c>
      <c r="W26" s="1362" t="s">
        <v>362</v>
      </c>
      <c r="X26" s="191">
        <v>25889.913</v>
      </c>
      <c r="Y26" s="1361" t="s">
        <v>200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26" t="s">
        <v>774</v>
      </c>
      <c r="S27" s="81">
        <v>3331566292</v>
      </c>
      <c r="T27" s="1294" t="s">
        <v>599</v>
      </c>
      <c r="U27" s="81">
        <v>24142215</v>
      </c>
      <c r="V27" s="1362" t="s">
        <v>772</v>
      </c>
      <c r="W27" s="1362" t="s">
        <v>362</v>
      </c>
      <c r="X27" s="191">
        <v>25588.866999999998</v>
      </c>
      <c r="Y27" s="1361" t="s">
        <v>200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0" t="s">
        <v>774</v>
      </c>
      <c r="S28" s="1364">
        <v>3331566297</v>
      </c>
      <c r="T28" s="1294" t="s">
        <v>608</v>
      </c>
      <c r="U28" s="1362">
        <v>24142216</v>
      </c>
      <c r="V28" s="1362" t="s">
        <v>772</v>
      </c>
      <c r="W28" s="1362" t="s">
        <v>362</v>
      </c>
      <c r="X28" s="1363">
        <v>24685.732</v>
      </c>
      <c r="Y28" s="1361" t="s">
        <v>200</v>
      </c>
      <c r="Z28" s="1361">
        <v>1</v>
      </c>
      <c r="AA28" s="1361">
        <v>1</v>
      </c>
      <c r="AB28" s="1361" t="s">
        <v>207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26" t="s">
        <v>774</v>
      </c>
      <c r="S29" s="81">
        <v>3331566304</v>
      </c>
      <c r="T29" s="1294" t="s">
        <v>599</v>
      </c>
      <c r="U29" s="81">
        <v>24142217</v>
      </c>
      <c r="V29" s="1362" t="s">
        <v>772</v>
      </c>
      <c r="W29" s="1362" t="s">
        <v>362</v>
      </c>
      <c r="X29" s="191">
        <f>1861.943+22578.664</f>
        <v>24440.607</v>
      </c>
      <c r="Y29" s="1361" t="s">
        <v>200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26" t="s">
        <v>774</v>
      </c>
      <c r="S30" s="81">
        <v>3331566306</v>
      </c>
      <c r="T30" s="81" t="s">
        <v>256</v>
      </c>
      <c r="U30" s="81" t="s">
        <v>256</v>
      </c>
      <c r="V30" s="1362" t="s">
        <v>256</v>
      </c>
      <c r="W30" s="1362" t="s">
        <v>256</v>
      </c>
      <c r="X30" s="191" t="s">
        <v>256</v>
      </c>
      <c r="Y30" s="81" t="s">
        <v>256</v>
      </c>
      <c r="Z30" s="81" t="s">
        <v>256</v>
      </c>
      <c r="AA30" s="81" t="s">
        <v>256</v>
      </c>
      <c r="AB30" s="81" t="s">
        <v>256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74" t="s">
        <v>774</v>
      </c>
      <c r="S31" s="105">
        <v>3331565998</v>
      </c>
      <c r="T31" s="105" t="s">
        <v>336</v>
      </c>
      <c r="U31" s="105">
        <v>24142227</v>
      </c>
      <c r="V31" s="1202" t="s">
        <v>413</v>
      </c>
      <c r="W31" s="105" t="s">
        <v>205</v>
      </c>
      <c r="X31" s="209">
        <f>2223.26+13509.912+2338.254+18354.47</f>
        <v>36425.896000000001</v>
      </c>
      <c r="Y31" s="105" t="s">
        <v>128</v>
      </c>
      <c r="Z31" s="1369">
        <v>1</v>
      </c>
      <c r="AA31" s="1369">
        <v>1</v>
      </c>
      <c r="AB31" s="1369" t="s">
        <v>204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174" t="s">
        <v>774</v>
      </c>
      <c r="S32" s="105">
        <v>3331566323</v>
      </c>
      <c r="T32" s="105" t="s">
        <v>256</v>
      </c>
      <c r="U32" s="105" t="s">
        <v>256</v>
      </c>
      <c r="V32" s="1202" t="s">
        <v>256</v>
      </c>
      <c r="W32" s="105" t="s">
        <v>256</v>
      </c>
      <c r="X32" s="209" t="s">
        <v>256</v>
      </c>
      <c r="Y32" s="105" t="s">
        <v>256</v>
      </c>
      <c r="Z32" s="105" t="s">
        <v>256</v>
      </c>
      <c r="AA32" s="105" t="s">
        <v>256</v>
      </c>
      <c r="AB32" s="105" t="s">
        <v>256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174" t="s">
        <v>774</v>
      </c>
      <c r="S33" s="105">
        <v>3331566329</v>
      </c>
      <c r="T33" s="105" t="s">
        <v>256</v>
      </c>
      <c r="U33" s="105" t="s">
        <v>256</v>
      </c>
      <c r="V33" s="1202" t="s">
        <v>256</v>
      </c>
      <c r="W33" s="105" t="s">
        <v>256</v>
      </c>
      <c r="X33" s="209" t="s">
        <v>256</v>
      </c>
      <c r="Y33" s="105" t="s">
        <v>256</v>
      </c>
      <c r="Z33" s="105" t="s">
        <v>256</v>
      </c>
      <c r="AA33" s="105" t="s">
        <v>256</v>
      </c>
      <c r="AB33" s="105" t="s">
        <v>256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174" t="s">
        <v>774</v>
      </c>
      <c r="S34" s="105">
        <v>3331566340</v>
      </c>
      <c r="T34" s="105" t="s">
        <v>256</v>
      </c>
      <c r="U34" s="105" t="s">
        <v>256</v>
      </c>
      <c r="V34" s="1202" t="s">
        <v>256</v>
      </c>
      <c r="W34" s="105" t="s">
        <v>256</v>
      </c>
      <c r="X34" s="209" t="s">
        <v>256</v>
      </c>
      <c r="Y34" s="105" t="s">
        <v>256</v>
      </c>
      <c r="Z34" s="105" t="s">
        <v>256</v>
      </c>
      <c r="AA34" s="105" t="s">
        <v>256</v>
      </c>
      <c r="AB34" s="105" t="s">
        <v>256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0" t="s">
        <v>774</v>
      </c>
      <c r="S35" s="1364">
        <v>3331566379</v>
      </c>
      <c r="T35" s="1361" t="s">
        <v>206</v>
      </c>
      <c r="U35" s="1362">
        <v>24142239</v>
      </c>
      <c r="V35" s="1362" t="s">
        <v>729</v>
      </c>
      <c r="W35" s="1362" t="s">
        <v>203</v>
      </c>
      <c r="X35" s="1363">
        <f>35171.772+2064.312</f>
        <v>37236.083999999995</v>
      </c>
      <c r="Y35" s="81" t="s">
        <v>128</v>
      </c>
      <c r="Z35" s="1361">
        <v>1</v>
      </c>
      <c r="AA35" s="1361">
        <v>1</v>
      </c>
      <c r="AB35" s="1361" t="s">
        <v>207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360" t="s">
        <v>774</v>
      </c>
      <c r="S36" s="1364">
        <v>3331566399</v>
      </c>
      <c r="T36" s="1361" t="s">
        <v>256</v>
      </c>
      <c r="U36" s="1362" t="s">
        <v>256</v>
      </c>
      <c r="V36" s="1362" t="s">
        <v>256</v>
      </c>
      <c r="W36" s="1362" t="s">
        <v>256</v>
      </c>
      <c r="X36" s="1363" t="s">
        <v>256</v>
      </c>
      <c r="Y36" s="1361" t="s">
        <v>256</v>
      </c>
      <c r="Z36" s="1411" t="s">
        <v>256</v>
      </c>
      <c r="AA36" s="1361" t="s">
        <v>256</v>
      </c>
      <c r="AB36" s="1361" t="s">
        <v>256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26" t="s">
        <v>774</v>
      </c>
      <c r="S37" s="81">
        <v>3331566451</v>
      </c>
      <c r="T37" s="81" t="s">
        <v>336</v>
      </c>
      <c r="U37" s="81">
        <v>24142264</v>
      </c>
      <c r="V37" s="1190" t="s">
        <v>185</v>
      </c>
      <c r="W37" s="1362" t="s">
        <v>434</v>
      </c>
      <c r="X37" s="191">
        <f>23295.938+15205.7</f>
        <v>38501.637999999999</v>
      </c>
      <c r="Y37" s="81" t="s">
        <v>128</v>
      </c>
      <c r="Z37" s="1361">
        <v>1</v>
      </c>
      <c r="AA37" s="1361">
        <v>1</v>
      </c>
      <c r="AB37" s="1361" t="s">
        <v>207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60" t="s">
        <v>774</v>
      </c>
      <c r="S38" s="1364">
        <v>3331566459</v>
      </c>
      <c r="T38" s="1361" t="s">
        <v>256</v>
      </c>
      <c r="U38" s="1362" t="s">
        <v>256</v>
      </c>
      <c r="V38" s="1362" t="s">
        <v>256</v>
      </c>
      <c r="W38" s="1362" t="s">
        <v>256</v>
      </c>
      <c r="X38" s="1363" t="s">
        <v>256</v>
      </c>
      <c r="Y38" s="1361" t="s">
        <v>256</v>
      </c>
      <c r="Z38" s="1361" t="s">
        <v>256</v>
      </c>
      <c r="AA38" s="1361" t="s">
        <v>256</v>
      </c>
      <c r="AB38" s="1361" t="s">
        <v>256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60" t="s">
        <v>774</v>
      </c>
      <c r="S39" s="1364">
        <v>3331566441</v>
      </c>
      <c r="T39" s="81" t="s">
        <v>336</v>
      </c>
      <c r="U39" s="1362">
        <v>24142267</v>
      </c>
      <c r="V39" s="1362" t="s">
        <v>185</v>
      </c>
      <c r="W39" s="1362" t="s">
        <v>434</v>
      </c>
      <c r="X39" s="1363" t="s">
        <v>790</v>
      </c>
      <c r="Y39" s="81" t="s">
        <v>128</v>
      </c>
      <c r="Z39" s="1361">
        <v>1</v>
      </c>
      <c r="AA39" s="1361">
        <v>1</v>
      </c>
      <c r="AB39" s="1361" t="s">
        <v>207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26" t="s">
        <v>774</v>
      </c>
      <c r="S40" s="81">
        <v>3331566443</v>
      </c>
      <c r="T40" s="1361" t="s">
        <v>256</v>
      </c>
      <c r="U40" s="1362" t="s">
        <v>256</v>
      </c>
      <c r="V40" s="1362" t="s">
        <v>256</v>
      </c>
      <c r="W40" s="1362" t="s">
        <v>256</v>
      </c>
      <c r="X40" s="1363" t="s">
        <v>256</v>
      </c>
      <c r="Y40" s="1361" t="s">
        <v>256</v>
      </c>
      <c r="Z40" s="1361" t="s">
        <v>256</v>
      </c>
      <c r="AA40" s="1361" t="s">
        <v>256</v>
      </c>
      <c r="AB40" s="1361" t="s">
        <v>256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60" t="s">
        <v>774</v>
      </c>
      <c r="S41" s="1364">
        <v>3331566444</v>
      </c>
      <c r="T41" s="1361" t="s">
        <v>256</v>
      </c>
      <c r="U41" s="1362" t="s">
        <v>256</v>
      </c>
      <c r="V41" s="1362" t="s">
        <v>256</v>
      </c>
      <c r="W41" s="1362" t="s">
        <v>256</v>
      </c>
      <c r="X41" s="1363" t="s">
        <v>256</v>
      </c>
      <c r="Y41" s="1361" t="s">
        <v>256</v>
      </c>
      <c r="Z41" s="1361" t="s">
        <v>256</v>
      </c>
      <c r="AA41" s="1361" t="s">
        <v>256</v>
      </c>
      <c r="AB41" s="1361" t="s">
        <v>256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60" t="s">
        <v>774</v>
      </c>
      <c r="S42" s="1364">
        <v>3331566468</v>
      </c>
      <c r="T42" s="1361" t="s">
        <v>256</v>
      </c>
      <c r="U42" s="1362" t="s">
        <v>256</v>
      </c>
      <c r="V42" s="1362" t="s">
        <v>256</v>
      </c>
      <c r="W42" s="1362" t="s">
        <v>256</v>
      </c>
      <c r="X42" s="1363" t="s">
        <v>256</v>
      </c>
      <c r="Y42" s="1361" t="s">
        <v>256</v>
      </c>
      <c r="Z42" s="1361" t="s">
        <v>256</v>
      </c>
      <c r="AA42" s="1361" t="s">
        <v>256</v>
      </c>
      <c r="AB42" s="1361" t="s">
        <v>256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60" t="s">
        <v>774</v>
      </c>
      <c r="S43" s="1364">
        <v>3331566470</v>
      </c>
      <c r="T43" s="1361" t="s">
        <v>256</v>
      </c>
      <c r="U43" s="1362" t="s">
        <v>256</v>
      </c>
      <c r="V43" s="1362" t="s">
        <v>256</v>
      </c>
      <c r="W43" s="1362" t="s">
        <v>256</v>
      </c>
      <c r="X43" s="1363" t="s">
        <v>256</v>
      </c>
      <c r="Y43" s="1361" t="s">
        <v>256</v>
      </c>
      <c r="Z43" s="1361" t="s">
        <v>256</v>
      </c>
      <c r="AA43" s="1361" t="s">
        <v>256</v>
      </c>
      <c r="AB43" s="1361" t="s">
        <v>256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60" t="s">
        <v>774</v>
      </c>
      <c r="S44" s="1364">
        <v>3331566471</v>
      </c>
      <c r="T44" s="1361" t="s">
        <v>256</v>
      </c>
      <c r="U44" s="1362" t="s">
        <v>256</v>
      </c>
      <c r="V44" s="1362" t="s">
        <v>256</v>
      </c>
      <c r="W44" s="1362" t="s">
        <v>256</v>
      </c>
      <c r="X44" s="1363" t="s">
        <v>256</v>
      </c>
      <c r="Y44" s="1361" t="s">
        <v>256</v>
      </c>
      <c r="Z44" s="1361" t="s">
        <v>256</v>
      </c>
      <c r="AA44" s="1361" t="s">
        <v>256</v>
      </c>
      <c r="AB44" s="1361" t="s">
        <v>256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60" t="s">
        <v>774</v>
      </c>
      <c r="S45" s="1364">
        <v>3331566476</v>
      </c>
      <c r="T45" s="1361" t="s">
        <v>256</v>
      </c>
      <c r="U45" s="1362" t="s">
        <v>256</v>
      </c>
      <c r="V45" s="1362" t="s">
        <v>256</v>
      </c>
      <c r="W45" s="1362" t="s">
        <v>256</v>
      </c>
      <c r="X45" s="1363" t="s">
        <v>256</v>
      </c>
      <c r="Y45" s="1361" t="s">
        <v>256</v>
      </c>
      <c r="Z45" s="1361" t="s">
        <v>256</v>
      </c>
      <c r="AA45" s="1361" t="s">
        <v>256</v>
      </c>
      <c r="AB45" s="1361" t="s">
        <v>256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174" t="s">
        <v>774</v>
      </c>
      <c r="S46" s="105">
        <v>3331566481</v>
      </c>
      <c r="T46" s="105" t="s">
        <v>11</v>
      </c>
      <c r="U46" s="105">
        <v>24142268</v>
      </c>
      <c r="V46" s="1202" t="s">
        <v>413</v>
      </c>
      <c r="W46" s="105" t="s">
        <v>205</v>
      </c>
      <c r="X46" s="209">
        <f>38573.31+2266.518</f>
        <v>40839.827999999994</v>
      </c>
      <c r="Y46" s="105" t="s">
        <v>128</v>
      </c>
      <c r="Z46" s="105">
        <v>1</v>
      </c>
      <c r="AA46" s="105">
        <v>1</v>
      </c>
      <c r="AB46" s="1369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174" t="s">
        <v>774</v>
      </c>
      <c r="S47" s="105">
        <v>3331566484</v>
      </c>
      <c r="T47" s="105" t="s">
        <v>256</v>
      </c>
      <c r="U47" s="105" t="s">
        <v>256</v>
      </c>
      <c r="V47" s="1202" t="s">
        <v>256</v>
      </c>
      <c r="W47" s="105" t="s">
        <v>256</v>
      </c>
      <c r="X47" s="209" t="s">
        <v>256</v>
      </c>
      <c r="Y47" s="105" t="s">
        <v>256</v>
      </c>
      <c r="Z47" s="105" t="s">
        <v>256</v>
      </c>
      <c r="AA47" s="105" t="s">
        <v>256</v>
      </c>
      <c r="AB47" s="105" t="s">
        <v>256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174" t="s">
        <v>774</v>
      </c>
      <c r="S48" s="105">
        <v>3331566483</v>
      </c>
      <c r="T48" s="105" t="s">
        <v>27</v>
      </c>
      <c r="U48" s="105">
        <v>24142272</v>
      </c>
      <c r="V48" s="1202" t="s">
        <v>446</v>
      </c>
      <c r="W48" s="105" t="s">
        <v>205</v>
      </c>
      <c r="X48" s="209">
        <v>22104.334999999999</v>
      </c>
      <c r="Y48" s="105" t="s">
        <v>200</v>
      </c>
      <c r="Z48" s="105">
        <v>1</v>
      </c>
      <c r="AA48" s="105">
        <v>1</v>
      </c>
      <c r="AB48" s="1369" t="s">
        <v>204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174" t="s">
        <v>774</v>
      </c>
      <c r="S49" s="105">
        <v>3331566488</v>
      </c>
      <c r="T49" s="105" t="s">
        <v>336</v>
      </c>
      <c r="U49" s="105">
        <v>24142274</v>
      </c>
      <c r="V49" s="1202" t="s">
        <v>413</v>
      </c>
      <c r="W49" s="105" t="s">
        <v>205</v>
      </c>
      <c r="X49" s="209">
        <v>33975.135000000002</v>
      </c>
      <c r="Y49" s="105" t="s">
        <v>128</v>
      </c>
      <c r="Z49" s="105">
        <v>1</v>
      </c>
      <c r="AA49" s="105">
        <v>1</v>
      </c>
      <c r="AB49" s="1369" t="s">
        <v>204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174" t="s">
        <v>774</v>
      </c>
      <c r="S50" s="105">
        <v>3331566493</v>
      </c>
      <c r="T50" s="105" t="s">
        <v>458</v>
      </c>
      <c r="U50" s="105">
        <v>24142276</v>
      </c>
      <c r="V50" s="1202" t="s">
        <v>446</v>
      </c>
      <c r="W50" s="105" t="s">
        <v>205</v>
      </c>
      <c r="X50" s="209">
        <f>22498.436+1548.234+19610.964</f>
        <v>43657.634000000005</v>
      </c>
      <c r="Y50" s="105" t="s">
        <v>128</v>
      </c>
      <c r="Z50" s="105">
        <v>1</v>
      </c>
      <c r="AA50" s="105">
        <v>1</v>
      </c>
      <c r="AB50" s="1369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8" t="s">
        <v>774</v>
      </c>
      <c r="S51" s="1372">
        <v>3331566495</v>
      </c>
      <c r="T51" s="105" t="s">
        <v>256</v>
      </c>
      <c r="U51" s="105" t="s">
        <v>256</v>
      </c>
      <c r="V51" s="1202" t="s">
        <v>256</v>
      </c>
      <c r="W51" s="105" t="s">
        <v>256</v>
      </c>
      <c r="X51" s="209" t="s">
        <v>256</v>
      </c>
      <c r="Y51" s="105" t="s">
        <v>256</v>
      </c>
      <c r="Z51" s="105" t="s">
        <v>256</v>
      </c>
      <c r="AA51" s="105" t="s">
        <v>256</v>
      </c>
      <c r="AB51" s="105" t="s">
        <v>256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8" t="s">
        <v>452</v>
      </c>
      <c r="S52" s="1372">
        <v>3331566500</v>
      </c>
      <c r="T52" s="105" t="s">
        <v>256</v>
      </c>
      <c r="U52" s="105" t="s">
        <v>256</v>
      </c>
      <c r="V52" s="1202" t="s">
        <v>256</v>
      </c>
      <c r="W52" s="105" t="s">
        <v>256</v>
      </c>
      <c r="X52" s="209" t="s">
        <v>256</v>
      </c>
      <c r="Y52" s="105" t="s">
        <v>256</v>
      </c>
      <c r="Z52" s="105" t="s">
        <v>256</v>
      </c>
      <c r="AA52" s="105" t="s">
        <v>256</v>
      </c>
      <c r="AB52" s="105" t="s">
        <v>256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09" t="s">
        <v>778</v>
      </c>
      <c r="S53" s="1209">
        <v>3331566485</v>
      </c>
      <c r="T53" s="1264" t="s">
        <v>27</v>
      </c>
      <c r="U53" s="1264">
        <v>24142277</v>
      </c>
      <c r="V53" s="1209" t="s">
        <v>792</v>
      </c>
      <c r="W53" s="1264" t="s">
        <v>803</v>
      </c>
      <c r="X53" s="1203">
        <f>4874.07+25576.544+6336.092</f>
        <v>36786.705999999998</v>
      </c>
      <c r="Y53" s="105" t="s">
        <v>128</v>
      </c>
      <c r="Z53" s="105">
        <v>1</v>
      </c>
      <c r="AA53" s="105">
        <v>1</v>
      </c>
      <c r="AB53" s="1369" t="s">
        <v>204</v>
      </c>
      <c r="AC53" s="1365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09" t="s">
        <v>774</v>
      </c>
      <c r="S54" s="1209">
        <v>3331566487</v>
      </c>
      <c r="T54" s="105" t="s">
        <v>256</v>
      </c>
      <c r="U54" s="105" t="s">
        <v>256</v>
      </c>
      <c r="V54" s="1202" t="s">
        <v>256</v>
      </c>
      <c r="W54" s="105" t="s">
        <v>256</v>
      </c>
      <c r="X54" s="209" t="s">
        <v>256</v>
      </c>
      <c r="Y54" s="105" t="s">
        <v>256</v>
      </c>
      <c r="Z54" s="105" t="s">
        <v>256</v>
      </c>
      <c r="AA54" s="105" t="s">
        <v>256</v>
      </c>
      <c r="AB54" s="105" t="s">
        <v>256</v>
      </c>
      <c r="AC54" s="1365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09" t="s">
        <v>774</v>
      </c>
      <c r="S55" s="1209">
        <v>3331566489</v>
      </c>
      <c r="T55" s="105" t="s">
        <v>256</v>
      </c>
      <c r="U55" s="105" t="s">
        <v>256</v>
      </c>
      <c r="V55" s="1202" t="s">
        <v>256</v>
      </c>
      <c r="W55" s="105" t="s">
        <v>256</v>
      </c>
      <c r="X55" s="209" t="s">
        <v>256</v>
      </c>
      <c r="Y55" s="105" t="s">
        <v>256</v>
      </c>
      <c r="Z55" s="105" t="s">
        <v>256</v>
      </c>
      <c r="AA55" s="105" t="s">
        <v>256</v>
      </c>
      <c r="AB55" s="105" t="s">
        <v>256</v>
      </c>
      <c r="AC55" s="1365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17" t="s">
        <v>774</v>
      </c>
      <c r="S56" s="1217">
        <v>3331566516</v>
      </c>
      <c r="T56" s="1183" t="s">
        <v>189</v>
      </c>
      <c r="U56" s="1190">
        <v>24142278</v>
      </c>
      <c r="V56" s="1362" t="s">
        <v>772</v>
      </c>
      <c r="W56" s="1362" t="s">
        <v>362</v>
      </c>
      <c r="X56" s="1191">
        <v>24602.105</v>
      </c>
      <c r="Y56" s="81" t="s">
        <v>200</v>
      </c>
      <c r="Z56" s="81">
        <v>1</v>
      </c>
      <c r="AA56" s="81">
        <v>1</v>
      </c>
      <c r="AB56" s="1361" t="s">
        <v>207</v>
      </c>
      <c r="AC56" s="1365" t="s">
        <v>422</v>
      </c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412" t="s">
        <v>774</v>
      </c>
      <c r="S57" s="1412">
        <v>3331566518</v>
      </c>
      <c r="T57" s="1183" t="s">
        <v>189</v>
      </c>
      <c r="U57" s="1412">
        <v>24142279</v>
      </c>
      <c r="V57" s="1362" t="s">
        <v>772</v>
      </c>
      <c r="W57" s="1362" t="s">
        <v>362</v>
      </c>
      <c r="X57" s="1413">
        <v>25295.170999999998</v>
      </c>
      <c r="Y57" s="81" t="s">
        <v>200</v>
      </c>
      <c r="Z57" s="81">
        <v>1</v>
      </c>
      <c r="AA57" s="81">
        <v>1</v>
      </c>
      <c r="AB57" s="1361" t="s">
        <v>207</v>
      </c>
      <c r="AC57" s="1365" t="s">
        <v>422</v>
      </c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369" t="s">
        <v>774</v>
      </c>
      <c r="S58" s="1369">
        <v>3331566519</v>
      </c>
      <c r="T58" s="1264" t="s">
        <v>730</v>
      </c>
      <c r="U58" s="1369">
        <v>24142280</v>
      </c>
      <c r="V58" s="1373" t="s">
        <v>772</v>
      </c>
      <c r="W58" s="1373" t="s">
        <v>362</v>
      </c>
      <c r="X58" s="1370">
        <v>26337.08</v>
      </c>
      <c r="Y58" s="105" t="s">
        <v>200</v>
      </c>
      <c r="Z58" s="105">
        <v>1</v>
      </c>
      <c r="AA58" s="105">
        <v>1</v>
      </c>
      <c r="AB58" s="1369" t="s">
        <v>204</v>
      </c>
      <c r="AC58" s="1365" t="s">
        <v>422</v>
      </c>
      <c r="AD58" s="1326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1" t="s">
        <v>773</v>
      </c>
      <c r="S59" s="1202">
        <v>3331566063</v>
      </c>
      <c r="T59" s="1261" t="s">
        <v>439</v>
      </c>
      <c r="U59" s="1202">
        <v>24142199</v>
      </c>
      <c r="V59" s="1202" t="s">
        <v>440</v>
      </c>
      <c r="W59" s="1264" t="s">
        <v>434</v>
      </c>
      <c r="X59" s="1203">
        <v>36000</v>
      </c>
      <c r="Y59" s="1202" t="s">
        <v>128</v>
      </c>
      <c r="Z59" s="1202">
        <v>1</v>
      </c>
      <c r="AA59" s="1202">
        <v>1</v>
      </c>
      <c r="AB59" s="1208" t="s">
        <v>204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1" t="s">
        <v>773</v>
      </c>
      <c r="S60" s="1202">
        <v>3331566066</v>
      </c>
      <c r="T60" s="1261" t="s">
        <v>439</v>
      </c>
      <c r="U60" s="1202">
        <v>24142201</v>
      </c>
      <c r="V60" s="1202" t="s">
        <v>804</v>
      </c>
      <c r="W60" s="1264" t="s">
        <v>434</v>
      </c>
      <c r="X60" s="1203">
        <v>37000</v>
      </c>
      <c r="Y60" s="1202" t="s">
        <v>128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01" t="s">
        <v>773</v>
      </c>
      <c r="S61" s="1202">
        <v>3331566069</v>
      </c>
      <c r="T61" s="1261" t="s">
        <v>256</v>
      </c>
      <c r="U61" s="1202" t="s">
        <v>256</v>
      </c>
      <c r="V61" s="1202" t="s">
        <v>804</v>
      </c>
      <c r="W61" s="1264" t="s">
        <v>256</v>
      </c>
      <c r="X61" s="1203" t="s">
        <v>256</v>
      </c>
      <c r="Y61" s="1202" t="s">
        <v>256</v>
      </c>
      <c r="Z61" s="1202" t="s">
        <v>256</v>
      </c>
      <c r="AA61" s="1202" t="s">
        <v>256</v>
      </c>
      <c r="AB61" s="1208" t="s">
        <v>256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01" t="s">
        <v>773</v>
      </c>
      <c r="S62" s="1202">
        <v>3331566173</v>
      </c>
      <c r="T62" s="1261" t="s">
        <v>256</v>
      </c>
      <c r="U62" s="1202" t="s">
        <v>256</v>
      </c>
      <c r="V62" s="1202" t="s">
        <v>804</v>
      </c>
      <c r="W62" s="1264" t="s">
        <v>256</v>
      </c>
      <c r="X62" s="1203" t="s">
        <v>256</v>
      </c>
      <c r="Y62" s="1202" t="s">
        <v>256</v>
      </c>
      <c r="Z62" s="1202" t="s">
        <v>256</v>
      </c>
      <c r="AA62" s="1202" t="s">
        <v>256</v>
      </c>
      <c r="AB62" s="1208" t="s">
        <v>256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1" t="s">
        <v>549</v>
      </c>
      <c r="S63" s="1210">
        <v>3331565983</v>
      </c>
      <c r="T63" s="1209" t="s">
        <v>27</v>
      </c>
      <c r="U63" s="1201">
        <v>24142157</v>
      </c>
      <c r="V63" s="1210" t="s">
        <v>368</v>
      </c>
      <c r="W63" s="1264" t="s">
        <v>199</v>
      </c>
      <c r="X63" s="1376">
        <v>24681.57</v>
      </c>
      <c r="Y63" s="1202" t="s">
        <v>200</v>
      </c>
      <c r="Z63" s="1202">
        <v>1</v>
      </c>
      <c r="AA63" s="1202">
        <v>1</v>
      </c>
      <c r="AB63" s="1067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01" t="s">
        <v>549</v>
      </c>
      <c r="S64" s="1202">
        <v>3331566056</v>
      </c>
      <c r="T64" s="1209" t="s">
        <v>27</v>
      </c>
      <c r="U64" s="1202">
        <v>24142173</v>
      </c>
      <c r="V64" s="1202" t="s">
        <v>779</v>
      </c>
      <c r="W64" s="1264" t="s">
        <v>199</v>
      </c>
      <c r="X64" s="1203">
        <v>26129.566999999999</v>
      </c>
      <c r="Y64" s="1202" t="s">
        <v>200</v>
      </c>
      <c r="Z64" s="1202">
        <v>1</v>
      </c>
      <c r="AA64" s="1202">
        <v>1</v>
      </c>
      <c r="AB64" s="1067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01" t="s">
        <v>549</v>
      </c>
      <c r="S65" s="1202">
        <v>3331566062</v>
      </c>
      <c r="T65" s="1209" t="s">
        <v>27</v>
      </c>
      <c r="U65" s="1202">
        <v>24142176</v>
      </c>
      <c r="V65" s="1202" t="s">
        <v>779</v>
      </c>
      <c r="W65" s="1264" t="s">
        <v>199</v>
      </c>
      <c r="X65" s="1203">
        <v>26397.115000000002</v>
      </c>
      <c r="Y65" s="1202" t="s">
        <v>200</v>
      </c>
      <c r="Z65" s="1202">
        <v>1</v>
      </c>
      <c r="AA65" s="1202">
        <v>1</v>
      </c>
      <c r="AB65" s="1067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01" t="s">
        <v>549</v>
      </c>
      <c r="S66" s="1210">
        <v>3331565971</v>
      </c>
      <c r="T66" s="1209" t="s">
        <v>11</v>
      </c>
      <c r="U66" s="1201">
        <v>24142161</v>
      </c>
      <c r="V66" s="1202" t="s">
        <v>158</v>
      </c>
      <c r="W66" s="1264" t="s">
        <v>199</v>
      </c>
      <c r="X66" s="1203">
        <v>26826.75</v>
      </c>
      <c r="Y66" s="1202" t="s">
        <v>200</v>
      </c>
      <c r="Z66" s="1202">
        <v>1</v>
      </c>
      <c r="AA66" s="1202">
        <v>1</v>
      </c>
      <c r="AB66" s="1067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02" t="s">
        <v>443</v>
      </c>
      <c r="S67" s="1202">
        <v>3331563547</v>
      </c>
      <c r="T67" s="1202" t="s">
        <v>27</v>
      </c>
      <c r="U67" s="1202">
        <v>24141812</v>
      </c>
      <c r="V67" s="1209" t="s">
        <v>366</v>
      </c>
      <c r="W67" s="1264" t="s">
        <v>199</v>
      </c>
      <c r="X67" s="1203">
        <f>6020.91+18555.67</f>
        <v>24576.579999999998</v>
      </c>
      <c r="Y67" s="1202" t="s">
        <v>200</v>
      </c>
      <c r="Z67" s="1202">
        <v>1</v>
      </c>
      <c r="AA67" s="1202">
        <v>1</v>
      </c>
      <c r="AB67" s="1355" t="s">
        <v>204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02" t="s">
        <v>443</v>
      </c>
      <c r="S68" s="1202">
        <v>3331563548</v>
      </c>
      <c r="T68" s="1261" t="s">
        <v>256</v>
      </c>
      <c r="U68" s="1202" t="s">
        <v>256</v>
      </c>
      <c r="V68" s="1202" t="s">
        <v>256</v>
      </c>
      <c r="W68" s="1202" t="s">
        <v>256</v>
      </c>
      <c r="X68" s="1203" t="s">
        <v>256</v>
      </c>
      <c r="Y68" s="1202" t="s">
        <v>256</v>
      </c>
      <c r="Z68" s="1202" t="s">
        <v>256</v>
      </c>
      <c r="AA68" s="1202" t="s">
        <v>256</v>
      </c>
      <c r="AB68" s="1355" t="s">
        <v>256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351" t="s">
        <v>774</v>
      </c>
      <c r="S69" s="1340">
        <v>3331566280</v>
      </c>
      <c r="T69" s="1209" t="s">
        <v>11</v>
      </c>
      <c r="U69" s="1202">
        <v>24142204</v>
      </c>
      <c r="V69" s="1202" t="s">
        <v>368</v>
      </c>
      <c r="W69" s="1264" t="s">
        <v>199</v>
      </c>
      <c r="X69" s="1203">
        <v>24470.951000000001</v>
      </c>
      <c r="Y69" s="1202" t="s">
        <v>200</v>
      </c>
      <c r="Z69" s="1202">
        <v>1</v>
      </c>
      <c r="AA69" s="1202">
        <v>1</v>
      </c>
      <c r="AB69" s="1355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351" t="s">
        <v>774</v>
      </c>
      <c r="S70" s="1340">
        <v>3331566286</v>
      </c>
      <c r="T70" s="1209" t="s">
        <v>287</v>
      </c>
      <c r="U70" s="1202">
        <v>24142205</v>
      </c>
      <c r="V70" s="1202" t="s">
        <v>368</v>
      </c>
      <c r="W70" s="1264" t="s">
        <v>199</v>
      </c>
      <c r="X70" s="1203">
        <v>24987.026999999998</v>
      </c>
      <c r="Y70" s="1202" t="s">
        <v>200</v>
      </c>
      <c r="Z70" s="1202">
        <v>1</v>
      </c>
      <c r="AA70" s="1202">
        <v>1</v>
      </c>
      <c r="AB70" s="1355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351" t="s">
        <v>774</v>
      </c>
      <c r="S71" s="1340">
        <v>3331566290</v>
      </c>
      <c r="T71" s="1209" t="s">
        <v>34</v>
      </c>
      <c r="U71" s="1202">
        <v>24142206</v>
      </c>
      <c r="V71" s="1202" t="s">
        <v>368</v>
      </c>
      <c r="W71" s="1264" t="s">
        <v>199</v>
      </c>
      <c r="X71" s="1203">
        <v>25330.829000000002</v>
      </c>
      <c r="Y71" s="1202" t="s">
        <v>200</v>
      </c>
      <c r="Z71" s="1202">
        <v>1</v>
      </c>
      <c r="AA71" s="1202">
        <v>1</v>
      </c>
      <c r="AB71" s="1355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774</v>
      </c>
      <c r="S72" s="1209">
        <v>3331566294</v>
      </c>
      <c r="T72" s="1209" t="s">
        <v>287</v>
      </c>
      <c r="U72" s="1202">
        <v>24142207</v>
      </c>
      <c r="V72" s="1202" t="s">
        <v>368</v>
      </c>
      <c r="W72" s="1209" t="s">
        <v>199</v>
      </c>
      <c r="X72" s="1203">
        <v>25760.895</v>
      </c>
      <c r="Y72" s="1202" t="s">
        <v>200</v>
      </c>
      <c r="Z72" s="1202">
        <v>1</v>
      </c>
      <c r="AA72" s="1202">
        <v>1</v>
      </c>
      <c r="AB72" s="1415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351" t="s">
        <v>774</v>
      </c>
      <c r="S73" s="1340">
        <v>3331566299</v>
      </c>
      <c r="T73" s="1209" t="s">
        <v>462</v>
      </c>
      <c r="U73" s="1202">
        <v>24142208</v>
      </c>
      <c r="V73" s="1202" t="s">
        <v>368</v>
      </c>
      <c r="W73" s="1264" t="s">
        <v>199</v>
      </c>
      <c r="X73" s="1203">
        <v>25803.9</v>
      </c>
      <c r="Y73" s="1202" t="s">
        <v>200</v>
      </c>
      <c r="Z73" s="1202">
        <v>1</v>
      </c>
      <c r="AA73" s="1202">
        <v>1</v>
      </c>
      <c r="AB73" s="1355" t="s">
        <v>204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174" t="s">
        <v>774</v>
      </c>
      <c r="S74" s="105">
        <v>3331566318</v>
      </c>
      <c r="T74" s="1209" t="s">
        <v>287</v>
      </c>
      <c r="U74" s="105">
        <v>24142218</v>
      </c>
      <c r="V74" s="1202" t="s">
        <v>150</v>
      </c>
      <c r="W74" s="1264" t="s">
        <v>199</v>
      </c>
      <c r="X74" s="209">
        <v>24513.705000000002</v>
      </c>
      <c r="Y74" s="1202" t="s">
        <v>200</v>
      </c>
      <c r="Z74" s="1202">
        <v>1</v>
      </c>
      <c r="AA74" s="1202">
        <v>1</v>
      </c>
      <c r="AB74" s="1355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174" t="s">
        <v>774</v>
      </c>
      <c r="S75" s="105">
        <v>3331566325</v>
      </c>
      <c r="T75" s="105" t="s">
        <v>206</v>
      </c>
      <c r="U75" s="105">
        <v>24142219</v>
      </c>
      <c r="V75" s="1202" t="s">
        <v>150</v>
      </c>
      <c r="W75" s="1264" t="s">
        <v>199</v>
      </c>
      <c r="X75" s="209">
        <v>40856.175000000003</v>
      </c>
      <c r="Y75" s="105" t="s">
        <v>128</v>
      </c>
      <c r="Z75" s="1202">
        <v>1</v>
      </c>
      <c r="AA75" s="1202">
        <v>1</v>
      </c>
      <c r="AB75" s="1355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774</v>
      </c>
      <c r="S76" s="1202">
        <v>3331566330</v>
      </c>
      <c r="T76" s="1202" t="s">
        <v>206</v>
      </c>
      <c r="U76" s="1202">
        <v>24142220</v>
      </c>
      <c r="V76" s="1202" t="s">
        <v>150</v>
      </c>
      <c r="W76" s="1264" t="s">
        <v>199</v>
      </c>
      <c r="X76" s="1203">
        <v>39307.940999999999</v>
      </c>
      <c r="Y76" s="1202" t="s">
        <v>128</v>
      </c>
      <c r="Z76" s="1202">
        <v>1</v>
      </c>
      <c r="AA76" s="1202">
        <v>1</v>
      </c>
      <c r="AB76" s="1355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774</v>
      </c>
      <c r="S77" s="1202">
        <v>3331566333</v>
      </c>
      <c r="T77" s="1209" t="s">
        <v>34</v>
      </c>
      <c r="U77" s="1202">
        <v>24142221</v>
      </c>
      <c r="V77" s="1202" t="s">
        <v>150</v>
      </c>
      <c r="W77" s="1264" t="s">
        <v>199</v>
      </c>
      <c r="X77" s="1203">
        <v>25889.913</v>
      </c>
      <c r="Y77" s="1202" t="s">
        <v>200</v>
      </c>
      <c r="Z77" s="1202">
        <v>1</v>
      </c>
      <c r="AA77" s="1202">
        <v>1</v>
      </c>
      <c r="AB77" s="1355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774</v>
      </c>
      <c r="S78" s="1202">
        <v>3331566335</v>
      </c>
      <c r="T78" s="1209" t="s">
        <v>462</v>
      </c>
      <c r="U78" s="1202">
        <v>24142222</v>
      </c>
      <c r="V78" s="1202" t="s">
        <v>150</v>
      </c>
      <c r="W78" s="1264" t="s">
        <v>199</v>
      </c>
      <c r="X78" s="1203">
        <v>25889.913</v>
      </c>
      <c r="Y78" s="1202" t="s">
        <v>200</v>
      </c>
      <c r="Z78" s="1202">
        <v>1</v>
      </c>
      <c r="AA78" s="1202">
        <v>1</v>
      </c>
      <c r="AB78" s="1355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74" t="s">
        <v>774</v>
      </c>
      <c r="S79" s="105">
        <v>3331566337</v>
      </c>
      <c r="T79" s="1209" t="s">
        <v>34</v>
      </c>
      <c r="U79" s="105">
        <v>24142223</v>
      </c>
      <c r="V79" s="1202" t="s">
        <v>150</v>
      </c>
      <c r="W79" s="1264" t="s">
        <v>199</v>
      </c>
      <c r="X79" s="209">
        <v>25889.913</v>
      </c>
      <c r="Y79" s="1202" t="s">
        <v>200</v>
      </c>
      <c r="Z79" s="1202">
        <v>1</v>
      </c>
      <c r="AA79" s="1202">
        <v>1</v>
      </c>
      <c r="AB79" s="1355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774</v>
      </c>
      <c r="S80" s="1209">
        <v>3331566338</v>
      </c>
      <c r="T80" s="1209" t="s">
        <v>441</v>
      </c>
      <c r="U80" s="105">
        <v>24142224</v>
      </c>
      <c r="V80" s="1202" t="s">
        <v>150</v>
      </c>
      <c r="W80" s="1264" t="s">
        <v>199</v>
      </c>
      <c r="X80" s="209">
        <f>14708.223+10880.645</f>
        <v>25588.868000000002</v>
      </c>
      <c r="Y80" s="1202" t="s">
        <v>200</v>
      </c>
      <c r="Z80" s="1202">
        <v>1</v>
      </c>
      <c r="AA80" s="1202">
        <v>1</v>
      </c>
      <c r="AB80" s="1355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774</v>
      </c>
      <c r="S81" s="1209">
        <v>3331566341</v>
      </c>
      <c r="T81" s="1202" t="s">
        <v>256</v>
      </c>
      <c r="U81" s="105" t="s">
        <v>256</v>
      </c>
      <c r="V81" s="1202" t="s">
        <v>256</v>
      </c>
      <c r="W81" s="105" t="s">
        <v>256</v>
      </c>
      <c r="X81" s="209" t="s">
        <v>256</v>
      </c>
      <c r="Y81" s="105" t="s">
        <v>256</v>
      </c>
      <c r="Z81" s="105" t="s">
        <v>256</v>
      </c>
      <c r="AA81" s="105" t="s">
        <v>256</v>
      </c>
      <c r="AB81" s="105" t="s">
        <v>256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174" t="s">
        <v>774</v>
      </c>
      <c r="S82" s="105">
        <v>3331566321</v>
      </c>
      <c r="T82" s="105" t="s">
        <v>206</v>
      </c>
      <c r="U82" s="105">
        <v>24142225</v>
      </c>
      <c r="V82" s="1202" t="s">
        <v>158</v>
      </c>
      <c r="W82" s="1264" t="s">
        <v>199</v>
      </c>
      <c r="X82" s="209">
        <f>20481.373+17316.278</f>
        <v>37797.650999999998</v>
      </c>
      <c r="Y82" s="105" t="s">
        <v>128</v>
      </c>
      <c r="Z82" s="1202">
        <v>1</v>
      </c>
      <c r="AA82" s="1202">
        <v>1</v>
      </c>
      <c r="AB82" s="1355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174" t="s">
        <v>774</v>
      </c>
      <c r="S83" s="105">
        <v>3331566339</v>
      </c>
      <c r="T83" s="105" t="s">
        <v>256</v>
      </c>
      <c r="U83" s="105" t="s">
        <v>256</v>
      </c>
      <c r="V83" s="1202" t="s">
        <v>256</v>
      </c>
      <c r="W83" s="105" t="s">
        <v>256</v>
      </c>
      <c r="X83" s="209" t="s">
        <v>256</v>
      </c>
      <c r="Y83" s="105" t="s">
        <v>256</v>
      </c>
      <c r="Z83" s="105" t="s">
        <v>256</v>
      </c>
      <c r="AA83" s="105" t="s">
        <v>256</v>
      </c>
      <c r="AB83" s="105" t="s">
        <v>256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774</v>
      </c>
      <c r="S84" s="1202">
        <v>3331566342</v>
      </c>
      <c r="T84" s="105" t="s">
        <v>206</v>
      </c>
      <c r="U84" s="1202">
        <v>24142226</v>
      </c>
      <c r="V84" s="1202" t="s">
        <v>158</v>
      </c>
      <c r="W84" s="1264" t="s">
        <v>199</v>
      </c>
      <c r="X84" s="1203">
        <f>9891.998+26067.202</f>
        <v>35959.199999999997</v>
      </c>
      <c r="Y84" s="105" t="s">
        <v>128</v>
      </c>
      <c r="Z84" s="1202">
        <v>1</v>
      </c>
      <c r="AA84" s="1202">
        <v>1</v>
      </c>
      <c r="AB84" s="1355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774</v>
      </c>
      <c r="S85" s="1202">
        <v>3331566349</v>
      </c>
      <c r="T85" s="1202" t="s">
        <v>256</v>
      </c>
      <c r="U85" s="1202" t="s">
        <v>256</v>
      </c>
      <c r="V85" s="1202" t="s">
        <v>256</v>
      </c>
      <c r="W85" s="1261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8" t="s">
        <v>256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01" t="s">
        <v>774</v>
      </c>
      <c r="S86" s="1202">
        <v>3331566353</v>
      </c>
      <c r="T86" s="1261" t="s">
        <v>206</v>
      </c>
      <c r="U86" s="1202">
        <v>24142228</v>
      </c>
      <c r="V86" s="1202" t="s">
        <v>158</v>
      </c>
      <c r="W86" s="1264" t="s">
        <v>199</v>
      </c>
      <c r="X86" s="1203">
        <v>37244.131999999998</v>
      </c>
      <c r="Y86" s="105" t="s">
        <v>128</v>
      </c>
      <c r="Z86" s="1202">
        <v>1</v>
      </c>
      <c r="AA86" s="1202">
        <v>1</v>
      </c>
      <c r="AB86" s="1355" t="s">
        <v>204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01" t="s">
        <v>774</v>
      </c>
      <c r="S87" s="1202">
        <v>3331566343</v>
      </c>
      <c r="T87" s="1202" t="s">
        <v>287</v>
      </c>
      <c r="U87" s="1202">
        <v>24142229</v>
      </c>
      <c r="V87" s="1202" t="s">
        <v>219</v>
      </c>
      <c r="W87" s="1264" t="s">
        <v>199</v>
      </c>
      <c r="X87" s="1203">
        <v>25225.701000000001</v>
      </c>
      <c r="Y87" s="1202" t="s">
        <v>200</v>
      </c>
      <c r="Z87" s="1202">
        <v>1</v>
      </c>
      <c r="AA87" s="1202">
        <v>1</v>
      </c>
      <c r="AB87" s="1355" t="s">
        <v>204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774</v>
      </c>
      <c r="S88" s="1202">
        <v>3331566350</v>
      </c>
      <c r="T88" s="1202" t="s">
        <v>11</v>
      </c>
      <c r="U88" s="1202">
        <v>24142230</v>
      </c>
      <c r="V88" s="1202" t="s">
        <v>219</v>
      </c>
      <c r="W88" s="1264" t="s">
        <v>199</v>
      </c>
      <c r="X88" s="1203">
        <v>24923.399000000001</v>
      </c>
      <c r="Y88" s="1202" t="s">
        <v>200</v>
      </c>
      <c r="Z88" s="1202">
        <v>1</v>
      </c>
      <c r="AA88" s="1202">
        <v>1</v>
      </c>
      <c r="AB88" s="1355" t="s">
        <v>204</v>
      </c>
      <c r="AC88" s="127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774</v>
      </c>
      <c r="S89" s="1202">
        <v>3331566373</v>
      </c>
      <c r="T89" s="1202" t="s">
        <v>287</v>
      </c>
      <c r="U89" s="1202">
        <v>24142232</v>
      </c>
      <c r="V89" s="1202" t="s">
        <v>779</v>
      </c>
      <c r="W89" s="1264" t="s">
        <v>199</v>
      </c>
      <c r="X89" s="1203">
        <v>25109.302</v>
      </c>
      <c r="Y89" s="1202" t="s">
        <v>200</v>
      </c>
      <c r="Z89" s="1202">
        <v>1</v>
      </c>
      <c r="AA89" s="1202">
        <v>1</v>
      </c>
      <c r="AB89" s="1355" t="s">
        <v>204</v>
      </c>
      <c r="AC89" s="127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774</v>
      </c>
      <c r="S90" s="1202">
        <v>3331566381</v>
      </c>
      <c r="T90" s="1202" t="s">
        <v>462</v>
      </c>
      <c r="U90" s="1202">
        <v>24142233</v>
      </c>
      <c r="V90" s="1202" t="s">
        <v>779</v>
      </c>
      <c r="W90" s="1264" t="s">
        <v>199</v>
      </c>
      <c r="X90" s="1203">
        <v>25439.062999999998</v>
      </c>
      <c r="Y90" s="1202" t="s">
        <v>200</v>
      </c>
      <c r="Z90" s="1202">
        <v>1</v>
      </c>
      <c r="AA90" s="1202">
        <v>1</v>
      </c>
      <c r="AB90" s="1355" t="s">
        <v>204</v>
      </c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01" t="s">
        <v>774</v>
      </c>
      <c r="S91" s="1202">
        <v>3331566112</v>
      </c>
      <c r="T91" s="1202" t="s">
        <v>287</v>
      </c>
      <c r="U91" s="1202">
        <v>24142256</v>
      </c>
      <c r="V91" s="1202" t="s">
        <v>290</v>
      </c>
      <c r="W91" s="1264" t="s">
        <v>199</v>
      </c>
      <c r="X91" s="1203">
        <f>4491.955+14959.208</f>
        <v>19451.163</v>
      </c>
      <c r="Y91" s="1202" t="s">
        <v>200</v>
      </c>
      <c r="Z91" s="1202">
        <v>1</v>
      </c>
      <c r="AA91" s="1202">
        <v>1</v>
      </c>
      <c r="AB91" s="1355" t="s">
        <v>204</v>
      </c>
      <c r="AC91" s="127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01" t="s">
        <v>774</v>
      </c>
      <c r="S92" s="1202">
        <v>3331566115</v>
      </c>
      <c r="T92" s="1202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01" t="s">
        <v>774</v>
      </c>
      <c r="S93" s="1202">
        <v>3331566422</v>
      </c>
      <c r="T93" s="1202" t="s">
        <v>34</v>
      </c>
      <c r="U93" s="1202">
        <v>24142262</v>
      </c>
      <c r="V93" s="1202" t="s">
        <v>464</v>
      </c>
      <c r="W93" s="1264" t="s">
        <v>199</v>
      </c>
      <c r="X93" s="1203">
        <f>911.065+1029.892+1931.489+3054.728+2063.054+8410.663</f>
        <v>17400.891</v>
      </c>
      <c r="Y93" s="1202" t="s">
        <v>200</v>
      </c>
      <c r="Z93" s="1202">
        <v>1</v>
      </c>
      <c r="AA93" s="1202">
        <v>1</v>
      </c>
      <c r="AB93" s="1355" t="s">
        <v>204</v>
      </c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01" t="s">
        <v>774</v>
      </c>
      <c r="S94" s="1202">
        <v>3331566424</v>
      </c>
      <c r="T94" s="1202" t="s">
        <v>256</v>
      </c>
      <c r="U94" s="1202" t="s">
        <v>256</v>
      </c>
      <c r="V94" s="1202" t="s">
        <v>256</v>
      </c>
      <c r="W94" s="1202" t="s">
        <v>256</v>
      </c>
      <c r="X94" s="1203" t="s">
        <v>256</v>
      </c>
      <c r="Y94" s="1202" t="s">
        <v>256</v>
      </c>
      <c r="Z94" s="1202" t="s">
        <v>256</v>
      </c>
      <c r="AA94" s="1202" t="s">
        <v>256</v>
      </c>
      <c r="AB94" s="1208" t="s">
        <v>256</v>
      </c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01" t="s">
        <v>774</v>
      </c>
      <c r="S95" s="1202">
        <v>3331566426</v>
      </c>
      <c r="T95" s="1202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2" t="s">
        <v>256</v>
      </c>
      <c r="AA95" s="1202" t="s">
        <v>256</v>
      </c>
      <c r="AB95" s="1208" t="s">
        <v>256</v>
      </c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01" t="s">
        <v>774</v>
      </c>
      <c r="S96" s="1202">
        <v>3331566428</v>
      </c>
      <c r="T96" s="1202" t="s">
        <v>256</v>
      </c>
      <c r="U96" s="1202" t="s">
        <v>256</v>
      </c>
      <c r="V96" s="1202" t="s">
        <v>256</v>
      </c>
      <c r="W96" s="1202" t="s">
        <v>256</v>
      </c>
      <c r="X96" s="1203" t="s">
        <v>256</v>
      </c>
      <c r="Y96" s="1202" t="s">
        <v>256</v>
      </c>
      <c r="Z96" s="1202" t="s">
        <v>256</v>
      </c>
      <c r="AA96" s="1202" t="s">
        <v>256</v>
      </c>
      <c r="AB96" s="1208" t="s">
        <v>256</v>
      </c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1" t="s">
        <v>774</v>
      </c>
      <c r="S97" s="1202">
        <v>3331566429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2" t="s">
        <v>256</v>
      </c>
      <c r="AA97" s="1202" t="s">
        <v>256</v>
      </c>
      <c r="AB97" s="1208" t="s">
        <v>256</v>
      </c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1" t="s">
        <v>774</v>
      </c>
      <c r="S98" s="1202">
        <v>3331566430</v>
      </c>
      <c r="T98" s="1202" t="s">
        <v>256</v>
      </c>
      <c r="U98" s="1202" t="s">
        <v>256</v>
      </c>
      <c r="V98" s="1202" t="s">
        <v>256</v>
      </c>
      <c r="W98" s="1202" t="s">
        <v>256</v>
      </c>
      <c r="X98" s="1203" t="s">
        <v>256</v>
      </c>
      <c r="Y98" s="1202" t="s">
        <v>256</v>
      </c>
      <c r="Z98" s="1202" t="s">
        <v>256</v>
      </c>
      <c r="AA98" s="1202" t="s">
        <v>256</v>
      </c>
      <c r="AB98" s="1208" t="s">
        <v>256</v>
      </c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1" t="s">
        <v>774</v>
      </c>
      <c r="S99" s="1202">
        <v>3331566439</v>
      </c>
      <c r="T99" s="1209" t="s">
        <v>27</v>
      </c>
      <c r="U99" s="1202">
        <v>24142263</v>
      </c>
      <c r="V99" s="1202" t="s">
        <v>759</v>
      </c>
      <c r="W99" s="1264" t="s">
        <v>199</v>
      </c>
      <c r="X99" s="1203">
        <v>24768.171999999999</v>
      </c>
      <c r="Y99" s="1202" t="s">
        <v>200</v>
      </c>
      <c r="Z99" s="1202">
        <v>1</v>
      </c>
      <c r="AA99" s="1202">
        <v>1</v>
      </c>
      <c r="AB99" s="1355" t="s">
        <v>204</v>
      </c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01" t="s">
        <v>774</v>
      </c>
      <c r="S100" s="1202">
        <v>3331566440</v>
      </c>
      <c r="T100" s="1209" t="s">
        <v>11</v>
      </c>
      <c r="U100" s="1202">
        <v>24142265</v>
      </c>
      <c r="V100" s="1202" t="s">
        <v>36</v>
      </c>
      <c r="W100" s="1202" t="s">
        <v>37</v>
      </c>
      <c r="X100" s="1203">
        <f>11306.25+1663.924+9754.172+1426.508</f>
        <v>24150.853999999999</v>
      </c>
      <c r="Y100" s="1202" t="s">
        <v>200</v>
      </c>
      <c r="Z100" s="1202">
        <v>1</v>
      </c>
      <c r="AA100" s="1202">
        <v>1</v>
      </c>
      <c r="AB100" s="1355" t="s">
        <v>204</v>
      </c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01" t="s">
        <v>774</v>
      </c>
      <c r="S101" s="1202">
        <v>3331566442</v>
      </c>
      <c r="T101" s="1202" t="s">
        <v>256</v>
      </c>
      <c r="U101" s="1202" t="s">
        <v>256</v>
      </c>
      <c r="V101" s="1202" t="s">
        <v>256</v>
      </c>
      <c r="W101" s="1202" t="s">
        <v>256</v>
      </c>
      <c r="X101" s="1203" t="s">
        <v>256</v>
      </c>
      <c r="Y101" s="1202" t="s">
        <v>256</v>
      </c>
      <c r="Z101" s="1202" t="s">
        <v>256</v>
      </c>
      <c r="AA101" s="1202" t="s">
        <v>256</v>
      </c>
      <c r="AB101" s="1202" t="s">
        <v>256</v>
      </c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01" t="s">
        <v>774</v>
      </c>
      <c r="S102" s="1202">
        <v>3331566446</v>
      </c>
      <c r="T102" s="1202" t="s">
        <v>256</v>
      </c>
      <c r="U102" s="1202" t="s">
        <v>256</v>
      </c>
      <c r="V102" s="1202" t="s">
        <v>256</v>
      </c>
      <c r="W102" s="1202" t="s">
        <v>256</v>
      </c>
      <c r="X102" s="1203" t="s">
        <v>256</v>
      </c>
      <c r="Y102" s="1202" t="s">
        <v>256</v>
      </c>
      <c r="Z102" s="1202" t="s">
        <v>256</v>
      </c>
      <c r="AA102" s="1202" t="s">
        <v>256</v>
      </c>
      <c r="AB102" s="1202" t="s">
        <v>256</v>
      </c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01" t="s">
        <v>774</v>
      </c>
      <c r="S103" s="1202">
        <v>3331566447</v>
      </c>
      <c r="T103" s="1202" t="s">
        <v>256</v>
      </c>
      <c r="U103" s="1202" t="s">
        <v>256</v>
      </c>
      <c r="V103" s="1202" t="s">
        <v>256</v>
      </c>
      <c r="W103" s="1202" t="s">
        <v>256</v>
      </c>
      <c r="X103" s="1203" t="s">
        <v>256</v>
      </c>
      <c r="Y103" s="1202" t="s">
        <v>256</v>
      </c>
      <c r="Z103" s="1202" t="s">
        <v>256</v>
      </c>
      <c r="AA103" s="1202" t="s">
        <v>256</v>
      </c>
      <c r="AB103" s="1202" t="s">
        <v>256</v>
      </c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52" t="s">
        <v>773</v>
      </c>
      <c r="S104" s="1209">
        <v>3331566098</v>
      </c>
      <c r="T104" s="1209" t="s">
        <v>287</v>
      </c>
      <c r="U104" s="1202">
        <v>24142281</v>
      </c>
      <c r="V104" s="1202" t="s">
        <v>95</v>
      </c>
      <c r="W104" s="1264" t="s">
        <v>199</v>
      </c>
      <c r="X104" s="1203">
        <f>11739.899+11871.562</f>
        <v>23611.460999999999</v>
      </c>
      <c r="Y104" s="1202" t="s">
        <v>200</v>
      </c>
      <c r="Z104" s="1202">
        <v>1</v>
      </c>
      <c r="AA104" s="1202">
        <v>1</v>
      </c>
      <c r="AB104" s="1355" t="s">
        <v>204</v>
      </c>
      <c r="AC104" s="1271" t="s">
        <v>422</v>
      </c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52" t="s">
        <v>765</v>
      </c>
      <c r="S105" s="1209">
        <v>3331564601</v>
      </c>
      <c r="T105" s="1209" t="s">
        <v>256</v>
      </c>
      <c r="U105" s="1202" t="s">
        <v>256</v>
      </c>
      <c r="V105" s="1202" t="s">
        <v>256</v>
      </c>
      <c r="W105" s="1202" t="s">
        <v>256</v>
      </c>
      <c r="X105" s="1203" t="s">
        <v>256</v>
      </c>
      <c r="Y105" s="1202" t="s">
        <v>256</v>
      </c>
      <c r="Z105" s="1202" t="s">
        <v>256</v>
      </c>
      <c r="AA105" s="1202" t="s">
        <v>256</v>
      </c>
      <c r="AB105" s="1208" t="s">
        <v>256</v>
      </c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01" t="s">
        <v>774</v>
      </c>
      <c r="S106" s="1209">
        <v>3331564608</v>
      </c>
      <c r="T106" s="1209" t="s">
        <v>27</v>
      </c>
      <c r="U106" s="1202"/>
      <c r="V106" s="1202" t="s">
        <v>805</v>
      </c>
      <c r="W106" s="1202" t="s">
        <v>203</v>
      </c>
      <c r="X106" s="1203"/>
      <c r="Y106" s="1202" t="s">
        <v>200</v>
      </c>
      <c r="Z106" s="1202"/>
      <c r="AA106" s="1202"/>
      <c r="AB106" s="1208" t="s">
        <v>204</v>
      </c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01" t="s">
        <v>774</v>
      </c>
      <c r="S107" s="1209">
        <v>3331564609</v>
      </c>
      <c r="T107" s="1202" t="s">
        <v>256</v>
      </c>
      <c r="U107" s="1202"/>
      <c r="V107" s="1202"/>
      <c r="W107" s="1202"/>
      <c r="X107" s="1203"/>
      <c r="Y107" s="1202"/>
      <c r="Z107" s="1202"/>
      <c r="AA107" s="1202"/>
      <c r="AB107" s="1208" t="s">
        <v>256</v>
      </c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01" t="s">
        <v>774</v>
      </c>
      <c r="S108" s="1209">
        <v>3331564610</v>
      </c>
      <c r="T108" s="1202" t="s">
        <v>256</v>
      </c>
      <c r="U108" s="1202"/>
      <c r="V108" s="1202"/>
      <c r="W108" s="1202"/>
      <c r="X108" s="1203"/>
      <c r="Y108" s="1202"/>
      <c r="Z108" s="1202"/>
      <c r="AA108" s="1202"/>
      <c r="AB108" s="1208" t="s">
        <v>256</v>
      </c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183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217"/>
      <c r="T110" s="1183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217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190"/>
      <c r="S114" s="1190"/>
      <c r="T114" s="1217"/>
      <c r="U114" s="1190"/>
      <c r="V114" s="1224"/>
      <c r="W114" s="1293"/>
      <c r="X114" s="1191"/>
      <c r="Y114" s="1190"/>
      <c r="Z114" s="1217"/>
      <c r="AA114" s="1217"/>
      <c r="AB114" s="1218"/>
      <c r="AC114" s="1217"/>
      <c r="AD114" s="1326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17"/>
      <c r="S115" s="1217"/>
      <c r="T115" s="1217"/>
      <c r="U115" s="1294"/>
      <c r="V115" s="1224"/>
      <c r="W115" s="1293"/>
      <c r="X115" s="1191"/>
      <c r="Y115" s="1294"/>
      <c r="Z115" s="1294"/>
      <c r="AA115" s="1294"/>
      <c r="AB115" s="1294"/>
      <c r="AC115" s="1217"/>
      <c r="AD115" s="1326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17"/>
      <c r="S116" s="1217"/>
      <c r="T116" s="1217"/>
      <c r="U116" s="1294"/>
      <c r="V116" s="1224"/>
      <c r="W116" s="1293"/>
      <c r="X116" s="1191"/>
      <c r="Y116" s="1294"/>
      <c r="Z116" s="1294"/>
      <c r="AA116" s="1294"/>
      <c r="AB116" s="1294"/>
      <c r="AC116" s="1270"/>
      <c r="AD116" s="1293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294"/>
      <c r="V117" s="1294"/>
      <c r="W117" s="1294"/>
      <c r="X117" s="1295"/>
      <c r="Y117" s="1294"/>
      <c r="Z117" s="1294"/>
      <c r="AA117" s="1294"/>
      <c r="AB117" s="1294"/>
      <c r="AC117" s="1270"/>
      <c r="AD117" s="1293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294"/>
      <c r="V118" s="1294"/>
      <c r="W118" s="1294"/>
      <c r="X118" s="1295"/>
      <c r="Y118" s="1294"/>
      <c r="Z118" s="1293"/>
      <c r="AA118" s="1293"/>
      <c r="AB118" s="1352"/>
      <c r="AC118" s="1270"/>
      <c r="AD118" s="1293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217"/>
      <c r="U119" s="1294"/>
      <c r="V119" s="1294"/>
      <c r="W119" s="1293"/>
      <c r="X119" s="1191"/>
      <c r="Y119" s="1294"/>
      <c r="Z119" s="1190"/>
      <c r="AA119" s="1190"/>
      <c r="AB119" s="1200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217"/>
      <c r="U120" s="1294"/>
      <c r="V120" s="1294"/>
      <c r="W120" s="1293"/>
      <c r="X120" s="1191"/>
      <c r="Y120" s="1294"/>
      <c r="Z120" s="1190"/>
      <c r="AA120" s="1190"/>
      <c r="AB120" s="1200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217"/>
      <c r="U121" s="1294"/>
      <c r="V121" s="1217"/>
      <c r="W121" s="1294"/>
      <c r="X121" s="1191"/>
      <c r="Y121" s="1294"/>
      <c r="Z121" s="1190"/>
      <c r="AA121" s="1190"/>
      <c r="AB121" s="1200"/>
      <c r="AC121" s="1271"/>
      <c r="AD121" s="81"/>
    </row>
    <row r="122" spans="1:30" s="44" customFormat="1" ht="15.6">
      <c r="R122" s="1220"/>
      <c r="S122" s="1217"/>
      <c r="T122" s="1217"/>
      <c r="U122" s="1294"/>
      <c r="V122" s="1217"/>
      <c r="W122" s="1294"/>
      <c r="X122" s="1191"/>
      <c r="Y122" s="1294"/>
      <c r="Z122" s="1190"/>
      <c r="AA122" s="1190"/>
      <c r="AB122" s="1200"/>
      <c r="AC122" s="1271"/>
      <c r="AD122" s="81"/>
    </row>
    <row r="123" spans="1:30" s="44" customFormat="1" ht="15.6">
      <c r="R123" s="1220"/>
      <c r="S123" s="1217"/>
      <c r="T123" s="1217"/>
      <c r="U123" s="1294"/>
      <c r="V123" s="1217"/>
      <c r="W123" s="1294"/>
      <c r="X123" s="1191"/>
      <c r="Y123" s="1294"/>
      <c r="Z123" s="1190"/>
      <c r="AA123" s="1190"/>
      <c r="AB123" s="1200"/>
      <c r="AC123" s="1271"/>
      <c r="AD123" s="81"/>
    </row>
    <row r="124" spans="1:30" s="44" customFormat="1" ht="15.6">
      <c r="R124" s="1220"/>
      <c r="S124" s="1217"/>
      <c r="T124" s="1217"/>
      <c r="U124" s="1294"/>
      <c r="V124" s="1217"/>
      <c r="W124" s="1294"/>
      <c r="X124" s="1191"/>
      <c r="Y124" s="1294"/>
      <c r="Z124" s="1190"/>
      <c r="AA124" s="1190"/>
      <c r="AB124" s="1200"/>
      <c r="AC124" s="1271"/>
      <c r="AD124" s="81"/>
    </row>
    <row r="125" spans="1:30" s="44" customFormat="1" ht="15.6">
      <c r="R125" s="1220"/>
      <c r="S125" s="1217"/>
      <c r="T125" s="1217"/>
      <c r="U125" s="1294"/>
      <c r="V125" s="1217"/>
      <c r="W125" s="1294"/>
      <c r="X125" s="1191"/>
      <c r="Y125" s="1294"/>
      <c r="Z125" s="1190"/>
      <c r="AA125" s="1190"/>
      <c r="AB125" s="1200"/>
      <c r="AC125" s="1271"/>
      <c r="AD125" s="81"/>
    </row>
    <row r="126" spans="1:30" s="44" customFormat="1" ht="15.6">
      <c r="R126" s="1220"/>
      <c r="S126" s="1217"/>
      <c r="T126" s="1217"/>
      <c r="U126" s="1294"/>
      <c r="V126" s="1217"/>
      <c r="W126" s="1294"/>
      <c r="X126" s="1191"/>
      <c r="Y126" s="1294"/>
      <c r="Z126" s="1190"/>
      <c r="AA126" s="1190"/>
      <c r="AB126" s="1200"/>
      <c r="AC126" s="1271"/>
      <c r="AD126" s="81"/>
    </row>
    <row r="127" spans="1:30" s="44" customFormat="1">
      <c r="R127" s="1220"/>
      <c r="S127" s="1217"/>
      <c r="T127" s="1217"/>
      <c r="U127" s="1294"/>
      <c r="V127" s="1217"/>
      <c r="W127" s="1294"/>
      <c r="X127" s="1191"/>
      <c r="Y127" s="1294"/>
      <c r="Z127" s="1294"/>
      <c r="AA127" s="1294"/>
      <c r="AB127" s="1294"/>
      <c r="AC127" s="1271"/>
      <c r="AD127" s="81"/>
    </row>
    <row r="128" spans="1:30" s="44" customFormat="1">
      <c r="R128" s="1220"/>
      <c r="S128" s="1217"/>
      <c r="T128" s="1217"/>
      <c r="U128" s="1294"/>
      <c r="V128" s="1217"/>
      <c r="W128" s="1294"/>
      <c r="X128" s="1191"/>
      <c r="Y128" s="1294"/>
      <c r="Z128" s="1294"/>
      <c r="AA128" s="1294"/>
      <c r="AB128" s="1294"/>
      <c r="AC128" s="1271"/>
      <c r="AD128" s="81"/>
    </row>
    <row r="129" spans="18:30" s="44" customFormat="1" ht="15.6">
      <c r="R129" s="1220"/>
      <c r="S129" s="1217"/>
      <c r="T129" s="1217"/>
      <c r="U129" s="1294"/>
      <c r="V129" s="1217"/>
      <c r="W129" s="1294"/>
      <c r="X129" s="1191"/>
      <c r="Y129" s="1294"/>
      <c r="Z129" s="1190"/>
      <c r="AA129" s="1190"/>
      <c r="AB129" s="1200"/>
      <c r="AC129" s="1271"/>
      <c r="AD129" s="81"/>
    </row>
    <row r="130" spans="18:30" s="44" customFormat="1" ht="15.6">
      <c r="R130" s="1220"/>
      <c r="S130" s="1217"/>
      <c r="T130" s="1217"/>
      <c r="U130" s="1294"/>
      <c r="V130" s="1217"/>
      <c r="W130" s="1293"/>
      <c r="X130" s="1191"/>
      <c r="Y130" s="1294"/>
      <c r="Z130" s="1190"/>
      <c r="AA130" s="1190"/>
      <c r="AB130" s="1200"/>
      <c r="AC130" s="1271"/>
      <c r="AD130" s="81"/>
    </row>
    <row r="131" spans="18:30" s="44" customFormat="1">
      <c r="R131" s="1220"/>
      <c r="S131" s="1217"/>
      <c r="T131" s="1217"/>
      <c r="U131" s="1294"/>
      <c r="V131" s="1217"/>
      <c r="W131" s="1293"/>
      <c r="X131" s="1191"/>
      <c r="Y131" s="1294"/>
      <c r="Z131" s="1294"/>
      <c r="AA131" s="1294"/>
      <c r="AB131" s="1294"/>
      <c r="AC131" s="1271"/>
      <c r="AD131" s="81"/>
    </row>
    <row r="132" spans="18:30" s="44" customFormat="1" ht="15.6">
      <c r="R132" s="1220"/>
      <c r="S132" s="1217"/>
      <c r="T132" s="1217"/>
      <c r="U132" s="1294"/>
      <c r="V132" s="1217"/>
      <c r="W132" s="1293"/>
      <c r="X132" s="1191"/>
      <c r="Y132" s="1294"/>
      <c r="Z132" s="1190"/>
      <c r="AA132" s="1190"/>
      <c r="AB132" s="1200"/>
      <c r="AC132" s="1271"/>
      <c r="AD132" s="81"/>
    </row>
    <row r="133" spans="18:30" s="44" customFormat="1">
      <c r="R133" s="1220"/>
      <c r="S133" s="1217"/>
      <c r="T133" s="1217"/>
      <c r="U133" s="1294"/>
      <c r="V133" s="1217"/>
      <c r="W133" s="1293"/>
      <c r="X133" s="1191"/>
      <c r="Y133" s="1294"/>
      <c r="Z133" s="1294"/>
      <c r="AA133" s="1294"/>
      <c r="AB133" s="1294"/>
      <c r="AC133" s="1271"/>
      <c r="AD133" s="81"/>
    </row>
    <row r="134" spans="18:30" s="44" customFormat="1">
      <c r="R134" s="1220"/>
      <c r="S134" s="1217"/>
      <c r="T134" s="1217"/>
      <c r="U134" s="1294"/>
      <c r="V134" s="1217"/>
      <c r="W134" s="1293"/>
      <c r="X134" s="1191"/>
      <c r="Y134" s="1294"/>
      <c r="Z134" s="1294"/>
      <c r="AA134" s="1294"/>
      <c r="AB134" s="1294"/>
      <c r="AC134" s="1271"/>
      <c r="AD134" s="81"/>
    </row>
    <row r="135" spans="18:30" s="44" customFormat="1">
      <c r="R135" s="1220"/>
      <c r="S135" s="1217"/>
      <c r="T135" s="1217"/>
      <c r="U135" s="1294"/>
      <c r="V135" s="1217"/>
      <c r="W135" s="1293"/>
      <c r="X135" s="1191"/>
      <c r="Y135" s="1294"/>
      <c r="Z135" s="1294"/>
      <c r="AA135" s="1294"/>
      <c r="AB135" s="1294"/>
      <c r="AC135" s="1271"/>
      <c r="AD135" s="81"/>
    </row>
    <row r="136" spans="18:30" s="44" customFormat="1">
      <c r="R136" s="1220"/>
      <c r="S136" s="1217"/>
      <c r="T136" s="1217"/>
      <c r="U136" s="1294"/>
      <c r="V136" s="1217"/>
      <c r="W136" s="1293"/>
      <c r="X136" s="1191"/>
      <c r="Y136" s="1294"/>
      <c r="Z136" s="1294"/>
      <c r="AA136" s="1294"/>
      <c r="AB136" s="1294"/>
      <c r="AC136" s="1271"/>
      <c r="AD136" s="81"/>
    </row>
    <row r="137" spans="18:30" s="44" customFormat="1">
      <c r="R137" s="1220"/>
      <c r="S137" s="1217"/>
      <c r="T137" s="1217"/>
      <c r="U137" s="1294"/>
      <c r="V137" s="1217"/>
      <c r="W137" s="1293"/>
      <c r="X137" s="1191"/>
      <c r="Y137" s="1294"/>
      <c r="Z137" s="1294"/>
      <c r="AA137" s="1294"/>
      <c r="AB137" s="1294"/>
      <c r="AC137" s="1271"/>
      <c r="AD137" s="81"/>
    </row>
    <row r="138" spans="18:30" s="44" customFormat="1" ht="15.6">
      <c r="R138" s="1220"/>
      <c r="S138" s="1217"/>
      <c r="T138" s="1217"/>
      <c r="U138" s="1217"/>
      <c r="V138" s="1217"/>
      <c r="W138" s="1293"/>
      <c r="X138" s="1296"/>
      <c r="Y138" s="1294"/>
      <c r="Z138" s="1294"/>
      <c r="AA138" s="1294"/>
      <c r="AB138" s="1099"/>
      <c r="AC138" s="1217"/>
      <c r="AD138" s="1326"/>
    </row>
    <row r="139" spans="18:30" s="44" customFormat="1">
      <c r="R139" s="1189"/>
      <c r="S139" s="1190"/>
      <c r="T139" s="1217"/>
      <c r="U139" s="1190"/>
      <c r="V139" s="1217"/>
      <c r="W139" s="1293"/>
      <c r="X139" s="1325"/>
      <c r="Y139" s="1294"/>
      <c r="Z139" s="1190"/>
      <c r="AA139" s="1190"/>
      <c r="AB139" s="1190"/>
      <c r="AC139" s="1217"/>
      <c r="AD139" s="1326"/>
    </row>
    <row r="140" spans="18:30" s="44" customFormat="1">
      <c r="R140" s="1220"/>
      <c r="S140" s="1217"/>
      <c r="T140" s="1217"/>
      <c r="U140" s="1190"/>
      <c r="V140" s="1190"/>
      <c r="W140" s="1190"/>
      <c r="X140" s="1325"/>
      <c r="Y140" s="1190"/>
      <c r="Z140" s="1190"/>
      <c r="AA140" s="1190"/>
      <c r="AB140" s="1190"/>
      <c r="AC140" s="1217"/>
      <c r="AD140" s="1326"/>
    </row>
    <row r="141" spans="18:30" s="44" customFormat="1">
      <c r="R141" s="1220"/>
      <c r="S141" s="1217"/>
      <c r="T141" s="1217"/>
      <c r="U141" s="1190"/>
      <c r="V141" s="1190"/>
      <c r="W141" s="1293"/>
      <c r="X141" s="1325"/>
      <c r="Y141" s="1294"/>
      <c r="Z141" s="1190"/>
      <c r="AA141" s="1190"/>
      <c r="AB141" s="1190"/>
      <c r="AC141" s="1217"/>
      <c r="AD141" s="1326"/>
    </row>
    <row r="142" spans="18:30" s="44" customFormat="1">
      <c r="R142" s="1190"/>
      <c r="S142" s="1190"/>
      <c r="T142" s="1217"/>
      <c r="U142" s="1293"/>
      <c r="V142" s="1190"/>
      <c r="W142" s="1293"/>
      <c r="X142" s="1191"/>
      <c r="Y142" s="1294"/>
      <c r="Z142" s="1190"/>
      <c r="AA142" s="1190"/>
      <c r="AB142" s="1190"/>
      <c r="AC142" s="1217"/>
      <c r="AD142" s="1326"/>
    </row>
    <row r="143" spans="18:30" s="44" customFormat="1">
      <c r="R143" s="1190"/>
      <c r="S143" s="1190"/>
      <c r="T143" s="1217"/>
      <c r="U143" s="1293"/>
      <c r="V143" s="1190"/>
      <c r="W143" s="1293"/>
      <c r="X143" s="1191"/>
      <c r="Y143" s="1294"/>
      <c r="Z143" s="1190"/>
      <c r="AA143" s="1190"/>
      <c r="AB143" s="1190"/>
      <c r="AC143" s="1217"/>
      <c r="AD143" s="1326"/>
    </row>
    <row r="144" spans="18:30" s="44" customFormat="1">
      <c r="R144" s="1190"/>
      <c r="S144" s="1293"/>
      <c r="T144" s="1217"/>
      <c r="U144" s="1190"/>
      <c r="V144" s="1190"/>
      <c r="W144" s="1293"/>
      <c r="X144" s="1191"/>
      <c r="Y144" s="1294"/>
      <c r="Z144" s="1190"/>
      <c r="AA144" s="1190"/>
      <c r="AB144" s="1190"/>
      <c r="AC144" s="1217"/>
      <c r="AD144" s="1326"/>
    </row>
    <row r="145" spans="18:30" s="44" customFormat="1">
      <c r="R145" s="1190"/>
      <c r="S145" s="1190"/>
      <c r="T145" s="1217"/>
      <c r="U145" s="1293"/>
      <c r="V145" s="1190"/>
      <c r="W145" s="1293"/>
      <c r="X145" s="1191"/>
      <c r="Y145" s="1294"/>
      <c r="Z145" s="1190"/>
      <c r="AA145" s="1190"/>
      <c r="AB145" s="1190"/>
      <c r="AC145" s="1217"/>
      <c r="AD145" s="1326"/>
    </row>
    <row r="146" spans="18:30" s="44" customFormat="1">
      <c r="R146" s="1189"/>
      <c r="S146" s="1224"/>
      <c r="T146" s="1217"/>
      <c r="U146" s="1224"/>
      <c r="V146" s="1190"/>
      <c r="W146" s="1293"/>
      <c r="X146" s="1225"/>
      <c r="Y146" s="1294"/>
      <c r="Z146" s="1190"/>
      <c r="AA146" s="1190"/>
      <c r="AB146" s="1190"/>
      <c r="AC146" s="1217"/>
      <c r="AD146" s="1326"/>
    </row>
    <row r="147" spans="18:30" s="44" customFormat="1" ht="15.6">
      <c r="R147" s="1189"/>
      <c r="S147" s="1359"/>
      <c r="T147" s="1217"/>
      <c r="U147" s="1224"/>
      <c r="V147" s="1217"/>
      <c r="W147" s="1224"/>
      <c r="X147" s="1225"/>
      <c r="Y147" s="1190"/>
      <c r="Z147" s="1190"/>
      <c r="AA147" s="1190"/>
      <c r="AB147" s="1241"/>
      <c r="AC147" s="1270"/>
      <c r="AD147" s="81"/>
    </row>
    <row r="148" spans="18:30" s="44" customFormat="1" ht="15.6">
      <c r="R148" s="1190"/>
      <c r="S148" s="1190"/>
      <c r="T148" s="1293"/>
      <c r="U148" s="1293"/>
      <c r="V148" s="1190"/>
      <c r="W148" s="1293"/>
      <c r="X148" s="1191"/>
      <c r="Y148" s="1190"/>
      <c r="Z148" s="1190"/>
      <c r="AA148" s="1190"/>
      <c r="AB148" s="1241"/>
      <c r="AC148" s="1217"/>
      <c r="AD148" s="1326"/>
    </row>
    <row r="149" spans="18:30" s="44" customFormat="1" ht="15.6">
      <c r="R149" s="1189"/>
      <c r="S149" s="1190"/>
      <c r="T149" s="1293"/>
      <c r="U149" s="1293"/>
      <c r="V149" s="1190"/>
      <c r="W149" s="1293"/>
      <c r="X149" s="1191"/>
      <c r="Y149" s="1190"/>
      <c r="Z149" s="1190"/>
      <c r="AA149" s="1190"/>
      <c r="AB149" s="1241"/>
      <c r="AC149" s="1271"/>
      <c r="AD149" s="81"/>
    </row>
    <row r="150" spans="18:30" s="44" customFormat="1" ht="15.6">
      <c r="R150" s="1339"/>
      <c r="S150" s="1339"/>
      <c r="T150" s="1190"/>
      <c r="U150" s="1293"/>
      <c r="V150" s="1190"/>
      <c r="W150" s="1293"/>
      <c r="X150" s="1191"/>
      <c r="Y150" s="1190"/>
      <c r="Z150" s="1190"/>
      <c r="AA150" s="1190"/>
      <c r="AB150" s="1110"/>
      <c r="AC150" s="1271"/>
      <c r="AD150" s="81"/>
    </row>
    <row r="151" spans="18:30" s="44" customFormat="1" ht="15.6">
      <c r="R151" s="1190"/>
      <c r="S151" s="1190"/>
      <c r="T151" s="1190"/>
      <c r="U151" s="1190"/>
      <c r="V151" s="1190"/>
      <c r="W151" s="1293"/>
      <c r="X151" s="1191"/>
      <c r="Y151" s="1190"/>
      <c r="Z151" s="1190"/>
      <c r="AA151" s="1190"/>
      <c r="AB151" s="1241"/>
      <c r="AC151" s="1271"/>
      <c r="AD151" s="81"/>
    </row>
    <row r="152" spans="18:30" s="44" customFormat="1" ht="15.6">
      <c r="R152" s="1189"/>
      <c r="S152" s="1190"/>
      <c r="T152" s="1190"/>
      <c r="U152" s="1190"/>
      <c r="V152" s="1190"/>
      <c r="W152" s="1293"/>
      <c r="X152" s="1191"/>
      <c r="Y152" s="1190"/>
      <c r="Z152" s="1190"/>
      <c r="AA152" s="1190"/>
      <c r="AB152" s="1241"/>
      <c r="AC152" s="1271"/>
      <c r="AD152" s="81"/>
    </row>
    <row r="153" spans="18:30" s="44" customFormat="1" ht="15.6">
      <c r="R153" s="1353"/>
      <c r="S153" s="1339"/>
      <c r="T153" s="1190"/>
      <c r="U153" s="1190"/>
      <c r="V153" s="1190"/>
      <c r="W153" s="1293"/>
      <c r="X153" s="1191"/>
      <c r="Y153" s="1190"/>
      <c r="Z153" s="1190"/>
      <c r="AA153" s="1190"/>
      <c r="AB153" s="1241"/>
      <c r="AC153" s="1217"/>
      <c r="AD153" s="81"/>
    </row>
    <row r="154" spans="18:30" s="44" customFormat="1" ht="15.6">
      <c r="R154" s="1190"/>
      <c r="S154" s="1224"/>
      <c r="T154" s="1190"/>
      <c r="U154" s="1224"/>
      <c r="V154" s="1224"/>
      <c r="W154" s="1293"/>
      <c r="X154" s="1225"/>
      <c r="Y154" s="1190"/>
      <c r="Z154" s="1190"/>
      <c r="AA154" s="1190"/>
      <c r="AB154" s="1241"/>
      <c r="AC154" s="1217"/>
      <c r="AD154" s="1326"/>
    </row>
    <row r="155" spans="18:30" s="44" customFormat="1" ht="15.6">
      <c r="R155" s="1189"/>
      <c r="S155" s="1224"/>
      <c r="T155" s="1294"/>
      <c r="U155" s="1224"/>
      <c r="V155" s="1224"/>
      <c r="W155" s="1293"/>
      <c r="X155" s="1225"/>
      <c r="Y155" s="1190"/>
      <c r="Z155" s="1190"/>
      <c r="AA155" s="1190"/>
      <c r="AB155" s="1241"/>
      <c r="AC155" s="1271"/>
      <c r="AD155" s="81"/>
    </row>
    <row r="156" spans="18:30" s="44" customFormat="1" ht="15.6">
      <c r="R156" s="1189"/>
      <c r="S156" s="1224"/>
      <c r="T156" s="1294"/>
      <c r="U156" s="1224"/>
      <c r="V156" s="1224"/>
      <c r="W156" s="1293"/>
      <c r="X156" s="1225"/>
      <c r="Y156" s="1190"/>
      <c r="Z156" s="1190"/>
      <c r="AA156" s="1190"/>
      <c r="AB156" s="1241"/>
      <c r="AC156" s="1271"/>
      <c r="AD156" s="81"/>
    </row>
    <row r="157" spans="18:30" s="44" customFormat="1" ht="15.6">
      <c r="R157" s="1189"/>
      <c r="S157" s="1224"/>
      <c r="T157" s="1279"/>
      <c r="U157" s="1224"/>
      <c r="V157" s="1224"/>
      <c r="W157" s="1293"/>
      <c r="X157" s="1225"/>
      <c r="Y157" s="1190"/>
      <c r="Z157" s="1190"/>
      <c r="AA157" s="1190"/>
      <c r="AB157" s="1241"/>
      <c r="AC157" s="1271"/>
      <c r="AD157" s="81"/>
    </row>
    <row r="158" spans="18:30" s="44" customFormat="1" ht="15.6">
      <c r="R158" s="1190"/>
      <c r="S158" s="1190"/>
      <c r="T158" s="1217"/>
      <c r="U158" s="1190"/>
      <c r="V158" s="1224"/>
      <c r="W158" s="1293"/>
      <c r="X158" s="1191"/>
      <c r="Y158" s="1190"/>
      <c r="Z158" s="1217"/>
      <c r="AA158" s="1217"/>
      <c r="AB158" s="1218"/>
      <c r="AC158" s="1190"/>
      <c r="AD158" s="1329"/>
    </row>
    <row r="159" spans="18:30" s="44" customFormat="1">
      <c r="R159" s="1217"/>
      <c r="S159" s="1217"/>
      <c r="T159" s="1294"/>
      <c r="U159" s="1294"/>
      <c r="V159" s="1224"/>
      <c r="W159" s="1293"/>
      <c r="X159" s="1191"/>
      <c r="Y159" s="1294"/>
      <c r="Z159" s="1294"/>
      <c r="AA159" s="1294"/>
      <c r="AB159" s="1294"/>
      <c r="AC159" s="1217"/>
      <c r="AD159" s="1326"/>
    </row>
    <row r="160" spans="18:30" s="44" customFormat="1">
      <c r="R160" s="1217"/>
      <c r="S160" s="1217"/>
      <c r="T160" s="1294"/>
      <c r="U160" s="1294"/>
      <c r="V160" s="1224"/>
      <c r="W160" s="1293"/>
      <c r="X160" s="1191"/>
      <c r="Y160" s="1294"/>
      <c r="Z160" s="1294"/>
      <c r="AA160" s="1294"/>
      <c r="AB160" s="1294"/>
      <c r="AC160" s="1217"/>
      <c r="AD160" s="1326"/>
    </row>
    <row r="161" spans="18:30" s="44" customFormat="1">
      <c r="R161" s="1217"/>
      <c r="S161" s="1217"/>
      <c r="T161" s="1294"/>
      <c r="U161" s="1190"/>
      <c r="V161" s="1294"/>
      <c r="W161" s="1294"/>
      <c r="X161" s="1191"/>
      <c r="Y161" s="1294"/>
      <c r="Z161" s="1190"/>
      <c r="AA161" s="1190"/>
      <c r="AB161" s="1294"/>
      <c r="AC161" s="1217"/>
      <c r="AD161" s="1326"/>
    </row>
    <row r="162" spans="18:30" s="44" customFormat="1">
      <c r="R162" s="1217"/>
      <c r="S162" s="1217"/>
      <c r="T162" s="1294"/>
      <c r="U162" s="1190"/>
      <c r="V162" s="1294"/>
      <c r="W162" s="1294"/>
      <c r="X162" s="1191"/>
      <c r="Y162" s="1294"/>
      <c r="Z162" s="1190"/>
      <c r="AA162" s="1190"/>
      <c r="AB162" s="1294"/>
      <c r="AC162" s="1217"/>
      <c r="AD162" s="1326"/>
    </row>
    <row r="163" spans="18:30" s="44" customFormat="1">
      <c r="R163" s="1217"/>
      <c r="S163" s="1217"/>
      <c r="T163" s="1217"/>
      <c r="U163" s="1190"/>
      <c r="V163" s="1294"/>
      <c r="W163" s="1294"/>
      <c r="X163" s="1191"/>
      <c r="Y163" s="1294"/>
      <c r="Z163" s="1190"/>
      <c r="AA163" s="1190"/>
      <c r="AB163" s="1294"/>
      <c r="AC163" s="1217"/>
      <c r="AD163" s="1326"/>
    </row>
    <row r="164" spans="18:30" s="44" customFormat="1" ht="15.6">
      <c r="R164" s="1217"/>
      <c r="S164" s="1217"/>
      <c r="T164" s="1217"/>
      <c r="U164" s="1190"/>
      <c r="V164" s="1294"/>
      <c r="W164" s="1294"/>
      <c r="X164" s="1191"/>
      <c r="Y164" s="1294"/>
      <c r="Z164" s="1190"/>
      <c r="AA164" s="1190"/>
      <c r="AB164" s="1200"/>
      <c r="AC164" s="1217"/>
      <c r="AD164" s="1326"/>
    </row>
    <row r="165" spans="18:30" s="44" customFormat="1" ht="15.6">
      <c r="R165" s="1217"/>
      <c r="S165" s="1217"/>
      <c r="T165" s="1217"/>
      <c r="U165" s="1190"/>
      <c r="V165" s="1294"/>
      <c r="W165" s="1294"/>
      <c r="X165" s="1191"/>
      <c r="Y165" s="1190"/>
      <c r="Z165" s="1190"/>
      <c r="AA165" s="1190"/>
      <c r="AB165" s="1200"/>
      <c r="AC165" s="1217"/>
      <c r="AD165" s="1326"/>
    </row>
    <row r="166" spans="18:30" s="44" customFormat="1" ht="15.6">
      <c r="R166" s="1217"/>
      <c r="S166" s="1217"/>
      <c r="T166" s="1294"/>
      <c r="U166" s="1190"/>
      <c r="V166" s="1190"/>
      <c r="W166" s="1190"/>
      <c r="X166" s="1191"/>
      <c r="Y166" s="1190"/>
      <c r="Z166" s="1190"/>
      <c r="AA166" s="1190"/>
      <c r="AB166" s="1200"/>
      <c r="AC166" s="1217"/>
      <c r="AD166" s="1326"/>
    </row>
    <row r="167" spans="18:30" s="44" customFormat="1" ht="15.6">
      <c r="R167" s="1217"/>
      <c r="S167" s="1217"/>
      <c r="T167" s="1294"/>
      <c r="U167" s="1190"/>
      <c r="V167" s="1190"/>
      <c r="W167" s="1190"/>
      <c r="X167" s="1191"/>
      <c r="Y167" s="1190"/>
      <c r="Z167" s="1190"/>
      <c r="AA167" s="1190"/>
      <c r="AB167" s="1200"/>
      <c r="AC167" s="1217"/>
      <c r="AD167" s="1326"/>
    </row>
    <row r="168" spans="18:30" s="44" customFormat="1" ht="15.6">
      <c r="R168" s="1217"/>
      <c r="S168" s="1217"/>
      <c r="T168" s="1294"/>
      <c r="U168" s="1190"/>
      <c r="V168" s="1190"/>
      <c r="W168" s="1190"/>
      <c r="X168" s="1191"/>
      <c r="Y168" s="1190"/>
      <c r="Z168" s="1190"/>
      <c r="AA168" s="1190"/>
      <c r="AB168" s="1200"/>
      <c r="AC168" s="1217"/>
      <c r="AD168" s="1326"/>
    </row>
    <row r="169" spans="18:30" s="44" customFormat="1" ht="15.6">
      <c r="R169" s="1217"/>
      <c r="S169" s="1217"/>
      <c r="T169" s="1217"/>
      <c r="U169" s="1190"/>
      <c r="V169" s="1190"/>
      <c r="W169" s="1294"/>
      <c r="X169" s="1191"/>
      <c r="Y169" s="1190"/>
      <c r="Z169" s="1190"/>
      <c r="AA169" s="1190"/>
      <c r="AB169" s="1200"/>
      <c r="AC169" s="1217"/>
      <c r="AD169" s="1326"/>
    </row>
    <row r="170" spans="18:30" s="44" customFormat="1" ht="15.6">
      <c r="R170" s="1217"/>
      <c r="S170" s="1217"/>
      <c r="T170" s="1217"/>
      <c r="U170" s="1190"/>
      <c r="V170" s="1190"/>
      <c r="W170" s="1294"/>
      <c r="X170" s="1191"/>
      <c r="Y170" s="1190"/>
      <c r="Z170" s="1190"/>
      <c r="AA170" s="1190"/>
      <c r="AB170" s="1200"/>
      <c r="AC170" s="1217"/>
      <c r="AD170" s="1326"/>
    </row>
    <row r="171" spans="18:30" s="44" customFormat="1" ht="15.6">
      <c r="R171" s="1217"/>
      <c r="S171" s="1217"/>
      <c r="T171" s="1294"/>
      <c r="U171" s="1190"/>
      <c r="V171" s="1190"/>
      <c r="W171" s="1190"/>
      <c r="X171" s="1191"/>
      <c r="Y171" s="1190"/>
      <c r="Z171" s="1190"/>
      <c r="AA171" s="1190"/>
      <c r="AB171" s="1200"/>
      <c r="AC171" s="1217"/>
      <c r="AD171" s="1326"/>
    </row>
    <row r="172" spans="18:30" s="44" customFormat="1" ht="15.6">
      <c r="R172" s="1190"/>
      <c r="S172" s="1294"/>
      <c r="T172" s="1217"/>
      <c r="U172" s="1190"/>
      <c r="V172" s="1190"/>
      <c r="W172" s="1294"/>
      <c r="X172" s="1191"/>
      <c r="Y172" s="1190"/>
      <c r="Z172" s="1190"/>
      <c r="AA172" s="1190"/>
      <c r="AB172" s="1200"/>
      <c r="AC172" s="1217"/>
      <c r="AD172" s="1326"/>
    </row>
    <row r="173" spans="18:30" s="44" customFormat="1" ht="15.6">
      <c r="R173" s="1190"/>
      <c r="S173" s="1294"/>
      <c r="T173" s="1294"/>
      <c r="U173" s="1190"/>
      <c r="V173" s="1190"/>
      <c r="W173" s="1294"/>
      <c r="X173" s="1191"/>
      <c r="Y173" s="1190"/>
      <c r="Z173" s="1190"/>
      <c r="AA173" s="1190"/>
      <c r="AB173" s="1200"/>
      <c r="AC173" s="1217"/>
      <c r="AD173" s="1326"/>
    </row>
    <row r="174" spans="18:30" ht="15.6">
      <c r="R174" s="1190"/>
      <c r="S174" s="1224"/>
      <c r="T174" s="1279"/>
      <c r="U174" s="1224"/>
      <c r="V174" s="1224"/>
      <c r="W174" s="1294"/>
      <c r="X174" s="1225"/>
      <c r="Y174" s="1190"/>
      <c r="Z174" s="1190"/>
      <c r="AA174" s="1190"/>
      <c r="AB174" s="1241"/>
      <c r="AC174" s="1217"/>
      <c r="AD174" s="1326"/>
    </row>
    <row r="175" spans="18:30" ht="15.6">
      <c r="R175" s="1190"/>
      <c r="S175" s="1224"/>
      <c r="T175" s="1279"/>
      <c r="U175" s="1224"/>
      <c r="V175" s="1224"/>
      <c r="W175" s="1224"/>
      <c r="X175" s="1225"/>
      <c r="Y175" s="1190"/>
      <c r="Z175" s="1190"/>
      <c r="AA175" s="1190"/>
      <c r="AB175" s="1241"/>
      <c r="AC175" s="1217"/>
      <c r="AD175" s="1326"/>
    </row>
    <row r="176" spans="18:30" ht="15.6">
      <c r="R176" s="1190"/>
      <c r="S176" s="1224"/>
      <c r="T176" s="1279"/>
      <c r="U176" s="1224"/>
      <c r="V176" s="1224"/>
      <c r="W176" s="1294"/>
      <c r="X176" s="1225"/>
      <c r="Y176" s="1190"/>
      <c r="Z176" s="1190"/>
      <c r="AA176" s="1190"/>
      <c r="AB176" s="1241"/>
      <c r="AC176" s="1217"/>
      <c r="AD176" s="1326"/>
    </row>
    <row r="177" spans="18:30" ht="15.6">
      <c r="R177" s="1190"/>
      <c r="S177" s="1224"/>
      <c r="T177" s="1279"/>
      <c r="U177" s="1224"/>
      <c r="V177" s="1224"/>
      <c r="W177" s="1224"/>
      <c r="X177" s="1225"/>
      <c r="Y177" s="1190"/>
      <c r="Z177" s="1190"/>
      <c r="AA177" s="1190"/>
      <c r="AB177" s="1241"/>
      <c r="AC177" s="1217"/>
      <c r="AD177" s="1326"/>
    </row>
    <row r="178" spans="18:30" ht="15.6">
      <c r="R178" s="1190"/>
      <c r="S178" s="1224"/>
      <c r="T178" s="1279"/>
      <c r="U178" s="1224"/>
      <c r="V178" s="1224"/>
      <c r="W178" s="1224"/>
      <c r="X178" s="1225"/>
      <c r="Y178" s="1190"/>
      <c r="Z178" s="1190"/>
      <c r="AA178" s="1190"/>
      <c r="AB178" s="1241"/>
      <c r="AC178" s="1217"/>
      <c r="AD178" s="1326"/>
    </row>
    <row r="179" spans="18:30" ht="15.6">
      <c r="R179" s="1190"/>
      <c r="S179" s="1224"/>
      <c r="T179" s="1279"/>
      <c r="U179" s="1224"/>
      <c r="V179" s="1224"/>
      <c r="W179" s="1224"/>
      <c r="X179" s="1225"/>
      <c r="Y179" s="1190"/>
      <c r="Z179" s="1190"/>
      <c r="AA179" s="1190"/>
      <c r="AB179" s="1241"/>
      <c r="AC179" s="1217"/>
      <c r="AD179" s="1326"/>
    </row>
    <row r="180" spans="18:30" ht="15.6">
      <c r="R180" s="1190"/>
      <c r="S180" s="1224"/>
      <c r="T180" s="1279"/>
      <c r="U180" s="1224"/>
      <c r="V180" s="1224"/>
      <c r="W180" s="1224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6">
      <c r="R181" s="1190"/>
      <c r="S181" s="1224"/>
      <c r="T181" s="1279"/>
      <c r="U181" s="1224"/>
      <c r="V181" s="1224"/>
      <c r="W181" s="1190"/>
      <c r="X181" s="1225"/>
      <c r="Y181" s="1190"/>
      <c r="Z181" s="1190"/>
      <c r="AA181" s="1190"/>
      <c r="AB181" s="1241"/>
      <c r="AC181" s="1217"/>
      <c r="AD181" s="1326"/>
    </row>
    <row r="182" spans="18:30" s="44" customFormat="1" ht="15.6">
      <c r="R182" s="1190"/>
      <c r="S182" s="1224"/>
      <c r="T182" s="1279"/>
      <c r="U182" s="1224"/>
      <c r="V182" s="1224"/>
      <c r="W182" s="1294"/>
      <c r="X182" s="1225"/>
      <c r="Y182" s="1190"/>
      <c r="Z182" s="1190"/>
      <c r="AA182" s="1190"/>
      <c r="AB182" s="1241"/>
      <c r="AC182" s="1217"/>
      <c r="AD182" s="1326"/>
    </row>
    <row r="183" spans="18:30" s="44" customFormat="1" ht="15.6">
      <c r="R183" s="1190"/>
      <c r="S183" s="1224"/>
      <c r="T183" s="1279"/>
      <c r="U183" s="1224"/>
      <c r="V183" s="1224"/>
      <c r="W183" s="1294"/>
      <c r="X183" s="1225"/>
      <c r="Y183" s="1190"/>
      <c r="Z183" s="1190"/>
      <c r="AA183" s="1190"/>
      <c r="AB183" s="1241"/>
      <c r="AC183" s="1217"/>
      <c r="AD183" s="1326"/>
    </row>
    <row r="184" spans="18:30" s="44" customFormat="1" ht="15.6">
      <c r="R184" s="1190"/>
      <c r="S184" s="1224"/>
      <c r="T184" s="1279"/>
      <c r="U184" s="1224"/>
      <c r="V184" s="1224"/>
      <c r="W184" s="1294"/>
      <c r="X184" s="1225"/>
      <c r="Y184" s="1190"/>
      <c r="Z184" s="1190"/>
      <c r="AA184" s="1190"/>
      <c r="AB184" s="1241"/>
      <c r="AC184" s="1217"/>
      <c r="AD184" s="1326"/>
    </row>
    <row r="185" spans="18:30" s="44" customFormat="1" ht="15.6">
      <c r="R185" s="1190"/>
      <c r="S185" s="1224"/>
      <c r="T185" s="1279"/>
      <c r="U185" s="1224"/>
      <c r="V185" s="1224"/>
      <c r="W185" s="1190"/>
      <c r="X185" s="1225"/>
      <c r="Y185" s="1190"/>
      <c r="Z185" s="1190"/>
      <c r="AA185" s="1190"/>
      <c r="AB185" s="1241"/>
      <c r="AC185" s="1217"/>
      <c r="AD185" s="1326"/>
    </row>
    <row r="186" spans="18:30" s="44" customFormat="1" ht="15.6">
      <c r="R186" s="1190"/>
      <c r="S186" s="1224"/>
      <c r="T186" s="1279"/>
      <c r="U186" s="1224"/>
      <c r="V186" s="1224"/>
      <c r="W186" s="1190"/>
      <c r="X186" s="1225"/>
      <c r="Y186" s="1190"/>
      <c r="Z186" s="1190"/>
      <c r="AA186" s="1190"/>
      <c r="AB186" s="1241"/>
      <c r="AC186" s="1217"/>
      <c r="AD186" s="1326"/>
    </row>
    <row r="187" spans="18:30" s="44" customFormat="1" ht="15.6">
      <c r="R187" s="1190"/>
      <c r="S187" s="1224"/>
      <c r="T187" s="1279"/>
      <c r="U187" s="1224"/>
      <c r="V187" s="1224"/>
      <c r="W187" s="1294"/>
      <c r="X187" s="1225"/>
      <c r="Y187" s="1190"/>
      <c r="Z187" s="1190"/>
      <c r="AA187" s="1190"/>
      <c r="AB187" s="1241"/>
      <c r="AC187" s="1217"/>
      <c r="AD187" s="1326"/>
    </row>
    <row r="188" spans="18:30" s="44" customFormat="1" ht="15.6">
      <c r="R188" s="1190"/>
      <c r="S188" s="1224"/>
      <c r="T188" s="1279"/>
      <c r="U188" s="1224"/>
      <c r="V188" s="1224"/>
      <c r="W188" s="1294"/>
      <c r="X188" s="1225"/>
      <c r="Y188" s="1190"/>
      <c r="Z188" s="1190"/>
      <c r="AA188" s="1190"/>
      <c r="AB188" s="1241"/>
      <c r="AC188" s="1217"/>
      <c r="AD188" s="1326"/>
    </row>
    <row r="189" spans="18:30" ht="15.6">
      <c r="R189" s="1190"/>
      <c r="S189" s="1224"/>
      <c r="T189" s="1279"/>
      <c r="U189" s="1224"/>
      <c r="V189" s="1224"/>
      <c r="W189" s="1294"/>
      <c r="X189" s="1225"/>
      <c r="Y189" s="1190"/>
      <c r="Z189" s="1190"/>
      <c r="AA189" s="1190"/>
      <c r="AB189" s="1241"/>
      <c r="AC189" s="1217"/>
      <c r="AD189" s="1326"/>
    </row>
    <row r="190" spans="18:30" ht="15.6">
      <c r="R190" s="1190"/>
      <c r="S190" s="1224"/>
      <c r="T190" s="1279"/>
      <c r="U190" s="1224"/>
      <c r="V190" s="1224"/>
      <c r="W190" s="1294"/>
      <c r="X190" s="1225"/>
      <c r="Y190" s="1190"/>
      <c r="Z190" s="1190"/>
      <c r="AA190" s="1190"/>
      <c r="AB190" s="1241"/>
      <c r="AC190" s="1217"/>
      <c r="AD190" s="1326"/>
    </row>
    <row r="191" spans="18:30" ht="15.6">
      <c r="R191" s="1190"/>
      <c r="S191" s="1224"/>
      <c r="T191" s="1279"/>
      <c r="U191" s="1224"/>
      <c r="V191" s="1224"/>
      <c r="W191" s="1294"/>
      <c r="X191" s="1225"/>
      <c r="Y191" s="1190"/>
      <c r="Z191" s="1190"/>
      <c r="AA191" s="1190"/>
      <c r="AB191" s="1241"/>
      <c r="AC191" s="1217"/>
      <c r="AD191" s="1326"/>
    </row>
    <row r="192" spans="18:30" ht="15.6">
      <c r="R192" s="1190"/>
      <c r="S192" s="1224"/>
      <c r="T192" s="1279"/>
      <c r="U192" s="1224"/>
      <c r="V192" s="1224"/>
      <c r="W192" s="1294"/>
      <c r="X192" s="1225"/>
      <c r="Y192" s="1190"/>
      <c r="Z192" s="1190"/>
      <c r="AA192" s="1190"/>
      <c r="AB192" s="1241"/>
      <c r="AC192" s="1217"/>
      <c r="AD192" s="1326"/>
    </row>
    <row r="193" spans="18:30" ht="15.6">
      <c r="R193" s="1190"/>
      <c r="S193" s="1224"/>
      <c r="T193" s="1279"/>
      <c r="U193" s="1224"/>
      <c r="V193" s="1224"/>
      <c r="W193" s="1294"/>
      <c r="X193" s="1225"/>
      <c r="Y193" s="1190"/>
      <c r="Z193" s="1190"/>
      <c r="AA193" s="1190"/>
      <c r="AB193" s="1241"/>
      <c r="AC193" s="1217"/>
      <c r="AD193" s="1326"/>
    </row>
    <row r="194" spans="18:30" ht="15.6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ht="15.6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ht="15.6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ht="15.6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ht="15.6">
      <c r="R198" s="1190"/>
      <c r="S198" s="1294"/>
      <c r="T198" s="1293"/>
      <c r="U198" s="1190"/>
      <c r="V198" s="1217"/>
      <c r="W198" s="1190"/>
      <c r="X198" s="1191"/>
      <c r="Y198" s="1190"/>
      <c r="Z198" s="1190"/>
      <c r="AA198" s="1190"/>
      <c r="AB198" s="1241"/>
      <c r="AC198" s="1217"/>
      <c r="AD198" s="1326"/>
    </row>
    <row r="199" spans="18:30" ht="15.6">
      <c r="R199" s="1190"/>
      <c r="S199" s="1294"/>
      <c r="T199" s="1293"/>
      <c r="U199" s="1190"/>
      <c r="V199" s="1217"/>
      <c r="W199" s="1190"/>
      <c r="X199" s="1191"/>
      <c r="Y199" s="1190"/>
      <c r="Z199" s="1190"/>
      <c r="AA199" s="1190"/>
      <c r="AB199" s="1241"/>
      <c r="AC199" s="1217"/>
      <c r="AD199" s="1326"/>
    </row>
    <row r="200" spans="18:30" ht="15.6">
      <c r="R200" s="1190"/>
      <c r="S200" s="1294"/>
      <c r="T200" s="1293"/>
      <c r="U200" s="1190"/>
      <c r="V200" s="1217"/>
      <c r="W200" s="1190"/>
      <c r="X200" s="1191"/>
      <c r="Y200" s="1190"/>
      <c r="Z200" s="1190"/>
      <c r="AA200" s="1190"/>
      <c r="AB200" s="1200"/>
      <c r="AC200" s="1217"/>
      <c r="AD200" s="1326"/>
    </row>
    <row r="201" spans="18:30" ht="15.6">
      <c r="R201" s="1190"/>
      <c r="S201" s="1190"/>
      <c r="T201" s="1293"/>
      <c r="U201" s="1190"/>
      <c r="V201" s="1190"/>
      <c r="W201" s="1190"/>
      <c r="X201" s="1191"/>
      <c r="Y201" s="1190"/>
      <c r="Z201" s="1190"/>
      <c r="AA201" s="1190"/>
      <c r="AB201" s="1200"/>
      <c r="AC201" s="1217"/>
      <c r="AD201" s="1326"/>
    </row>
    <row r="202" spans="18:30" ht="15.6">
      <c r="R202" s="1190"/>
      <c r="S202" s="1190"/>
      <c r="T202" s="1293"/>
      <c r="U202" s="1190"/>
      <c r="V202" s="1190"/>
      <c r="W202" s="1190"/>
      <c r="X202" s="1191"/>
      <c r="Y202" s="1190"/>
      <c r="Z202" s="1190"/>
      <c r="AA202" s="1190"/>
      <c r="AB202" s="1200"/>
      <c r="AC202" s="1217"/>
      <c r="AD202" s="1326"/>
    </row>
    <row r="203" spans="18:30" ht="15.6">
      <c r="R203" s="1190"/>
      <c r="S203" s="1190"/>
      <c r="T203" s="1293"/>
      <c r="U203" s="1190"/>
      <c r="V203" s="1190"/>
      <c r="W203" s="1190"/>
      <c r="X203" s="1191"/>
      <c r="Y203" s="1190"/>
      <c r="Z203" s="1190"/>
      <c r="AA203" s="1190"/>
      <c r="AB203" s="1200"/>
      <c r="AC203" s="1217"/>
      <c r="AD203" s="1326"/>
    </row>
    <row r="204" spans="18:30" ht="15.6">
      <c r="R204" s="1190"/>
      <c r="S204" s="1190"/>
      <c r="T204" s="1293"/>
      <c r="U204" s="1190"/>
      <c r="V204" s="1190"/>
      <c r="W204" s="1190"/>
      <c r="X204" s="1191"/>
      <c r="Y204" s="1190"/>
      <c r="Z204" s="1190"/>
      <c r="AA204" s="1190"/>
      <c r="AB204" s="1200"/>
      <c r="AC204" s="1217"/>
      <c r="AD204" s="1326"/>
    </row>
    <row r="205" spans="18:30" ht="15.6">
      <c r="R205" s="1190"/>
      <c r="S205" s="1190"/>
      <c r="T205" s="1293"/>
      <c r="U205" s="1190"/>
      <c r="V205" s="1190"/>
      <c r="W205" s="1190"/>
      <c r="X205" s="1191"/>
      <c r="Y205" s="1190"/>
      <c r="Z205" s="1190"/>
      <c r="AA205" s="1190"/>
      <c r="AB205" s="1200"/>
      <c r="AC205" s="1217"/>
      <c r="AD205" s="1326"/>
    </row>
    <row r="206" spans="18:30" ht="15.6">
      <c r="R206" s="1190"/>
      <c r="S206" s="1190"/>
      <c r="T206" s="1293"/>
      <c r="U206" s="1190"/>
      <c r="V206" s="1190"/>
      <c r="W206" s="1190"/>
      <c r="X206" s="1191"/>
      <c r="Y206" s="1190"/>
      <c r="Z206" s="1190"/>
      <c r="AA206" s="1190"/>
      <c r="AB206" s="1200"/>
      <c r="AC206" s="1217"/>
      <c r="AD206" s="1326"/>
    </row>
    <row r="207" spans="18:30" ht="15.6">
      <c r="R207" s="1190"/>
      <c r="S207" s="1190"/>
      <c r="T207" s="1293"/>
      <c r="U207" s="1190"/>
      <c r="V207" s="1190"/>
      <c r="W207" s="1190"/>
      <c r="X207" s="1191"/>
      <c r="Y207" s="1190"/>
      <c r="Z207" s="1190"/>
      <c r="AA207" s="1190"/>
      <c r="AB207" s="1200"/>
      <c r="AC207" s="1217"/>
      <c r="AD207" s="1326"/>
    </row>
    <row r="208" spans="18:30" ht="15.6">
      <c r="R208" s="1190"/>
      <c r="S208" s="1190"/>
      <c r="T208" s="1190"/>
      <c r="U208" s="1190"/>
      <c r="V208" s="1190"/>
      <c r="W208" s="1190"/>
      <c r="X208" s="1191"/>
      <c r="Y208" s="1190"/>
      <c r="Z208" s="1190"/>
      <c r="AA208" s="1190"/>
      <c r="AB208" s="1200"/>
      <c r="AC208" s="1217"/>
      <c r="AD208" s="1326"/>
    </row>
    <row r="209" spans="18:30" ht="15.6">
      <c r="R209" s="1190"/>
      <c r="S209" s="1190"/>
      <c r="T209" s="1293"/>
      <c r="U209" s="1190"/>
      <c r="V209" s="1190"/>
      <c r="W209" s="1190"/>
      <c r="X209" s="1191"/>
      <c r="Y209" s="1190"/>
      <c r="Z209" s="1190"/>
      <c r="AA209" s="1190"/>
      <c r="AB209" s="1200"/>
      <c r="AC209" s="1217"/>
      <c r="AD209" s="1326"/>
    </row>
    <row r="210" spans="18:30" ht="15.6">
      <c r="R210" s="1190"/>
      <c r="S210" s="1190"/>
      <c r="T210" s="1293"/>
      <c r="U210" s="1190"/>
      <c r="V210" s="1190"/>
      <c r="W210" s="1190"/>
      <c r="X210" s="1191"/>
      <c r="Y210" s="1190"/>
      <c r="Z210" s="1190"/>
      <c r="AA210" s="1190"/>
      <c r="AB210" s="1200"/>
      <c r="AC210" s="1217"/>
      <c r="AD210" s="1326"/>
    </row>
    <row r="211" spans="18:30" ht="15.6">
      <c r="R211" s="1190"/>
      <c r="S211" s="1190"/>
      <c r="T211" s="1293"/>
      <c r="U211" s="1190"/>
      <c r="V211" s="1190"/>
      <c r="W211" s="1190"/>
      <c r="X211" s="1191"/>
      <c r="Y211" s="1190"/>
      <c r="Z211" s="1190"/>
      <c r="AA211" s="1190"/>
      <c r="AB211" s="1200"/>
      <c r="AC211" s="1217"/>
      <c r="AD211" s="1326"/>
    </row>
    <row r="212" spans="18:30">
      <c r="R212" s="1190"/>
      <c r="S212" s="1190"/>
      <c r="T212" s="1293"/>
      <c r="U212" s="1190"/>
      <c r="V212" s="1190"/>
      <c r="W212" s="1190"/>
      <c r="X212" s="1191"/>
      <c r="Y212" s="1190"/>
      <c r="Z212" s="1190"/>
      <c r="AA212" s="1190"/>
      <c r="AB212" s="1190"/>
      <c r="AC212" s="1217"/>
      <c r="AD212" s="1326"/>
    </row>
    <row r="213" spans="18:30" ht="15.6">
      <c r="R213" s="1190"/>
      <c r="S213" s="1190"/>
      <c r="T213" s="1224"/>
      <c r="U213" s="1190"/>
      <c r="V213" s="1190"/>
      <c r="W213" s="1190"/>
      <c r="X213" s="1191"/>
      <c r="Y213" s="1190"/>
      <c r="Z213" s="1217"/>
      <c r="AA213" s="1217"/>
      <c r="AB213" s="1218"/>
      <c r="AC213" s="1190"/>
      <c r="AD213" s="1326"/>
    </row>
    <row r="214" spans="18:30" ht="15.6">
      <c r="R214" s="1190"/>
      <c r="S214" s="1190"/>
      <c r="T214" s="1190"/>
      <c r="U214" s="1190"/>
      <c r="V214" s="1190"/>
      <c r="W214" s="1190"/>
      <c r="X214" s="1191"/>
      <c r="Y214" s="1190"/>
      <c r="Z214" s="1217"/>
      <c r="AA214" s="1217"/>
      <c r="AB214" s="1218"/>
      <c r="AC214" s="1190"/>
      <c r="AD214" s="1326"/>
    </row>
    <row r="215" spans="18:30" ht="15.6">
      <c r="R215" s="1190"/>
      <c r="S215" s="1190"/>
      <c r="T215" s="1190"/>
      <c r="U215" s="1190"/>
      <c r="V215" s="1190"/>
      <c r="W215" s="1190"/>
      <c r="X215" s="1191"/>
      <c r="Y215" s="1190"/>
      <c r="Z215" s="1217"/>
      <c r="AA215" s="1217"/>
      <c r="AB215" s="1218"/>
      <c r="AC215" s="1190"/>
      <c r="AD215" s="1326"/>
    </row>
    <row r="216" spans="18:30" ht="15.6">
      <c r="R216" s="1190"/>
      <c r="S216" s="1190"/>
      <c r="T216" s="1217"/>
      <c r="U216" s="1190"/>
      <c r="V216" s="1190"/>
      <c r="W216" s="1190"/>
      <c r="X216" s="1191"/>
      <c r="Y216" s="1190"/>
      <c r="Z216" s="1217"/>
      <c r="AA216" s="1217"/>
      <c r="AB216" s="1218"/>
      <c r="AC216" s="1190"/>
      <c r="AD216" s="1326"/>
    </row>
    <row r="217" spans="18:30" ht="15.6">
      <c r="R217" s="1190"/>
      <c r="S217" s="1190"/>
      <c r="T217" s="1217"/>
      <c r="U217" s="1190"/>
      <c r="V217" s="1190"/>
      <c r="W217" s="1190"/>
      <c r="X217" s="1191"/>
      <c r="Y217" s="1190"/>
      <c r="Z217" s="1217"/>
      <c r="AA217" s="1217"/>
      <c r="AB217" s="1218"/>
      <c r="AC217" s="1190"/>
      <c r="AD217" s="1326"/>
    </row>
    <row r="218" spans="18:30" ht="15.6">
      <c r="R218" s="1190"/>
      <c r="S218" s="1190"/>
      <c r="T218" s="1217"/>
      <c r="U218" s="1190"/>
      <c r="V218" s="1190"/>
      <c r="W218" s="1190"/>
      <c r="X218" s="1191"/>
      <c r="Y218" s="1190"/>
      <c r="Z218" s="1217"/>
      <c r="AA218" s="1217"/>
      <c r="AB218" s="1218"/>
      <c r="AC218" s="1190"/>
      <c r="AD218" s="1326"/>
    </row>
    <row r="219" spans="18:30" ht="15.6">
      <c r="R219" s="1190"/>
      <c r="S219" s="1190"/>
      <c r="T219" s="1217"/>
      <c r="U219" s="1190"/>
      <c r="V219" s="1190"/>
      <c r="W219" s="1190"/>
      <c r="X219" s="1191"/>
      <c r="Y219" s="1190"/>
      <c r="Z219" s="1217"/>
      <c r="AA219" s="1217"/>
      <c r="AB219" s="1218"/>
      <c r="AC219" s="1190"/>
      <c r="AD219" s="1326"/>
    </row>
    <row r="220" spans="18:30" ht="15.6">
      <c r="R220" s="1190"/>
      <c r="S220" s="1190"/>
      <c r="T220" s="1217"/>
      <c r="U220" s="1190"/>
      <c r="V220" s="1190"/>
      <c r="W220" s="1190"/>
      <c r="X220" s="1191"/>
      <c r="Y220" s="1190"/>
      <c r="Z220" s="1217"/>
      <c r="AA220" s="1217"/>
      <c r="AB220" s="1218"/>
      <c r="AC220" s="1190"/>
      <c r="AD220" s="1326"/>
    </row>
    <row r="221" spans="18:30" ht="15.6">
      <c r="R221" s="81"/>
      <c r="S221" s="81"/>
      <c r="T221" s="81"/>
      <c r="U221" s="81"/>
      <c r="V221" s="1190"/>
      <c r="W221" s="1190"/>
      <c r="X221" s="191"/>
      <c r="Y221" s="81"/>
      <c r="Z221" s="1217"/>
      <c r="AA221" s="1217"/>
      <c r="AB221" s="1218"/>
      <c r="AC221" s="1190"/>
      <c r="AD221" s="1326"/>
    </row>
    <row r="222" spans="18:30" ht="15.6">
      <c r="R222" s="81"/>
      <c r="S222" s="81"/>
      <c r="T222" s="81"/>
      <c r="U222" s="81"/>
      <c r="V222" s="1190"/>
      <c r="W222" s="1190"/>
      <c r="X222" s="1325"/>
      <c r="Y222" s="1190"/>
      <c r="Z222" s="1190"/>
      <c r="AA222" s="1190"/>
      <c r="AB222" s="1218"/>
      <c r="AC222" s="1190"/>
      <c r="AD222" s="1326"/>
    </row>
    <row r="223" spans="18:30" ht="15.6">
      <c r="R223" s="1190"/>
      <c r="S223" s="1190"/>
      <c r="T223" s="1217"/>
      <c r="U223" s="1190"/>
      <c r="V223" s="1190"/>
      <c r="W223" s="1190"/>
      <c r="X223" s="1325"/>
      <c r="Y223" s="1190"/>
      <c r="Z223" s="1190"/>
      <c r="AA223" s="1190"/>
      <c r="AB223" s="1218"/>
      <c r="AC223" s="1190"/>
      <c r="AD223" s="1326"/>
    </row>
    <row r="224" spans="18:30" ht="15.6">
      <c r="R224" s="1190"/>
      <c r="S224" s="1190"/>
      <c r="T224" s="1190"/>
      <c r="U224" s="1190"/>
      <c r="V224" s="1190"/>
      <c r="W224" s="1190"/>
      <c r="X224" s="1190"/>
      <c r="Y224" s="1190"/>
      <c r="Z224" s="1190"/>
      <c r="AA224" s="1190"/>
      <c r="AB224" s="1218"/>
      <c r="AC224" s="1190"/>
      <c r="AD224" s="1326"/>
    </row>
    <row r="225" spans="18:30" ht="15.6">
      <c r="R225" s="1190"/>
      <c r="S225" s="1190"/>
      <c r="T225" s="1217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6">
      <c r="R226" s="1330"/>
      <c r="S226" s="1331"/>
      <c r="T226" s="1332"/>
      <c r="U226" s="1331"/>
      <c r="V226" s="1331"/>
      <c r="W226" s="1331"/>
      <c r="X226" s="1333"/>
      <c r="Y226" s="1331"/>
      <c r="Z226" s="1332"/>
      <c r="AA226" s="1332"/>
      <c r="AB226" s="1334"/>
      <c r="AC226" s="1335"/>
      <c r="AD226" s="81"/>
    </row>
    <row r="227" spans="18:30" ht="15.6">
      <c r="R227" s="1189"/>
      <c r="S227" s="1190"/>
      <c r="T227" s="1217"/>
      <c r="U227" s="1190"/>
      <c r="V227" s="1190"/>
      <c r="W227" s="1190"/>
      <c r="X227" s="1191"/>
      <c r="Y227" s="1190"/>
      <c r="Z227" s="1217"/>
      <c r="AA227" s="1217"/>
      <c r="AB227" s="1218"/>
      <c r="AC227" s="1192"/>
      <c r="AD227" s="81"/>
    </row>
    <row r="228" spans="18:30" ht="15.6">
      <c r="R228" s="1189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2"/>
      <c r="AD228" s="81"/>
    </row>
    <row r="229" spans="18:30" ht="15.6">
      <c r="R229" s="1189"/>
      <c r="S229" s="1190"/>
      <c r="T229" s="1190"/>
      <c r="U229" s="1190"/>
      <c r="V229" s="1190"/>
      <c r="W229" s="1190"/>
      <c r="X229" s="1191"/>
      <c r="Y229" s="1190"/>
      <c r="Z229" s="1217"/>
      <c r="AA229" s="1217"/>
      <c r="AB229" s="1218"/>
      <c r="AC229" s="1192"/>
      <c r="AD229" s="81"/>
    </row>
    <row r="230" spans="18:30" ht="15.6">
      <c r="R230" s="1189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2"/>
      <c r="AD230" s="81"/>
    </row>
    <row r="231" spans="18:30" ht="15.6">
      <c r="R231" s="1189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2"/>
      <c r="AD231" s="81"/>
    </row>
    <row r="232" spans="18:30" ht="15.6">
      <c r="R232" s="1189"/>
      <c r="S232" s="1190"/>
      <c r="T232" s="1190"/>
      <c r="U232" s="1190"/>
      <c r="V232" s="1190"/>
      <c r="W232" s="1190"/>
      <c r="X232" s="1191"/>
      <c r="Y232" s="1190"/>
      <c r="Z232" s="1217"/>
      <c r="AA232" s="1217"/>
      <c r="AB232" s="1218"/>
      <c r="AC232" s="1192"/>
      <c r="AD232" s="81"/>
    </row>
    <row r="233" spans="18:30" ht="15.6">
      <c r="R233" s="1189"/>
      <c r="S233" s="1190"/>
      <c r="T233" s="1217"/>
      <c r="U233" s="1190"/>
      <c r="V233" s="1190"/>
      <c r="W233" s="1190"/>
      <c r="X233" s="1191"/>
      <c r="Y233" s="1190"/>
      <c r="Z233" s="1217"/>
      <c r="AA233" s="1217"/>
      <c r="AB233" s="1218"/>
      <c r="AC233" s="1192"/>
      <c r="AD233" s="81"/>
    </row>
    <row r="234" spans="18:30" ht="15.6">
      <c r="R234" s="1189"/>
      <c r="S234" s="1190"/>
      <c r="T234" s="1217"/>
      <c r="U234" s="1190"/>
      <c r="V234" s="1190"/>
      <c r="W234" s="1190"/>
      <c r="X234" s="1191"/>
      <c r="Y234" s="1190"/>
      <c r="Z234" s="1217"/>
      <c r="AA234" s="1217"/>
      <c r="AB234" s="1218"/>
      <c r="AC234" s="1192"/>
      <c r="AD234" s="81"/>
    </row>
    <row r="235" spans="18:30" ht="15.6">
      <c r="R235" s="1189"/>
      <c r="S235" s="1190"/>
      <c r="T235" s="1217"/>
      <c r="U235" s="1190"/>
      <c r="V235" s="1190"/>
      <c r="W235" s="1190"/>
      <c r="X235" s="1191"/>
      <c r="Y235" s="1190"/>
      <c r="Z235" s="1217"/>
      <c r="AA235" s="1217"/>
      <c r="AB235" s="1218"/>
      <c r="AC235" s="1192"/>
      <c r="AD235" s="81"/>
    </row>
    <row r="236" spans="18:30" ht="15.6">
      <c r="R236" s="1189"/>
      <c r="S236" s="1190"/>
      <c r="T236" s="1217"/>
      <c r="U236" s="1190"/>
      <c r="V236" s="1190"/>
      <c r="W236" s="1190"/>
      <c r="X236" s="1191"/>
      <c r="Y236" s="1190"/>
      <c r="Z236" s="1217"/>
      <c r="AA236" s="1217"/>
      <c r="AB236" s="1218"/>
      <c r="AC236" s="1192"/>
      <c r="AD236" s="81"/>
    </row>
    <row r="237" spans="18:30" ht="15.6">
      <c r="R237" s="1189"/>
      <c r="S237" s="1190"/>
      <c r="T237" s="1190"/>
      <c r="U237" s="1190"/>
      <c r="V237" s="1190"/>
      <c r="W237" s="1190"/>
      <c r="X237" s="1191"/>
      <c r="Y237" s="1190"/>
      <c r="Z237" s="1217"/>
      <c r="AA237" s="1217"/>
      <c r="AB237" s="1218"/>
      <c r="AC237" s="1192"/>
      <c r="AD237" s="81"/>
    </row>
    <row r="238" spans="18:30" ht="15.6">
      <c r="R238" s="1189"/>
      <c r="S238" s="1190"/>
      <c r="T238" s="1190"/>
      <c r="U238" s="1190"/>
      <c r="V238" s="1190"/>
      <c r="W238" s="1190"/>
      <c r="X238" s="1191"/>
      <c r="Y238" s="1190"/>
      <c r="Z238" s="1217"/>
      <c r="AA238" s="1217"/>
      <c r="AB238" s="1218"/>
      <c r="AC238" s="1192"/>
      <c r="AD238" s="81"/>
    </row>
    <row r="239" spans="18:30" ht="15.6">
      <c r="R239" s="1189"/>
      <c r="S239" s="1190"/>
      <c r="T239" s="1190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6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6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6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6">
      <c r="R243" s="1189"/>
      <c r="S243" s="1190"/>
      <c r="T243" s="1190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6">
      <c r="R244" s="1189"/>
      <c r="S244" s="1190"/>
      <c r="T244" s="1111"/>
      <c r="U244" s="1190"/>
      <c r="V244" s="1190"/>
      <c r="W244" s="1190"/>
      <c r="X244" s="1191"/>
      <c r="Y244" s="1190"/>
      <c r="Z244" s="1106"/>
      <c r="AA244" s="1106"/>
      <c r="AB244" s="1110"/>
      <c r="AC244" s="1192"/>
      <c r="AD244" s="81"/>
    </row>
    <row r="245" spans="18:30" ht="15.6">
      <c r="R245" s="1189"/>
      <c r="S245" s="1190"/>
      <c r="T245" s="1111"/>
      <c r="U245" s="1190"/>
      <c r="V245" s="1190"/>
      <c r="W245" s="1190"/>
      <c r="X245" s="1191"/>
      <c r="Y245" s="1190"/>
      <c r="Z245" s="1190"/>
      <c r="AA245" s="1190"/>
      <c r="AB245" s="1110"/>
      <c r="AC245" s="1192"/>
      <c r="AD245" s="81"/>
    </row>
    <row r="246" spans="18:30">
      <c r="R246" s="1189"/>
      <c r="S246" s="1190"/>
      <c r="T246" s="1106"/>
      <c r="U246" s="1190"/>
      <c r="V246" s="1190"/>
      <c r="W246" s="1190"/>
      <c r="X246" s="1191"/>
      <c r="Y246" s="1190"/>
      <c r="Z246" s="1190"/>
      <c r="AA246" s="1190"/>
      <c r="AB246" s="1190"/>
      <c r="AC246" s="1192"/>
      <c r="AD246" s="81"/>
    </row>
    <row r="247" spans="18:30">
      <c r="R247" s="1189"/>
      <c r="S247" s="1190"/>
      <c r="T247" s="1190"/>
      <c r="U247" s="1190"/>
      <c r="V247" s="1190"/>
      <c r="W247" s="1190"/>
      <c r="X247" s="1191"/>
      <c r="Y247" s="1190"/>
      <c r="Z247" s="1190"/>
      <c r="AA247" s="1190"/>
      <c r="AB247" s="1190"/>
      <c r="AC247" s="1192"/>
      <c r="AD247" s="81"/>
    </row>
    <row r="248" spans="18:30">
      <c r="R248" s="1189"/>
      <c r="S248" s="1190"/>
      <c r="T248" s="1190"/>
      <c r="U248" s="1190"/>
      <c r="V248" s="1190"/>
      <c r="W248" s="1190"/>
      <c r="X248" s="1191"/>
      <c r="Y248" s="1190"/>
      <c r="Z248" s="1190"/>
      <c r="AA248" s="1190"/>
      <c r="AB248" s="1190"/>
      <c r="AC248" s="1192"/>
      <c r="AD248" s="81"/>
    </row>
    <row r="249" spans="18:30">
      <c r="R249" s="1189"/>
      <c r="S249" s="1190"/>
      <c r="T249" s="1106"/>
      <c r="U249" s="1190"/>
      <c r="V249" s="1190"/>
      <c r="W249" s="1190"/>
      <c r="X249" s="1191"/>
      <c r="Y249" s="1190"/>
      <c r="Z249" s="1190"/>
      <c r="AA249" s="1190"/>
      <c r="AB249" s="1190"/>
      <c r="AC249" s="1192"/>
      <c r="AD249" s="81"/>
    </row>
    <row r="250" spans="18:30">
      <c r="R250" s="1189"/>
      <c r="S250" s="1190"/>
      <c r="T250" s="1106"/>
      <c r="U250" s="1190"/>
      <c r="V250" s="1190"/>
      <c r="W250" s="1190"/>
      <c r="X250" s="1191"/>
      <c r="Y250" s="1190"/>
      <c r="Z250" s="1190"/>
      <c r="AA250" s="1190"/>
      <c r="AB250" s="1190"/>
      <c r="AC250" s="1192"/>
      <c r="AD250" s="26"/>
    </row>
    <row r="251" spans="18:30">
      <c r="R251" s="1189"/>
      <c r="S251" s="1190"/>
      <c r="T251" s="1111"/>
      <c r="U251" s="1190"/>
      <c r="V251" s="1190"/>
      <c r="W251" s="1190"/>
      <c r="X251" s="1191"/>
      <c r="Y251" s="1190"/>
      <c r="Z251" s="1190"/>
      <c r="AA251" s="1190"/>
      <c r="AB251" s="1190"/>
      <c r="AC251" s="1192"/>
      <c r="AD251" s="26"/>
    </row>
    <row r="252" spans="18:30">
      <c r="R252" s="1189"/>
      <c r="S252" s="1190"/>
      <c r="T252" s="1106"/>
      <c r="U252" s="1190"/>
      <c r="V252" s="1190"/>
      <c r="W252" s="1190"/>
      <c r="X252" s="1191"/>
      <c r="Y252" s="1190"/>
      <c r="Z252" s="1190"/>
      <c r="AA252" s="1190"/>
      <c r="AB252" s="1190"/>
      <c r="AC252" s="1192"/>
      <c r="AD252" s="26"/>
    </row>
    <row r="253" spans="18:30">
      <c r="R253" s="1189"/>
      <c r="S253" s="1190"/>
      <c r="T253" s="1111"/>
      <c r="U253" s="1190"/>
      <c r="V253" s="1190"/>
      <c r="W253" s="1190"/>
      <c r="X253" s="1191"/>
      <c r="Y253" s="1190"/>
      <c r="Z253" s="1190"/>
      <c r="AA253" s="1190"/>
      <c r="AB253" s="1190"/>
      <c r="AC253" s="1192"/>
      <c r="AD253" s="26"/>
    </row>
    <row r="254" spans="18:30">
      <c r="R254" s="1189"/>
      <c r="S254" s="1190"/>
      <c r="T254" s="1106"/>
      <c r="U254" s="1190"/>
      <c r="V254" s="1190"/>
      <c r="W254" s="1190"/>
      <c r="X254" s="1191"/>
      <c r="Y254" s="1190"/>
      <c r="Z254" s="1190"/>
      <c r="AA254" s="1190"/>
      <c r="AB254" s="1190"/>
      <c r="AC254" s="1192"/>
      <c r="AD254" s="26"/>
    </row>
    <row r="255" spans="18:30">
      <c r="R255" s="1189"/>
      <c r="S255" s="1190"/>
      <c r="T255" s="1106"/>
      <c r="U255" s="1190"/>
      <c r="V255" s="1190"/>
      <c r="W255" s="1190"/>
      <c r="X255" s="1191"/>
      <c r="Y255" s="1190"/>
      <c r="Z255" s="1190"/>
      <c r="AA255" s="1190"/>
      <c r="AB255" s="1190"/>
      <c r="AC255" s="1192"/>
      <c r="AD255" s="26"/>
    </row>
    <row r="256" spans="18:30">
      <c r="R256" s="1189"/>
      <c r="S256" s="1190"/>
      <c r="T256" s="1111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26"/>
    </row>
    <row r="257" spans="18:30">
      <c r="R257" s="1189"/>
      <c r="S257" s="1190"/>
      <c r="T257" s="1106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26"/>
    </row>
    <row r="258" spans="18:30">
      <c r="R258" s="1189"/>
      <c r="S258" s="1190"/>
      <c r="T258" s="1190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26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26"/>
    </row>
    <row r="260" spans="18:30">
      <c r="R260" s="1189"/>
      <c r="S260" s="1190"/>
      <c r="T260" s="1106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26"/>
    </row>
    <row r="261" spans="18:30">
      <c r="R261" s="1189"/>
      <c r="S261" s="1190"/>
      <c r="T261" s="1106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26"/>
    </row>
    <row r="262" spans="18:30">
      <c r="R262" s="1189"/>
      <c r="S262" s="1190"/>
      <c r="T262" s="1106"/>
      <c r="U262" s="1190"/>
      <c r="V262" s="1190"/>
      <c r="W262" s="1190"/>
      <c r="X262" s="1193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94"/>
      <c r="S264" s="1195"/>
      <c r="T264" s="1111"/>
      <c r="U264" s="1195"/>
      <c r="V264" s="1190"/>
      <c r="W264" s="1190"/>
      <c r="X264" s="1196"/>
      <c r="Y264" s="1195"/>
      <c r="Z264" s="1195"/>
      <c r="AA264" s="1195"/>
      <c r="AB264" s="1195"/>
      <c r="AC264" s="1192"/>
      <c r="AD264" s="26"/>
    </row>
    <row r="265" spans="18:30">
      <c r="R265" s="1194"/>
      <c r="S265" s="1195"/>
      <c r="T265" s="1111"/>
      <c r="U265" s="1195"/>
      <c r="V265" s="1190"/>
      <c r="W265" s="1190"/>
      <c r="X265" s="1196"/>
      <c r="Y265" s="1195"/>
      <c r="Z265" s="1195"/>
      <c r="AA265" s="1195"/>
      <c r="AB265" s="1195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5"/>
      <c r="Z266" s="1190"/>
      <c r="AA266" s="1190"/>
      <c r="AB266" s="1190"/>
      <c r="AC266" s="1192"/>
      <c r="AD266" s="26"/>
    </row>
    <row r="267" spans="18:30">
      <c r="R267" s="1189"/>
      <c r="S267" s="1190"/>
      <c r="T267" s="1111"/>
      <c r="U267" s="1190"/>
      <c r="V267" s="1190"/>
      <c r="W267" s="1190"/>
      <c r="X267" s="1191"/>
      <c r="Y267" s="1195"/>
      <c r="Z267" s="1190"/>
      <c r="AA267" s="1190"/>
      <c r="AB267" s="1190"/>
      <c r="AC267" s="1192"/>
      <c r="AD267" s="26"/>
    </row>
    <row r="268" spans="18:30">
      <c r="R268" s="1194"/>
      <c r="S268" s="1195"/>
      <c r="T268" s="1111"/>
      <c r="U268" s="1195"/>
      <c r="V268" s="1195"/>
      <c r="W268" s="1190"/>
      <c r="X268" s="1196"/>
      <c r="Y268" s="1195"/>
      <c r="Z268" s="1195"/>
      <c r="AA268" s="1195"/>
      <c r="AB268" s="1190"/>
      <c r="AC268" s="1192"/>
      <c r="AD268" s="26"/>
    </row>
    <row r="269" spans="18:30">
      <c r="R269" s="1194"/>
      <c r="S269" s="1195"/>
      <c r="T269" s="1106"/>
      <c r="U269" s="1195"/>
      <c r="V269" s="1195"/>
      <c r="W269" s="1195"/>
      <c r="X269" s="1196"/>
      <c r="Y269" s="1195"/>
      <c r="Z269" s="1195"/>
      <c r="AA269" s="1195"/>
      <c r="AB269" s="1195"/>
      <c r="AC269" s="1197"/>
      <c r="AD269" s="26"/>
    </row>
    <row r="270" spans="18:30">
      <c r="R270" s="1189"/>
      <c r="S270" s="1190"/>
      <c r="T270" s="1190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90"/>
      <c r="U271" s="1190"/>
      <c r="V271" s="1195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90"/>
      <c r="U272" s="1190"/>
      <c r="V272" s="1195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90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90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90"/>
      <c r="U275" s="1190"/>
      <c r="V275" s="1195"/>
      <c r="W275" s="1190"/>
      <c r="X275" s="1191"/>
      <c r="Y275" s="1190"/>
      <c r="Z275" s="1190"/>
      <c r="AA275" s="1190"/>
      <c r="AB275" s="1190"/>
      <c r="AC275" s="1192"/>
      <c r="AD275" s="81"/>
    </row>
    <row r="276" spans="18:30">
      <c r="R276" s="1189"/>
      <c r="S276" s="1190"/>
      <c r="T276" s="1190"/>
      <c r="U276" s="1190"/>
      <c r="V276" s="1195"/>
      <c r="W276" s="1190"/>
      <c r="X276" s="1191"/>
      <c r="Y276" s="1190"/>
      <c r="Z276" s="1190"/>
      <c r="AA276" s="1190"/>
      <c r="AB276" s="1190"/>
      <c r="AC276" s="1192"/>
      <c r="AD276" s="203"/>
    </row>
    <row r="277" spans="18:30">
      <c r="R277" s="1194"/>
      <c r="S277" s="1195"/>
      <c r="T277" s="1195"/>
      <c r="U277" s="1195"/>
      <c r="V277" s="1195"/>
      <c r="W277" s="1195"/>
      <c r="X277" s="1196"/>
      <c r="Y277" s="1195"/>
      <c r="Z277" s="1195"/>
      <c r="AA277" s="1195"/>
      <c r="AB277" s="1195"/>
      <c r="AC277" s="1197"/>
      <c r="AD277" s="203"/>
    </row>
    <row r="278" spans="18:30">
      <c r="R278" s="1190"/>
      <c r="S278" s="1190"/>
      <c r="T278" s="1190"/>
      <c r="U278" s="1190"/>
      <c r="V278" s="1190"/>
      <c r="W278" s="1190"/>
      <c r="X278" s="1190"/>
      <c r="Y278" s="1190"/>
      <c r="Z278" s="1190"/>
      <c r="AA278" s="1190"/>
      <c r="AB278" s="1190"/>
      <c r="AC278" s="1190"/>
      <c r="AD278" s="44"/>
    </row>
    <row r="279" spans="18:30">
      <c r="R279" s="1190"/>
      <c r="S279" s="1190"/>
      <c r="T279" s="1190"/>
      <c r="U279" s="1190"/>
      <c r="V279" s="1190"/>
      <c r="W279" s="1190"/>
      <c r="X279" s="1190"/>
      <c r="Y279" s="1190"/>
      <c r="Z279" s="1190"/>
      <c r="AA279" s="1190"/>
      <c r="AB279" s="1190"/>
      <c r="AC279" s="1190"/>
      <c r="AD279" s="44"/>
    </row>
    <row r="280" spans="18:30">
      <c r="R280" s="1190"/>
      <c r="S280" s="1190"/>
      <c r="T280" s="1190"/>
      <c r="U280" s="1190"/>
      <c r="V280" s="1190"/>
      <c r="W280" s="1190"/>
      <c r="X280" s="1190"/>
      <c r="Y280" s="1190"/>
      <c r="Z280" s="1190"/>
      <c r="AA280" s="1190"/>
      <c r="AB280" s="1190"/>
      <c r="AC280" s="1190"/>
      <c r="AD280" s="44"/>
    </row>
    <row r="281" spans="18:30">
      <c r="R281" s="1190"/>
      <c r="S281" s="1190"/>
      <c r="T281" s="1190"/>
      <c r="U281" s="1190"/>
      <c r="V281" s="1190"/>
      <c r="W281" s="1190"/>
      <c r="X281" s="1190"/>
      <c r="Y281" s="1190"/>
      <c r="Z281" s="1190"/>
      <c r="AA281" s="1190"/>
      <c r="AB281" s="1190"/>
      <c r="AC281" s="1190"/>
      <c r="AD281" s="44"/>
    </row>
    <row r="282" spans="18:30">
      <c r="R282" s="1190"/>
      <c r="S282" s="1190"/>
      <c r="T282" s="1190"/>
      <c r="U282" s="1190"/>
      <c r="V282" s="1190"/>
      <c r="W282" s="1190"/>
      <c r="X282" s="1190"/>
      <c r="Y282" s="1190"/>
      <c r="Z282" s="1190"/>
      <c r="AA282" s="1190"/>
      <c r="AB282" s="1190"/>
      <c r="AC282" s="1190"/>
      <c r="AD282" s="44"/>
    </row>
    <row r="283" spans="18:30">
      <c r="R283" s="1190"/>
      <c r="S283" s="1190"/>
      <c r="T283" s="1190"/>
      <c r="U283" s="1190"/>
      <c r="V283" s="1190"/>
      <c r="W283" s="1190"/>
      <c r="X283" s="1190"/>
      <c r="Y283" s="1190"/>
      <c r="Z283" s="1190"/>
      <c r="AA283" s="1190"/>
      <c r="AB283" s="1190"/>
      <c r="AC283" s="1190"/>
    </row>
    <row r="284" spans="18:30">
      <c r="R284" s="1190"/>
      <c r="S284" s="1190"/>
      <c r="T284" s="1190"/>
      <c r="U284" s="1190"/>
      <c r="V284" s="1190"/>
      <c r="W284" s="1190"/>
      <c r="X284" s="1190"/>
      <c r="Y284" s="1190"/>
      <c r="Z284" s="1190"/>
      <c r="AA284" s="1190"/>
      <c r="AB284" s="1190"/>
      <c r="AC284" s="1190"/>
    </row>
    <row r="285" spans="18:30">
      <c r="R285" s="1190"/>
      <c r="S285" s="1190"/>
      <c r="T285" s="1190"/>
      <c r="U285" s="1190"/>
      <c r="V285" s="1190"/>
      <c r="W285" s="1190"/>
      <c r="X285" s="1190"/>
      <c r="Y285" s="1190"/>
      <c r="Z285" s="1190"/>
      <c r="AA285" s="1190"/>
      <c r="AB285" s="1190"/>
      <c r="AC285" s="1190"/>
    </row>
    <row r="286" spans="18:30">
      <c r="R286" s="1190"/>
      <c r="S286" s="1190"/>
      <c r="T286" s="1190"/>
      <c r="U286" s="1190"/>
      <c r="V286" s="1190"/>
      <c r="W286" s="1190"/>
      <c r="X286" s="1190"/>
      <c r="Y286" s="1190"/>
      <c r="Z286" s="1190"/>
      <c r="AA286" s="1190"/>
      <c r="AB286" s="1190"/>
      <c r="AC286" s="1190"/>
    </row>
    <row r="287" spans="18:30">
      <c r="R287" s="1190"/>
      <c r="S287" s="1190"/>
      <c r="T287" s="1190"/>
      <c r="U287" s="1190"/>
      <c r="V287" s="1190"/>
      <c r="W287" s="1190"/>
      <c r="X287" s="1190"/>
      <c r="Y287" s="1190"/>
      <c r="Z287" s="1190"/>
      <c r="AA287" s="1190"/>
      <c r="AB287" s="1190"/>
      <c r="AC287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B22:D22 E27:P121" name="Range1_65_32_32_30_30_30_30_30_30_30_30_30_30_30_30_30_30_30_30_30_30"/>
    <protectedRange algorithmName="SHA-512" hashValue="XYWjC+iAz2ErgjMh7TSLHlxfTfK0uVcITDFdCCZFdnsWWbUNnsQqu9AM+0WFXQpYcy9ZvQx2KUXfpLhpOROHkg==" saltValue="47TiGLG0rJVTo3iAJH8T4w==" spinCount="100000" sqref="B27:D121" name="Range2_5_2_2_2_2_2_2_2_2_2_2_2_2_2_2_2"/>
    <protectedRange algorithmName="SHA-512" hashValue="24Yg3M703G5L8OyJWxlkx8c1Gwfrkael5W/l3TUk/Rcz5tR8QOgCx5v0Ebb/UGz+9BDKPJ5wV4hH8uuxvmtGIw==" saltValue="ZSJQ8EEnwGxsiYzxIw6K0Q==" spinCount="100000" sqref="B27:D121" name="Range1_65_32_2_2_2_2_2_2_2_2_2_2_2_2_2_2"/>
    <protectedRange algorithmName="SHA-512" hashValue="XYWjC+iAz2ErgjMh7TSLHlxfTfK0uVcITDFdCCZFdnsWWbUNnsQqu9AM+0WFXQpYcy9ZvQx2KUXfpLhpOROHkg==" saltValue="47TiGLG0rJVTo3iAJH8T4w==" spinCount="100000" sqref="B21:D21" name="Range2_5_2_2_2_2_2_2_2_3_3"/>
    <protectedRange algorithmName="SHA-512" hashValue="24Yg3M703G5L8OyJWxlkx8c1Gwfrkael5W/l3TUk/Rcz5tR8QOgCx5v0Ebb/UGz+9BDKPJ5wV4hH8uuxvmtGIw==" saltValue="ZSJQ8EEnwGxsiYzxIw6K0Q==" spinCount="100000" sqref="B19:D21" name="Range1_65_32_2_2_2_2_2_2_3_3"/>
  </protectedRanges>
  <mergeCells count="22">
    <mergeCell ref="A19:A20"/>
    <mergeCell ref="A3:A4"/>
    <mergeCell ref="B3:D3"/>
    <mergeCell ref="F3:H3"/>
    <mergeCell ref="J3:L3"/>
    <mergeCell ref="A10:A11"/>
    <mergeCell ref="B10:D10"/>
    <mergeCell ref="F10:H10"/>
    <mergeCell ref="J10:L10"/>
    <mergeCell ref="N3:P3"/>
    <mergeCell ref="F1:H1"/>
    <mergeCell ref="J1:L1"/>
    <mergeCell ref="N1:P2"/>
    <mergeCell ref="F2:H2"/>
    <mergeCell ref="J2:L2"/>
    <mergeCell ref="N10:P10"/>
    <mergeCell ref="B19:D19"/>
    <mergeCell ref="F8:H8"/>
    <mergeCell ref="J8:L8"/>
    <mergeCell ref="N8:P9"/>
    <mergeCell ref="F9:H9"/>
    <mergeCell ref="J9:L9"/>
  </mergeCells>
  <conditionalFormatting sqref="S1:S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0B66-989A-4F4D-A597-9830DAA8B17A}">
  <dimension ref="A1:AG299"/>
  <sheetViews>
    <sheetView showGridLines="0" topLeftCell="O1" zoomScale="55" zoomScaleNormal="55" workbookViewId="0">
      <selection activeCell="Y8" sqref="Y8"/>
    </sheetView>
  </sheetViews>
  <sheetFormatPr defaultRowHeight="14.4"/>
  <cols>
    <col min="1" max="1" width="43" bestFit="1" customWidth="1"/>
    <col min="2" max="4" width="11.109375" customWidth="1"/>
    <col min="5" max="5" width="9.109375" bestFit="1" customWidth="1"/>
    <col min="6" max="8" width="16" customWidth="1"/>
    <col min="9" max="9" width="9.109375" bestFit="1" customWidth="1"/>
    <col min="10" max="12" width="20.44140625" customWidth="1"/>
    <col min="13" max="13" width="9.109375" bestFit="1" customWidth="1"/>
    <col min="14" max="16" width="25.44140625" customWidth="1"/>
    <col min="17" max="17" width="9.109375" bestFit="1" customWidth="1"/>
    <col min="18" max="18" width="11" bestFit="1" customWidth="1"/>
    <col min="19" max="19" width="12" bestFit="1" customWidth="1"/>
    <col min="20" max="20" width="16.88671875" bestFit="1" customWidth="1"/>
    <col min="21" max="21" width="9.88671875" bestFit="1" customWidth="1"/>
    <col min="22" max="22" width="55.88671875" bestFit="1" customWidth="1"/>
    <col min="23" max="23" width="24.33203125" bestFit="1" customWidth="1"/>
    <col min="24" max="24" width="17.109375" bestFit="1" customWidth="1"/>
    <col min="25" max="25" width="19.66406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style="609" bestFit="1" customWidth="1"/>
    <col min="30" max="30" width="11.33203125" bestFit="1" customWidth="1"/>
    <col min="31" max="31" width="9.109375" bestFit="1" customWidth="1"/>
  </cols>
  <sheetData>
    <row r="1" spans="1:33" ht="17.399999999999999">
      <c r="A1" s="1211" t="s">
        <v>806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807</v>
      </c>
      <c r="B2" s="733"/>
      <c r="C2" s="733"/>
      <c r="D2" s="733"/>
      <c r="E2" s="735"/>
      <c r="F2" s="1536" t="s">
        <v>808</v>
      </c>
      <c r="G2" s="1536"/>
      <c r="H2" s="1536"/>
      <c r="I2" s="742"/>
      <c r="J2" s="1525" t="s">
        <v>809</v>
      </c>
      <c r="K2" s="1525"/>
      <c r="L2" s="1525"/>
      <c r="M2" s="735"/>
      <c r="N2" s="1535"/>
      <c r="O2" s="1535"/>
      <c r="P2" s="1535"/>
      <c r="R2" s="1368" t="s">
        <v>810</v>
      </c>
      <c r="S2" s="1367">
        <v>3331564719</v>
      </c>
      <c r="T2" s="1369" t="s">
        <v>424</v>
      </c>
      <c r="U2" s="1369">
        <v>24141985</v>
      </c>
      <c r="V2" s="1369" t="s">
        <v>425</v>
      </c>
      <c r="W2" s="1369" t="s">
        <v>362</v>
      </c>
      <c r="X2" s="1370">
        <v>23942.799999999999</v>
      </c>
      <c r="Y2" s="1369" t="s">
        <v>426</v>
      </c>
      <c r="Z2" s="1369">
        <v>1</v>
      </c>
      <c r="AA2" s="1369">
        <v>1</v>
      </c>
      <c r="AB2" s="1390" t="s">
        <v>204</v>
      </c>
      <c r="AC2" s="1217"/>
      <c r="AD2" s="81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368" t="s">
        <v>770</v>
      </c>
      <c r="S3" s="1367">
        <v>3331565654</v>
      </c>
      <c r="T3" s="1369" t="s">
        <v>799</v>
      </c>
      <c r="U3" s="1369">
        <v>24142078</v>
      </c>
      <c r="V3" s="1369" t="s">
        <v>811</v>
      </c>
      <c r="W3" s="1369" t="s">
        <v>205</v>
      </c>
      <c r="X3" s="1370">
        <f>8430.28+20442.1</f>
        <v>28872.379999999997</v>
      </c>
      <c r="Y3" s="1369" t="s">
        <v>812</v>
      </c>
      <c r="Z3" s="1369">
        <v>1</v>
      </c>
      <c r="AA3" s="1369">
        <v>1</v>
      </c>
      <c r="AB3" s="1369" t="s">
        <v>204</v>
      </c>
      <c r="AC3" s="1366"/>
      <c r="AD3" s="124"/>
      <c r="AE3" s="44"/>
      <c r="AF3" s="44"/>
      <c r="AG3" s="44"/>
    </row>
    <row r="4" spans="1:33" ht="51.7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368" t="s">
        <v>770</v>
      </c>
      <c r="S4" s="1367">
        <v>3331565655</v>
      </c>
      <c r="T4" s="1367" t="s">
        <v>256</v>
      </c>
      <c r="U4" s="1369" t="s">
        <v>256</v>
      </c>
      <c r="V4" s="1369" t="s">
        <v>256</v>
      </c>
      <c r="W4" s="1369" t="s">
        <v>256</v>
      </c>
      <c r="X4" s="1370" t="s">
        <v>256</v>
      </c>
      <c r="Y4" s="1369" t="s">
        <v>256</v>
      </c>
      <c r="Z4" s="1369" t="s">
        <v>256</v>
      </c>
      <c r="AA4" s="1369" t="s">
        <v>256</v>
      </c>
      <c r="AB4" s="1369" t="s">
        <v>256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SUMPRODUCT(--ISNUMBER(MATCH(TRIM(W1:W451), {"JABODETABEK","JAWA TENGAH","JAWA TIMUR","LUAR PULAU"}, 0)), --(AC1:AC451=""))</f>
        <v>62</v>
      </c>
      <c r="C5" s="1303" cm="1">
        <f t="array" ref="C5">SUMPRODUCT(--(LOWER(TRIM(AB1:AB477))="masuk"), --(ISNUMBER(MATCH(TRIM(W1:W477), {"JABODETABEK","JAWA TENGAH","JAWA TIMUR","LUAR PULAU"}, 0))), --(LOWER(AC1:AC477)&lt;&gt;"add"))</f>
        <v>47</v>
      </c>
      <c r="D5" s="1304">
        <f>C5+-B5</f>
        <v>-15</v>
      </c>
      <c r="E5" s="734"/>
      <c r="F5" s="1306" cm="1">
        <f t="array" ref="F5">SUMPRODUCT(--(LOWER(AC1:AC477)="add"), --(ISNUMBER(MATCH(W1:W477, {"JABODETABEK","JAWA TENGAH","JAWA TIMUR","LUAR PULAU"}, 0))))</f>
        <v>5</v>
      </c>
      <c r="G5" s="1303" cm="1">
        <f t="array" ref="G5">SUMPRODUCT(--(LOWER(AB1:AB477)="masuk"), --(LOWER(AC1:AC477)="add"))</f>
        <v>4</v>
      </c>
      <c r="H5" s="1304">
        <f>G5+-F5</f>
        <v>-1</v>
      </c>
      <c r="I5" s="734"/>
      <c r="J5" s="1306" cm="1">
        <f t="array" ref="J5">SUMPRODUCT(--(ISNUMBER(SEARCH("next day",LOWER(W1:W477)))+ISNUMBER(SEARCH("nextday",LOWER(W1:W477)))&gt; 0))</f>
        <v>4</v>
      </c>
      <c r="K5" s="1303" cm="1">
        <f t="array" ref="K5">SUMPRODUCT(--(LOWER(AB1:AB477)="masuk"), --ISNUMBER(SEARCH("next day", LOWER(W1:W477))))</f>
        <v>3</v>
      </c>
      <c r="L5" s="1304">
        <f>K5+-J5</f>
        <v>-1</v>
      </c>
      <c r="M5" s="734"/>
      <c r="N5" s="1306">
        <f>B5+F5+J5</f>
        <v>71</v>
      </c>
      <c r="O5" s="1303">
        <f>C5+G5+K5</f>
        <v>54</v>
      </c>
      <c r="P5" s="1304">
        <f>D5+H5+L5</f>
        <v>-17</v>
      </c>
      <c r="R5" s="1368" t="s">
        <v>770</v>
      </c>
      <c r="S5" s="1367">
        <v>3331565702</v>
      </c>
      <c r="T5" s="1369" t="s">
        <v>799</v>
      </c>
      <c r="U5" s="1369">
        <v>24142086</v>
      </c>
      <c r="V5" s="1369" t="s">
        <v>811</v>
      </c>
      <c r="W5" s="1369" t="s">
        <v>205</v>
      </c>
      <c r="X5" s="1370">
        <v>29981.816999999999</v>
      </c>
      <c r="Y5" s="1369" t="s">
        <v>812</v>
      </c>
      <c r="Z5" s="1369">
        <v>1</v>
      </c>
      <c r="AA5" s="1369">
        <v>1</v>
      </c>
      <c r="AB5" s="1369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62</v>
      </c>
      <c r="C6" s="733">
        <f>SUM(C5)</f>
        <v>47</v>
      </c>
      <c r="D6" s="739">
        <f>SUM(D5)</f>
        <v>-15</v>
      </c>
      <c r="E6" s="734"/>
      <c r="F6" s="733">
        <f>SUM(F5)</f>
        <v>5</v>
      </c>
      <c r="G6" s="733">
        <f>SUM(G5)</f>
        <v>4</v>
      </c>
      <c r="H6" s="739">
        <f>SUM(H5)</f>
        <v>-1</v>
      </c>
      <c r="I6" s="733"/>
      <c r="J6" s="733">
        <f>SUM(J5)</f>
        <v>4</v>
      </c>
      <c r="K6" s="733">
        <f>SUM(K5)</f>
        <v>3</v>
      </c>
      <c r="L6" s="739">
        <f>SUM(L5)</f>
        <v>-1</v>
      </c>
      <c r="M6" s="733"/>
      <c r="N6" s="760">
        <f>SUM(N5:N5)</f>
        <v>71</v>
      </c>
      <c r="O6" s="760">
        <f>SUM(O5:O5)</f>
        <v>54</v>
      </c>
      <c r="P6" s="761">
        <f>SUM(P5:P5)</f>
        <v>-17</v>
      </c>
      <c r="R6" s="1368" t="s">
        <v>770</v>
      </c>
      <c r="S6" s="1367">
        <v>3331565710</v>
      </c>
      <c r="T6" s="1369" t="s">
        <v>799</v>
      </c>
      <c r="U6" s="1369">
        <v>24142093</v>
      </c>
      <c r="V6" s="1369" t="s">
        <v>811</v>
      </c>
      <c r="W6" s="1369" t="s">
        <v>205</v>
      </c>
      <c r="X6" s="1370">
        <v>29938.560000000001</v>
      </c>
      <c r="Y6" s="1369" t="s">
        <v>812</v>
      </c>
      <c r="Z6" s="1369">
        <v>1</v>
      </c>
      <c r="AA6" s="1369">
        <v>1</v>
      </c>
      <c r="AB6" s="1369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368" t="s">
        <v>770</v>
      </c>
      <c r="S7" s="1372">
        <v>3331565712</v>
      </c>
      <c r="T7" s="1369" t="s">
        <v>799</v>
      </c>
      <c r="U7" s="1373">
        <v>24142095</v>
      </c>
      <c r="V7" s="1373" t="s">
        <v>729</v>
      </c>
      <c r="W7" s="1373" t="s">
        <v>203</v>
      </c>
      <c r="X7" s="1374">
        <v>30180.796999999999</v>
      </c>
      <c r="Y7" s="1369" t="s">
        <v>812</v>
      </c>
      <c r="Z7" s="1369">
        <v>1</v>
      </c>
      <c r="AA7" s="1369">
        <v>1</v>
      </c>
      <c r="AB7" s="1369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28 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368" t="s">
        <v>770</v>
      </c>
      <c r="S8" s="1372">
        <v>3331565715</v>
      </c>
      <c r="T8" s="1369" t="s">
        <v>799</v>
      </c>
      <c r="U8" s="1373">
        <v>24142097</v>
      </c>
      <c r="V8" s="1369" t="s">
        <v>811</v>
      </c>
      <c r="W8" s="1369" t="s">
        <v>205</v>
      </c>
      <c r="X8" s="1374">
        <v>30108.574000000001</v>
      </c>
      <c r="Y8" s="1369" t="s">
        <v>812</v>
      </c>
      <c r="Z8" s="1369">
        <v>1</v>
      </c>
      <c r="AA8" s="1369">
        <v>1</v>
      </c>
      <c r="AB8" s="1369" t="s">
        <v>204</v>
      </c>
      <c r="AC8" s="1271"/>
      <c r="AD8" s="81"/>
      <c r="AE8" s="44"/>
      <c r="AF8" s="44"/>
      <c r="AG8" s="44"/>
    </row>
    <row r="9" spans="1:33" ht="18">
      <c r="A9" s="763" t="str">
        <f>A2</f>
        <v>Realz update 29 OKT’25 jam 07.00</v>
      </c>
      <c r="B9" s="825"/>
      <c r="C9" s="825"/>
      <c r="D9" s="825"/>
      <c r="E9" s="734"/>
      <c r="F9" s="1525" t="str">
        <f>F2</f>
        <v>Tgl 28 OKT’25 diatas jam 15.00</v>
      </c>
      <c r="G9" s="1525"/>
      <c r="H9" s="1525"/>
      <c r="I9" s="826"/>
      <c r="J9" s="1525" t="str">
        <f>J2</f>
        <v>Tgl 28 OKT’25</v>
      </c>
      <c r="K9" s="1525"/>
      <c r="L9" s="1525"/>
      <c r="M9" s="734"/>
      <c r="N9" s="1526"/>
      <c r="O9" s="1526"/>
      <c r="P9" s="1526"/>
      <c r="R9" s="1368" t="s">
        <v>770</v>
      </c>
      <c r="S9" s="1372">
        <v>3331565718</v>
      </c>
      <c r="T9" s="1369" t="s">
        <v>799</v>
      </c>
      <c r="U9" s="1373">
        <v>24142100</v>
      </c>
      <c r="V9" s="1373" t="s">
        <v>729</v>
      </c>
      <c r="W9" s="1373" t="s">
        <v>203</v>
      </c>
      <c r="X9" s="1374">
        <v>28943.625</v>
      </c>
      <c r="Y9" s="1369" t="s">
        <v>812</v>
      </c>
      <c r="Z9" s="1369">
        <v>1</v>
      </c>
      <c r="AA9" s="1369">
        <v>1</v>
      </c>
      <c r="AB9" s="1369" t="s">
        <v>204</v>
      </c>
      <c r="AC9" s="1217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368" t="s">
        <v>770</v>
      </c>
      <c r="S10" s="1372">
        <v>3331565720</v>
      </c>
      <c r="T10" s="1369" t="s">
        <v>799</v>
      </c>
      <c r="U10" s="1373">
        <v>24142101</v>
      </c>
      <c r="V10" s="1373" t="s">
        <v>729</v>
      </c>
      <c r="W10" s="1373" t="s">
        <v>203</v>
      </c>
      <c r="X10" s="1374">
        <v>28943.625</v>
      </c>
      <c r="Y10" s="1369" t="s">
        <v>812</v>
      </c>
      <c r="Z10" s="1369">
        <v>1</v>
      </c>
      <c r="AA10" s="1369">
        <v>1</v>
      </c>
      <c r="AB10" s="1369" t="s">
        <v>204</v>
      </c>
      <c r="AC10" s="1271"/>
      <c r="AD10" s="81"/>
      <c r="AE10" s="44"/>
      <c r="AF10" s="44"/>
      <c r="AG10" s="44"/>
    </row>
    <row r="11" spans="1:33" ht="27.6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368" t="s">
        <v>770</v>
      </c>
      <c r="S11" s="1372">
        <v>3331565727</v>
      </c>
      <c r="T11" s="1369" t="s">
        <v>799</v>
      </c>
      <c r="U11" s="1373">
        <v>24142102</v>
      </c>
      <c r="V11" s="1373" t="s">
        <v>729</v>
      </c>
      <c r="W11" s="1373" t="s">
        <v>203</v>
      </c>
      <c r="X11" s="1374">
        <v>28943.625</v>
      </c>
      <c r="Y11" s="1369" t="s">
        <v>812</v>
      </c>
      <c r="Z11" s="1369">
        <v>1</v>
      </c>
      <c r="AA11" s="1369">
        <v>1</v>
      </c>
      <c r="AB11" s="1369" t="s">
        <v>204</v>
      </c>
      <c r="AC11" s="1271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SUMPRODUCT(--(TRIM(LOWER(W1:W477))="jabodetabek"), --(LOWER(AC1:AC477)&lt;&gt;"add"))</f>
        <v>25</v>
      </c>
      <c r="C12" s="748" cm="1">
        <f t="array" ref="C12">SUMPRODUCT(--(LOWER(AB1:AB477)="masuk"), --(TRIM(LOWER(W1:W477))="jabodetabek"), --(LOWER(AC1:AC477)&lt;&gt;"add"))</f>
        <v>21</v>
      </c>
      <c r="D12" s="973">
        <f>C12+-B12</f>
        <v>-4</v>
      </c>
      <c r="E12" s="734"/>
      <c r="F12" s="748" cm="1">
        <f t="array" ref="F12">SUMPRODUCT(--(LOWER(AC1:AC477)="add"), --(TRIM(LOWER(W1:W477))="jabodetabek"))</f>
        <v>5</v>
      </c>
      <c r="G12" s="747" cm="1">
        <f t="array" ref="G12">SUMPRODUCT(--(LOWER(AB1:AB477)="masuk"), --(LOWER(AC1:AC477)="add"), --(TRIM(LOWER(W1:W477))="jabodetabek"))</f>
        <v>4</v>
      </c>
      <c r="H12" s="740">
        <f>G12+-F12</f>
        <v>-1</v>
      </c>
      <c r="I12" s="734"/>
      <c r="J12" s="748" cm="1">
        <f t="array" ref="J12">SUMPRODUCT(--(ISNUMBER(SEARCH("jabodetabek next day",LOWER(W1:W477)))+ISNUMBER(SEARCH("jabodetabek nextday",LOWER(W1:W477)))&gt; 0))</f>
        <v>0</v>
      </c>
      <c r="K12" s="747" cm="1">
        <f t="array" ref="K12">SUMPRODUCT(--(LOWER(AB1:AB477)="masuk"), --(LOWER(TRIM(W1:W477))="jabodetabek next day"))</f>
        <v>0</v>
      </c>
      <c r="L12" s="740">
        <f>K12+-J12</f>
        <v>0</v>
      </c>
      <c r="M12" s="734"/>
      <c r="N12" s="748">
        <f t="shared" ref="N12:P16" si="0">B12+F12+J12</f>
        <v>30</v>
      </c>
      <c r="O12" s="747">
        <f t="shared" si="0"/>
        <v>25</v>
      </c>
      <c r="P12" s="740">
        <f t="shared" si="0"/>
        <v>-5</v>
      </c>
      <c r="R12" s="1368" t="s">
        <v>770</v>
      </c>
      <c r="S12" s="1372">
        <v>3331565726</v>
      </c>
      <c r="T12" s="1369" t="s">
        <v>799</v>
      </c>
      <c r="U12" s="1373">
        <v>24142103</v>
      </c>
      <c r="V12" s="1373" t="s">
        <v>224</v>
      </c>
      <c r="W12" s="1373" t="s">
        <v>203</v>
      </c>
      <c r="X12" s="1374">
        <v>27149.726999999999</v>
      </c>
      <c r="Y12" s="1369" t="s">
        <v>812</v>
      </c>
      <c r="Z12" s="1369">
        <v>1</v>
      </c>
      <c r="AA12" s="1369">
        <v>1</v>
      </c>
      <c r="AB12" s="1369" t="s">
        <v>204</v>
      </c>
      <c r="AC12" s="1271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SUMPRODUCT(--(TRIM(LOWER(W1:W477))="jawa tengah"), --(LOWER(AC1:AC477)&lt;&gt;"add"))</f>
        <v>14</v>
      </c>
      <c r="C13" s="750" cm="1">
        <f t="array" ref="C13">SUMPRODUCT(--(LOWER(AB1:AB477)="masuk"), --(TRIM(LOWER(W1:W477))="jawa tengah"), --(LOWER(AC1:AC477)&lt;&gt;"add"))</f>
        <v>14</v>
      </c>
      <c r="D13" s="846">
        <f>C13+-B13</f>
        <v>0</v>
      </c>
      <c r="E13" s="734"/>
      <c r="F13" s="751" cm="1">
        <f t="array" ref="F13">SUMPRODUCT(--(LOWER(AC1:AC477)="add"), --(TRIM(LOWER(W1:W477))="jawa tengah"))</f>
        <v>0</v>
      </c>
      <c r="G13" s="747" cm="1">
        <f t="array" ref="G13">SUMPRODUCT(--(LOWER(AB1:AB477)="masuk"), --(LOWER(AC1:AC477)="add"), --(TRIM(LOWER(W1:W477))="jawa tengah"))</f>
        <v>0</v>
      </c>
      <c r="H13" s="740">
        <f>G13+-F13</f>
        <v>0</v>
      </c>
      <c r="I13" s="734"/>
      <c r="J13" s="748" cm="1">
        <f t="array" ref="J13">SUMPRODUCT(--((LOWER(TRIM(W1:W477))="jawa tengah next day")+(LOWER(TRIM(W1:W477))="jawa tengah nextday")))</f>
        <v>4</v>
      </c>
      <c r="K13" s="747" cm="1">
        <f t="array" ref="K13">SUMPRODUCT(--(LOWER(AB1:AB477)="masuk"), --(LOWER(TRIM(W1:W477))="jawa tengah next day"))</f>
        <v>3</v>
      </c>
      <c r="L13" s="740">
        <f>K13+-J13</f>
        <v>-1</v>
      </c>
      <c r="M13" s="734"/>
      <c r="N13" s="748">
        <f t="shared" si="0"/>
        <v>18</v>
      </c>
      <c r="O13" s="747">
        <f t="shared" si="0"/>
        <v>17</v>
      </c>
      <c r="P13" s="740">
        <f t="shared" si="0"/>
        <v>-1</v>
      </c>
      <c r="R13" s="1368" t="s">
        <v>770</v>
      </c>
      <c r="S13" s="1372">
        <v>3331565732</v>
      </c>
      <c r="T13" s="1369" t="s">
        <v>799</v>
      </c>
      <c r="U13" s="1373">
        <v>24142105</v>
      </c>
      <c r="V13" s="1373" t="s">
        <v>729</v>
      </c>
      <c r="W13" s="1373" t="s">
        <v>203</v>
      </c>
      <c r="X13" s="1374">
        <v>29975.782999999999</v>
      </c>
      <c r="Y13" s="1369" t="s">
        <v>812</v>
      </c>
      <c r="Z13" s="1369">
        <v>1</v>
      </c>
      <c r="AA13" s="1369">
        <v>1</v>
      </c>
      <c r="AB13" s="1369" t="s">
        <v>204</v>
      </c>
      <c r="AC13" s="1271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SUMPRODUCT(--(TRIM(LOWER(W1:W477))="jawa timur"), --(LOWER(AC1:AC477)&lt;&gt;"add"))</f>
        <v>15</v>
      </c>
      <c r="C14" s="750" cm="1">
        <f t="array" ref="C14">SUMPRODUCT(--(LOWER(AB1:AB477)="masuk"), --(TRIM(LOWER(W1:W477))="jawa timur"), --(LOWER(AC1:AC477)&lt;&gt;"add"))</f>
        <v>9</v>
      </c>
      <c r="D14" s="846">
        <f>C14+-B14</f>
        <v>-6</v>
      </c>
      <c r="E14" s="734"/>
      <c r="F14" s="750" cm="1">
        <f t="array" ref="F14">SUMPRODUCT(--(LOWER(AC1:AC477)="add"), --(TRIM(LOWER(W1:W477))="jawa timur"))</f>
        <v>0</v>
      </c>
      <c r="G14" s="747" cm="1">
        <f t="array" ref="G14">SUMPRODUCT(--(LOWER(AB1:AB477)="masuk"), --(LOWER(AC1:AC477)="add"), --(TRIM(LOWER(W1:W477))="jawa timur"))</f>
        <v>0</v>
      </c>
      <c r="H14" s="740">
        <f>G14+-F14</f>
        <v>0</v>
      </c>
      <c r="I14" s="734"/>
      <c r="J14" s="748" cm="1">
        <f t="array" ref="J14">SUMPRODUCT(--((LOWER(TRIM(W1:W477))="jawa timur next day")+(LOWER(TRIM(W1:W477))="jawa timur nextday")))</f>
        <v>0</v>
      </c>
      <c r="K14" s="747" cm="1">
        <f t="array" ref="K14">SUMPRODUCT(--(LOWER(AB1:AB477)="masuk"), --(LOWER(TRIM(W1:W477))="jawa timur next day"))</f>
        <v>0</v>
      </c>
      <c r="L14" s="740">
        <f>K14+-J14</f>
        <v>0</v>
      </c>
      <c r="M14" s="734"/>
      <c r="N14" s="748">
        <f t="shared" si="0"/>
        <v>15</v>
      </c>
      <c r="O14" s="747">
        <f t="shared" si="0"/>
        <v>9</v>
      </c>
      <c r="P14" s="740">
        <f t="shared" si="0"/>
        <v>-6</v>
      </c>
      <c r="R14" s="1368" t="s">
        <v>770</v>
      </c>
      <c r="S14" s="1372">
        <v>3331565737</v>
      </c>
      <c r="T14" s="1369" t="s">
        <v>799</v>
      </c>
      <c r="U14" s="1373">
        <v>24142107</v>
      </c>
      <c r="V14" s="1373" t="s">
        <v>224</v>
      </c>
      <c r="W14" s="1373" t="s">
        <v>203</v>
      </c>
      <c r="X14" s="1374">
        <v>28513.309000000001</v>
      </c>
      <c r="Y14" s="1369" t="s">
        <v>812</v>
      </c>
      <c r="Z14" s="1369">
        <v>1</v>
      </c>
      <c r="AA14" s="1369">
        <v>1</v>
      </c>
      <c r="AB14" s="1369" t="s">
        <v>204</v>
      </c>
      <c r="AC14" s="1271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SUMPRODUCT(--(TRIM(LOWER(W1:W477))="luar pulau"), --(LOWER(AC1:AC477)&lt;&gt;"add"))</f>
        <v>8</v>
      </c>
      <c r="C15" s="750" cm="1">
        <f t="array" ref="C15">SUMPRODUCT(--(LOWER(AB1:AB477)="masuk"), --(TRIM(LOWER(W1:W477))="luar pulau"), --(LOWER(AC1:AC477)&lt;&gt;"add"))</f>
        <v>3</v>
      </c>
      <c r="D15" s="846">
        <f>C15+-B15</f>
        <v>-5</v>
      </c>
      <c r="E15" s="734"/>
      <c r="F15" s="748" cm="1">
        <f t="array" ref="F15">SUMPRODUCT(--(LOWER(AC1:AC477)="add"), --(TRIM(LOWER(W1:W477))="luar pulau"))</f>
        <v>0</v>
      </c>
      <c r="G15" s="747" cm="1">
        <f t="array" ref="G15">SUMPRODUCT(--(LOWER(AB1:AB477)="masuk"), --(LOWER(AC1:AC477)="add"), --(TRIM(LOWER(W1:W477))="luar pulau"))</f>
        <v>0</v>
      </c>
      <c r="H15" s="740">
        <f>G15+-F15</f>
        <v>0</v>
      </c>
      <c r="I15" s="734"/>
      <c r="J15" s="748" cm="1">
        <f t="array" ref="J15">SUMPRODUCT(--((LOWER(TRIM(W1:W477))="luar pulau next day")+(LOWER(TRIM(W1:W477))="luar pulau nextday")))</f>
        <v>0</v>
      </c>
      <c r="K15" s="747" cm="1">
        <f t="array" ref="K15">SUMPRODUCT(--(LOWER(AB1:AB477)="masuk"), --(LOWER(TRIM(W1:W477))="luar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3</v>
      </c>
      <c r="P15" s="740">
        <f t="shared" si="0"/>
        <v>-5</v>
      </c>
      <c r="R15" s="1368" t="s">
        <v>770</v>
      </c>
      <c r="S15" s="1372">
        <v>3331565741</v>
      </c>
      <c r="T15" s="1369" t="s">
        <v>799</v>
      </c>
      <c r="U15" s="1373">
        <v>24142111</v>
      </c>
      <c r="V15" s="1373" t="s">
        <v>729</v>
      </c>
      <c r="W15" s="1373" t="s">
        <v>203</v>
      </c>
      <c r="X15" s="1374">
        <v>28384.792000000001</v>
      </c>
      <c r="Y15" s="1369" t="s">
        <v>812</v>
      </c>
      <c r="Z15" s="1369">
        <v>1</v>
      </c>
      <c r="AA15" s="1369">
        <v>1</v>
      </c>
      <c r="AB15" s="1369" t="s">
        <v>204</v>
      </c>
      <c r="AC15" s="1271"/>
      <c r="AD15" s="81"/>
      <c r="AE15" s="44"/>
      <c r="AF15" s="44"/>
      <c r="AG15" s="44"/>
    </row>
    <row r="16" spans="1:33" ht="17.399999999999999">
      <c r="A16" s="827"/>
      <c r="B16" s="733">
        <f>SUM(B12:B15)</f>
        <v>62</v>
      </c>
      <c r="C16" s="733">
        <f>SUM(C12:C15)</f>
        <v>47</v>
      </c>
      <c r="D16" s="739">
        <f>SUM(D12:D15)</f>
        <v>-15</v>
      </c>
      <c r="E16" s="734"/>
      <c r="F16" s="733">
        <f>SUM(F12:F15)</f>
        <v>5</v>
      </c>
      <c r="G16" s="733">
        <f>SUM(G12:G15)</f>
        <v>4</v>
      </c>
      <c r="H16" s="739">
        <f>SUM(H12:H15)</f>
        <v>-1</v>
      </c>
      <c r="I16" s="734"/>
      <c r="J16" s="733">
        <f>SUM(J12:J15)</f>
        <v>4</v>
      </c>
      <c r="K16" s="733">
        <f>SUM(K12:K15)</f>
        <v>3</v>
      </c>
      <c r="L16" s="739">
        <f>SUM(L12:L15)</f>
        <v>-1</v>
      </c>
      <c r="M16" s="734"/>
      <c r="N16" s="760">
        <f t="shared" si="0"/>
        <v>71</v>
      </c>
      <c r="O16" s="760">
        <f t="shared" si="0"/>
        <v>54</v>
      </c>
      <c r="P16" s="761">
        <f t="shared" si="0"/>
        <v>-17</v>
      </c>
      <c r="R16" s="1368" t="s">
        <v>770</v>
      </c>
      <c r="S16" s="1372">
        <v>3331565742</v>
      </c>
      <c r="T16" s="1369" t="s">
        <v>799</v>
      </c>
      <c r="U16" s="1373">
        <v>24142110</v>
      </c>
      <c r="V16" s="1373" t="s">
        <v>224</v>
      </c>
      <c r="W16" s="1373" t="s">
        <v>203</v>
      </c>
      <c r="X16" s="1374">
        <v>28040.238000000001</v>
      </c>
      <c r="Y16" s="1369" t="s">
        <v>812</v>
      </c>
      <c r="Z16" s="1369">
        <v>1</v>
      </c>
      <c r="AA16" s="1369">
        <v>1</v>
      </c>
      <c r="AB16" s="1369" t="s">
        <v>204</v>
      </c>
      <c r="AC16" s="1271"/>
      <c r="AD16" s="81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368" t="s">
        <v>770</v>
      </c>
      <c r="S17" s="1372">
        <v>3331565748</v>
      </c>
      <c r="T17" s="1369" t="s">
        <v>799</v>
      </c>
      <c r="U17" s="1373">
        <v>24142112</v>
      </c>
      <c r="V17" s="1373" t="s">
        <v>224</v>
      </c>
      <c r="W17" s="1373" t="s">
        <v>203</v>
      </c>
      <c r="X17" s="1374">
        <v>27524.16</v>
      </c>
      <c r="Y17" s="1369" t="s">
        <v>812</v>
      </c>
      <c r="Z17" s="1369">
        <v>1</v>
      </c>
      <c r="AA17" s="1369">
        <v>1</v>
      </c>
      <c r="AB17" s="1369" t="s">
        <v>204</v>
      </c>
      <c r="AC17" s="1271"/>
      <c r="AD17" s="81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368" t="s">
        <v>770</v>
      </c>
      <c r="S18" s="1372">
        <v>3331565751</v>
      </c>
      <c r="T18" s="1369" t="s">
        <v>799</v>
      </c>
      <c r="U18" s="1373">
        <v>24142113</v>
      </c>
      <c r="V18" s="1373" t="s">
        <v>729</v>
      </c>
      <c r="W18" s="1373" t="s">
        <v>203</v>
      </c>
      <c r="X18" s="1374">
        <v>29588.472000000002</v>
      </c>
      <c r="Y18" s="1369" t="s">
        <v>812</v>
      </c>
      <c r="Z18" s="1369">
        <v>1</v>
      </c>
      <c r="AA18" s="1369">
        <v>1</v>
      </c>
      <c r="AB18" s="1369" t="s">
        <v>204</v>
      </c>
      <c r="AC18" s="1271"/>
      <c r="AD18" s="81"/>
    </row>
    <row r="19" spans="1:30" s="44" customFormat="1" ht="17.399999999999999">
      <c r="A19" s="967" t="s">
        <v>434</v>
      </c>
      <c r="B19" s="1522" t="s">
        <v>415</v>
      </c>
      <c r="C19" s="1523"/>
      <c r="D19" s="152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368" t="s">
        <v>770</v>
      </c>
      <c r="S19" s="1372">
        <v>3331565754</v>
      </c>
      <c r="T19" s="1369" t="s">
        <v>799</v>
      </c>
      <c r="U19" s="1373">
        <v>24142116</v>
      </c>
      <c r="V19" s="1373" t="s">
        <v>224</v>
      </c>
      <c r="W19" s="1373" t="s">
        <v>203</v>
      </c>
      <c r="X19" s="1374">
        <v>28384.29</v>
      </c>
      <c r="Y19" s="1369" t="s">
        <v>812</v>
      </c>
      <c r="Z19" s="1369">
        <v>1</v>
      </c>
      <c r="AA19" s="1369">
        <v>1</v>
      </c>
      <c r="AB19" s="1369" t="s">
        <v>204</v>
      </c>
      <c r="AC19" s="1271"/>
      <c r="AD19" s="81"/>
    </row>
    <row r="20" spans="1:30" s="44" customFormat="1" ht="17.399999999999999">
      <c r="A20" s="1354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368" t="s">
        <v>770</v>
      </c>
      <c r="S20" s="1372">
        <v>3331565760</v>
      </c>
      <c r="T20" s="1369" t="s">
        <v>799</v>
      </c>
      <c r="U20" s="1373">
        <v>24142120</v>
      </c>
      <c r="V20" s="1373" t="s">
        <v>729</v>
      </c>
      <c r="W20" s="1373" t="s">
        <v>203</v>
      </c>
      <c r="X20" s="1374">
        <v>28428.555</v>
      </c>
      <c r="Y20" s="1369" t="s">
        <v>812</v>
      </c>
      <c r="Z20" s="1369">
        <v>1</v>
      </c>
      <c r="AA20" s="1369">
        <v>1</v>
      </c>
      <c r="AB20" s="1369" t="s">
        <v>204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SUMPRODUCT(--((LOWER(TRIM($W$2:$W$255))="ambil sendiri")+(LOWER(TRIM($W$2:$W$255))="cokot sorangan")))</f>
        <v>5</v>
      </c>
      <c r="C21" s="969" cm="1">
        <f t="array" ref="C21">SUMPRODUCT(--(LOWER(AB6:AB285)="masuk"), --((LOWER(TRIM($W$2:$W$281))="cokot sorangan") + (LOWER(TRIM(W6:W285))="ambil sendiri")))</f>
        <v>2</v>
      </c>
      <c r="D21" s="741">
        <f>C21+-B21</f>
        <v>-3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368" t="s">
        <v>770</v>
      </c>
      <c r="S21" s="1372">
        <v>3331565778</v>
      </c>
      <c r="T21" s="1369" t="s">
        <v>424</v>
      </c>
      <c r="U21" s="1373">
        <v>24142129</v>
      </c>
      <c r="V21" s="1373" t="s">
        <v>429</v>
      </c>
      <c r="W21" s="1373" t="s">
        <v>362</v>
      </c>
      <c r="X21" s="1374">
        <v>25937.298999999999</v>
      </c>
      <c r="Y21" s="1369" t="s">
        <v>426</v>
      </c>
      <c r="Z21" s="1369">
        <v>1</v>
      </c>
      <c r="AA21" s="1369">
        <v>1</v>
      </c>
      <c r="AB21" s="1369" t="s">
        <v>204</v>
      </c>
      <c r="AC21" s="1271"/>
      <c r="AD21" s="81"/>
    </row>
    <row r="22" spans="1:30" s="44" customFormat="1" ht="17.399999999999999">
      <c r="A22" s="993"/>
      <c r="B22" s="760">
        <f>SUM(B105:B108)</f>
        <v>0</v>
      </c>
      <c r="C22" s="760">
        <f>SUM(C105:C108)</f>
        <v>0</v>
      </c>
      <c r="D22" s="761">
        <f>SUM(D105:D108)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368" t="s">
        <v>770</v>
      </c>
      <c r="S22" s="1372">
        <v>3331565717</v>
      </c>
      <c r="T22" s="1367" t="s">
        <v>813</v>
      </c>
      <c r="U22" s="1373">
        <v>24142098</v>
      </c>
      <c r="V22" s="1373" t="s">
        <v>772</v>
      </c>
      <c r="W22" s="1373" t="s">
        <v>362</v>
      </c>
      <c r="X22" s="1374">
        <v>25847.157999999999</v>
      </c>
      <c r="Y22" s="1369" t="s">
        <v>200</v>
      </c>
      <c r="Z22" s="1369">
        <v>1</v>
      </c>
      <c r="AA22" s="1369">
        <v>1</v>
      </c>
      <c r="AB22" s="1369" t="s">
        <v>204</v>
      </c>
      <c r="AC22" s="1271"/>
      <c r="AD22" s="81"/>
    </row>
    <row r="23" spans="1:30" s="44" customFormat="1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360" t="s">
        <v>770</v>
      </c>
      <c r="S23" s="1364">
        <v>3331565735</v>
      </c>
      <c r="T23" s="1361" t="s">
        <v>564</v>
      </c>
      <c r="U23" s="1362">
        <v>24142106</v>
      </c>
      <c r="V23" s="1362" t="s">
        <v>772</v>
      </c>
      <c r="W23" s="1362" t="s">
        <v>362</v>
      </c>
      <c r="X23" s="1363">
        <v>25975.925999999999</v>
      </c>
      <c r="Y23" s="1361" t="s">
        <v>200</v>
      </c>
      <c r="Z23" s="1361">
        <v>1</v>
      </c>
      <c r="AA23" s="1361">
        <v>1</v>
      </c>
      <c r="AB23" s="1361" t="s">
        <v>207</v>
      </c>
      <c r="AC23" s="1271"/>
      <c r="AD23" s="81"/>
    </row>
    <row r="24" spans="1:30" s="44" customFormat="1" ht="17.399999999999999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360" t="s">
        <v>770</v>
      </c>
      <c r="S24" s="1364">
        <v>3331565740</v>
      </c>
      <c r="T24" s="1361" t="s">
        <v>564</v>
      </c>
      <c r="U24" s="1362">
        <v>24142108</v>
      </c>
      <c r="V24" s="1362" t="s">
        <v>772</v>
      </c>
      <c r="W24" s="1362" t="s">
        <v>362</v>
      </c>
      <c r="X24" s="1363">
        <v>24599.718000000001</v>
      </c>
      <c r="Y24" s="1361" t="s">
        <v>200</v>
      </c>
      <c r="Z24" s="1361">
        <v>1</v>
      </c>
      <c r="AA24" s="1361">
        <v>1</v>
      </c>
      <c r="AB24" s="1361" t="s">
        <v>207</v>
      </c>
      <c r="AC24" s="1271"/>
      <c r="AD24" s="81"/>
    </row>
    <row r="25" spans="1:30" s="44" customFormat="1" ht="17.399999999999999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360" t="s">
        <v>770</v>
      </c>
      <c r="S25" s="1364">
        <v>3331565755</v>
      </c>
      <c r="T25" s="1361" t="s">
        <v>564</v>
      </c>
      <c r="U25" s="1362">
        <v>24142117</v>
      </c>
      <c r="V25" s="1362" t="s">
        <v>772</v>
      </c>
      <c r="W25" s="1362" t="s">
        <v>362</v>
      </c>
      <c r="X25" s="1363">
        <v>25547.59</v>
      </c>
      <c r="Y25" s="1361" t="s">
        <v>200</v>
      </c>
      <c r="Z25" s="1361">
        <v>1</v>
      </c>
      <c r="AA25" s="1361">
        <v>1</v>
      </c>
      <c r="AB25" s="1361" t="s">
        <v>207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360" t="s">
        <v>770</v>
      </c>
      <c r="S26" s="1364">
        <v>3331565761</v>
      </c>
      <c r="T26" s="1361" t="s">
        <v>564</v>
      </c>
      <c r="U26" s="1362">
        <v>24142121</v>
      </c>
      <c r="V26" s="1362" t="s">
        <v>772</v>
      </c>
      <c r="W26" s="1362" t="s">
        <v>362</v>
      </c>
      <c r="X26" s="1363">
        <v>26023.901000000002</v>
      </c>
      <c r="Y26" s="1361" t="s">
        <v>200</v>
      </c>
      <c r="Z26" s="1361">
        <v>1</v>
      </c>
      <c r="AA26" s="1361">
        <v>1</v>
      </c>
      <c r="AB26" s="1361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360" t="s">
        <v>770</v>
      </c>
      <c r="S27" s="1364">
        <v>3331565763</v>
      </c>
      <c r="T27" s="1361" t="s">
        <v>564</v>
      </c>
      <c r="U27" s="1362">
        <v>24142123</v>
      </c>
      <c r="V27" s="1362" t="s">
        <v>772</v>
      </c>
      <c r="W27" s="1362" t="s">
        <v>362</v>
      </c>
      <c r="X27" s="1363">
        <v>25374.385999999999</v>
      </c>
      <c r="Y27" s="1361" t="s">
        <v>200</v>
      </c>
      <c r="Z27" s="1361">
        <v>1</v>
      </c>
      <c r="AA27" s="1361">
        <v>1</v>
      </c>
      <c r="AB27" s="1361" t="s">
        <v>207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368" t="s">
        <v>773</v>
      </c>
      <c r="S28" s="1372">
        <v>3331565992</v>
      </c>
      <c r="T28" s="1369" t="s">
        <v>336</v>
      </c>
      <c r="U28" s="1373">
        <v>24142165</v>
      </c>
      <c r="V28" s="1373" t="s">
        <v>529</v>
      </c>
      <c r="W28" s="1373" t="s">
        <v>434</v>
      </c>
      <c r="X28" s="1374">
        <v>40617.25</v>
      </c>
      <c r="Y28" s="1369" t="s">
        <v>128</v>
      </c>
      <c r="Z28" s="1369">
        <v>1</v>
      </c>
      <c r="AA28" s="1369">
        <v>1</v>
      </c>
      <c r="AB28" s="1369" t="s">
        <v>204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360" t="s">
        <v>773</v>
      </c>
      <c r="S29" s="1364">
        <v>3331563596</v>
      </c>
      <c r="T29" s="1361" t="s">
        <v>336</v>
      </c>
      <c r="U29" s="1362">
        <v>24142168</v>
      </c>
      <c r="V29" s="1362" t="s">
        <v>529</v>
      </c>
      <c r="W29" s="1362" t="s">
        <v>434</v>
      </c>
      <c r="X29" s="1363">
        <f>13726.417+4214.637+2052.24+9127.438+7866.92</f>
        <v>36987.652000000002</v>
      </c>
      <c r="Y29" s="1361" t="s">
        <v>128</v>
      </c>
      <c r="Z29" s="1361">
        <v>1</v>
      </c>
      <c r="AA29" s="1361">
        <v>1</v>
      </c>
      <c r="AB29" s="1361" t="s">
        <v>207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360" t="s">
        <v>773</v>
      </c>
      <c r="S30" s="1364">
        <v>3331565997</v>
      </c>
      <c r="T30" s="1361" t="s">
        <v>256</v>
      </c>
      <c r="U30" s="1362" t="s">
        <v>256</v>
      </c>
      <c r="V30" s="1362" t="s">
        <v>256</v>
      </c>
      <c r="W30" s="1362" t="s">
        <v>256</v>
      </c>
      <c r="X30" s="1363" t="s">
        <v>256</v>
      </c>
      <c r="Y30" s="1361" t="s">
        <v>256</v>
      </c>
      <c r="Z30" s="1361" t="s">
        <v>256</v>
      </c>
      <c r="AA30" s="1361" t="s">
        <v>256</v>
      </c>
      <c r="AB30" s="1361" t="s">
        <v>256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360" t="s">
        <v>773</v>
      </c>
      <c r="S31" s="1364">
        <v>3331566000</v>
      </c>
      <c r="T31" s="1361" t="s">
        <v>256</v>
      </c>
      <c r="U31" s="1362" t="s">
        <v>256</v>
      </c>
      <c r="V31" s="1362" t="s">
        <v>256</v>
      </c>
      <c r="W31" s="1362" t="s">
        <v>256</v>
      </c>
      <c r="X31" s="1363" t="s">
        <v>256</v>
      </c>
      <c r="Y31" s="1361" t="s">
        <v>256</v>
      </c>
      <c r="Z31" s="1361" t="s">
        <v>256</v>
      </c>
      <c r="AA31" s="1361" t="s">
        <v>256</v>
      </c>
      <c r="AB31" s="1361" t="s">
        <v>256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360" t="s">
        <v>452</v>
      </c>
      <c r="S32" s="1364">
        <v>3331566006</v>
      </c>
      <c r="T32" s="1361" t="s">
        <v>256</v>
      </c>
      <c r="U32" s="1362" t="s">
        <v>256</v>
      </c>
      <c r="V32" s="1362" t="s">
        <v>256</v>
      </c>
      <c r="W32" s="1362" t="s">
        <v>256</v>
      </c>
      <c r="X32" s="1363" t="s">
        <v>256</v>
      </c>
      <c r="Y32" s="1361" t="s">
        <v>256</v>
      </c>
      <c r="Z32" s="1361" t="s">
        <v>256</v>
      </c>
      <c r="AA32" s="1361" t="s">
        <v>256</v>
      </c>
      <c r="AB32" s="1361" t="s">
        <v>256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360" t="s">
        <v>773</v>
      </c>
      <c r="S33" s="1364">
        <v>3331566007</v>
      </c>
      <c r="T33" s="1361" t="s">
        <v>256</v>
      </c>
      <c r="U33" s="1362" t="s">
        <v>256</v>
      </c>
      <c r="V33" s="1362" t="s">
        <v>256</v>
      </c>
      <c r="W33" s="1362" t="s">
        <v>256</v>
      </c>
      <c r="X33" s="1363" t="s">
        <v>256</v>
      </c>
      <c r="Y33" s="1361" t="s">
        <v>256</v>
      </c>
      <c r="Z33" s="1361" t="s">
        <v>256</v>
      </c>
      <c r="AA33" s="1361" t="s">
        <v>256</v>
      </c>
      <c r="AB33" s="1361" t="s">
        <v>256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360" t="s">
        <v>773</v>
      </c>
      <c r="S34" s="1364">
        <v>3331566011</v>
      </c>
      <c r="T34" s="1361" t="s">
        <v>256</v>
      </c>
      <c r="U34" s="1362" t="s">
        <v>256</v>
      </c>
      <c r="V34" s="1362" t="s">
        <v>256</v>
      </c>
      <c r="W34" s="1362" t="s">
        <v>256</v>
      </c>
      <c r="X34" s="1363" t="s">
        <v>256</v>
      </c>
      <c r="Y34" s="1361" t="s">
        <v>256</v>
      </c>
      <c r="Z34" s="1361" t="s">
        <v>256</v>
      </c>
      <c r="AA34" s="1361" t="s">
        <v>256</v>
      </c>
      <c r="AB34" s="1361" t="s">
        <v>256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368" t="s">
        <v>773</v>
      </c>
      <c r="S35" s="1372">
        <v>3331566013</v>
      </c>
      <c r="T35" s="1369" t="s">
        <v>336</v>
      </c>
      <c r="U35" s="1373">
        <v>24142169</v>
      </c>
      <c r="V35" s="1373" t="s">
        <v>529</v>
      </c>
      <c r="W35" s="1373" t="s">
        <v>434</v>
      </c>
      <c r="X35" s="1374">
        <v>40746.241000000002</v>
      </c>
      <c r="Y35" s="1369" t="s">
        <v>128</v>
      </c>
      <c r="Z35" s="1369">
        <v>1</v>
      </c>
      <c r="AA35" s="1369">
        <v>1</v>
      </c>
      <c r="AB35" s="1369" t="s">
        <v>204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368" t="s">
        <v>773</v>
      </c>
      <c r="S36" s="1372">
        <v>3331565818</v>
      </c>
      <c r="T36" s="1369" t="s">
        <v>801</v>
      </c>
      <c r="U36" s="1373">
        <v>24142170</v>
      </c>
      <c r="V36" s="1373" t="s">
        <v>802</v>
      </c>
      <c r="W36" s="1373" t="s">
        <v>205</v>
      </c>
      <c r="X36" s="1374">
        <f>4687.96+8672.726+9198.864</f>
        <v>22559.550000000003</v>
      </c>
      <c r="Y36" s="1369" t="s">
        <v>200</v>
      </c>
      <c r="Z36" s="1369">
        <v>1</v>
      </c>
      <c r="AA36" s="1369">
        <v>1</v>
      </c>
      <c r="AB36" s="1369" t="s">
        <v>204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368" t="s">
        <v>773</v>
      </c>
      <c r="S37" s="1372">
        <v>3331565823</v>
      </c>
      <c r="T37" s="1369" t="s">
        <v>256</v>
      </c>
      <c r="U37" s="1373" t="s">
        <v>256</v>
      </c>
      <c r="V37" s="1373" t="s">
        <v>256</v>
      </c>
      <c r="W37" s="1373" t="s">
        <v>256</v>
      </c>
      <c r="X37" s="1374" t="s">
        <v>256</v>
      </c>
      <c r="Y37" s="1369" t="s">
        <v>256</v>
      </c>
      <c r="Z37" s="1369" t="s">
        <v>256</v>
      </c>
      <c r="AA37" s="1369" t="s">
        <v>256</v>
      </c>
      <c r="AB37" s="1369" t="s">
        <v>256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368" t="s">
        <v>773</v>
      </c>
      <c r="S38" s="1372">
        <v>3331565830</v>
      </c>
      <c r="T38" s="1369" t="s">
        <v>256</v>
      </c>
      <c r="U38" s="1373" t="s">
        <v>256</v>
      </c>
      <c r="V38" s="1373" t="s">
        <v>256</v>
      </c>
      <c r="W38" s="1373" t="s">
        <v>256</v>
      </c>
      <c r="X38" s="1374" t="s">
        <v>256</v>
      </c>
      <c r="Y38" s="1369" t="s">
        <v>256</v>
      </c>
      <c r="Z38" s="1369" t="s">
        <v>256</v>
      </c>
      <c r="AA38" s="1369" t="s">
        <v>256</v>
      </c>
      <c r="AB38" s="1369" t="s">
        <v>256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368" t="s">
        <v>773</v>
      </c>
      <c r="S39" s="1372">
        <v>3331565757</v>
      </c>
      <c r="T39" s="1369" t="s">
        <v>799</v>
      </c>
      <c r="U39" s="1373">
        <v>24142175</v>
      </c>
      <c r="V39" s="1373" t="s">
        <v>283</v>
      </c>
      <c r="W39" s="1373" t="s">
        <v>344</v>
      </c>
      <c r="X39" s="1374">
        <v>30239.858</v>
      </c>
      <c r="Y39" s="1369" t="s">
        <v>800</v>
      </c>
      <c r="Z39" s="1369">
        <v>1</v>
      </c>
      <c r="AA39" s="1369">
        <v>1</v>
      </c>
      <c r="AB39" s="1369" t="s">
        <v>204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360" t="s">
        <v>773</v>
      </c>
      <c r="S40" s="1364">
        <v>3331566071</v>
      </c>
      <c r="T40" s="1361" t="s">
        <v>799</v>
      </c>
      <c r="U40" s="1362">
        <v>24142177</v>
      </c>
      <c r="V40" s="1362" t="s">
        <v>729</v>
      </c>
      <c r="W40" s="1362" t="s">
        <v>344</v>
      </c>
      <c r="X40" s="1363">
        <v>25545.861000000001</v>
      </c>
      <c r="Y40" s="1361" t="s">
        <v>800</v>
      </c>
      <c r="Z40" s="1361">
        <v>1</v>
      </c>
      <c r="AA40" s="1361">
        <v>1</v>
      </c>
      <c r="AB40" s="1361" t="s">
        <v>207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368" t="s">
        <v>773</v>
      </c>
      <c r="S41" s="1372">
        <v>3331566107</v>
      </c>
      <c r="T41" s="1369" t="s">
        <v>799</v>
      </c>
      <c r="U41" s="1373">
        <v>24142179</v>
      </c>
      <c r="V41" s="1373" t="s">
        <v>729</v>
      </c>
      <c r="W41" s="1373" t="s">
        <v>344</v>
      </c>
      <c r="X41" s="1374">
        <v>28858.116999999998</v>
      </c>
      <c r="Y41" s="1369" t="s">
        <v>800</v>
      </c>
      <c r="Z41" s="1369">
        <v>1</v>
      </c>
      <c r="AA41" s="1369">
        <v>1</v>
      </c>
      <c r="AB41" s="1369" t="s">
        <v>204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368" t="s">
        <v>773</v>
      </c>
      <c r="S42" s="1372">
        <v>3331566114</v>
      </c>
      <c r="T42" s="1369" t="s">
        <v>799</v>
      </c>
      <c r="U42" s="1373">
        <v>24142180</v>
      </c>
      <c r="V42" s="1373" t="s">
        <v>729</v>
      </c>
      <c r="W42" s="1373" t="s">
        <v>344</v>
      </c>
      <c r="X42" s="1374">
        <v>28255.521000000001</v>
      </c>
      <c r="Y42" s="1369" t="s">
        <v>800</v>
      </c>
      <c r="Z42" s="1369">
        <v>1</v>
      </c>
      <c r="AA42" s="1369">
        <v>1</v>
      </c>
      <c r="AB42" s="1369" t="s">
        <v>204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391" t="s">
        <v>773</v>
      </c>
      <c r="S43" s="1392">
        <v>3331566117</v>
      </c>
      <c r="T43" s="1393" t="s">
        <v>801</v>
      </c>
      <c r="U43" s="1394">
        <v>24142181</v>
      </c>
      <c r="V43" s="1394" t="s">
        <v>516</v>
      </c>
      <c r="W43" s="1394" t="s">
        <v>205</v>
      </c>
      <c r="X43" s="1395">
        <v>34276.436999999998</v>
      </c>
      <c r="Y43" s="1393" t="s">
        <v>128</v>
      </c>
      <c r="Z43" s="1393">
        <v>1</v>
      </c>
      <c r="AA43" s="1393">
        <v>1</v>
      </c>
      <c r="AB43" s="1393" t="s">
        <v>207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368" t="s">
        <v>773</v>
      </c>
      <c r="S44" s="1372">
        <v>3331566119</v>
      </c>
      <c r="T44" s="1369" t="s">
        <v>814</v>
      </c>
      <c r="U44" s="1373">
        <v>24142182</v>
      </c>
      <c r="V44" s="1373" t="s">
        <v>516</v>
      </c>
      <c r="W44" s="1373" t="s">
        <v>205</v>
      </c>
      <c r="X44" s="1374">
        <v>32144.39</v>
      </c>
      <c r="Y44" s="1369" t="s">
        <v>128</v>
      </c>
      <c r="Z44" s="1369">
        <v>1</v>
      </c>
      <c r="AA44" s="1369">
        <v>1</v>
      </c>
      <c r="AB44" s="1369" t="s">
        <v>204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368" t="s">
        <v>773</v>
      </c>
      <c r="S45" s="1372">
        <v>3331566120</v>
      </c>
      <c r="T45" s="1369" t="s">
        <v>801</v>
      </c>
      <c r="U45" s="1373">
        <v>24142185</v>
      </c>
      <c r="V45" s="1373" t="s">
        <v>815</v>
      </c>
      <c r="W45" s="1373" t="s">
        <v>205</v>
      </c>
      <c r="X45" s="1374">
        <v>23604.043000000001</v>
      </c>
      <c r="Y45" s="1369" t="s">
        <v>200</v>
      </c>
      <c r="Z45" s="1369">
        <v>1</v>
      </c>
      <c r="AA45" s="1369">
        <v>1</v>
      </c>
      <c r="AB45" s="1369" t="s">
        <v>204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368" t="s">
        <v>773</v>
      </c>
      <c r="S46" s="1372">
        <v>3331566123</v>
      </c>
      <c r="T46" s="1369" t="s">
        <v>801</v>
      </c>
      <c r="U46" s="1373">
        <v>24142183</v>
      </c>
      <c r="V46" s="1373" t="s">
        <v>815</v>
      </c>
      <c r="W46" s="1373" t="s">
        <v>205</v>
      </c>
      <c r="X46" s="1374">
        <f>11034.814+12385.872+1505.983</f>
        <v>24926.669000000002</v>
      </c>
      <c r="Y46" s="1369" t="s">
        <v>200</v>
      </c>
      <c r="Z46" s="1369">
        <v>1</v>
      </c>
      <c r="AA46" s="1369">
        <v>1</v>
      </c>
      <c r="AB46" s="1369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368" t="s">
        <v>773</v>
      </c>
      <c r="S47" s="1372">
        <v>3331566129</v>
      </c>
      <c r="T47" s="1369" t="s">
        <v>256</v>
      </c>
      <c r="U47" s="1373" t="s">
        <v>256</v>
      </c>
      <c r="V47" s="1373" t="s">
        <v>256</v>
      </c>
      <c r="W47" s="1373" t="s">
        <v>256</v>
      </c>
      <c r="X47" s="1374" t="s">
        <v>256</v>
      </c>
      <c r="Y47" s="1369" t="s">
        <v>256</v>
      </c>
      <c r="Z47" s="1369" t="s">
        <v>256</v>
      </c>
      <c r="AA47" s="1369" t="s">
        <v>256</v>
      </c>
      <c r="AB47" s="1369" t="s">
        <v>256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368" t="s">
        <v>773</v>
      </c>
      <c r="S48" s="1372">
        <v>3331566140</v>
      </c>
      <c r="T48" s="1369" t="s">
        <v>256</v>
      </c>
      <c r="U48" s="1373" t="s">
        <v>256</v>
      </c>
      <c r="V48" s="1373" t="s">
        <v>256</v>
      </c>
      <c r="W48" s="1373" t="s">
        <v>256</v>
      </c>
      <c r="X48" s="1374" t="s">
        <v>256</v>
      </c>
      <c r="Y48" s="1369" t="s">
        <v>256</v>
      </c>
      <c r="Z48" s="1369" t="s">
        <v>256</v>
      </c>
      <c r="AA48" s="1369" t="s">
        <v>256</v>
      </c>
      <c r="AB48" s="1369" t="s">
        <v>256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360" t="s">
        <v>773</v>
      </c>
      <c r="S49" s="1372">
        <v>3331566148</v>
      </c>
      <c r="T49" s="1361" t="s">
        <v>801</v>
      </c>
      <c r="U49" s="1362">
        <v>24142194</v>
      </c>
      <c r="V49" s="1362" t="s">
        <v>802</v>
      </c>
      <c r="W49" s="1362" t="s">
        <v>205</v>
      </c>
      <c r="X49" s="1363">
        <v>24045.502</v>
      </c>
      <c r="Y49" s="1361" t="s">
        <v>200</v>
      </c>
      <c r="Z49" s="1361">
        <v>1</v>
      </c>
      <c r="AA49" s="1361">
        <v>1</v>
      </c>
      <c r="AB49" s="1361" t="s">
        <v>207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360" t="s">
        <v>773</v>
      </c>
      <c r="S50" s="1364">
        <v>3331566149</v>
      </c>
      <c r="T50" s="1361" t="s">
        <v>801</v>
      </c>
      <c r="U50" s="1362">
        <v>24142195</v>
      </c>
      <c r="V50" s="1362" t="s">
        <v>802</v>
      </c>
      <c r="W50" s="1362" t="s">
        <v>205</v>
      </c>
      <c r="X50" s="1363">
        <v>24045.502</v>
      </c>
      <c r="Y50" s="1361" t="s">
        <v>200</v>
      </c>
      <c r="Z50" s="1361">
        <v>1</v>
      </c>
      <c r="AA50" s="1361">
        <v>1</v>
      </c>
      <c r="AB50" s="1361" t="s">
        <v>207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360" t="s">
        <v>773</v>
      </c>
      <c r="S51" s="1364">
        <v>3331566150</v>
      </c>
      <c r="T51" s="1361" t="s">
        <v>801</v>
      </c>
      <c r="U51" s="1362"/>
      <c r="V51" s="1362" t="s">
        <v>802</v>
      </c>
      <c r="W51" s="1362" t="s">
        <v>205</v>
      </c>
      <c r="X51" s="1363">
        <f>21198.583+1603.031</f>
        <v>22801.613999999998</v>
      </c>
      <c r="Y51" s="1361" t="s">
        <v>200</v>
      </c>
      <c r="Z51" s="1361">
        <v>1</v>
      </c>
      <c r="AA51" s="1361">
        <v>1</v>
      </c>
      <c r="AB51" s="1361" t="s">
        <v>207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360" t="s">
        <v>773</v>
      </c>
      <c r="S52" s="1364">
        <v>3331566151</v>
      </c>
      <c r="T52" s="1361" t="s">
        <v>256</v>
      </c>
      <c r="U52" s="1362" t="s">
        <v>256</v>
      </c>
      <c r="V52" s="1224" t="s">
        <v>256</v>
      </c>
      <c r="W52" s="1362" t="s">
        <v>256</v>
      </c>
      <c r="X52" s="1363" t="s">
        <v>256</v>
      </c>
      <c r="Y52" s="1361" t="s">
        <v>256</v>
      </c>
      <c r="Z52" s="1361" t="s">
        <v>256</v>
      </c>
      <c r="AA52" s="1361" t="s">
        <v>256</v>
      </c>
      <c r="AB52" s="1361"/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382" t="s">
        <v>773</v>
      </c>
      <c r="S53" s="1383">
        <v>3331566155</v>
      </c>
      <c r="T53" s="1361" t="s">
        <v>801</v>
      </c>
      <c r="U53" s="1384">
        <v>24142197</v>
      </c>
      <c r="V53" s="1362" t="s">
        <v>802</v>
      </c>
      <c r="W53" s="1362" t="s">
        <v>205</v>
      </c>
      <c r="X53" s="1385">
        <v>22074.557000000001</v>
      </c>
      <c r="Y53" s="1361" t="s">
        <v>200</v>
      </c>
      <c r="Z53" s="1361">
        <v>1</v>
      </c>
      <c r="AA53" s="1361">
        <v>1</v>
      </c>
      <c r="AB53" s="1361" t="s">
        <v>207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360" t="s">
        <v>773</v>
      </c>
      <c r="S54" s="1364">
        <v>3331566156</v>
      </c>
      <c r="T54" s="1361" t="s">
        <v>801</v>
      </c>
      <c r="U54" s="1362">
        <v>24142198</v>
      </c>
      <c r="V54" s="1362" t="s">
        <v>802</v>
      </c>
      <c r="W54" s="1362" t="s">
        <v>205</v>
      </c>
      <c r="X54" s="1363">
        <v>20602.919999999998</v>
      </c>
      <c r="Y54" s="1361" t="s">
        <v>200</v>
      </c>
      <c r="Z54" s="1361">
        <v>1</v>
      </c>
      <c r="AA54" s="1361">
        <v>1</v>
      </c>
      <c r="AB54" s="1361" t="s">
        <v>207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368" t="s">
        <v>774</v>
      </c>
      <c r="S55" s="1372">
        <v>3331566163</v>
      </c>
      <c r="T55" s="1369" t="s">
        <v>801</v>
      </c>
      <c r="U55" s="1373">
        <v>24142200</v>
      </c>
      <c r="V55" s="1227" t="s">
        <v>816</v>
      </c>
      <c r="W55" s="1373" t="s">
        <v>205</v>
      </c>
      <c r="X55" s="1374">
        <f>10261.2+11214.959</f>
        <v>21476.159</v>
      </c>
      <c r="Y55" s="1369" t="s">
        <v>200</v>
      </c>
      <c r="Z55" s="1369">
        <v>1</v>
      </c>
      <c r="AA55" s="1369">
        <v>1</v>
      </c>
      <c r="AB55" s="1369" t="s">
        <v>204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368" t="s">
        <v>774</v>
      </c>
      <c r="S56" s="1372">
        <v>3331566165</v>
      </c>
      <c r="T56" s="1369" t="s">
        <v>256</v>
      </c>
      <c r="U56" s="1373" t="s">
        <v>256</v>
      </c>
      <c r="V56" s="1227" t="s">
        <v>256</v>
      </c>
      <c r="W56" s="1373" t="s">
        <v>256</v>
      </c>
      <c r="X56" s="1374" t="s">
        <v>256</v>
      </c>
      <c r="Y56" s="1369" t="s">
        <v>256</v>
      </c>
      <c r="Z56" s="1369" t="s">
        <v>256</v>
      </c>
      <c r="AA56" s="1369" t="s">
        <v>256</v>
      </c>
      <c r="AB56" s="1369" t="s">
        <v>256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09" t="s">
        <v>770</v>
      </c>
      <c r="S57" s="1209">
        <v>3331565771</v>
      </c>
      <c r="T57" s="1264" t="s">
        <v>458</v>
      </c>
      <c r="U57" s="1264">
        <v>24142125</v>
      </c>
      <c r="V57" s="1209" t="s">
        <v>729</v>
      </c>
      <c r="W57" s="1264" t="s">
        <v>203</v>
      </c>
      <c r="X57" s="1203">
        <f>15138.288+28384.29</f>
        <v>43522.578000000001</v>
      </c>
      <c r="Y57" s="1264" t="s">
        <v>128</v>
      </c>
      <c r="Z57" s="1264">
        <v>1</v>
      </c>
      <c r="AA57" s="1264">
        <v>1</v>
      </c>
      <c r="AB57" s="1264" t="s">
        <v>204</v>
      </c>
      <c r="AC57" s="1365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09" t="s">
        <v>770</v>
      </c>
      <c r="S58" s="1209">
        <v>3331565772</v>
      </c>
      <c r="T58" s="1264" t="s">
        <v>256</v>
      </c>
      <c r="U58" s="1264" t="s">
        <v>256</v>
      </c>
      <c r="V58" s="1209" t="s">
        <v>256</v>
      </c>
      <c r="W58" s="1264" t="s">
        <v>256</v>
      </c>
      <c r="X58" s="1203" t="s">
        <v>256</v>
      </c>
      <c r="Y58" s="1264" t="s">
        <v>256</v>
      </c>
      <c r="Z58" s="1202" t="s">
        <v>256</v>
      </c>
      <c r="AA58" s="1202" t="s">
        <v>256</v>
      </c>
      <c r="AB58" s="1208" t="s">
        <v>256</v>
      </c>
      <c r="AC58" s="1365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09" t="s">
        <v>770</v>
      </c>
      <c r="S59" s="1209">
        <v>3331565833</v>
      </c>
      <c r="T59" s="1264" t="s">
        <v>27</v>
      </c>
      <c r="U59" s="1202">
        <v>24142139</v>
      </c>
      <c r="V59" s="1202" t="s">
        <v>817</v>
      </c>
      <c r="W59" s="1264" t="s">
        <v>199</v>
      </c>
      <c r="X59" s="1203">
        <v>25408.982</v>
      </c>
      <c r="Y59" s="1202" t="s">
        <v>200</v>
      </c>
      <c r="Z59" s="1202">
        <v>1</v>
      </c>
      <c r="AA59" s="1202">
        <v>1</v>
      </c>
      <c r="AB59" s="1208" t="s">
        <v>204</v>
      </c>
      <c r="AC59" s="1365" t="s">
        <v>422</v>
      </c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09" t="s">
        <v>770</v>
      </c>
      <c r="S60" s="1209">
        <v>3331565836</v>
      </c>
      <c r="T60" s="1264" t="s">
        <v>27</v>
      </c>
      <c r="U60" s="1202">
        <v>24142140</v>
      </c>
      <c r="V60" s="1202" t="s">
        <v>817</v>
      </c>
      <c r="W60" s="1264" t="s">
        <v>199</v>
      </c>
      <c r="X60" s="1203">
        <v>25664.773000000001</v>
      </c>
      <c r="Y60" s="1202" t="s">
        <v>200</v>
      </c>
      <c r="Z60" s="1202">
        <v>1</v>
      </c>
      <c r="AA60" s="1202">
        <v>1</v>
      </c>
      <c r="AB60" s="1208" t="s">
        <v>204</v>
      </c>
      <c r="AC60" s="1365" t="s">
        <v>422</v>
      </c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386" t="s">
        <v>770</v>
      </c>
      <c r="S61" s="1386">
        <v>3331565584</v>
      </c>
      <c r="T61" s="1377" t="s">
        <v>34</v>
      </c>
      <c r="U61" s="1386">
        <v>24142058</v>
      </c>
      <c r="V61" s="1386" t="s">
        <v>219</v>
      </c>
      <c r="W61" s="1379" t="s">
        <v>199</v>
      </c>
      <c r="X61" s="1387">
        <v>25139.863000000001</v>
      </c>
      <c r="Y61" s="1386" t="s">
        <v>200</v>
      </c>
      <c r="Z61" s="1386">
        <v>1</v>
      </c>
      <c r="AA61" s="1386">
        <v>1</v>
      </c>
      <c r="AB61" s="1388" t="s">
        <v>204</v>
      </c>
      <c r="AC61" s="1365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369" t="s">
        <v>770</v>
      </c>
      <c r="S62" s="1369">
        <v>3331565592</v>
      </c>
      <c r="T62" s="1209" t="s">
        <v>34</v>
      </c>
      <c r="U62" s="1369">
        <v>24142059</v>
      </c>
      <c r="V62" s="1369" t="s">
        <v>219</v>
      </c>
      <c r="W62" s="1264" t="s">
        <v>199</v>
      </c>
      <c r="X62" s="1370">
        <v>26032.573</v>
      </c>
      <c r="Y62" s="1369" t="s">
        <v>200</v>
      </c>
      <c r="Z62" s="1369">
        <v>1</v>
      </c>
      <c r="AA62" s="1369">
        <v>1</v>
      </c>
      <c r="AB62" s="1375" t="s">
        <v>204</v>
      </c>
      <c r="AC62" s="1220"/>
      <c r="AD62" s="1326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389" t="s">
        <v>773</v>
      </c>
      <c r="S63" s="1377">
        <v>3331565956</v>
      </c>
      <c r="T63" s="1377" t="s">
        <v>34</v>
      </c>
      <c r="U63" s="1378">
        <v>24142146</v>
      </c>
      <c r="V63" s="1378" t="s">
        <v>150</v>
      </c>
      <c r="W63" s="1379" t="s">
        <v>199</v>
      </c>
      <c r="X63" s="1380">
        <v>24212.66</v>
      </c>
      <c r="Y63" s="1378" t="s">
        <v>200</v>
      </c>
      <c r="Z63" s="1378">
        <v>1</v>
      </c>
      <c r="AA63" s="1378">
        <v>1</v>
      </c>
      <c r="AB63" s="1381" t="s">
        <v>204</v>
      </c>
      <c r="AC63" s="1217"/>
      <c r="AD63" s="1326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773</v>
      </c>
      <c r="S64" s="1209">
        <v>3331565957</v>
      </c>
      <c r="T64" s="1209" t="s">
        <v>11</v>
      </c>
      <c r="U64" s="1202">
        <v>24142147</v>
      </c>
      <c r="V64" s="1202" t="s">
        <v>150</v>
      </c>
      <c r="W64" s="1264" t="s">
        <v>199</v>
      </c>
      <c r="X64" s="1203">
        <v>25373.835999999999</v>
      </c>
      <c r="Y64" s="1202" t="s">
        <v>200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773</v>
      </c>
      <c r="S65" s="1209">
        <v>3331565958</v>
      </c>
      <c r="T65" s="1209" t="s">
        <v>34</v>
      </c>
      <c r="U65" s="1202">
        <v>24142148</v>
      </c>
      <c r="V65" s="1202" t="s">
        <v>150</v>
      </c>
      <c r="W65" s="1264" t="s">
        <v>199</v>
      </c>
      <c r="X65" s="1203">
        <v>25158.803</v>
      </c>
      <c r="Y65" s="1202" t="s">
        <v>200</v>
      </c>
      <c r="Z65" s="1202">
        <v>1</v>
      </c>
      <c r="AA65" s="1202">
        <v>1</v>
      </c>
      <c r="AB65" s="1208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773</v>
      </c>
      <c r="S66" s="1209">
        <v>3331565959</v>
      </c>
      <c r="T66" s="1209" t="s">
        <v>441</v>
      </c>
      <c r="U66" s="1202">
        <v>24142149</v>
      </c>
      <c r="V66" s="1202" t="s">
        <v>150</v>
      </c>
      <c r="W66" s="1396" t="s">
        <v>199</v>
      </c>
      <c r="X66" s="1203">
        <f>3290.876+21288.217</f>
        <v>24579.093000000001</v>
      </c>
      <c r="Y66" s="1202" t="s">
        <v>200</v>
      </c>
      <c r="Z66" s="1202">
        <v>1</v>
      </c>
      <c r="AA66" s="1202">
        <v>1</v>
      </c>
      <c r="AB66" s="1208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773</v>
      </c>
      <c r="S67" s="1209">
        <v>3331565960</v>
      </c>
      <c r="T67" s="1257" t="s">
        <v>256</v>
      </c>
      <c r="U67" s="1202" t="s">
        <v>256</v>
      </c>
      <c r="V67" s="1210" t="s">
        <v>256</v>
      </c>
      <c r="W67" s="1202" t="s">
        <v>256</v>
      </c>
      <c r="X67" s="1376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773</v>
      </c>
      <c r="S68" s="1308">
        <v>3331565962</v>
      </c>
      <c r="T68" s="1209" t="s">
        <v>34</v>
      </c>
      <c r="U68" s="1201">
        <v>24142150</v>
      </c>
      <c r="V68" s="1210" t="s">
        <v>150</v>
      </c>
      <c r="W68" s="1377" t="s">
        <v>199</v>
      </c>
      <c r="X68" s="1376">
        <v>24205.258999999998</v>
      </c>
      <c r="Y68" s="1202" t="s">
        <v>200</v>
      </c>
      <c r="Z68" s="1202">
        <v>1</v>
      </c>
      <c r="AA68" s="1202">
        <v>1</v>
      </c>
      <c r="AB68" s="1104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01" t="s">
        <v>773</v>
      </c>
      <c r="S69" s="1210">
        <v>3331565976</v>
      </c>
      <c r="T69" s="1209" t="s">
        <v>11</v>
      </c>
      <c r="U69" s="1201">
        <v>24142152</v>
      </c>
      <c r="V69" s="1210" t="s">
        <v>368</v>
      </c>
      <c r="W69" s="1264" t="s">
        <v>199</v>
      </c>
      <c r="X69" s="1376">
        <v>26177.924999999999</v>
      </c>
      <c r="Y69" s="1202" t="s">
        <v>200</v>
      </c>
      <c r="Z69" s="1202">
        <v>1</v>
      </c>
      <c r="AA69" s="1202">
        <v>1</v>
      </c>
      <c r="AB69" s="1067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773</v>
      </c>
      <c r="S70" s="1308">
        <v>3331565977</v>
      </c>
      <c r="T70" s="1209" t="s">
        <v>34</v>
      </c>
      <c r="U70" s="1201">
        <v>24142153</v>
      </c>
      <c r="V70" s="1210" t="s">
        <v>368</v>
      </c>
      <c r="W70" s="1264" t="s">
        <v>199</v>
      </c>
      <c r="X70" s="1376">
        <v>24811.473000000002</v>
      </c>
      <c r="Y70" s="1202" t="s">
        <v>200</v>
      </c>
      <c r="Z70" s="1202">
        <v>1</v>
      </c>
      <c r="AA70" s="1202">
        <v>1</v>
      </c>
      <c r="AB70" s="1067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773</v>
      </c>
      <c r="S71" s="1308">
        <v>3331565978</v>
      </c>
      <c r="T71" s="1209" t="s">
        <v>287</v>
      </c>
      <c r="U71" s="1201">
        <v>24142154</v>
      </c>
      <c r="V71" s="1210" t="s">
        <v>368</v>
      </c>
      <c r="W71" s="1264" t="s">
        <v>199</v>
      </c>
      <c r="X71" s="1376">
        <v>25071.278999999999</v>
      </c>
      <c r="Y71" s="1202" t="s">
        <v>200</v>
      </c>
      <c r="Z71" s="1202">
        <v>1</v>
      </c>
      <c r="AA71" s="1202">
        <v>1</v>
      </c>
      <c r="AB71" s="1067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773</v>
      </c>
      <c r="S72" s="1308">
        <v>3331565980</v>
      </c>
      <c r="T72" s="1209" t="s">
        <v>287</v>
      </c>
      <c r="U72" s="1201">
        <v>24142155</v>
      </c>
      <c r="V72" s="1210" t="s">
        <v>368</v>
      </c>
      <c r="W72" s="1264" t="s">
        <v>199</v>
      </c>
      <c r="X72" s="1376">
        <v>24291.861000000001</v>
      </c>
      <c r="Y72" s="1202" t="s">
        <v>200</v>
      </c>
      <c r="Z72" s="1202">
        <v>1</v>
      </c>
      <c r="AA72" s="1202">
        <v>1</v>
      </c>
      <c r="AB72" s="1067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773</v>
      </c>
      <c r="S73" s="1308">
        <v>3331565982</v>
      </c>
      <c r="T73" s="1209" t="s">
        <v>117</v>
      </c>
      <c r="U73" s="1201">
        <v>24142156</v>
      </c>
      <c r="V73" s="1210" t="s">
        <v>519</v>
      </c>
      <c r="W73" s="1264" t="s">
        <v>199</v>
      </c>
      <c r="X73" s="1376">
        <v>24681.57</v>
      </c>
      <c r="Y73" s="1202" t="s">
        <v>200</v>
      </c>
      <c r="Z73" s="1202">
        <v>1</v>
      </c>
      <c r="AA73" s="1202">
        <v>1</v>
      </c>
      <c r="AB73" s="1067" t="s">
        <v>204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20" t="s">
        <v>773</v>
      </c>
      <c r="S74" s="1308">
        <v>3331565983</v>
      </c>
      <c r="T74" s="1183" t="s">
        <v>27</v>
      </c>
      <c r="U74" s="1189">
        <v>24142157</v>
      </c>
      <c r="V74" s="1192" t="s">
        <v>368</v>
      </c>
      <c r="W74" s="1294" t="s">
        <v>199</v>
      </c>
      <c r="X74" s="1371">
        <v>24681.57</v>
      </c>
      <c r="Y74" s="1190" t="s">
        <v>200</v>
      </c>
      <c r="Z74" s="1190">
        <v>1</v>
      </c>
      <c r="AA74" s="1190">
        <v>1</v>
      </c>
      <c r="AB74" s="1099" t="s">
        <v>207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01" t="s">
        <v>773</v>
      </c>
      <c r="S75" s="1210">
        <v>3331565966</v>
      </c>
      <c r="T75" s="1209" t="s">
        <v>34</v>
      </c>
      <c r="U75" s="1201">
        <v>24142158</v>
      </c>
      <c r="V75" s="1202" t="s">
        <v>158</v>
      </c>
      <c r="W75" s="1264" t="s">
        <v>199</v>
      </c>
      <c r="X75" s="1203">
        <v>25717.886999999999</v>
      </c>
      <c r="Y75" s="1202" t="s">
        <v>200</v>
      </c>
      <c r="Z75" s="1202">
        <v>1</v>
      </c>
      <c r="AA75" s="1202">
        <v>1</v>
      </c>
      <c r="AB75" s="1067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01" t="s">
        <v>773</v>
      </c>
      <c r="S76" s="1210">
        <v>3331565967</v>
      </c>
      <c r="T76" s="1209" t="s">
        <v>34</v>
      </c>
      <c r="U76" s="1201">
        <v>24142159</v>
      </c>
      <c r="V76" s="1202" t="s">
        <v>158</v>
      </c>
      <c r="W76" s="1264" t="s">
        <v>199</v>
      </c>
      <c r="X76" s="1203">
        <v>24814.75</v>
      </c>
      <c r="Y76" s="1202" t="s">
        <v>200</v>
      </c>
      <c r="Z76" s="1202">
        <v>1</v>
      </c>
      <c r="AA76" s="1202">
        <v>1</v>
      </c>
      <c r="AB76" s="1067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01" t="s">
        <v>773</v>
      </c>
      <c r="S77" s="1210">
        <v>3331565968</v>
      </c>
      <c r="T77" s="1209" t="s">
        <v>11</v>
      </c>
      <c r="U77" s="1201">
        <v>24142160</v>
      </c>
      <c r="V77" s="1202" t="s">
        <v>158</v>
      </c>
      <c r="W77" s="1264" t="s">
        <v>199</v>
      </c>
      <c r="X77" s="1203">
        <f>18320.77+8344.77</f>
        <v>26665.54</v>
      </c>
      <c r="Y77" s="1202" t="s">
        <v>200</v>
      </c>
      <c r="Z77" s="1202">
        <v>1</v>
      </c>
      <c r="AA77" s="1202">
        <v>1</v>
      </c>
      <c r="AB77" s="1067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01" t="s">
        <v>773</v>
      </c>
      <c r="S78" s="1210">
        <v>3331565970</v>
      </c>
      <c r="T78" s="1202" t="s">
        <v>256</v>
      </c>
      <c r="U78" s="1201" t="s">
        <v>256</v>
      </c>
      <c r="V78" s="1202" t="s">
        <v>256</v>
      </c>
      <c r="W78" s="1202" t="s">
        <v>256</v>
      </c>
      <c r="X78" s="1203" t="s">
        <v>256</v>
      </c>
      <c r="Y78" s="1202" t="s">
        <v>256</v>
      </c>
      <c r="Z78" s="1202"/>
      <c r="AA78" s="1202"/>
      <c r="AB78" s="1208"/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189" t="s">
        <v>773</v>
      </c>
      <c r="S79" s="1192">
        <v>3331565971</v>
      </c>
      <c r="T79" s="1183" t="s">
        <v>189</v>
      </c>
      <c r="U79" s="1189">
        <v>24142161</v>
      </c>
      <c r="V79" s="1190" t="s">
        <v>158</v>
      </c>
      <c r="W79" s="1294" t="s">
        <v>199</v>
      </c>
      <c r="X79" s="1191">
        <v>26826.75</v>
      </c>
      <c r="Y79" s="1190" t="s">
        <v>200</v>
      </c>
      <c r="Z79" s="1190">
        <v>1</v>
      </c>
      <c r="AA79" s="1190">
        <v>1</v>
      </c>
      <c r="AB79" s="1099" t="s">
        <v>207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01" t="s">
        <v>773</v>
      </c>
      <c r="S80" s="1202">
        <v>3331565973</v>
      </c>
      <c r="T80" s="1209" t="s">
        <v>287</v>
      </c>
      <c r="U80" s="1202">
        <v>24142162</v>
      </c>
      <c r="V80" s="1202" t="s">
        <v>150</v>
      </c>
      <c r="W80" s="1264" t="s">
        <v>199</v>
      </c>
      <c r="X80" s="1203">
        <v>25268.205000000002</v>
      </c>
      <c r="Y80" s="1202" t="s">
        <v>200</v>
      </c>
      <c r="Z80" s="1202">
        <v>1</v>
      </c>
      <c r="AA80" s="1202">
        <v>1</v>
      </c>
      <c r="AB80" s="1067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01" t="s">
        <v>773</v>
      </c>
      <c r="S81" s="1202">
        <v>3331565986</v>
      </c>
      <c r="T81" s="1209" t="s">
        <v>27</v>
      </c>
      <c r="U81" s="1202">
        <v>24142163</v>
      </c>
      <c r="V81" s="1202" t="s">
        <v>150</v>
      </c>
      <c r="W81" s="1264" t="s">
        <v>199</v>
      </c>
      <c r="X81" s="1203">
        <v>25750.079000000002</v>
      </c>
      <c r="Y81" s="1202" t="s">
        <v>200</v>
      </c>
      <c r="Z81" s="1202">
        <v>1</v>
      </c>
      <c r="AA81" s="1202">
        <v>1</v>
      </c>
      <c r="AB81" s="1067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01" t="s">
        <v>773</v>
      </c>
      <c r="S82" s="1202">
        <v>3331565987</v>
      </c>
      <c r="T82" s="1209" t="s">
        <v>27</v>
      </c>
      <c r="U82" s="1202">
        <v>24142164</v>
      </c>
      <c r="V82" s="1202" t="s">
        <v>150</v>
      </c>
      <c r="W82" s="1264" t="s">
        <v>199</v>
      </c>
      <c r="X82" s="1203">
        <v>25746.307000000001</v>
      </c>
      <c r="Y82" s="1202" t="s">
        <v>200</v>
      </c>
      <c r="Z82" s="1202">
        <v>1</v>
      </c>
      <c r="AA82" s="1202">
        <v>1</v>
      </c>
      <c r="AB82" s="1067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01" t="s">
        <v>773</v>
      </c>
      <c r="S83" s="1202">
        <v>3331566022</v>
      </c>
      <c r="T83" s="1209" t="s">
        <v>287</v>
      </c>
      <c r="U83" s="1202">
        <v>24142166</v>
      </c>
      <c r="V83" s="1227" t="s">
        <v>676</v>
      </c>
      <c r="W83" s="1264" t="s">
        <v>199</v>
      </c>
      <c r="X83" s="1203">
        <v>26707.037</v>
      </c>
      <c r="Y83" s="1202" t="s">
        <v>200</v>
      </c>
      <c r="Z83" s="1202">
        <v>1</v>
      </c>
      <c r="AA83" s="1202">
        <v>1</v>
      </c>
      <c r="AB83" s="1067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01" t="s">
        <v>773</v>
      </c>
      <c r="S84" s="1202">
        <v>3331566024</v>
      </c>
      <c r="T84" s="1209" t="s">
        <v>137</v>
      </c>
      <c r="U84" s="1202">
        <v>24142167</v>
      </c>
      <c r="V84" s="1227" t="s">
        <v>676</v>
      </c>
      <c r="W84" s="1264" t="s">
        <v>199</v>
      </c>
      <c r="X84" s="1203">
        <v>25680.741999999998</v>
      </c>
      <c r="Y84" s="1202" t="s">
        <v>200</v>
      </c>
      <c r="Z84" s="1202">
        <v>1</v>
      </c>
      <c r="AA84" s="1202">
        <v>1</v>
      </c>
      <c r="AB84" s="1067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01" t="s">
        <v>773</v>
      </c>
      <c r="S85" s="1202">
        <v>3331566041</v>
      </c>
      <c r="T85" s="1209" t="s">
        <v>34</v>
      </c>
      <c r="U85" s="1202">
        <v>24142172</v>
      </c>
      <c r="V85" s="1202" t="s">
        <v>779</v>
      </c>
      <c r="W85" s="1264" t="s">
        <v>199</v>
      </c>
      <c r="X85" s="1203">
        <v>25013.800999999999</v>
      </c>
      <c r="Y85" s="1202" t="s">
        <v>200</v>
      </c>
      <c r="Z85" s="1202">
        <v>1</v>
      </c>
      <c r="AA85" s="1202">
        <v>1</v>
      </c>
      <c r="AB85" s="1067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189" t="s">
        <v>773</v>
      </c>
      <c r="S86" s="1202">
        <v>3331566056</v>
      </c>
      <c r="T86" s="1183" t="s">
        <v>27</v>
      </c>
      <c r="U86" s="1190">
        <v>24142173</v>
      </c>
      <c r="V86" s="1190" t="s">
        <v>779</v>
      </c>
      <c r="W86" s="1294" t="s">
        <v>199</v>
      </c>
      <c r="X86" s="1191">
        <v>26129.566999999999</v>
      </c>
      <c r="Y86" s="1190" t="s">
        <v>200</v>
      </c>
      <c r="Z86" s="1190">
        <v>1</v>
      </c>
      <c r="AA86" s="1190">
        <v>1</v>
      </c>
      <c r="AB86" s="1099" t="s">
        <v>207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189" t="s">
        <v>773</v>
      </c>
      <c r="S87" s="1202">
        <v>3331566062</v>
      </c>
      <c r="T87" s="1183" t="s">
        <v>115</v>
      </c>
      <c r="U87" s="1190">
        <v>24142176</v>
      </c>
      <c r="V87" s="1190" t="s">
        <v>779</v>
      </c>
      <c r="W87" s="1294" t="s">
        <v>199</v>
      </c>
      <c r="X87" s="1191">
        <v>26397.115000000002</v>
      </c>
      <c r="Y87" s="1190" t="s">
        <v>200</v>
      </c>
      <c r="Z87" s="1190">
        <v>1</v>
      </c>
      <c r="AA87" s="1190">
        <v>1</v>
      </c>
      <c r="AB87" s="1099" t="s">
        <v>207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01" t="s">
        <v>773</v>
      </c>
      <c r="S88" s="1202">
        <v>3331566105</v>
      </c>
      <c r="T88" s="1209" t="s">
        <v>34</v>
      </c>
      <c r="U88" s="1202">
        <v>24142178</v>
      </c>
      <c r="V88" s="1202" t="s">
        <v>817</v>
      </c>
      <c r="W88" s="1264" t="s">
        <v>199</v>
      </c>
      <c r="X88" s="1203">
        <v>23787.466</v>
      </c>
      <c r="Y88" s="1202" t="s">
        <v>200</v>
      </c>
      <c r="Z88" s="1202">
        <v>1</v>
      </c>
      <c r="AA88" s="1202">
        <v>1</v>
      </c>
      <c r="AB88" s="1067" t="s">
        <v>204</v>
      </c>
      <c r="AC88" s="1271" t="s">
        <v>422</v>
      </c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01" t="s">
        <v>773</v>
      </c>
      <c r="S89" s="1202">
        <v>3331566130</v>
      </c>
      <c r="T89" s="1209" t="s">
        <v>27</v>
      </c>
      <c r="U89" s="1202">
        <v>24142184</v>
      </c>
      <c r="V89" s="1202" t="s">
        <v>572</v>
      </c>
      <c r="W89" s="1264" t="s">
        <v>199</v>
      </c>
      <c r="X89" s="1203">
        <f>11368.806+12038.313</f>
        <v>23407.118999999999</v>
      </c>
      <c r="Y89" s="1202" t="s">
        <v>200</v>
      </c>
      <c r="Z89" s="1202">
        <v>1</v>
      </c>
      <c r="AA89" s="1202">
        <v>1</v>
      </c>
      <c r="AB89" s="1067" t="s">
        <v>204</v>
      </c>
      <c r="AC89" s="1271" t="s">
        <v>422</v>
      </c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01" t="s">
        <v>773</v>
      </c>
      <c r="S90" s="1202">
        <v>3331566135</v>
      </c>
      <c r="T90" s="1202" t="s">
        <v>256</v>
      </c>
      <c r="U90" s="1202" t="s">
        <v>256</v>
      </c>
      <c r="V90" s="1202" t="s">
        <v>256</v>
      </c>
      <c r="W90" s="1261" t="s">
        <v>256</v>
      </c>
      <c r="X90" s="1203" t="s">
        <v>256</v>
      </c>
      <c r="Y90" s="1202" t="s">
        <v>256</v>
      </c>
      <c r="Z90" s="1202" t="s">
        <v>256</v>
      </c>
      <c r="AA90" s="1202" t="s">
        <v>256</v>
      </c>
      <c r="AB90" s="1208" t="s">
        <v>256</v>
      </c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189" t="s">
        <v>773</v>
      </c>
      <c r="S91" s="1190">
        <v>3331566141</v>
      </c>
      <c r="T91" s="1217" t="s">
        <v>11</v>
      </c>
      <c r="U91" s="1190">
        <v>24142192</v>
      </c>
      <c r="V91" s="1190" t="s">
        <v>676</v>
      </c>
      <c r="W91" s="1294" t="s">
        <v>199</v>
      </c>
      <c r="X91" s="1191">
        <v>25520.851999999999</v>
      </c>
      <c r="Y91" s="1190" t="s">
        <v>200</v>
      </c>
      <c r="Z91" s="1190">
        <v>1</v>
      </c>
      <c r="AA91" s="1190">
        <v>1</v>
      </c>
      <c r="AB91" s="1099" t="s">
        <v>207</v>
      </c>
      <c r="AC91" s="1271" t="s">
        <v>422</v>
      </c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20" t="s">
        <v>773</v>
      </c>
      <c r="S92" s="1217">
        <v>3331566063</v>
      </c>
      <c r="T92" s="1294" t="s">
        <v>439</v>
      </c>
      <c r="U92" s="1190">
        <v>24142199</v>
      </c>
      <c r="V92" s="1190" t="s">
        <v>440</v>
      </c>
      <c r="W92" s="1294" t="s">
        <v>434</v>
      </c>
      <c r="X92" s="1191">
        <v>36000</v>
      </c>
      <c r="Y92" s="1190" t="s">
        <v>128</v>
      </c>
      <c r="Z92" s="1190">
        <v>1</v>
      </c>
      <c r="AA92" s="1190">
        <v>1</v>
      </c>
      <c r="AB92" s="1200" t="s">
        <v>207</v>
      </c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20" t="s">
        <v>773</v>
      </c>
      <c r="S93" s="1217">
        <v>3331566066</v>
      </c>
      <c r="T93" s="1294" t="s">
        <v>439</v>
      </c>
      <c r="U93" s="1190">
        <v>24142201</v>
      </c>
      <c r="V93" s="1190" t="s">
        <v>804</v>
      </c>
      <c r="W93" s="1294" t="s">
        <v>434</v>
      </c>
      <c r="X93" s="1191">
        <v>37000</v>
      </c>
      <c r="Y93" s="1190" t="s">
        <v>128</v>
      </c>
      <c r="Z93" s="1190">
        <v>1</v>
      </c>
      <c r="AA93" s="1190">
        <v>1</v>
      </c>
      <c r="AB93" s="1200" t="s">
        <v>207</v>
      </c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20" t="s">
        <v>773</v>
      </c>
      <c r="S94" s="1217">
        <v>3331566069</v>
      </c>
      <c r="T94" s="1294" t="s">
        <v>256</v>
      </c>
      <c r="U94" s="1190" t="s">
        <v>256</v>
      </c>
      <c r="V94" s="1190" t="s">
        <v>804</v>
      </c>
      <c r="W94" s="1294" t="s">
        <v>256</v>
      </c>
      <c r="X94" s="1191" t="s">
        <v>256</v>
      </c>
      <c r="Y94" s="1190" t="s">
        <v>256</v>
      </c>
      <c r="Z94" s="1190" t="s">
        <v>256</v>
      </c>
      <c r="AA94" s="1190" t="s">
        <v>256</v>
      </c>
      <c r="AB94" s="1200" t="s">
        <v>256</v>
      </c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20" t="s">
        <v>773</v>
      </c>
      <c r="S95" s="1217">
        <v>3331566173</v>
      </c>
      <c r="T95" s="1294" t="s">
        <v>256</v>
      </c>
      <c r="U95" s="1190" t="s">
        <v>256</v>
      </c>
      <c r="V95" s="1190" t="s">
        <v>804</v>
      </c>
      <c r="W95" s="1294" t="s">
        <v>256</v>
      </c>
      <c r="X95" s="1191" t="s">
        <v>256</v>
      </c>
      <c r="Y95" s="1190" t="s">
        <v>256</v>
      </c>
      <c r="Z95" s="1190" t="s">
        <v>256</v>
      </c>
      <c r="AA95" s="1190" t="s">
        <v>256</v>
      </c>
      <c r="AB95" s="1200" t="s">
        <v>256</v>
      </c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20"/>
      <c r="S96" s="1217"/>
      <c r="T96" s="1183"/>
      <c r="U96" s="1190"/>
      <c r="V96" s="1190"/>
      <c r="W96" s="1293"/>
      <c r="X96" s="1191"/>
      <c r="Y96" s="1190"/>
      <c r="Z96" s="1190"/>
      <c r="AA96" s="1190"/>
      <c r="AB96" s="1200"/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20"/>
      <c r="S97" s="1217"/>
      <c r="T97" s="1183"/>
      <c r="U97" s="1190"/>
      <c r="V97" s="1190"/>
      <c r="W97" s="1293"/>
      <c r="X97" s="1191"/>
      <c r="Y97" s="1190"/>
      <c r="Z97" s="1190"/>
      <c r="AA97" s="1190"/>
      <c r="AB97" s="1200"/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20"/>
      <c r="S98" s="1217"/>
      <c r="T98" s="1294"/>
      <c r="U98" s="1190"/>
      <c r="V98" s="1190"/>
      <c r="W98" s="1190"/>
      <c r="X98" s="1191"/>
      <c r="Y98" s="1190"/>
      <c r="Z98" s="1190"/>
      <c r="AA98" s="1190"/>
      <c r="AB98" s="1200"/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20"/>
      <c r="S99" s="1217"/>
      <c r="T99" s="1183"/>
      <c r="U99" s="1190"/>
      <c r="V99" s="1190"/>
      <c r="W99" s="1190"/>
      <c r="X99" s="1191"/>
      <c r="Y99" s="1190"/>
      <c r="Z99" s="1190"/>
      <c r="AA99" s="1190"/>
      <c r="AB99" s="1200"/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20"/>
      <c r="S100" s="1217"/>
      <c r="T100" s="1294"/>
      <c r="U100" s="1190"/>
      <c r="V100" s="1190"/>
      <c r="W100" s="1190"/>
      <c r="X100" s="1191"/>
      <c r="Y100" s="1190"/>
      <c r="Z100" s="1190"/>
      <c r="AA100" s="1190"/>
      <c r="AB100" s="1200"/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20"/>
      <c r="S101" s="1217"/>
      <c r="T101" s="1183"/>
      <c r="U101" s="1190"/>
      <c r="V101" s="1190"/>
      <c r="W101" s="1190"/>
      <c r="X101" s="1191"/>
      <c r="Y101" s="1190"/>
      <c r="Z101" s="1190"/>
      <c r="AA101" s="1190"/>
      <c r="AB101" s="1200"/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217"/>
      <c r="U102" s="1190"/>
      <c r="V102" s="1190"/>
      <c r="W102" s="1190"/>
      <c r="X102" s="1191"/>
      <c r="Y102" s="1190"/>
      <c r="Z102" s="1190"/>
      <c r="AA102" s="1190"/>
      <c r="AB102" s="1200"/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20"/>
      <c r="S103" s="1217"/>
      <c r="T103" s="1217"/>
      <c r="U103" s="1190"/>
      <c r="V103" s="1190"/>
      <c r="W103" s="1190"/>
      <c r="X103" s="1191"/>
      <c r="Y103" s="1190"/>
      <c r="Z103" s="1190"/>
      <c r="AA103" s="1190"/>
      <c r="AB103" s="1200"/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190"/>
      <c r="AA104" s="1190"/>
      <c r="AB104" s="1200"/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20"/>
      <c r="S105" s="1217"/>
      <c r="T105" s="1217"/>
      <c r="U105" s="1190"/>
      <c r="V105" s="1190"/>
      <c r="W105" s="1190"/>
      <c r="X105" s="1191"/>
      <c r="Y105" s="1190"/>
      <c r="Z105" s="1190"/>
      <c r="AA105" s="1190"/>
      <c r="AB105" s="1200"/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20"/>
      <c r="S106" s="1217"/>
      <c r="T106" s="1217"/>
      <c r="U106" s="1190"/>
      <c r="V106" s="1190"/>
      <c r="W106" s="1190"/>
      <c r="X106" s="1191"/>
      <c r="Y106" s="1190"/>
      <c r="Z106" s="1190"/>
      <c r="AA106" s="1190"/>
      <c r="AB106" s="1200"/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20"/>
      <c r="S107" s="1217"/>
      <c r="T107" s="1217"/>
      <c r="U107" s="1190"/>
      <c r="V107" s="1190"/>
      <c r="W107" s="1190"/>
      <c r="X107" s="1191"/>
      <c r="Y107" s="1190"/>
      <c r="Z107" s="1190"/>
      <c r="AA107" s="1190"/>
      <c r="AB107" s="1200"/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20"/>
      <c r="S108" s="1217"/>
      <c r="T108" s="1217"/>
      <c r="U108" s="1190"/>
      <c r="V108" s="1190"/>
      <c r="W108" s="1190"/>
      <c r="X108" s="1191"/>
      <c r="Y108" s="1190"/>
      <c r="Z108" s="1190"/>
      <c r="AA108" s="1190"/>
      <c r="AB108" s="1200"/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217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183"/>
      <c r="T110" s="1217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217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20"/>
      <c r="S114" s="1217"/>
      <c r="T114" s="1217"/>
      <c r="U114" s="1190"/>
      <c r="V114" s="1190"/>
      <c r="W114" s="1190"/>
      <c r="X114" s="1191"/>
      <c r="Y114" s="1190"/>
      <c r="Z114" s="1190"/>
      <c r="AA114" s="1190"/>
      <c r="AB114" s="1200"/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20"/>
      <c r="S115" s="1217"/>
      <c r="T115" s="1217"/>
      <c r="U115" s="1190"/>
      <c r="V115" s="1190"/>
      <c r="W115" s="1190"/>
      <c r="X115" s="1191"/>
      <c r="Y115" s="1190"/>
      <c r="Z115" s="1190"/>
      <c r="AA115" s="1190"/>
      <c r="AB115" s="1200"/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20"/>
      <c r="S116" s="1217"/>
      <c r="T116" s="1217"/>
      <c r="U116" s="1190"/>
      <c r="V116" s="1190"/>
      <c r="W116" s="1190"/>
      <c r="X116" s="1191"/>
      <c r="Y116" s="1190"/>
      <c r="Z116" s="1190"/>
      <c r="AA116" s="1190"/>
      <c r="AB116" s="1200"/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190"/>
      <c r="V117" s="1190"/>
      <c r="W117" s="1190"/>
      <c r="X117" s="1191"/>
      <c r="Y117" s="1190"/>
      <c r="Z117" s="1190"/>
      <c r="AA117" s="1190"/>
      <c r="AB117" s="1200"/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190"/>
      <c r="V118" s="1190"/>
      <c r="W118" s="1190"/>
      <c r="X118" s="1191"/>
      <c r="Y118" s="1190"/>
      <c r="Z118" s="1190"/>
      <c r="AA118" s="1190"/>
      <c r="AB118" s="1200"/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183"/>
      <c r="U119" s="1190"/>
      <c r="V119" s="1190"/>
      <c r="W119" s="1190"/>
      <c r="X119" s="1191"/>
      <c r="Y119" s="1190"/>
      <c r="Z119" s="1190"/>
      <c r="AA119" s="1190"/>
      <c r="AB119" s="1200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183"/>
      <c r="U120" s="1190"/>
      <c r="V120" s="1190"/>
      <c r="W120" s="1190"/>
      <c r="X120" s="1191"/>
      <c r="Y120" s="1190"/>
      <c r="Z120" s="1190"/>
      <c r="AA120" s="1190"/>
      <c r="AB120" s="1200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183"/>
      <c r="U121" s="1190"/>
      <c r="V121" s="1190"/>
      <c r="W121" s="1190"/>
      <c r="X121" s="1191"/>
      <c r="Y121" s="1190"/>
      <c r="Z121" s="1190"/>
      <c r="AA121" s="1190"/>
      <c r="AB121" s="1200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183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20"/>
      <c r="S123" s="1217"/>
      <c r="T123" s="1217"/>
      <c r="U123" s="1190"/>
      <c r="V123" s="1190"/>
      <c r="W123" s="1190"/>
      <c r="X123" s="1191"/>
      <c r="Y123" s="1190"/>
      <c r="Z123" s="1190"/>
      <c r="AA123" s="1190"/>
      <c r="AB123" s="1200"/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20"/>
      <c r="S124" s="1217"/>
      <c r="T124" s="1217"/>
      <c r="U124" s="1190"/>
      <c r="V124" s="1190"/>
      <c r="W124" s="1190"/>
      <c r="X124" s="1191"/>
      <c r="Y124" s="1190"/>
      <c r="Z124" s="1190"/>
      <c r="AA124" s="1190"/>
      <c r="AB124" s="1200"/>
      <c r="AC124" s="1271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20"/>
      <c r="S125" s="1217"/>
      <c r="T125" s="1217"/>
      <c r="U125" s="1190"/>
      <c r="V125" s="1190"/>
      <c r="W125" s="1190"/>
      <c r="X125" s="1191"/>
      <c r="Y125" s="1190"/>
      <c r="Z125" s="1190"/>
      <c r="AA125" s="1190"/>
      <c r="AB125" s="1200"/>
      <c r="AC125" s="1271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190"/>
      <c r="S126" s="1190"/>
      <c r="T126" s="1217"/>
      <c r="U126" s="1190"/>
      <c r="V126" s="1224"/>
      <c r="W126" s="1293"/>
      <c r="X126" s="1191"/>
      <c r="Y126" s="1190"/>
      <c r="Z126" s="1217"/>
      <c r="AA126" s="1217"/>
      <c r="AB126" s="1218"/>
      <c r="AC126" s="1217"/>
      <c r="AD126" s="1326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217"/>
      <c r="S127" s="1217"/>
      <c r="T127" s="1217"/>
      <c r="U127" s="1294"/>
      <c r="V127" s="1224"/>
      <c r="W127" s="1293"/>
      <c r="X127" s="1191"/>
      <c r="Y127" s="1294"/>
      <c r="Z127" s="1294"/>
      <c r="AA127" s="1294"/>
      <c r="AB127" s="1294"/>
      <c r="AC127" s="1217"/>
      <c r="AD127" s="13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294"/>
      <c r="V128" s="1224"/>
      <c r="W128" s="1293"/>
      <c r="X128" s="1191"/>
      <c r="Y128" s="1294"/>
      <c r="Z128" s="1294"/>
      <c r="AA128" s="1294"/>
      <c r="AB128" s="1294"/>
      <c r="AC128" s="1270"/>
      <c r="AD128" s="1293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20"/>
      <c r="S129" s="1217"/>
      <c r="T129" s="1217"/>
      <c r="U129" s="1294"/>
      <c r="V129" s="1294"/>
      <c r="W129" s="1294"/>
      <c r="X129" s="1295"/>
      <c r="Y129" s="1294"/>
      <c r="Z129" s="1294"/>
      <c r="AA129" s="1294"/>
      <c r="AB129" s="1294"/>
      <c r="AC129" s="1270"/>
      <c r="AD129" s="1293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4"/>
      <c r="X130" s="1295"/>
      <c r="Y130" s="1294"/>
      <c r="Z130" s="1293"/>
      <c r="AA130" s="1293"/>
      <c r="AB130" s="1352"/>
      <c r="AC130" s="1270"/>
      <c r="AD130" s="1293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94"/>
      <c r="W131" s="1293"/>
      <c r="X131" s="1191"/>
      <c r="Y131" s="1294"/>
      <c r="Z131" s="1190"/>
      <c r="AA131" s="1190"/>
      <c r="AB131" s="1200"/>
      <c r="AC131" s="1271"/>
      <c r="AD131" s="81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94"/>
      <c r="W132" s="1293"/>
      <c r="X132" s="1191"/>
      <c r="Y132" s="1294"/>
      <c r="Z132" s="1190"/>
      <c r="AA132" s="1190"/>
      <c r="AB132" s="1200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17"/>
      <c r="W133" s="1294"/>
      <c r="X133" s="1191"/>
      <c r="Y133" s="1294"/>
      <c r="Z133" s="1190"/>
      <c r="AA133" s="1190"/>
      <c r="AB133" s="1200"/>
      <c r="AC133" s="1271"/>
      <c r="AD133" s="81"/>
    </row>
    <row r="134" spans="1:30" s="44" customFormat="1" ht="15.6"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5.6"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5.6"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5.6">
      <c r="R137" s="1220"/>
      <c r="S137" s="1217"/>
      <c r="T137" s="1217"/>
      <c r="U137" s="1294"/>
      <c r="V137" s="1217"/>
      <c r="W137" s="1294"/>
      <c r="X137" s="1191"/>
      <c r="Y137" s="1294"/>
      <c r="Z137" s="1190"/>
      <c r="AA137" s="1190"/>
      <c r="AB137" s="1200"/>
      <c r="AC137" s="1271"/>
      <c r="AD137" s="81"/>
    </row>
    <row r="138" spans="1:30" s="44" customFormat="1" ht="15.6">
      <c r="R138" s="1220"/>
      <c r="S138" s="1217"/>
      <c r="T138" s="1217"/>
      <c r="U138" s="1294"/>
      <c r="V138" s="1217"/>
      <c r="W138" s="1294"/>
      <c r="X138" s="1191"/>
      <c r="Y138" s="1294"/>
      <c r="Z138" s="1190"/>
      <c r="AA138" s="1190"/>
      <c r="AB138" s="1200"/>
      <c r="AC138" s="1271"/>
      <c r="AD138" s="81"/>
    </row>
    <row r="139" spans="1:30" s="44" customFormat="1">
      <c r="R139" s="1220"/>
      <c r="S139" s="1217"/>
      <c r="T139" s="1217"/>
      <c r="U139" s="1294"/>
      <c r="V139" s="1217"/>
      <c r="W139" s="1294"/>
      <c r="X139" s="1191"/>
      <c r="Y139" s="1294"/>
      <c r="Z139" s="1294"/>
      <c r="AA139" s="1294"/>
      <c r="AB139" s="1294"/>
      <c r="AC139" s="1271"/>
      <c r="AD139" s="81"/>
    </row>
    <row r="140" spans="1:30" s="44" customFormat="1">
      <c r="R140" s="1220"/>
      <c r="S140" s="1217"/>
      <c r="T140" s="1217"/>
      <c r="U140" s="1294"/>
      <c r="V140" s="1217"/>
      <c r="W140" s="1294"/>
      <c r="X140" s="1191"/>
      <c r="Y140" s="1294"/>
      <c r="Z140" s="1294"/>
      <c r="AA140" s="1294"/>
      <c r="AB140" s="1294"/>
      <c r="AC140" s="1271"/>
      <c r="AD140" s="81"/>
    </row>
    <row r="141" spans="1:30" s="44" customFormat="1" ht="15.6">
      <c r="R141" s="1220"/>
      <c r="S141" s="1217"/>
      <c r="T141" s="1217"/>
      <c r="U141" s="1294"/>
      <c r="V141" s="1217"/>
      <c r="W141" s="1294"/>
      <c r="X141" s="1191"/>
      <c r="Y141" s="1294"/>
      <c r="Z141" s="1190"/>
      <c r="AA141" s="1190"/>
      <c r="AB141" s="1200"/>
      <c r="AC141" s="1271"/>
      <c r="AD141" s="81"/>
    </row>
    <row r="142" spans="1:30" s="44" customFormat="1" ht="15.6">
      <c r="R142" s="1220"/>
      <c r="S142" s="1217"/>
      <c r="T142" s="1217"/>
      <c r="U142" s="1294"/>
      <c r="V142" s="1217"/>
      <c r="W142" s="1293"/>
      <c r="X142" s="1191"/>
      <c r="Y142" s="1294"/>
      <c r="Z142" s="1190"/>
      <c r="AA142" s="1190"/>
      <c r="AB142" s="1200"/>
      <c r="AC142" s="1271"/>
      <c r="AD142" s="81"/>
    </row>
    <row r="143" spans="1:30" s="44" customFormat="1">
      <c r="R143" s="1220"/>
      <c r="S143" s="1217"/>
      <c r="T143" s="1217"/>
      <c r="U143" s="1294"/>
      <c r="V143" s="1217"/>
      <c r="W143" s="1293"/>
      <c r="X143" s="1191"/>
      <c r="Y143" s="1294"/>
      <c r="Z143" s="1294"/>
      <c r="AA143" s="1294"/>
      <c r="AB143" s="1294"/>
      <c r="AC143" s="1271"/>
      <c r="AD143" s="81"/>
    </row>
    <row r="144" spans="1:30" s="44" customFormat="1" ht="15.6">
      <c r="R144" s="1220"/>
      <c r="S144" s="1217"/>
      <c r="T144" s="1217"/>
      <c r="U144" s="1294"/>
      <c r="V144" s="1217"/>
      <c r="W144" s="1293"/>
      <c r="X144" s="1191"/>
      <c r="Y144" s="1294"/>
      <c r="Z144" s="1190"/>
      <c r="AA144" s="1190"/>
      <c r="AB144" s="1200"/>
      <c r="AC144" s="1271"/>
      <c r="AD144" s="81"/>
    </row>
    <row r="145" spans="18:30" s="44" customFormat="1">
      <c r="R145" s="1220"/>
      <c r="S145" s="1217"/>
      <c r="T145" s="1217"/>
      <c r="U145" s="1294"/>
      <c r="V145" s="1217"/>
      <c r="W145" s="1293"/>
      <c r="X145" s="1191"/>
      <c r="Y145" s="1294"/>
      <c r="Z145" s="1294"/>
      <c r="AA145" s="1294"/>
      <c r="AB145" s="1294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>
      <c r="R148" s="1220"/>
      <c r="S148" s="1217"/>
      <c r="T148" s="1217"/>
      <c r="U148" s="1294"/>
      <c r="V148" s="1217"/>
      <c r="W148" s="1293"/>
      <c r="X148" s="1191"/>
      <c r="Y148" s="1294"/>
      <c r="Z148" s="1294"/>
      <c r="AA148" s="1294"/>
      <c r="AB148" s="1294"/>
      <c r="AC148" s="1271"/>
      <c r="AD148" s="81"/>
    </row>
    <row r="149" spans="18:30" s="44" customFormat="1">
      <c r="R149" s="1220"/>
      <c r="S149" s="1217"/>
      <c r="T149" s="1217"/>
      <c r="U149" s="1294"/>
      <c r="V149" s="1217"/>
      <c r="W149" s="1293"/>
      <c r="X149" s="1191"/>
      <c r="Y149" s="1294"/>
      <c r="Z149" s="1294"/>
      <c r="AA149" s="1294"/>
      <c r="AB149" s="1294"/>
      <c r="AC149" s="1271"/>
      <c r="AD149" s="81"/>
    </row>
    <row r="150" spans="18:30" s="44" customFormat="1" ht="15.6">
      <c r="R150" s="1220"/>
      <c r="S150" s="1217"/>
      <c r="T150" s="1217"/>
      <c r="U150" s="1217"/>
      <c r="V150" s="1217"/>
      <c r="W150" s="1293"/>
      <c r="X150" s="1296"/>
      <c r="Y150" s="1294"/>
      <c r="Z150" s="1294"/>
      <c r="AA150" s="1294"/>
      <c r="AB150" s="1099"/>
      <c r="AC150" s="1217"/>
      <c r="AD150" s="1326"/>
    </row>
    <row r="151" spans="18:30" s="44" customFormat="1">
      <c r="R151" s="1189"/>
      <c r="S151" s="1190"/>
      <c r="T151" s="1217"/>
      <c r="U151" s="1190"/>
      <c r="V151" s="1217"/>
      <c r="W151" s="1293"/>
      <c r="X151" s="1325"/>
      <c r="Y151" s="1294"/>
      <c r="Z151" s="1190"/>
      <c r="AA151" s="1190"/>
      <c r="AB151" s="1190"/>
      <c r="AC151" s="1217"/>
      <c r="AD151" s="1326"/>
    </row>
    <row r="152" spans="18:30" s="44" customFormat="1">
      <c r="R152" s="1220"/>
      <c r="S152" s="1217"/>
      <c r="T152" s="1217"/>
      <c r="U152" s="1190"/>
      <c r="V152" s="1190"/>
      <c r="W152" s="1190"/>
      <c r="X152" s="1325"/>
      <c r="Y152" s="1190"/>
      <c r="Z152" s="1190"/>
      <c r="AA152" s="1190"/>
      <c r="AB152" s="1190"/>
      <c r="AC152" s="1217"/>
      <c r="AD152" s="1326"/>
    </row>
    <row r="153" spans="18:30" s="44" customFormat="1">
      <c r="R153" s="1220"/>
      <c r="S153" s="1217"/>
      <c r="T153" s="1217"/>
      <c r="U153" s="1190"/>
      <c r="V153" s="1190"/>
      <c r="W153" s="1293"/>
      <c r="X153" s="1325"/>
      <c r="Y153" s="1294"/>
      <c r="Z153" s="1190"/>
      <c r="AA153" s="1190"/>
      <c r="AB153" s="1190"/>
      <c r="AC153" s="1217"/>
      <c r="AD153" s="1326"/>
    </row>
    <row r="154" spans="18:30" s="44" customFormat="1">
      <c r="R154" s="1190"/>
      <c r="S154" s="1190"/>
      <c r="T154" s="1217"/>
      <c r="U154" s="1293"/>
      <c r="V154" s="1190"/>
      <c r="W154" s="1293"/>
      <c r="X154" s="1191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90"/>
      <c r="S156" s="1293"/>
      <c r="T156" s="1217"/>
      <c r="U156" s="1190"/>
      <c r="V156" s="1190"/>
      <c r="W156" s="1293"/>
      <c r="X156" s="1191"/>
      <c r="Y156" s="1294"/>
      <c r="Z156" s="1190"/>
      <c r="AA156" s="1190"/>
      <c r="AB156" s="1190"/>
      <c r="AC156" s="1217"/>
      <c r="AD156" s="1326"/>
    </row>
    <row r="157" spans="18:30" s="44" customFormat="1">
      <c r="R157" s="1190"/>
      <c r="S157" s="1190"/>
      <c r="T157" s="1217"/>
      <c r="U157" s="1293"/>
      <c r="V157" s="1190"/>
      <c r="W157" s="1293"/>
      <c r="X157" s="1191"/>
      <c r="Y157" s="1294"/>
      <c r="Z157" s="1190"/>
      <c r="AA157" s="1190"/>
      <c r="AB157" s="1190"/>
      <c r="AC157" s="1217"/>
      <c r="AD157" s="1326"/>
    </row>
    <row r="158" spans="18:30" s="44" customFormat="1">
      <c r="R158" s="1189"/>
      <c r="S158" s="1224"/>
      <c r="T158" s="1217"/>
      <c r="U158" s="1224"/>
      <c r="V158" s="1190"/>
      <c r="W158" s="1293"/>
      <c r="X158" s="1225"/>
      <c r="Y158" s="1294"/>
      <c r="Z158" s="1190"/>
      <c r="AA158" s="1190"/>
      <c r="AB158" s="1190"/>
      <c r="AC158" s="1217"/>
      <c r="AD158" s="1326"/>
    </row>
    <row r="159" spans="18:30" s="44" customFormat="1" ht="15.6">
      <c r="R159" s="1189"/>
      <c r="S159" s="1359"/>
      <c r="T159" s="1217"/>
      <c r="U159" s="1224"/>
      <c r="V159" s="1217"/>
      <c r="W159" s="1224"/>
      <c r="X159" s="1225"/>
      <c r="Y159" s="1190"/>
      <c r="Z159" s="1190"/>
      <c r="AA159" s="1190"/>
      <c r="AB159" s="1241"/>
      <c r="AC159" s="1270"/>
      <c r="AD159" s="81"/>
    </row>
    <row r="160" spans="18:30" s="44" customFormat="1" ht="15.6">
      <c r="R160" s="1190"/>
      <c r="S160" s="1190"/>
      <c r="T160" s="1293"/>
      <c r="U160" s="1293"/>
      <c r="V160" s="1190"/>
      <c r="W160" s="1293"/>
      <c r="X160" s="1191"/>
      <c r="Y160" s="1190"/>
      <c r="Z160" s="1190"/>
      <c r="AA160" s="1190"/>
      <c r="AB160" s="1241"/>
      <c r="AC160" s="1217"/>
      <c r="AD160" s="1326"/>
    </row>
    <row r="161" spans="18:30" s="44" customFormat="1" ht="15.6">
      <c r="R161" s="1189"/>
      <c r="S161" s="1190"/>
      <c r="T161" s="1293"/>
      <c r="U161" s="1293"/>
      <c r="V161" s="1190"/>
      <c r="W161" s="1293"/>
      <c r="X161" s="1191"/>
      <c r="Y161" s="1190"/>
      <c r="Z161" s="1190"/>
      <c r="AA161" s="1190"/>
      <c r="AB161" s="1241"/>
      <c r="AC161" s="1271"/>
      <c r="AD161" s="81"/>
    </row>
    <row r="162" spans="18:30" s="44" customFormat="1" ht="15.6">
      <c r="R162" s="1339"/>
      <c r="S162" s="1339"/>
      <c r="T162" s="1190"/>
      <c r="U162" s="1293"/>
      <c r="V162" s="1190"/>
      <c r="W162" s="1293"/>
      <c r="X162" s="1191"/>
      <c r="Y162" s="1190"/>
      <c r="Z162" s="1190"/>
      <c r="AA162" s="1190"/>
      <c r="AB162" s="1110"/>
      <c r="AC162" s="1271"/>
      <c r="AD162" s="81"/>
    </row>
    <row r="163" spans="18:30" s="44" customFormat="1" ht="15.6">
      <c r="R163" s="1190"/>
      <c r="S163" s="1190"/>
      <c r="T163" s="1190"/>
      <c r="U163" s="1190"/>
      <c r="V163" s="1190"/>
      <c r="W163" s="1293"/>
      <c r="X163" s="1191"/>
      <c r="Y163" s="1190"/>
      <c r="Z163" s="1190"/>
      <c r="AA163" s="1190"/>
      <c r="AB163" s="1241"/>
      <c r="AC163" s="1271"/>
      <c r="AD163" s="81"/>
    </row>
    <row r="164" spans="18:30" s="44" customFormat="1" ht="15.6">
      <c r="R164" s="1189"/>
      <c r="S164" s="1190"/>
      <c r="T164" s="1190"/>
      <c r="U164" s="1190"/>
      <c r="V164" s="1190"/>
      <c r="W164" s="1293"/>
      <c r="X164" s="1191"/>
      <c r="Y164" s="1190"/>
      <c r="Z164" s="1190"/>
      <c r="AA164" s="1190"/>
      <c r="AB164" s="1241"/>
      <c r="AC164" s="1271"/>
      <c r="AD164" s="81"/>
    </row>
    <row r="165" spans="18:30" s="44" customFormat="1" ht="15.6">
      <c r="R165" s="1353"/>
      <c r="S165" s="1339"/>
      <c r="T165" s="1190"/>
      <c r="U165" s="1190"/>
      <c r="V165" s="1190"/>
      <c r="W165" s="1293"/>
      <c r="X165" s="1191"/>
      <c r="Y165" s="1190"/>
      <c r="Z165" s="1190"/>
      <c r="AA165" s="1190"/>
      <c r="AB165" s="1241"/>
      <c r="AC165" s="1217"/>
      <c r="AD165" s="81"/>
    </row>
    <row r="166" spans="18:30" s="44" customFormat="1" ht="15.6">
      <c r="R166" s="1190"/>
      <c r="S166" s="1224"/>
      <c r="T166" s="1190"/>
      <c r="U166" s="1224"/>
      <c r="V166" s="1224"/>
      <c r="W166" s="1293"/>
      <c r="X166" s="1225"/>
      <c r="Y166" s="1190"/>
      <c r="Z166" s="1190"/>
      <c r="AA166" s="1190"/>
      <c r="AB166" s="1241"/>
      <c r="AC166" s="1217"/>
      <c r="AD166" s="1326"/>
    </row>
    <row r="167" spans="18:30" s="44" customFormat="1" ht="15.6">
      <c r="R167" s="1189"/>
      <c r="S167" s="1224"/>
      <c r="T167" s="1294"/>
      <c r="U167" s="1224"/>
      <c r="V167" s="1224"/>
      <c r="W167" s="1293"/>
      <c r="X167" s="1225"/>
      <c r="Y167" s="1190"/>
      <c r="Z167" s="1190"/>
      <c r="AA167" s="1190"/>
      <c r="AB167" s="1241"/>
      <c r="AC167" s="1271"/>
      <c r="AD167" s="81"/>
    </row>
    <row r="168" spans="18:30" s="44" customFormat="1" ht="15.6">
      <c r="R168" s="1189"/>
      <c r="S168" s="1224"/>
      <c r="T168" s="1294"/>
      <c r="U168" s="1224"/>
      <c r="V168" s="1224"/>
      <c r="W168" s="1293"/>
      <c r="X168" s="1225"/>
      <c r="Y168" s="1190"/>
      <c r="Z168" s="1190"/>
      <c r="AA168" s="1190"/>
      <c r="AB168" s="1241"/>
      <c r="AC168" s="1271"/>
      <c r="AD168" s="81"/>
    </row>
    <row r="169" spans="18:30" s="44" customFormat="1" ht="15.6">
      <c r="R169" s="1189"/>
      <c r="S169" s="1224"/>
      <c r="T169" s="1279"/>
      <c r="U169" s="1224"/>
      <c r="V169" s="1224"/>
      <c r="W169" s="1293"/>
      <c r="X169" s="1225"/>
      <c r="Y169" s="1190"/>
      <c r="Z169" s="1190"/>
      <c r="AA169" s="1190"/>
      <c r="AB169" s="1241"/>
      <c r="AC169" s="1271"/>
      <c r="AD169" s="81"/>
    </row>
    <row r="170" spans="18:30" s="44" customFormat="1" ht="15.6">
      <c r="R170" s="1190"/>
      <c r="S170" s="1190"/>
      <c r="T170" s="1217"/>
      <c r="U170" s="1190"/>
      <c r="V170" s="1224"/>
      <c r="W170" s="1293"/>
      <c r="X170" s="1191"/>
      <c r="Y170" s="1190"/>
      <c r="Z170" s="1217"/>
      <c r="AA170" s="1217"/>
      <c r="AB170" s="1218"/>
      <c r="AC170" s="1190"/>
      <c r="AD170" s="1329"/>
    </row>
    <row r="171" spans="18:30" s="44" customFormat="1">
      <c r="R171" s="1217"/>
      <c r="S171" s="1217"/>
      <c r="T171" s="1294"/>
      <c r="U171" s="1294"/>
      <c r="V171" s="1224"/>
      <c r="W171" s="1293"/>
      <c r="X171" s="1191"/>
      <c r="Y171" s="1294"/>
      <c r="Z171" s="1294"/>
      <c r="AA171" s="1294"/>
      <c r="AB171" s="1294"/>
      <c r="AC171" s="1217"/>
      <c r="AD171" s="1326"/>
    </row>
    <row r="172" spans="18:30" s="44" customFormat="1">
      <c r="R172" s="1217"/>
      <c r="S172" s="1217"/>
      <c r="T172" s="1294"/>
      <c r="U172" s="1294"/>
      <c r="V172" s="1224"/>
      <c r="W172" s="1293"/>
      <c r="X172" s="1191"/>
      <c r="Y172" s="1294"/>
      <c r="Z172" s="1294"/>
      <c r="AA172" s="1294"/>
      <c r="AB172" s="1294"/>
      <c r="AC172" s="1217"/>
      <c r="AD172" s="1326"/>
    </row>
    <row r="173" spans="18:30" s="44" customFormat="1">
      <c r="R173" s="1217"/>
      <c r="S173" s="1217"/>
      <c r="T173" s="1294"/>
      <c r="U173" s="1190"/>
      <c r="V173" s="1294"/>
      <c r="W173" s="1294"/>
      <c r="X173" s="1191"/>
      <c r="Y173" s="1294"/>
      <c r="Z173" s="1190"/>
      <c r="AA173" s="1190"/>
      <c r="AB173" s="1294"/>
      <c r="AC173" s="1217"/>
      <c r="AD173" s="1326"/>
    </row>
    <row r="174" spans="18:30" s="44" customFormat="1">
      <c r="R174" s="1217"/>
      <c r="S174" s="1217"/>
      <c r="T174" s="1294"/>
      <c r="U174" s="1190"/>
      <c r="V174" s="1294"/>
      <c r="W174" s="1294"/>
      <c r="X174" s="1191"/>
      <c r="Y174" s="1294"/>
      <c r="Z174" s="1190"/>
      <c r="AA174" s="1190"/>
      <c r="AB174" s="1294"/>
      <c r="AC174" s="1217"/>
      <c r="AD174" s="1326"/>
    </row>
    <row r="175" spans="18:30" s="44" customFormat="1">
      <c r="R175" s="1217"/>
      <c r="S175" s="1217"/>
      <c r="T175" s="1217"/>
      <c r="U175" s="1190"/>
      <c r="V175" s="1294"/>
      <c r="W175" s="1294"/>
      <c r="X175" s="1191"/>
      <c r="Y175" s="1294"/>
      <c r="Z175" s="1190"/>
      <c r="AA175" s="1190"/>
      <c r="AB175" s="1294"/>
      <c r="AC175" s="1217"/>
      <c r="AD175" s="1326"/>
    </row>
    <row r="176" spans="18:30" s="44" customFormat="1" ht="15.6">
      <c r="R176" s="1217"/>
      <c r="S176" s="1217"/>
      <c r="T176" s="1217"/>
      <c r="U176" s="1190"/>
      <c r="V176" s="1294"/>
      <c r="W176" s="1294"/>
      <c r="X176" s="1191"/>
      <c r="Y176" s="1294"/>
      <c r="Z176" s="1190"/>
      <c r="AA176" s="1190"/>
      <c r="AB176" s="1200"/>
      <c r="AC176" s="1217"/>
      <c r="AD176" s="1326"/>
    </row>
    <row r="177" spans="18:30" s="44" customFormat="1" ht="15.6">
      <c r="R177" s="1217"/>
      <c r="S177" s="1217"/>
      <c r="T177" s="1217"/>
      <c r="U177" s="1190"/>
      <c r="V177" s="1294"/>
      <c r="W177" s="1294"/>
      <c r="X177" s="1191"/>
      <c r="Y177" s="1190"/>
      <c r="Z177" s="1190"/>
      <c r="AA177" s="1190"/>
      <c r="AB177" s="1200"/>
      <c r="AC177" s="1217"/>
      <c r="AD177" s="1326"/>
    </row>
    <row r="178" spans="18:30" s="44" customFormat="1" ht="15.6">
      <c r="R178" s="1217"/>
      <c r="S178" s="1217"/>
      <c r="T178" s="1294"/>
      <c r="U178" s="1190"/>
      <c r="V178" s="1190"/>
      <c r="W178" s="1190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6">
      <c r="R179" s="1217"/>
      <c r="S179" s="1217"/>
      <c r="T179" s="1294"/>
      <c r="U179" s="1190"/>
      <c r="V179" s="1190"/>
      <c r="W179" s="1190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6">
      <c r="R180" s="1217"/>
      <c r="S180" s="1217"/>
      <c r="T180" s="1294"/>
      <c r="U180" s="1190"/>
      <c r="V180" s="1190"/>
      <c r="W180" s="1190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6">
      <c r="R181" s="1217"/>
      <c r="S181" s="1217"/>
      <c r="T181" s="1217"/>
      <c r="U181" s="1190"/>
      <c r="V181" s="1190"/>
      <c r="W181" s="1294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6">
      <c r="R182" s="1217"/>
      <c r="S182" s="1217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6">
      <c r="R183" s="1217"/>
      <c r="S183" s="1217"/>
      <c r="T183" s="1294"/>
      <c r="U183" s="1190"/>
      <c r="V183" s="1190"/>
      <c r="W183" s="1190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6">
      <c r="R184" s="1190"/>
      <c r="S184" s="1294"/>
      <c r="T184" s="1217"/>
      <c r="U184" s="1190"/>
      <c r="V184" s="1190"/>
      <c r="W184" s="1294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6">
      <c r="R185" s="1190"/>
      <c r="S185" s="1294"/>
      <c r="T185" s="1294"/>
      <c r="U185" s="1190"/>
      <c r="V185" s="1190"/>
      <c r="W185" s="1294"/>
      <c r="X185" s="1191"/>
      <c r="Y185" s="1190"/>
      <c r="Z185" s="1190"/>
      <c r="AA185" s="1190"/>
      <c r="AB185" s="1200"/>
      <c r="AC185" s="1217"/>
      <c r="AD185" s="1326"/>
    </row>
    <row r="186" spans="18:30" ht="15.6">
      <c r="R186" s="1190"/>
      <c r="S186" s="1224"/>
      <c r="T186" s="1279"/>
      <c r="U186" s="1224"/>
      <c r="V186" s="1224"/>
      <c r="W186" s="1294"/>
      <c r="X186" s="1225"/>
      <c r="Y186" s="1190"/>
      <c r="Z186" s="1190"/>
      <c r="AA186" s="1190"/>
      <c r="AB186" s="1241"/>
      <c r="AC186" s="1217"/>
      <c r="AD186" s="1326"/>
    </row>
    <row r="187" spans="18:30" ht="15.6">
      <c r="R187" s="1190"/>
      <c r="S187" s="1224"/>
      <c r="T187" s="1279"/>
      <c r="U187" s="1224"/>
      <c r="V187" s="1224"/>
      <c r="W187" s="1224"/>
      <c r="X187" s="1225"/>
      <c r="Y187" s="1190"/>
      <c r="Z187" s="1190"/>
      <c r="AA187" s="1190"/>
      <c r="AB187" s="1241"/>
      <c r="AC187" s="1217"/>
      <c r="AD187" s="1326"/>
    </row>
    <row r="188" spans="18:30" ht="15.6">
      <c r="R188" s="1190"/>
      <c r="S188" s="1224"/>
      <c r="T188" s="1279"/>
      <c r="U188" s="1224"/>
      <c r="V188" s="1224"/>
      <c r="W188" s="1294"/>
      <c r="X188" s="1225"/>
      <c r="Y188" s="1190"/>
      <c r="Z188" s="1190"/>
      <c r="AA188" s="1190"/>
      <c r="AB188" s="1241"/>
      <c r="AC188" s="1217"/>
      <c r="AD188" s="1326"/>
    </row>
    <row r="189" spans="18:30" ht="15.6">
      <c r="R189" s="1190"/>
      <c r="S189" s="1224"/>
      <c r="T189" s="1279"/>
      <c r="U189" s="1224"/>
      <c r="V189" s="1224"/>
      <c r="W189" s="1224"/>
      <c r="X189" s="1225"/>
      <c r="Y189" s="1190"/>
      <c r="Z189" s="1190"/>
      <c r="AA189" s="1190"/>
      <c r="AB189" s="1241"/>
      <c r="AC189" s="1217"/>
      <c r="AD189" s="1326"/>
    </row>
    <row r="190" spans="18:30" ht="15.6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ht="15.6">
      <c r="R191" s="1190"/>
      <c r="S191" s="1224"/>
      <c r="T191" s="1279"/>
      <c r="U191" s="1224"/>
      <c r="V191" s="1224"/>
      <c r="W191" s="1224"/>
      <c r="X191" s="1225"/>
      <c r="Y191" s="1190"/>
      <c r="Z191" s="1190"/>
      <c r="AA191" s="1190"/>
      <c r="AB191" s="1241"/>
      <c r="AC191" s="1217"/>
      <c r="AD191" s="1326"/>
    </row>
    <row r="192" spans="18:30" ht="15.6">
      <c r="R192" s="1190"/>
      <c r="S192" s="1224"/>
      <c r="T192" s="1279"/>
      <c r="U192" s="1224"/>
      <c r="V192" s="1224"/>
      <c r="W192" s="1224"/>
      <c r="X192" s="1225"/>
      <c r="Y192" s="1190"/>
      <c r="Z192" s="1190"/>
      <c r="AA192" s="1190"/>
      <c r="AB192" s="1241"/>
      <c r="AC192" s="1217"/>
      <c r="AD192" s="1326"/>
    </row>
    <row r="193" spans="18:30" s="44" customFormat="1" ht="15.6">
      <c r="R193" s="1190"/>
      <c r="S193" s="1224"/>
      <c r="T193" s="1279"/>
      <c r="U193" s="1224"/>
      <c r="V193" s="1224"/>
      <c r="W193" s="1190"/>
      <c r="X193" s="1225"/>
      <c r="Y193" s="1190"/>
      <c r="Z193" s="1190"/>
      <c r="AA193" s="1190"/>
      <c r="AB193" s="1241"/>
      <c r="AC193" s="1217"/>
      <c r="AD193" s="1326"/>
    </row>
    <row r="194" spans="18:30" s="44" customFormat="1" ht="15.6">
      <c r="R194" s="1190"/>
      <c r="S194" s="1224"/>
      <c r="T194" s="1279"/>
      <c r="U194" s="1224"/>
      <c r="V194" s="1224"/>
      <c r="W194" s="1294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6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s="44" customFormat="1" ht="15.6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6">
      <c r="R197" s="1190"/>
      <c r="S197" s="1224"/>
      <c r="T197" s="1279"/>
      <c r="U197" s="1224"/>
      <c r="V197" s="1224"/>
      <c r="W197" s="1190"/>
      <c r="X197" s="1225"/>
      <c r="Y197" s="1190"/>
      <c r="Z197" s="1190"/>
      <c r="AA197" s="1190"/>
      <c r="AB197" s="1241"/>
      <c r="AC197" s="1217"/>
      <c r="AD197" s="1326"/>
    </row>
    <row r="198" spans="18:30" s="44" customFormat="1" ht="15.6">
      <c r="R198" s="1190"/>
      <c r="S198" s="1224"/>
      <c r="T198" s="1279"/>
      <c r="U198" s="1224"/>
      <c r="V198" s="1224"/>
      <c r="W198" s="1190"/>
      <c r="X198" s="1225"/>
      <c r="Y198" s="1190"/>
      <c r="Z198" s="1190"/>
      <c r="AA198" s="1190"/>
      <c r="AB198" s="1241"/>
      <c r="AC198" s="1217"/>
      <c r="AD198" s="1326"/>
    </row>
    <row r="199" spans="18:30" s="44" customFormat="1" ht="15.6">
      <c r="R199" s="1190"/>
      <c r="S199" s="1224"/>
      <c r="T199" s="1279"/>
      <c r="U199" s="1224"/>
      <c r="V199" s="1224"/>
      <c r="W199" s="1294"/>
      <c r="X199" s="1225"/>
      <c r="Y199" s="1190"/>
      <c r="Z199" s="1190"/>
      <c r="AA199" s="1190"/>
      <c r="AB199" s="1241"/>
      <c r="AC199" s="1217"/>
      <c r="AD199" s="1326"/>
    </row>
    <row r="200" spans="18:30" s="44" customFormat="1" ht="15.6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ht="15.6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ht="15.6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6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ht="15.6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ht="15.6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ht="15.6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ht="15.6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ht="15.6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ht="15.6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ht="15.6">
      <c r="R210" s="1190"/>
      <c r="S210" s="1294"/>
      <c r="T210" s="1293"/>
      <c r="U210" s="1190"/>
      <c r="V210" s="1217"/>
      <c r="W210" s="1190"/>
      <c r="X210" s="1191"/>
      <c r="Y210" s="1190"/>
      <c r="Z210" s="1190"/>
      <c r="AA210" s="1190"/>
      <c r="AB210" s="1241"/>
      <c r="AC210" s="1217"/>
      <c r="AD210" s="1326"/>
    </row>
    <row r="211" spans="18:30" ht="15.6">
      <c r="R211" s="1190"/>
      <c r="S211" s="1294"/>
      <c r="T211" s="1293"/>
      <c r="U211" s="1190"/>
      <c r="V211" s="1217"/>
      <c r="W211" s="1190"/>
      <c r="X211" s="1191"/>
      <c r="Y211" s="1190"/>
      <c r="Z211" s="1190"/>
      <c r="AA211" s="1190"/>
      <c r="AB211" s="1241"/>
      <c r="AC211" s="1217"/>
      <c r="AD211" s="1326"/>
    </row>
    <row r="212" spans="18:30" ht="15.6">
      <c r="R212" s="1190"/>
      <c r="S212" s="1294"/>
      <c r="T212" s="1293"/>
      <c r="U212" s="1190"/>
      <c r="V212" s="1217"/>
      <c r="W212" s="1190"/>
      <c r="X212" s="1191"/>
      <c r="Y212" s="1190"/>
      <c r="Z212" s="1190"/>
      <c r="AA212" s="1190"/>
      <c r="AB212" s="1200"/>
      <c r="AC212" s="1217"/>
      <c r="AD212" s="1326"/>
    </row>
    <row r="213" spans="18:30" ht="15.6">
      <c r="R213" s="1190"/>
      <c r="S213" s="1190"/>
      <c r="T213" s="1293"/>
      <c r="U213" s="1190"/>
      <c r="V213" s="1190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6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6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6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6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6">
      <c r="R218" s="1190"/>
      <c r="S218" s="1190"/>
      <c r="T218" s="1293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6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6">
      <c r="R220" s="1190"/>
      <c r="S220" s="1190"/>
      <c r="T220" s="1190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6">
      <c r="R221" s="1190"/>
      <c r="S221" s="1190"/>
      <c r="T221" s="1293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 ht="15.6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200"/>
      <c r="AC222" s="1217"/>
      <c r="AD222" s="1326"/>
    </row>
    <row r="223" spans="18:30" ht="15.6">
      <c r="R223" s="1190"/>
      <c r="S223" s="1190"/>
      <c r="T223" s="1293"/>
      <c r="U223" s="1190"/>
      <c r="V223" s="1190"/>
      <c r="W223" s="1190"/>
      <c r="X223" s="1191"/>
      <c r="Y223" s="1190"/>
      <c r="Z223" s="1190"/>
      <c r="AA223" s="1190"/>
      <c r="AB223" s="1200"/>
      <c r="AC223" s="1217"/>
      <c r="AD223" s="1326"/>
    </row>
    <row r="224" spans="18:30">
      <c r="R224" s="1190"/>
      <c r="S224" s="1190"/>
      <c r="T224" s="1293"/>
      <c r="U224" s="1190"/>
      <c r="V224" s="1190"/>
      <c r="W224" s="1190"/>
      <c r="X224" s="1191"/>
      <c r="Y224" s="1190"/>
      <c r="Z224" s="1190"/>
      <c r="AA224" s="1190"/>
      <c r="AB224" s="1190"/>
      <c r="AC224" s="1217"/>
      <c r="AD224" s="1326"/>
    </row>
    <row r="225" spans="18:30" ht="15.6">
      <c r="R225" s="1190"/>
      <c r="S225" s="1190"/>
      <c r="T225" s="1224"/>
      <c r="U225" s="1190"/>
      <c r="V225" s="1190"/>
      <c r="W225" s="1190"/>
      <c r="X225" s="1191"/>
      <c r="Y225" s="1190"/>
      <c r="Z225" s="1217"/>
      <c r="AA225" s="1217"/>
      <c r="AB225" s="1218"/>
      <c r="AC225" s="1190"/>
      <c r="AD225" s="1326"/>
    </row>
    <row r="226" spans="18:30" ht="15.6">
      <c r="R226" s="1190"/>
      <c r="S226" s="1190"/>
      <c r="T226" s="1190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6">
      <c r="R227" s="1190"/>
      <c r="S227" s="1190"/>
      <c r="T227" s="1190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6">
      <c r="R228" s="1190"/>
      <c r="S228" s="1190"/>
      <c r="T228" s="1217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6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6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6">
      <c r="R231" s="1190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0"/>
      <c r="AD231" s="1326"/>
    </row>
    <row r="232" spans="18:30" ht="15.6">
      <c r="R232" s="1190"/>
      <c r="S232" s="1190"/>
      <c r="T232" s="1217"/>
      <c r="U232" s="1190"/>
      <c r="V232" s="1190"/>
      <c r="W232" s="1190"/>
      <c r="X232" s="1191"/>
      <c r="Y232" s="1190"/>
      <c r="Z232" s="1217"/>
      <c r="AA232" s="1217"/>
      <c r="AB232" s="1218"/>
      <c r="AC232" s="1190"/>
      <c r="AD232" s="1326"/>
    </row>
    <row r="233" spans="18:30" ht="15.6">
      <c r="R233" s="81"/>
      <c r="S233" s="81"/>
      <c r="T233" s="81"/>
      <c r="U233" s="81"/>
      <c r="V233" s="1190"/>
      <c r="W233" s="1190"/>
      <c r="X233" s="191"/>
      <c r="Y233" s="81"/>
      <c r="Z233" s="1217"/>
      <c r="AA233" s="1217"/>
      <c r="AB233" s="1218"/>
      <c r="AC233" s="1190"/>
      <c r="AD233" s="1326"/>
    </row>
    <row r="234" spans="18:30" ht="15.6">
      <c r="R234" s="81"/>
      <c r="S234" s="81"/>
      <c r="T234" s="81"/>
      <c r="U234" s="81"/>
      <c r="V234" s="1190"/>
      <c r="W234" s="1190"/>
      <c r="X234" s="1325"/>
      <c r="Y234" s="1190"/>
      <c r="Z234" s="1190"/>
      <c r="AA234" s="1190"/>
      <c r="AB234" s="1218"/>
      <c r="AC234" s="1190"/>
      <c r="AD234" s="1326"/>
    </row>
    <row r="235" spans="18:30" ht="15.6">
      <c r="R235" s="1190"/>
      <c r="S235" s="1190"/>
      <c r="T235" s="1217"/>
      <c r="U235" s="1190"/>
      <c r="V235" s="1190"/>
      <c r="W235" s="1190"/>
      <c r="X235" s="1325"/>
      <c r="Y235" s="1190"/>
      <c r="Z235" s="1190"/>
      <c r="AA235" s="1190"/>
      <c r="AB235" s="1218"/>
      <c r="AC235" s="1190"/>
      <c r="AD235" s="1326"/>
    </row>
    <row r="236" spans="18:30" ht="15.6">
      <c r="R236" s="1190"/>
      <c r="S236" s="1190"/>
      <c r="T236" s="1190"/>
      <c r="U236" s="1190"/>
      <c r="V236" s="1190"/>
      <c r="W236" s="1190"/>
      <c r="X236" s="1190"/>
      <c r="Y236" s="1190"/>
      <c r="Z236" s="1190"/>
      <c r="AA236" s="1190"/>
      <c r="AB236" s="1218"/>
      <c r="AC236" s="1190"/>
      <c r="AD236" s="1326"/>
    </row>
    <row r="237" spans="18:30" ht="15.6">
      <c r="R237" s="1190"/>
      <c r="S237" s="1190"/>
      <c r="T237" s="1217"/>
      <c r="U237" s="1190"/>
      <c r="V237" s="1190"/>
      <c r="W237" s="1190"/>
      <c r="X237" s="1191"/>
      <c r="Y237" s="1190"/>
      <c r="Z237" s="1217"/>
      <c r="AA237" s="1217"/>
      <c r="AB237" s="1218"/>
      <c r="AC237" s="1190"/>
      <c r="AD237" s="1326"/>
    </row>
    <row r="238" spans="18:30" ht="15.6">
      <c r="R238" s="1330"/>
      <c r="S238" s="1331"/>
      <c r="T238" s="1332"/>
      <c r="U238" s="1331"/>
      <c r="V238" s="1331"/>
      <c r="W238" s="1331"/>
      <c r="X238" s="1333"/>
      <c r="Y238" s="1331"/>
      <c r="Z238" s="1332"/>
      <c r="AA238" s="1332"/>
      <c r="AB238" s="1334"/>
      <c r="AC238" s="1335"/>
      <c r="AD238" s="81"/>
    </row>
    <row r="239" spans="18:30" ht="15.6">
      <c r="R239" s="1189"/>
      <c r="S239" s="1190"/>
      <c r="T239" s="1217"/>
      <c r="U239" s="1190"/>
      <c r="V239" s="1190"/>
      <c r="W239" s="1190"/>
      <c r="X239" s="1191"/>
      <c r="Y239" s="1190"/>
      <c r="Z239" s="1217"/>
      <c r="AA239" s="1217"/>
      <c r="AB239" s="1218"/>
      <c r="AC239" s="1192"/>
      <c r="AD239" s="81"/>
    </row>
    <row r="240" spans="18:30" ht="15.6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6">
      <c r="R241" s="1189"/>
      <c r="S241" s="1190"/>
      <c r="T241" s="1190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6">
      <c r="R242" s="1189"/>
      <c r="S242" s="1190"/>
      <c r="T242" s="1217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6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6">
      <c r="R244" s="1189"/>
      <c r="S244" s="1190"/>
      <c r="T244" s="1190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6">
      <c r="R245" s="1189"/>
      <c r="S245" s="1190"/>
      <c r="T245" s="1217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6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6">
      <c r="R247" s="1189"/>
      <c r="S247" s="1190"/>
      <c r="T247" s="1217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6">
      <c r="R248" s="1189"/>
      <c r="S248" s="1190"/>
      <c r="T248" s="1217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6">
      <c r="R249" s="1189"/>
      <c r="S249" s="1190"/>
      <c r="T249" s="1190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6">
      <c r="R250" s="1189"/>
      <c r="S250" s="1190"/>
      <c r="T250" s="1190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6">
      <c r="R251" s="1189"/>
      <c r="S251" s="1190"/>
      <c r="T251" s="1190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6">
      <c r="R252" s="1189"/>
      <c r="S252" s="1190"/>
      <c r="T252" s="1217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6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6">
      <c r="R254" s="1189"/>
      <c r="S254" s="1190"/>
      <c r="T254" s="1190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6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6">
      <c r="R256" s="1189"/>
      <c r="S256" s="1190"/>
      <c r="T256" s="1111"/>
      <c r="U256" s="1190"/>
      <c r="V256" s="1190"/>
      <c r="W256" s="1190"/>
      <c r="X256" s="1191"/>
      <c r="Y256" s="1190"/>
      <c r="Z256" s="1106"/>
      <c r="AA256" s="1106"/>
      <c r="AB256" s="1110"/>
      <c r="AC256" s="1192"/>
      <c r="AD256" s="81"/>
    </row>
    <row r="257" spans="18:30" ht="15.6">
      <c r="R257" s="1189"/>
      <c r="S257" s="1190"/>
      <c r="T257" s="1111"/>
      <c r="U257" s="1190"/>
      <c r="V257" s="1190"/>
      <c r="W257" s="1190"/>
      <c r="X257" s="1191"/>
      <c r="Y257" s="1190"/>
      <c r="Z257" s="1190"/>
      <c r="AA257" s="1190"/>
      <c r="AB257" s="1110"/>
      <c r="AC257" s="1192"/>
      <c r="AD257" s="81"/>
    </row>
    <row r="258" spans="18:30">
      <c r="R258" s="1189"/>
      <c r="S258" s="1190"/>
      <c r="T258" s="1106"/>
      <c r="U258" s="1190"/>
      <c r="V258" s="1190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90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90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81"/>
    </row>
    <row r="261" spans="18:30">
      <c r="R261" s="1189"/>
      <c r="S261" s="1190"/>
      <c r="T261" s="1106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81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26"/>
    </row>
    <row r="263" spans="18:30">
      <c r="R263" s="1189"/>
      <c r="S263" s="1190"/>
      <c r="T263" s="1111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06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11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06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11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06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90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06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06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06"/>
      <c r="U274" s="1190"/>
      <c r="V274" s="1190"/>
      <c r="W274" s="1190"/>
      <c r="X274" s="1193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11"/>
      <c r="U275" s="1190"/>
      <c r="V275" s="1190"/>
      <c r="W275" s="1190"/>
      <c r="X275" s="1191"/>
      <c r="Y275" s="1190"/>
      <c r="Z275" s="1190"/>
      <c r="AA275" s="1190"/>
      <c r="AB275" s="1190"/>
      <c r="AC275" s="1192"/>
      <c r="AD275" s="26"/>
    </row>
    <row r="276" spans="18:30">
      <c r="R276" s="1194"/>
      <c r="S276" s="1195"/>
      <c r="T276" s="1111"/>
      <c r="U276" s="1195"/>
      <c r="V276" s="1190"/>
      <c r="W276" s="1190"/>
      <c r="X276" s="1196"/>
      <c r="Y276" s="1195"/>
      <c r="Z276" s="1195"/>
      <c r="AA276" s="1195"/>
      <c r="AB276" s="1195"/>
      <c r="AC276" s="1192"/>
      <c r="AD276" s="26"/>
    </row>
    <row r="277" spans="18:30">
      <c r="R277" s="1194"/>
      <c r="S277" s="1195"/>
      <c r="T277" s="1111"/>
      <c r="U277" s="1195"/>
      <c r="V277" s="1190"/>
      <c r="W277" s="1190"/>
      <c r="X277" s="1196"/>
      <c r="Y277" s="1195"/>
      <c r="Z277" s="1195"/>
      <c r="AA277" s="1195"/>
      <c r="AB277" s="1195"/>
      <c r="AC277" s="1192"/>
      <c r="AD277" s="26"/>
    </row>
    <row r="278" spans="18:30">
      <c r="R278" s="1189"/>
      <c r="S278" s="1190"/>
      <c r="T278" s="1111"/>
      <c r="U278" s="1190"/>
      <c r="V278" s="1190"/>
      <c r="W278" s="1190"/>
      <c r="X278" s="1191"/>
      <c r="Y278" s="1195"/>
      <c r="Z278" s="1190"/>
      <c r="AA278" s="1190"/>
      <c r="AB278" s="1190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5"/>
      <c r="Z279" s="1190"/>
      <c r="AA279" s="1190"/>
      <c r="AB279" s="1190"/>
      <c r="AC279" s="1192"/>
      <c r="AD279" s="26"/>
    </row>
    <row r="280" spans="18:30">
      <c r="R280" s="1194"/>
      <c r="S280" s="1195"/>
      <c r="T280" s="1111"/>
      <c r="U280" s="1195"/>
      <c r="V280" s="1195"/>
      <c r="W280" s="1190"/>
      <c r="X280" s="1196"/>
      <c r="Y280" s="1195"/>
      <c r="Z280" s="1195"/>
      <c r="AA280" s="1195"/>
      <c r="AB280" s="1190"/>
      <c r="AC280" s="1192"/>
      <c r="AD280" s="26"/>
    </row>
    <row r="281" spans="18:30">
      <c r="R281" s="1194"/>
      <c r="S281" s="1195"/>
      <c r="T281" s="1106"/>
      <c r="U281" s="1195"/>
      <c r="V281" s="1195"/>
      <c r="W281" s="1195"/>
      <c r="X281" s="1196"/>
      <c r="Y281" s="1195"/>
      <c r="Z281" s="1195"/>
      <c r="AA281" s="1195"/>
      <c r="AB281" s="1195"/>
      <c r="AC281" s="1197"/>
      <c r="AD281" s="26"/>
    </row>
    <row r="282" spans="18:30">
      <c r="R282" s="1189"/>
      <c r="S282" s="1190"/>
      <c r="T282" s="1190"/>
      <c r="U282" s="1190"/>
      <c r="V282" s="1190"/>
      <c r="W282" s="1190"/>
      <c r="X282" s="1191"/>
      <c r="Y282" s="1190"/>
      <c r="Z282" s="1190"/>
      <c r="AA282" s="1190"/>
      <c r="AB282" s="1190"/>
      <c r="AC282" s="1192"/>
      <c r="AD282" s="26"/>
    </row>
    <row r="283" spans="18:30">
      <c r="R283" s="1189"/>
      <c r="S283" s="1190"/>
      <c r="T283" s="1190"/>
      <c r="U283" s="1190"/>
      <c r="V283" s="1195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5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0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90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90"/>
      <c r="U287" s="1190"/>
      <c r="V287" s="1195"/>
      <c r="W287" s="1190"/>
      <c r="X287" s="1191"/>
      <c r="Y287" s="1190"/>
      <c r="Z287" s="1190"/>
      <c r="AA287" s="1190"/>
      <c r="AB287" s="1190"/>
      <c r="AC287" s="1192"/>
      <c r="AD287" s="81"/>
    </row>
    <row r="288" spans="18:30">
      <c r="R288" s="1189"/>
      <c r="S288" s="1190"/>
      <c r="T288" s="1190"/>
      <c r="U288" s="1190"/>
      <c r="V288" s="1195"/>
      <c r="W288" s="1190"/>
      <c r="X288" s="1191"/>
      <c r="Y288" s="1190"/>
      <c r="Z288" s="1190"/>
      <c r="AA288" s="1190"/>
      <c r="AB288" s="1190"/>
      <c r="AC288" s="1192"/>
      <c r="AD288" s="203"/>
    </row>
    <row r="289" spans="18:30">
      <c r="R289" s="1194"/>
      <c r="S289" s="1195"/>
      <c r="T289" s="1195"/>
      <c r="U289" s="1195"/>
      <c r="V289" s="1195"/>
      <c r="W289" s="1195"/>
      <c r="X289" s="1196"/>
      <c r="Y289" s="1195"/>
      <c r="Z289" s="1195"/>
      <c r="AA289" s="1195"/>
      <c r="AB289" s="1195"/>
      <c r="AC289" s="1197"/>
      <c r="AD289" s="203"/>
    </row>
    <row r="290" spans="18:30">
      <c r="R290" s="1190"/>
      <c r="S290" s="1190"/>
      <c r="T290" s="1190"/>
      <c r="U290" s="1190"/>
      <c r="V290" s="1190"/>
      <c r="W290" s="1190"/>
      <c r="X290" s="1190"/>
      <c r="Y290" s="1190"/>
      <c r="Z290" s="1190"/>
      <c r="AA290" s="1190"/>
      <c r="AB290" s="1190"/>
      <c r="AC290" s="1190"/>
      <c r="AD290" s="44"/>
    </row>
    <row r="291" spans="18:30">
      <c r="R291" s="1190"/>
      <c r="S291" s="1190"/>
      <c r="T291" s="1190"/>
      <c r="U291" s="1190"/>
      <c r="V291" s="1190"/>
      <c r="W291" s="1190"/>
      <c r="X291" s="1190"/>
      <c r="Y291" s="1190"/>
      <c r="Z291" s="1190"/>
      <c r="AA291" s="1190"/>
      <c r="AB291" s="1190"/>
      <c r="AC291" s="1190"/>
      <c r="AD291" s="44"/>
    </row>
    <row r="292" spans="18:30">
      <c r="R292" s="1190"/>
      <c r="S292" s="1190"/>
      <c r="T292" s="1190"/>
      <c r="U292" s="1190"/>
      <c r="V292" s="1190"/>
      <c r="W292" s="1190"/>
      <c r="X292" s="1190"/>
      <c r="Y292" s="1190"/>
      <c r="Z292" s="1190"/>
      <c r="AA292" s="1190"/>
      <c r="AB292" s="1190"/>
      <c r="AC292" s="1190"/>
      <c r="AD292" s="44"/>
    </row>
    <row r="293" spans="18:30">
      <c r="R293" s="1190"/>
      <c r="S293" s="1190"/>
      <c r="T293" s="1190"/>
      <c r="U293" s="1190"/>
      <c r="V293" s="1190"/>
      <c r="W293" s="1190"/>
      <c r="X293" s="1190"/>
      <c r="Y293" s="1190"/>
      <c r="Z293" s="1190"/>
      <c r="AA293" s="1190"/>
      <c r="AB293" s="1190"/>
      <c r="AC293" s="1190"/>
      <c r="AD293" s="44"/>
    </row>
    <row r="294" spans="18:30">
      <c r="R294" s="1190"/>
      <c r="S294" s="1190"/>
      <c r="T294" s="1190"/>
      <c r="U294" s="1190"/>
      <c r="V294" s="1190"/>
      <c r="W294" s="1190"/>
      <c r="X294" s="1190"/>
      <c r="Y294" s="1190"/>
      <c r="Z294" s="1190"/>
      <c r="AA294" s="1190"/>
      <c r="AB294" s="1190"/>
      <c r="AC294" s="1190"/>
      <c r="AD294" s="44"/>
    </row>
    <row r="295" spans="18:30">
      <c r="R295" s="1190"/>
      <c r="S295" s="1190"/>
      <c r="T295" s="1190"/>
      <c r="U295" s="1190"/>
      <c r="V295" s="1190"/>
      <c r="W295" s="1190"/>
      <c r="X295" s="1190"/>
      <c r="Y295" s="1190"/>
      <c r="Z295" s="1190"/>
      <c r="AA295" s="1190"/>
      <c r="AB295" s="1190"/>
      <c r="AC295" s="1190"/>
    </row>
    <row r="296" spans="18:30">
      <c r="R296" s="1190"/>
      <c r="S296" s="1190"/>
      <c r="T296" s="1190"/>
      <c r="U296" s="1190"/>
      <c r="V296" s="1190"/>
      <c r="W296" s="1190"/>
      <c r="X296" s="1190"/>
      <c r="Y296" s="1190"/>
      <c r="Z296" s="1190"/>
      <c r="AA296" s="1190"/>
      <c r="AB296" s="1190"/>
      <c r="AC296" s="1190"/>
    </row>
    <row r="297" spans="18:30">
      <c r="R297" s="1190"/>
      <c r="S297" s="1190"/>
      <c r="T297" s="1190"/>
      <c r="U297" s="1190"/>
      <c r="V297" s="1190"/>
      <c r="W297" s="1190"/>
      <c r="X297" s="1190"/>
      <c r="Y297" s="1190"/>
      <c r="Z297" s="1190"/>
      <c r="AA297" s="1190"/>
      <c r="AB297" s="1190"/>
      <c r="AC297" s="1190"/>
    </row>
    <row r="298" spans="18:30">
      <c r="R298" s="1190"/>
      <c r="S298" s="1190"/>
      <c r="T298" s="1190"/>
      <c r="U298" s="1190"/>
      <c r="V298" s="1190"/>
      <c r="W298" s="1190"/>
      <c r="X298" s="1190"/>
      <c r="Y298" s="1190"/>
      <c r="Z298" s="1190"/>
      <c r="AA298" s="1190"/>
      <c r="AB298" s="1190"/>
      <c r="AC298" s="1190"/>
    </row>
    <row r="299" spans="18:30">
      <c r="R299" s="1190"/>
      <c r="S299" s="1190"/>
      <c r="T299" s="1190"/>
      <c r="U299" s="1190"/>
      <c r="V299" s="1190"/>
      <c r="W299" s="1190"/>
      <c r="X299" s="1190"/>
      <c r="Y299" s="1190"/>
      <c r="Z299" s="1190"/>
      <c r="AA299" s="1190"/>
      <c r="AB299" s="1190"/>
      <c r="AC299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E27:P133" name="Range1_65_32_32_30_30_30_30_30_30_30_30_30_30_30_30_30_30_30_30_30"/>
    <protectedRange algorithmName="SHA-512" hashValue="XYWjC+iAz2ErgjMh7TSLHlxfTfK0uVcITDFdCCZFdnsWWbUNnsQqu9AM+0WFXQpYcy9ZvQx2KUXfpLhpOROHkg==" saltValue="47TiGLG0rJVTo3iAJH8T4w==" spinCount="100000" sqref="B27:D133" name="Range2_5_2_2_2_2_2_2_2_2_2_2_2_2_2_2_2"/>
    <protectedRange algorithmName="SHA-512" hashValue="24Yg3M703G5L8OyJWxlkx8c1Gwfrkael5W/l3TUk/Rcz5tR8QOgCx5v0Ebb/UGz+9BDKPJ5wV4hH8uuxvmtGIw==" saltValue="ZSJQ8EEnwGxsiYzxIw6K0Q==" spinCount="100000" sqref="B27:D133" name="Range1_65_32_2_2_2_2_2_2_2_2_2_2_2_2_2_2"/>
    <protectedRange algorithmName="SHA-512" hashValue="XYWjC+iAz2ErgjMh7TSLHlxfTfK0uVcITDFdCCZFdnsWWbUNnsQqu9AM+0WFXQpYcy9ZvQx2KUXfpLhpOROHkg==" saltValue="47TiGLG0rJVTo3iAJH8T4w==" spinCount="100000" sqref="B21:D22" name="Range2_5_2_2_2_2_2_2_2_3"/>
    <protectedRange algorithmName="SHA-512" hashValue="24Yg3M703G5L8OyJWxlkx8c1Gwfrkael5W/l3TUk/Rcz5tR8QOgCx5v0Ebb/UGz+9BDKPJ5wV4hH8uuxvmtGIw==" saltValue="ZSJQ8EEnwGxsiYzxIw6K0Q==" spinCount="100000" sqref="B19:D22" name="Range1_65_32_2_2_2_2_2_2_3"/>
  </protectedRanges>
  <mergeCells count="21">
    <mergeCell ref="B19:D19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F999-C82F-4CC7-8095-F5C18E45376D}">
  <dimension ref="A1:AG215"/>
  <sheetViews>
    <sheetView showGridLines="0" zoomScale="55" zoomScaleNormal="55" workbookViewId="0"/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15.88671875" customWidth="1"/>
    <col min="22" max="22" width="53" customWidth="1"/>
    <col min="23" max="23" width="29.109375" bestFit="1" customWidth="1"/>
    <col min="24" max="24" width="18.33203125" bestFit="1" customWidth="1"/>
    <col min="25" max="25" width="23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35.44140625" bestFit="1" customWidth="1"/>
    <col min="31" max="31" width="9.109375" bestFit="1" customWidth="1"/>
  </cols>
  <sheetData>
    <row r="1" spans="1:33" ht="17.399999999999999">
      <c r="A1" s="1211" t="s">
        <v>818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819</v>
      </c>
      <c r="B2" s="733"/>
      <c r="C2" s="733"/>
      <c r="D2" s="733"/>
      <c r="E2" s="735"/>
      <c r="F2" s="1536" t="s">
        <v>820</v>
      </c>
      <c r="G2" s="1536"/>
      <c r="H2" s="1536"/>
      <c r="I2" s="742"/>
      <c r="J2" s="1525" t="s">
        <v>821</v>
      </c>
      <c r="K2" s="1525"/>
      <c r="L2" s="1525"/>
      <c r="M2" s="735"/>
      <c r="N2" s="1535"/>
      <c r="O2" s="1535"/>
      <c r="P2" s="1535"/>
      <c r="R2" s="1209" t="s">
        <v>794</v>
      </c>
      <c r="S2" s="1209">
        <v>3331564012</v>
      </c>
      <c r="T2" s="1264" t="s">
        <v>459</v>
      </c>
      <c r="U2" s="1202">
        <v>24141884</v>
      </c>
      <c r="V2" s="1202" t="s">
        <v>226</v>
      </c>
      <c r="W2" s="1202" t="s">
        <v>203</v>
      </c>
      <c r="X2" s="1203">
        <v>24541.37</v>
      </c>
      <c r="Y2" s="1202" t="s">
        <v>812</v>
      </c>
      <c r="Z2" s="1202">
        <v>1</v>
      </c>
      <c r="AA2" s="1202">
        <v>1</v>
      </c>
      <c r="AB2" s="1067" t="s">
        <v>204</v>
      </c>
      <c r="AC2" s="1217"/>
      <c r="AD2" s="1326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09" t="s">
        <v>794</v>
      </c>
      <c r="S3" s="1209">
        <v>3331564014</v>
      </c>
      <c r="T3" s="1264" t="s">
        <v>459</v>
      </c>
      <c r="U3" s="1202">
        <v>24141885</v>
      </c>
      <c r="V3" s="1202" t="s">
        <v>226</v>
      </c>
      <c r="W3" s="1202" t="s">
        <v>203</v>
      </c>
      <c r="X3" s="1203">
        <v>24541.37</v>
      </c>
      <c r="Y3" s="1202" t="s">
        <v>812</v>
      </c>
      <c r="Z3" s="1202">
        <v>1</v>
      </c>
      <c r="AA3" s="1202">
        <v>1</v>
      </c>
      <c r="AB3" s="1067" t="s">
        <v>204</v>
      </c>
      <c r="AC3" s="1217"/>
      <c r="AD3" s="1326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09" t="s">
        <v>794</v>
      </c>
      <c r="S4" s="1209">
        <v>3331564007</v>
      </c>
      <c r="T4" s="1264" t="s">
        <v>459</v>
      </c>
      <c r="U4" s="1202">
        <v>24141886</v>
      </c>
      <c r="V4" s="1202" t="s">
        <v>224</v>
      </c>
      <c r="W4" s="1202" t="s">
        <v>203</v>
      </c>
      <c r="X4" s="1203">
        <v>29329.93</v>
      </c>
      <c r="Y4" s="1202" t="s">
        <v>426</v>
      </c>
      <c r="Z4" s="1202">
        <v>1</v>
      </c>
      <c r="AA4" s="1202">
        <v>1</v>
      </c>
      <c r="AB4" s="1067" t="s">
        <v>204</v>
      </c>
      <c r="AC4" s="1217"/>
      <c r="AD4" s="1326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SUMPRODUCT(--ISNUMBER(MATCH(TRIM(W1:W367), {"JABODETABEK","JAWA TENGAH","JAWA TIMUR","LUAR PULAU"}, 0)), --(AC1:AC367=""))</f>
        <v>42</v>
      </c>
      <c r="C5" s="1303" cm="1">
        <f t="array" ref="C5">SUMPRODUCT(--(LOWER(TRIM(AB1:AB393))="masuk"), --(ISNUMBER(MATCH(TRIM(W1:W393), {"JABODETABEK","JAWA TENGAH","JAWA TIMUR","LUAR PULAU"}, 0))), --(LOWER(AC1:AC393)&lt;&gt;"add"))</f>
        <v>36</v>
      </c>
      <c r="D5" s="1304">
        <f>C5+-B5</f>
        <v>-6</v>
      </c>
      <c r="E5" s="734"/>
      <c r="F5" s="1306" cm="1">
        <f t="array" ref="F5">SUMPRODUCT(--(LOWER(AC1:AC393)="add"), --(ISNUMBER(MATCH(W1:W393, {"JABODETABEK","JAWA TENGAH","JAWA TIMUR","LUAR PULAU"}, 0))))</f>
        <v>5</v>
      </c>
      <c r="G5" s="1303" cm="1">
        <f t="array" ref="G5">SUMPRODUCT(--(LOWER(AB1:AB393)="masuk"), --(LOWER(AC1:AC393)="add"))</f>
        <v>5</v>
      </c>
      <c r="H5" s="1304">
        <f>G5+-F5</f>
        <v>0</v>
      </c>
      <c r="I5" s="734"/>
      <c r="J5" s="1306" cm="1">
        <f t="array" ref="J5">SUMPRODUCT(--(ISNUMBER(SEARCH("next day",LOWER(W1:W393)))+ISNUMBER(SEARCH("nextday",LOWER(W1:W393)))&gt; 0))</f>
        <v>3</v>
      </c>
      <c r="K5" s="1303" cm="1">
        <f t="array" ref="K5">SUMPRODUCT(--(LOWER(AB1:AB393)="masuk"), --ISNUMBER(SEARCH("next day", LOWER(W1:W393))))</f>
        <v>3</v>
      </c>
      <c r="L5" s="1304">
        <f>K5+-J5</f>
        <v>0</v>
      </c>
      <c r="M5" s="734"/>
      <c r="N5" s="1306">
        <f>B5+F5+J5</f>
        <v>50</v>
      </c>
      <c r="O5" s="1303">
        <f>C5+G5+K5</f>
        <v>44</v>
      </c>
      <c r="P5" s="1304">
        <f>D5+H5+L5</f>
        <v>-6</v>
      </c>
      <c r="R5" s="1209" t="s">
        <v>794</v>
      </c>
      <c r="S5" s="1209">
        <v>3331564109</v>
      </c>
      <c r="T5" s="1264" t="s">
        <v>459</v>
      </c>
      <c r="U5" s="1264">
        <v>24141901</v>
      </c>
      <c r="V5" s="1209" t="s">
        <v>226</v>
      </c>
      <c r="W5" s="1264" t="s">
        <v>203</v>
      </c>
      <c r="X5" s="1203">
        <f>3593.983+25525.238</f>
        <v>29119.221000000001</v>
      </c>
      <c r="Y5" s="1202" t="s">
        <v>426</v>
      </c>
      <c r="Z5" s="1202">
        <v>1</v>
      </c>
      <c r="AA5" s="1202">
        <v>1</v>
      </c>
      <c r="AB5" s="1244" t="s">
        <v>204</v>
      </c>
      <c r="AC5" s="1217"/>
      <c r="AD5" s="1326"/>
      <c r="AE5" s="44"/>
      <c r="AF5" s="44"/>
      <c r="AG5" s="44"/>
    </row>
    <row r="6" spans="1:33" ht="17.399999999999999">
      <c r="A6" s="733"/>
      <c r="B6" s="733">
        <f>SUM(B5)</f>
        <v>42</v>
      </c>
      <c r="C6" s="733">
        <f>SUM(C5)</f>
        <v>36</v>
      </c>
      <c r="D6" s="739">
        <f>SUM(D5)</f>
        <v>-6</v>
      </c>
      <c r="E6" s="734"/>
      <c r="F6" s="733">
        <f>SUM(F5)</f>
        <v>5</v>
      </c>
      <c r="G6" s="733">
        <f>SUM(G5)</f>
        <v>5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50</v>
      </c>
      <c r="O6" s="760">
        <f>SUM(O5:O5)</f>
        <v>44</v>
      </c>
      <c r="P6" s="761">
        <f>SUM(P5:P5)</f>
        <v>-6</v>
      </c>
      <c r="R6" s="1209" t="s">
        <v>794</v>
      </c>
      <c r="S6" s="1209">
        <v>3331564118</v>
      </c>
      <c r="T6" s="1264" t="s">
        <v>459</v>
      </c>
      <c r="U6" s="1264">
        <v>24141902</v>
      </c>
      <c r="V6" s="1209" t="s">
        <v>226</v>
      </c>
      <c r="W6" s="1264" t="s">
        <v>203</v>
      </c>
      <c r="X6" s="1203">
        <v>30057.268</v>
      </c>
      <c r="Y6" s="1202" t="s">
        <v>426</v>
      </c>
      <c r="Z6" s="1202">
        <v>1</v>
      </c>
      <c r="AA6" s="1202">
        <v>1</v>
      </c>
      <c r="AB6" s="1244" t="s">
        <v>204</v>
      </c>
      <c r="AC6" s="1217"/>
      <c r="AD6" s="1326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9" t="s">
        <v>794</v>
      </c>
      <c r="S7" s="1209">
        <v>3331564130</v>
      </c>
      <c r="T7" s="1264" t="s">
        <v>459</v>
      </c>
      <c r="U7" s="1264">
        <v>24141904</v>
      </c>
      <c r="V7" s="1209" t="s">
        <v>226</v>
      </c>
      <c r="W7" s="1264" t="s">
        <v>203</v>
      </c>
      <c r="X7" s="1203">
        <v>27577.477999999999</v>
      </c>
      <c r="Y7" s="1202" t="s">
        <v>426</v>
      </c>
      <c r="Z7" s="1202">
        <v>1</v>
      </c>
      <c r="AA7" s="1202">
        <v>1</v>
      </c>
      <c r="AB7" s="1244" t="s">
        <v>204</v>
      </c>
      <c r="AC7" s="1217"/>
      <c r="AD7" s="1326"/>
      <c r="AE7" s="44"/>
      <c r="AF7" s="44"/>
      <c r="AG7" s="44"/>
    </row>
    <row r="8" spans="1:33" ht="17.399999999999999">
      <c r="A8" s="763" t="str">
        <f>A1</f>
        <v>Plan tgl 23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9" t="s">
        <v>443</v>
      </c>
      <c r="S8" s="1209">
        <v>3331563654</v>
      </c>
      <c r="T8" s="1264" t="s">
        <v>424</v>
      </c>
      <c r="U8" s="1264">
        <v>24141829</v>
      </c>
      <c r="V8" s="1209" t="s">
        <v>425</v>
      </c>
      <c r="W8" s="1264" t="s">
        <v>362</v>
      </c>
      <c r="X8" s="1203">
        <v>22617.395</v>
      </c>
      <c r="Y8" s="1202" t="s">
        <v>426</v>
      </c>
      <c r="Z8" s="1202">
        <v>1</v>
      </c>
      <c r="AA8" s="1202">
        <v>1</v>
      </c>
      <c r="AB8" s="1244" t="s">
        <v>204</v>
      </c>
      <c r="AC8" s="1217"/>
      <c r="AD8" s="1326"/>
      <c r="AE8" s="44"/>
      <c r="AF8" s="44"/>
      <c r="AG8" s="44"/>
    </row>
    <row r="9" spans="1:33" ht="18">
      <c r="A9" s="763" t="str">
        <f>A2</f>
        <v>Realz update 24 OKT’25 jam 07.00</v>
      </c>
      <c r="B9" s="825"/>
      <c r="C9" s="825"/>
      <c r="D9" s="825"/>
      <c r="E9" s="734"/>
      <c r="F9" s="1525" t="str">
        <f>F2</f>
        <v>Tgl 23 OKT’25 diatas jam 15.00</v>
      </c>
      <c r="G9" s="1525"/>
      <c r="H9" s="1525"/>
      <c r="I9" s="826"/>
      <c r="J9" s="1525" t="str">
        <f>J2</f>
        <v>Tgl 23 OKT’25</v>
      </c>
      <c r="K9" s="1525"/>
      <c r="L9" s="1525"/>
      <c r="M9" s="734"/>
      <c r="N9" s="1526"/>
      <c r="O9" s="1526"/>
      <c r="P9" s="1526"/>
      <c r="R9" s="1209" t="s">
        <v>794</v>
      </c>
      <c r="S9" s="1209">
        <v>3331564004</v>
      </c>
      <c r="T9" s="1264" t="s">
        <v>599</v>
      </c>
      <c r="U9" s="1202">
        <v>24141881</v>
      </c>
      <c r="V9" s="1202" t="s">
        <v>561</v>
      </c>
      <c r="W9" s="1202" t="s">
        <v>362</v>
      </c>
      <c r="X9" s="1231">
        <v>26337.08</v>
      </c>
      <c r="Y9" s="1202" t="s">
        <v>200</v>
      </c>
      <c r="Z9" s="1202">
        <v>1</v>
      </c>
      <c r="AA9" s="1202">
        <v>1</v>
      </c>
      <c r="AB9" s="1244" t="s">
        <v>204</v>
      </c>
      <c r="AC9" s="1217"/>
      <c r="AD9" s="1326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209" t="s">
        <v>794</v>
      </c>
      <c r="S10" s="1209">
        <v>3331564002</v>
      </c>
      <c r="T10" s="1264" t="s">
        <v>599</v>
      </c>
      <c r="U10" s="1202">
        <v>24141880</v>
      </c>
      <c r="V10" s="1202" t="s">
        <v>561</v>
      </c>
      <c r="W10" s="1202" t="s">
        <v>362</v>
      </c>
      <c r="X10" s="1281">
        <v>24455.86</v>
      </c>
      <c r="Y10" s="1202" t="s">
        <v>200</v>
      </c>
      <c r="Z10" s="1202">
        <v>1</v>
      </c>
      <c r="AA10" s="1202">
        <v>1</v>
      </c>
      <c r="AB10" s="1244" t="s">
        <v>204</v>
      </c>
      <c r="AC10" s="1217"/>
      <c r="AD10" s="1326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794</v>
      </c>
      <c r="S11" s="1209">
        <v>3331564029</v>
      </c>
      <c r="T11" s="1264" t="s">
        <v>439</v>
      </c>
      <c r="U11" s="1264">
        <v>24141889</v>
      </c>
      <c r="V11" s="1264" t="s">
        <v>440</v>
      </c>
      <c r="W11" s="1264" t="s">
        <v>434</v>
      </c>
      <c r="X11" s="1203">
        <v>40486.434999999998</v>
      </c>
      <c r="Y11" s="1264" t="s">
        <v>128</v>
      </c>
      <c r="Z11" s="1264">
        <v>1</v>
      </c>
      <c r="AA11" s="1264">
        <v>1</v>
      </c>
      <c r="AB11" s="1067" t="s">
        <v>204</v>
      </c>
      <c r="AC11" s="1217"/>
      <c r="AD11" s="1326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SUMPRODUCT(--(TRIM(LOWER(W1:W393))="jabodetabek"), --(LOWER(AC1:AC393)&lt;&gt;"add"))</f>
        <v>7</v>
      </c>
      <c r="C12" s="748" cm="1">
        <f t="array" ref="C12">SUMPRODUCT(--(LOWER(AB1:AB393)="masuk"), --(TRIM(LOWER(W1:W393))="jabodetabek"), --(LOWER(AC1:AC393)&lt;&gt;"add"))</f>
        <v>7</v>
      </c>
      <c r="D12" s="973">
        <f>C12+-B12</f>
        <v>0</v>
      </c>
      <c r="E12" s="734"/>
      <c r="F12" s="748" cm="1">
        <f t="array" ref="F12">SUMPRODUCT(--(LOWER(AC1:AC393)="add"), --(TRIM(LOWER(W1:W393))="jabodetabek"))</f>
        <v>3</v>
      </c>
      <c r="G12" s="747" cm="1">
        <f t="array" ref="G12">SUMPRODUCT(--(LOWER(AB1:AB393)="masuk"), --(LOWER(AC1:AC393)="add"), --(TRIM(LOWER(W1:W393))="jabodetabek"))</f>
        <v>3</v>
      </c>
      <c r="H12" s="740">
        <f>G12+-F12</f>
        <v>0</v>
      </c>
      <c r="I12" s="734"/>
      <c r="J12" s="748" cm="1">
        <f t="array" ref="J12">SUMPRODUCT(--(ISNUMBER(SEARCH("jabodetabek next day",LOWER(W1:W393)))+ISNUMBER(SEARCH("jabodetabek nextday",LOWER(W1:W393)))&gt; 0))</f>
        <v>3</v>
      </c>
      <c r="K12" s="747" cm="1">
        <f t="array" ref="K12">SUMPRODUCT(--(LOWER(AB1:AB393)="masuk"), --(LOWER(TRIM(W1:W393))="jabodetabek next day"))</f>
        <v>3</v>
      </c>
      <c r="L12" s="740">
        <f>K12+-J12</f>
        <v>0</v>
      </c>
      <c r="M12" s="734"/>
      <c r="N12" s="748">
        <f t="shared" ref="N12:P16" si="0">B12+F12+J12</f>
        <v>13</v>
      </c>
      <c r="O12" s="747">
        <f t="shared" si="0"/>
        <v>13</v>
      </c>
      <c r="P12" s="740">
        <f t="shared" si="0"/>
        <v>0</v>
      </c>
      <c r="R12" s="1209" t="s">
        <v>794</v>
      </c>
      <c r="S12" s="1209">
        <v>3331564036</v>
      </c>
      <c r="T12" s="1264" t="s">
        <v>439</v>
      </c>
      <c r="U12" s="1264">
        <v>24141890</v>
      </c>
      <c r="V12" s="1264" t="s">
        <v>440</v>
      </c>
      <c r="W12" s="1264" t="s">
        <v>434</v>
      </c>
      <c r="X12" s="1203">
        <f>13986.223+25201.81</f>
        <v>39188.033000000003</v>
      </c>
      <c r="Y12" s="1264" t="s">
        <v>128</v>
      </c>
      <c r="Z12" s="1264">
        <v>1</v>
      </c>
      <c r="AA12" s="1264">
        <v>1</v>
      </c>
      <c r="AB12" s="1067" t="s">
        <v>204</v>
      </c>
      <c r="AC12" s="1217"/>
      <c r="AD12" s="1326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SUMPRODUCT(--(TRIM(LOWER(W1:W393))="jawa tengah"), --(LOWER(AC1:AC393)&lt;&gt;"add"))</f>
        <v>10</v>
      </c>
      <c r="C13" s="750" cm="1">
        <f t="array" ref="C13">SUMPRODUCT(--(LOWER(AB1:AB393)="masuk"), --(TRIM(LOWER(W1:W393))="jawa tengah"), --(LOWER(AC1:AC393)&lt;&gt;"add"))</f>
        <v>9</v>
      </c>
      <c r="D13" s="846">
        <f>C13+-B13</f>
        <v>-1</v>
      </c>
      <c r="E13" s="734"/>
      <c r="F13" s="751" cm="1">
        <f t="array" ref="F13">SUMPRODUCT(--(LOWER(AC1:AC393)="add"), --(TRIM(LOWER(W1:W393))="jawa tengah"))</f>
        <v>0</v>
      </c>
      <c r="G13" s="747" cm="1">
        <f t="array" ref="G13">SUMPRODUCT(--(LOWER(AB1:AB393)="masuk"), --(LOWER(AC1:AC393)="add"), --(TRIM(LOWER(W1:W393))="jawa tengah"))</f>
        <v>0</v>
      </c>
      <c r="H13" s="740">
        <f>G13+-F13</f>
        <v>0</v>
      </c>
      <c r="I13" s="734"/>
      <c r="J13" s="748" cm="1">
        <f t="array" ref="J13">SUMPRODUCT(--((LOWER(TRIM(W1:W393))="jawa tengah next day")+(LOWER(TRIM(W1:W393))="jawa tengah nextday")))</f>
        <v>0</v>
      </c>
      <c r="K13" s="747" cm="1">
        <f t="array" ref="K13">SUMPRODUCT(--(LOWER(AB1:AB393)="masuk"), --(LOWER(TRIM(W1:W393))="jawa tengah next day"))</f>
        <v>0</v>
      </c>
      <c r="L13" s="740">
        <f>K13+-J13</f>
        <v>0</v>
      </c>
      <c r="M13" s="734"/>
      <c r="N13" s="748">
        <f t="shared" si="0"/>
        <v>10</v>
      </c>
      <c r="O13" s="747">
        <f t="shared" si="0"/>
        <v>9</v>
      </c>
      <c r="P13" s="740">
        <f t="shared" si="0"/>
        <v>-1</v>
      </c>
      <c r="R13" s="1209" t="s">
        <v>794</v>
      </c>
      <c r="S13" s="1209">
        <v>3331564037</v>
      </c>
      <c r="T13" s="1264" t="s">
        <v>256</v>
      </c>
      <c r="U13" s="1264" t="s">
        <v>256</v>
      </c>
      <c r="V13" s="1209" t="s">
        <v>256</v>
      </c>
      <c r="W13" s="1264" t="s">
        <v>256</v>
      </c>
      <c r="X13" s="1203" t="s">
        <v>256</v>
      </c>
      <c r="Y13" s="1264" t="s">
        <v>256</v>
      </c>
      <c r="Z13" s="1264" t="s">
        <v>256</v>
      </c>
      <c r="AA13" s="1264" t="s">
        <v>256</v>
      </c>
      <c r="AB13" s="1264" t="s">
        <v>256</v>
      </c>
      <c r="AC13" s="1217"/>
      <c r="AD13" s="1326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SUMPRODUCT(--(TRIM(LOWER(W1:W393))="jawa timur"), --(LOWER(AC1:AC393)&lt;&gt;"add"))</f>
        <v>18</v>
      </c>
      <c r="C14" s="750" cm="1">
        <f t="array" ref="C14">SUMPRODUCT(--(LOWER(AB1:AB393)="masuk"), --(TRIM(LOWER(W1:W393))="jawa timur"), --(LOWER(AC1:AC393)&lt;&gt;"add"))</f>
        <v>15</v>
      </c>
      <c r="D14" s="846">
        <f>C14+-B14</f>
        <v>-3</v>
      </c>
      <c r="E14" s="734"/>
      <c r="F14" s="750" cm="1">
        <f t="array" ref="F14">SUMPRODUCT(--(LOWER(AC1:AC393)="add"), --(TRIM(LOWER(W1:W393))="jawa timur"))</f>
        <v>2</v>
      </c>
      <c r="G14" s="747" cm="1">
        <f t="array" ref="G14">SUMPRODUCT(--(LOWER(AB1:AB393)="masuk"), --(LOWER(AC1:AC393)="add"), --(TRIM(LOWER(W1:W393))="jawa timur"))</f>
        <v>2</v>
      </c>
      <c r="H14" s="740">
        <f>G14+-F14</f>
        <v>0</v>
      </c>
      <c r="I14" s="734"/>
      <c r="J14" s="748" cm="1">
        <f t="array" ref="J14">SUMPRODUCT(--((LOWER(TRIM(W1:W393))="jawa timur next day")+(LOWER(TRIM(W1:W393))="jawa timur nextday")))</f>
        <v>0</v>
      </c>
      <c r="K14" s="747" cm="1">
        <f t="array" ref="K14">SUMPRODUCT(--(LOWER(AB1:AB393)="masuk"), --(LOWER(TRIM(W1:W393))="jawa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17</v>
      </c>
      <c r="P14" s="740">
        <f t="shared" si="0"/>
        <v>-3</v>
      </c>
      <c r="R14" s="1209" t="s">
        <v>794</v>
      </c>
      <c r="S14" s="1209">
        <v>3331564029</v>
      </c>
      <c r="T14" s="1264" t="s">
        <v>439</v>
      </c>
      <c r="U14" s="1264">
        <v>24141889</v>
      </c>
      <c r="V14" s="1264" t="s">
        <v>440</v>
      </c>
      <c r="W14" s="1264" t="s">
        <v>434</v>
      </c>
      <c r="X14" s="1203">
        <v>40486.434999999998</v>
      </c>
      <c r="Y14" s="1264" t="s">
        <v>128</v>
      </c>
      <c r="Z14" s="1264">
        <v>1</v>
      </c>
      <c r="AA14" s="1264">
        <v>1</v>
      </c>
      <c r="AB14" s="1067" t="s">
        <v>204</v>
      </c>
      <c r="AC14" s="1217"/>
      <c r="AD14" s="1326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SUMPRODUCT(--(TRIM(LOWER(W1:W393))="luar pulau"), --(LOWER(AC1:AC393)&lt;&gt;"add"))</f>
        <v>7</v>
      </c>
      <c r="C15" s="750" cm="1">
        <f t="array" ref="C15">SUMPRODUCT(--(LOWER(AB1:AB393)="masuk"), --(TRIM(LOWER(W1:W393))="luar pulau"), --(LOWER(AC1:AC393)&lt;&gt;"add"))</f>
        <v>5</v>
      </c>
      <c r="D15" s="846">
        <f>C15+-B15</f>
        <v>-2</v>
      </c>
      <c r="E15" s="734"/>
      <c r="F15" s="748" cm="1">
        <f t="array" ref="F15">SUMPRODUCT(--(LOWER(AC1:AC393)="add"), --(TRIM(LOWER(W1:W393))="luar pulau"))</f>
        <v>0</v>
      </c>
      <c r="G15" s="747" cm="1">
        <f t="array" ref="G15">SUMPRODUCT(--(LOWER(AB1:AB393)="masuk"), --(LOWER(AC1:AC393)="add"), --(TRIM(LOWER(W1:W393))="luar pulau"))</f>
        <v>0</v>
      </c>
      <c r="H15" s="740">
        <f>G15+-F15</f>
        <v>0</v>
      </c>
      <c r="I15" s="734"/>
      <c r="J15" s="748" cm="1">
        <f t="array" ref="J15">SUMPRODUCT(--((LOWER(TRIM(W1:W393))="luar pulau next day")+(LOWER(TRIM(W1:W393))="luar pulau nextday")))</f>
        <v>0</v>
      </c>
      <c r="K15" s="747" cm="1">
        <f t="array" ref="K15">SUMPRODUCT(--(LOWER(AB1:AB393)="masuk"), --(LOWER(TRIM(W1:W393))="luar pulau next day"))</f>
        <v>0</v>
      </c>
      <c r="L15" s="740">
        <f>K15+-J15</f>
        <v>0</v>
      </c>
      <c r="M15" s="734"/>
      <c r="N15" s="748">
        <f t="shared" si="0"/>
        <v>7</v>
      </c>
      <c r="O15" s="747">
        <f t="shared" si="0"/>
        <v>5</v>
      </c>
      <c r="P15" s="740">
        <f t="shared" si="0"/>
        <v>-2</v>
      </c>
      <c r="R15" s="1209" t="s">
        <v>794</v>
      </c>
      <c r="S15" s="1209">
        <v>3331564036</v>
      </c>
      <c r="T15" s="1264" t="s">
        <v>439</v>
      </c>
      <c r="U15" s="1264">
        <v>24141890</v>
      </c>
      <c r="V15" s="1264" t="s">
        <v>440</v>
      </c>
      <c r="W15" s="1264" t="s">
        <v>434</v>
      </c>
      <c r="X15" s="1203">
        <f>13986.223+25201.81</f>
        <v>39188.033000000003</v>
      </c>
      <c r="Y15" s="1264" t="s">
        <v>128</v>
      </c>
      <c r="Z15" s="1264">
        <v>1</v>
      </c>
      <c r="AA15" s="1264">
        <v>1</v>
      </c>
      <c r="AB15" s="1067" t="s">
        <v>204</v>
      </c>
      <c r="AC15" s="1217"/>
      <c r="AD15" s="1326"/>
      <c r="AE15" s="44"/>
      <c r="AF15" s="44"/>
      <c r="AG15" s="44"/>
    </row>
    <row r="16" spans="1:33" ht="17.399999999999999">
      <c r="A16" s="827"/>
      <c r="B16" s="733">
        <f>SUM(B12:B15)</f>
        <v>42</v>
      </c>
      <c r="C16" s="733">
        <f>SUM(C12:C15)</f>
        <v>36</v>
      </c>
      <c r="D16" s="739">
        <f>SUM(D12:D15)</f>
        <v>-6</v>
      </c>
      <c r="E16" s="734"/>
      <c r="F16" s="733">
        <f>SUM(F12:F15)</f>
        <v>5</v>
      </c>
      <c r="G16" s="733">
        <f>SUM(G12:G15)</f>
        <v>5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 t="shared" si="0"/>
        <v>50</v>
      </c>
      <c r="O16" s="760">
        <f t="shared" si="0"/>
        <v>44</v>
      </c>
      <c r="P16" s="761">
        <f t="shared" si="0"/>
        <v>-6</v>
      </c>
      <c r="R16" s="1209" t="s">
        <v>794</v>
      </c>
      <c r="S16" s="1209">
        <v>3331564037</v>
      </c>
      <c r="T16" s="1264" t="s">
        <v>256</v>
      </c>
      <c r="U16" s="1264" t="s">
        <v>256</v>
      </c>
      <c r="V16" s="1209" t="s">
        <v>256</v>
      </c>
      <c r="W16" s="1264" t="s">
        <v>256</v>
      </c>
      <c r="X16" s="1203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17"/>
      <c r="AD16" s="1326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17" t="s">
        <v>443</v>
      </c>
      <c r="S17" s="1217">
        <v>3331563747</v>
      </c>
      <c r="T17" s="1294" t="s">
        <v>351</v>
      </c>
      <c r="U17" s="1294">
        <v>24141844</v>
      </c>
      <c r="V17" s="1217" t="s">
        <v>687</v>
      </c>
      <c r="W17" s="1294" t="s">
        <v>362</v>
      </c>
      <c r="X17" s="1191">
        <v>24712.39</v>
      </c>
      <c r="Y17" s="1190" t="s">
        <v>426</v>
      </c>
      <c r="Z17" s="1190">
        <v>1</v>
      </c>
      <c r="AA17" s="1190">
        <v>1</v>
      </c>
      <c r="AB17" s="1241" t="s">
        <v>207</v>
      </c>
      <c r="AC17" s="1217"/>
      <c r="AD17" s="1326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794</v>
      </c>
      <c r="S18" s="1264">
        <v>3331563784</v>
      </c>
      <c r="T18" s="1264" t="s">
        <v>459</v>
      </c>
      <c r="U18" s="1202">
        <v>24141854</v>
      </c>
      <c r="V18" s="1202" t="s">
        <v>413</v>
      </c>
      <c r="W18" s="1202" t="s">
        <v>205</v>
      </c>
      <c r="X18" s="1203">
        <v>30014.01</v>
      </c>
      <c r="Y18" s="1202" t="s">
        <v>426</v>
      </c>
      <c r="Z18" s="1202">
        <v>1</v>
      </c>
      <c r="AA18" s="1202">
        <v>1</v>
      </c>
      <c r="AB18" s="1208" t="s">
        <v>204</v>
      </c>
      <c r="AC18" s="1209"/>
      <c r="AD18" s="1326"/>
    </row>
    <row r="19" spans="1:30" s="44" customFormat="1" ht="17.399999999999999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9" t="s">
        <v>794</v>
      </c>
      <c r="S19" s="1209">
        <v>3331564112</v>
      </c>
      <c r="T19" s="1264" t="s">
        <v>256</v>
      </c>
      <c r="U19" s="1264" t="s">
        <v>256</v>
      </c>
      <c r="V19" s="1209" t="s">
        <v>256</v>
      </c>
      <c r="W19" s="1264" t="s">
        <v>256</v>
      </c>
      <c r="X19" s="1203" t="s">
        <v>256</v>
      </c>
      <c r="Y19" s="1202" t="s">
        <v>256</v>
      </c>
      <c r="Z19" s="1202" t="s">
        <v>256</v>
      </c>
      <c r="AA19" s="1202" t="s">
        <v>256</v>
      </c>
      <c r="AB19" s="1244" t="s">
        <v>256</v>
      </c>
      <c r="AC19" s="1217"/>
      <c r="AD19" s="1326"/>
    </row>
    <row r="20" spans="1:30" s="44" customFormat="1" ht="17.399999999999999">
      <c r="A20" s="1520" t="s">
        <v>434</v>
      </c>
      <c r="B20" s="1522" t="s">
        <v>415</v>
      </c>
      <c r="C20" s="1523"/>
      <c r="D20" s="152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794</v>
      </c>
      <c r="S20" s="1227">
        <v>3331564206</v>
      </c>
      <c r="T20" s="1264" t="s">
        <v>11</v>
      </c>
      <c r="U20" s="1227">
        <v>24141917</v>
      </c>
      <c r="V20" s="1227" t="s">
        <v>792</v>
      </c>
      <c r="W20" s="1227" t="s">
        <v>803</v>
      </c>
      <c r="X20" s="1229">
        <v>39416.589</v>
      </c>
      <c r="Y20" s="1202" t="s">
        <v>128</v>
      </c>
      <c r="Z20" s="1202">
        <v>1</v>
      </c>
      <c r="AA20" s="1202">
        <v>1</v>
      </c>
      <c r="AB20" s="1244" t="s">
        <v>204</v>
      </c>
      <c r="AC20" s="1271" t="s">
        <v>422</v>
      </c>
      <c r="AD20" s="81"/>
    </row>
    <row r="21" spans="1:30" s="44" customFormat="1" ht="17.399999999999999">
      <c r="A21" s="152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1" t="s">
        <v>794</v>
      </c>
      <c r="S21" s="1227">
        <v>3331564210</v>
      </c>
      <c r="T21" s="1264" t="s">
        <v>11</v>
      </c>
      <c r="U21" s="1227">
        <v>24141916</v>
      </c>
      <c r="V21" s="1227" t="s">
        <v>792</v>
      </c>
      <c r="W21" s="1227" t="s">
        <v>803</v>
      </c>
      <c r="X21" s="1229">
        <f>32798.542+9235.08</f>
        <v>42033.622000000003</v>
      </c>
      <c r="Y21" s="1202" t="s">
        <v>128</v>
      </c>
      <c r="Z21" s="1202">
        <v>1</v>
      </c>
      <c r="AA21" s="1202">
        <v>1</v>
      </c>
      <c r="AB21" s="1244" t="s">
        <v>204</v>
      </c>
      <c r="AC21" s="1271" t="s">
        <v>422</v>
      </c>
      <c r="AD21" s="81"/>
    </row>
    <row r="22" spans="1:30" s="44" customFormat="1" ht="18">
      <c r="A22" s="968" t="s">
        <v>427</v>
      </c>
      <c r="B22" s="970" cm="1">
        <f t="array" ref="B22">SUMPRODUCT(--((LOWER(TRIM($W$2:$W$386))="ambil sendiri")+(LOWER(TRIM($W$2:$W$386))="cokot sorangan")))</f>
        <v>5</v>
      </c>
      <c r="C22" s="969" cm="1">
        <f t="array" ref="C22">SUMPRODUCT(--(LOWER(AB2:AB412)="masuk"), --((LOWER(TRIM($W$2:$W$412))="cokot sorangan") + (LOWER(TRIM(W2:W412))="ambil sendiri")))</f>
        <v>5</v>
      </c>
      <c r="D22" s="741">
        <f>C22+-B22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1" t="s">
        <v>794</v>
      </c>
      <c r="S22" s="1227">
        <v>3331564212</v>
      </c>
      <c r="T22" s="1317" t="s">
        <v>256</v>
      </c>
      <c r="U22" s="1227" t="s">
        <v>256</v>
      </c>
      <c r="V22" s="1227" t="s">
        <v>256</v>
      </c>
      <c r="W22" s="1227" t="s">
        <v>256</v>
      </c>
      <c r="X22" s="1229" t="s">
        <v>256</v>
      </c>
      <c r="Y22" s="1202" t="s">
        <v>256</v>
      </c>
      <c r="Z22" s="1202" t="s">
        <v>256</v>
      </c>
      <c r="AA22" s="1202" t="s">
        <v>256</v>
      </c>
      <c r="AB22" s="1244" t="s">
        <v>256</v>
      </c>
      <c r="AC22" s="1271"/>
      <c r="AD22" s="81"/>
    </row>
    <row r="23" spans="1:30" s="44" customFormat="1" ht="17.399999999999999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9" t="s">
        <v>822</v>
      </c>
      <c r="S23" s="1209">
        <v>3331564389</v>
      </c>
      <c r="T23" s="1264" t="s">
        <v>148</v>
      </c>
      <c r="U23" s="1209">
        <v>24141925</v>
      </c>
      <c r="V23" s="1264" t="s">
        <v>413</v>
      </c>
      <c r="W23" s="1227" t="s">
        <v>803</v>
      </c>
      <c r="X23" s="1281">
        <v>41215.82</v>
      </c>
      <c r="Y23" s="1209" t="s">
        <v>128</v>
      </c>
      <c r="Z23" s="1202">
        <v>1</v>
      </c>
      <c r="AA23" s="1202">
        <v>1</v>
      </c>
      <c r="AB23" s="1244" t="s">
        <v>204</v>
      </c>
      <c r="AC23" s="1217"/>
      <c r="AD23" s="1326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9" t="s">
        <v>822</v>
      </c>
      <c r="S24" s="1209">
        <v>3331564390</v>
      </c>
      <c r="T24" s="1264" t="s">
        <v>27</v>
      </c>
      <c r="U24" s="1209">
        <v>24141924</v>
      </c>
      <c r="V24" s="1264" t="s">
        <v>413</v>
      </c>
      <c r="W24" s="1227" t="s">
        <v>803</v>
      </c>
      <c r="X24" s="1281">
        <f>16417.92+10774.26</f>
        <v>27192.18</v>
      </c>
      <c r="Y24" s="1209" t="s">
        <v>128</v>
      </c>
      <c r="Z24" s="1202">
        <v>1</v>
      </c>
      <c r="AA24" s="1202">
        <v>1</v>
      </c>
      <c r="AB24" s="1244" t="s">
        <v>204</v>
      </c>
      <c r="AC24" s="1217"/>
      <c r="AD24" s="1326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2" t="s">
        <v>794</v>
      </c>
      <c r="S25" s="1202">
        <v>3331564400</v>
      </c>
      <c r="T25" s="1317" t="s">
        <v>256</v>
      </c>
      <c r="U25" s="1227" t="s">
        <v>256</v>
      </c>
      <c r="V25" s="1227" t="s">
        <v>256</v>
      </c>
      <c r="W25" s="1227" t="s">
        <v>256</v>
      </c>
      <c r="X25" s="1229" t="s">
        <v>256</v>
      </c>
      <c r="Y25" s="1202" t="s">
        <v>256</v>
      </c>
      <c r="Z25" s="1202" t="s">
        <v>256</v>
      </c>
      <c r="AA25" s="1202" t="s">
        <v>256</v>
      </c>
      <c r="AB25" s="1244" t="s">
        <v>256</v>
      </c>
      <c r="AC25" s="1190"/>
      <c r="AD25" s="1326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52" t="s">
        <v>443</v>
      </c>
      <c r="S26" s="1209">
        <v>3331563692</v>
      </c>
      <c r="T26" s="1264" t="s">
        <v>459</v>
      </c>
      <c r="U26" s="1202">
        <v>24141835</v>
      </c>
      <c r="V26" s="1202" t="s">
        <v>435</v>
      </c>
      <c r="W26" s="1202" t="s">
        <v>205</v>
      </c>
      <c r="X26" s="1203">
        <f>7311.105+3010.455+11085.056+5643.66</f>
        <v>27050.276000000002</v>
      </c>
      <c r="Y26" s="1202" t="s">
        <v>128</v>
      </c>
      <c r="Z26" s="1202">
        <v>1</v>
      </c>
      <c r="AA26" s="1202">
        <v>1</v>
      </c>
      <c r="AB26" s="1208" t="s">
        <v>204</v>
      </c>
      <c r="AC26" s="1217"/>
      <c r="AD26" s="1326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52" t="s">
        <v>443</v>
      </c>
      <c r="S27" s="1209">
        <v>3331563694</v>
      </c>
      <c r="T27" s="1264" t="s">
        <v>256</v>
      </c>
      <c r="U27" s="1202" t="s">
        <v>256</v>
      </c>
      <c r="V27" s="1202" t="s">
        <v>256</v>
      </c>
      <c r="W27" s="1202" t="s">
        <v>256</v>
      </c>
      <c r="X27" s="1203" t="s">
        <v>256</v>
      </c>
      <c r="Y27" s="1202" t="s">
        <v>256</v>
      </c>
      <c r="Z27" s="1202" t="s">
        <v>256</v>
      </c>
      <c r="AA27" s="1202" t="s">
        <v>256</v>
      </c>
      <c r="AB27" s="1208" t="s">
        <v>256</v>
      </c>
      <c r="AC27" s="1217"/>
      <c r="AD27" s="1326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52" t="s">
        <v>443</v>
      </c>
      <c r="S28" s="1209">
        <v>3331563698</v>
      </c>
      <c r="T28" s="1264" t="s">
        <v>256</v>
      </c>
      <c r="U28" s="1202" t="s">
        <v>256</v>
      </c>
      <c r="V28" s="1202" t="s">
        <v>256</v>
      </c>
      <c r="W28" s="1202" t="s">
        <v>256</v>
      </c>
      <c r="X28" s="1203" t="s">
        <v>256</v>
      </c>
      <c r="Y28" s="1202" t="s">
        <v>256</v>
      </c>
      <c r="Z28" s="1202" t="s">
        <v>256</v>
      </c>
      <c r="AA28" s="1202" t="s">
        <v>256</v>
      </c>
      <c r="AB28" s="1208" t="s">
        <v>256</v>
      </c>
      <c r="AC28" s="1217"/>
      <c r="AD28" s="1326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52" t="s">
        <v>443</v>
      </c>
      <c r="S29" s="1209">
        <v>3331564174</v>
      </c>
      <c r="T29" s="1264" t="s">
        <v>256</v>
      </c>
      <c r="U29" s="1202" t="s">
        <v>256</v>
      </c>
      <c r="V29" s="1202" t="s">
        <v>256</v>
      </c>
      <c r="W29" s="1202" t="s">
        <v>256</v>
      </c>
      <c r="X29" s="1203" t="s">
        <v>256</v>
      </c>
      <c r="Y29" s="1202" t="s">
        <v>256</v>
      </c>
      <c r="Z29" s="1202" t="s">
        <v>256</v>
      </c>
      <c r="AA29" s="1202" t="s">
        <v>256</v>
      </c>
      <c r="AB29" s="1208" t="s">
        <v>256</v>
      </c>
      <c r="AC29" s="1217"/>
      <c r="AD29" s="1326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02" t="s">
        <v>822</v>
      </c>
      <c r="S30" s="1264">
        <v>3331562116</v>
      </c>
      <c r="T30" s="1264" t="s">
        <v>424</v>
      </c>
      <c r="U30" s="1202">
        <v>24141691</v>
      </c>
      <c r="V30" s="1209" t="s">
        <v>425</v>
      </c>
      <c r="W30" s="1264" t="s">
        <v>362</v>
      </c>
      <c r="X30" s="1203">
        <v>23209.335999999999</v>
      </c>
      <c r="Y30" s="1202" t="s">
        <v>426</v>
      </c>
      <c r="Z30" s="1202">
        <v>1</v>
      </c>
      <c r="AA30" s="1202">
        <v>1</v>
      </c>
      <c r="AB30" s="1244" t="s">
        <v>204</v>
      </c>
      <c r="AC30" s="1209"/>
      <c r="AD30" s="1174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02" t="s">
        <v>822</v>
      </c>
      <c r="S31" s="1264">
        <v>3331564511</v>
      </c>
      <c r="T31" s="1264" t="s">
        <v>823</v>
      </c>
      <c r="U31" s="1202">
        <v>24141941</v>
      </c>
      <c r="V31" s="1202" t="s">
        <v>444</v>
      </c>
      <c r="W31" s="1202" t="s">
        <v>203</v>
      </c>
      <c r="X31" s="1203">
        <v>90</v>
      </c>
      <c r="Y31" s="1202" t="s">
        <v>128</v>
      </c>
      <c r="Z31" s="1202">
        <v>1</v>
      </c>
      <c r="AA31" s="1202">
        <v>1</v>
      </c>
      <c r="AB31" s="1208" t="s">
        <v>204</v>
      </c>
      <c r="AC31" s="1217"/>
      <c r="AD31" s="1326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2" t="s">
        <v>822</v>
      </c>
      <c r="S32" s="1264">
        <v>3331564512</v>
      </c>
      <c r="T32" s="1264" t="s">
        <v>256</v>
      </c>
      <c r="U32" s="1202" t="s">
        <v>256</v>
      </c>
      <c r="V32" s="1202" t="s">
        <v>256</v>
      </c>
      <c r="W32" s="1202" t="s">
        <v>256</v>
      </c>
      <c r="X32" s="1203" t="s">
        <v>256</v>
      </c>
      <c r="Y32" s="1202" t="s">
        <v>256</v>
      </c>
      <c r="Z32" s="1202" t="s">
        <v>256</v>
      </c>
      <c r="AA32" s="1202" t="s">
        <v>256</v>
      </c>
      <c r="AB32" s="1208" t="s">
        <v>256</v>
      </c>
      <c r="AC32" s="1217"/>
      <c r="AD32" s="1326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822</v>
      </c>
      <c r="S33" s="1209">
        <v>3331564513</v>
      </c>
      <c r="T33" s="1264" t="s">
        <v>27</v>
      </c>
      <c r="U33" s="1202">
        <v>24141942</v>
      </c>
      <c r="V33" s="1202" t="s">
        <v>444</v>
      </c>
      <c r="W33" s="1202" t="s">
        <v>203</v>
      </c>
      <c r="X33" s="1203">
        <f>12041.821+10945.28+1548.234</f>
        <v>24535.335000000003</v>
      </c>
      <c r="Y33" s="1202" t="s">
        <v>200</v>
      </c>
      <c r="Z33" s="1202">
        <v>1</v>
      </c>
      <c r="AA33" s="1202">
        <v>1</v>
      </c>
      <c r="AB33" s="1208" t="s">
        <v>204</v>
      </c>
      <c r="AC33" s="1217"/>
      <c r="AD33" s="1326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9" t="s">
        <v>822</v>
      </c>
      <c r="S34" s="1209">
        <v>3331564514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17"/>
      <c r="AD34" s="1326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52" t="s">
        <v>822</v>
      </c>
      <c r="S35" s="1209">
        <v>3331564526</v>
      </c>
      <c r="T35" s="1264" t="s">
        <v>256</v>
      </c>
      <c r="U35" s="1202" t="s">
        <v>256</v>
      </c>
      <c r="V35" s="1202" t="s">
        <v>256</v>
      </c>
      <c r="W35" s="1202" t="s">
        <v>256</v>
      </c>
      <c r="X35" s="1203" t="s">
        <v>256</v>
      </c>
      <c r="Y35" s="1202" t="s">
        <v>256</v>
      </c>
      <c r="Z35" s="1202" t="s">
        <v>256</v>
      </c>
      <c r="AA35" s="1202" t="s">
        <v>256</v>
      </c>
      <c r="AB35" s="1208" t="s">
        <v>256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52" t="s">
        <v>822</v>
      </c>
      <c r="S36" s="1209">
        <v>3331564524</v>
      </c>
      <c r="T36" s="1264" t="s">
        <v>459</v>
      </c>
      <c r="U36" s="1202">
        <v>24141943</v>
      </c>
      <c r="V36" s="1202" t="s">
        <v>824</v>
      </c>
      <c r="W36" s="1202" t="s">
        <v>203</v>
      </c>
      <c r="X36" s="1203">
        <f>7715.634+18224.696+1505.982</f>
        <v>27446.312000000002</v>
      </c>
      <c r="Y36" s="1202" t="s">
        <v>426</v>
      </c>
      <c r="Z36" s="1202">
        <v>1</v>
      </c>
      <c r="AA36" s="1202">
        <v>1</v>
      </c>
      <c r="AB36" s="1208" t="s">
        <v>204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52" t="s">
        <v>822</v>
      </c>
      <c r="S37" s="1209">
        <v>3331564528</v>
      </c>
      <c r="T37" s="1264" t="s">
        <v>256</v>
      </c>
      <c r="U37" s="1202" t="s">
        <v>256</v>
      </c>
      <c r="V37" s="1202" t="s">
        <v>256</v>
      </c>
      <c r="W37" s="1202" t="s">
        <v>256</v>
      </c>
      <c r="X37" s="1203" t="s">
        <v>256</v>
      </c>
      <c r="Y37" s="1202" t="s">
        <v>256</v>
      </c>
      <c r="Z37" s="1202" t="s">
        <v>256</v>
      </c>
      <c r="AA37" s="1202" t="s">
        <v>256</v>
      </c>
      <c r="AB37" s="1208" t="s">
        <v>256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52" t="s">
        <v>822</v>
      </c>
      <c r="S38" s="1209">
        <v>3331564529</v>
      </c>
      <c r="T38" s="1264" t="s">
        <v>256</v>
      </c>
      <c r="U38" s="1202" t="s">
        <v>256</v>
      </c>
      <c r="V38" s="1202" t="s">
        <v>256</v>
      </c>
      <c r="W38" s="1202" t="s">
        <v>256</v>
      </c>
      <c r="X38" s="1203" t="s">
        <v>256</v>
      </c>
      <c r="Y38" s="1202" t="s">
        <v>256</v>
      </c>
      <c r="Z38" s="1202" t="s">
        <v>256</v>
      </c>
      <c r="AA38" s="1202" t="s">
        <v>256</v>
      </c>
      <c r="AB38" s="1208" t="s">
        <v>256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20" t="s">
        <v>822</v>
      </c>
      <c r="S39" s="1217">
        <v>3331564538</v>
      </c>
      <c r="T39" s="1294" t="s">
        <v>459</v>
      </c>
      <c r="U39" s="1190">
        <v>24141944</v>
      </c>
      <c r="V39" s="1190" t="s">
        <v>824</v>
      </c>
      <c r="W39" s="1190" t="s">
        <v>203</v>
      </c>
      <c r="X39" s="1191">
        <v>27919.518</v>
      </c>
      <c r="Y39" s="1190" t="s">
        <v>426</v>
      </c>
      <c r="Z39" s="1190">
        <v>1</v>
      </c>
      <c r="AA39" s="1190">
        <v>1</v>
      </c>
      <c r="AB39" s="1200" t="s">
        <v>207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20" t="s">
        <v>822</v>
      </c>
      <c r="S40" s="1217">
        <v>3331564541</v>
      </c>
      <c r="T40" s="1294" t="s">
        <v>441</v>
      </c>
      <c r="U40" s="1190">
        <v>24141946</v>
      </c>
      <c r="V40" s="1190" t="s">
        <v>446</v>
      </c>
      <c r="W40" s="1190" t="s">
        <v>205</v>
      </c>
      <c r="X40" s="1191">
        <v>40959.29</v>
      </c>
      <c r="Y40" s="1190" t="s">
        <v>128</v>
      </c>
      <c r="Z40" s="1190">
        <v>1</v>
      </c>
      <c r="AA40" s="1190">
        <v>1</v>
      </c>
      <c r="AB40" s="1200" t="s">
        <v>207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52" t="s">
        <v>822</v>
      </c>
      <c r="S41" s="1209">
        <v>3331564544</v>
      </c>
      <c r="T41" s="1264" t="s">
        <v>459</v>
      </c>
      <c r="U41" s="1202">
        <v>24141947</v>
      </c>
      <c r="V41" s="1202" t="s">
        <v>413</v>
      </c>
      <c r="W41" s="1202" t="s">
        <v>205</v>
      </c>
      <c r="X41" s="1203">
        <v>29415.439999999999</v>
      </c>
      <c r="Y41" s="1202" t="s">
        <v>426</v>
      </c>
      <c r="Z41" s="1202">
        <v>1</v>
      </c>
      <c r="AA41" s="1202">
        <v>1</v>
      </c>
      <c r="AB41" s="1208" t="s">
        <v>204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2" t="s">
        <v>418</v>
      </c>
      <c r="S42" s="1264">
        <v>3331563211</v>
      </c>
      <c r="T42" s="1264" t="s">
        <v>27</v>
      </c>
      <c r="U42" s="1202">
        <v>24141948</v>
      </c>
      <c r="V42" s="1202" t="s">
        <v>446</v>
      </c>
      <c r="W42" s="1202" t="s">
        <v>205</v>
      </c>
      <c r="X42" s="1203">
        <f>18213.63+7962.742</f>
        <v>26176.372000000003</v>
      </c>
      <c r="Y42" s="1202" t="s">
        <v>200</v>
      </c>
      <c r="Z42" s="1202">
        <v>1</v>
      </c>
      <c r="AA42" s="1202">
        <v>1</v>
      </c>
      <c r="AB42" s="1208" t="s">
        <v>204</v>
      </c>
      <c r="AC42" s="1217"/>
      <c r="AD42" s="1326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09" t="s">
        <v>822</v>
      </c>
      <c r="S43" s="1209">
        <v>3331564545</v>
      </c>
      <c r="T43" s="1264" t="s">
        <v>256</v>
      </c>
      <c r="U43" s="1264"/>
      <c r="V43" s="1264" t="s">
        <v>256</v>
      </c>
      <c r="W43" s="1264" t="s">
        <v>256</v>
      </c>
      <c r="X43" s="1203" t="s">
        <v>256</v>
      </c>
      <c r="Y43" s="1264" t="s">
        <v>256</v>
      </c>
      <c r="Z43" s="1264" t="s">
        <v>256</v>
      </c>
      <c r="AA43" s="1264" t="s">
        <v>256</v>
      </c>
      <c r="AB43" s="1264" t="s">
        <v>256</v>
      </c>
      <c r="AC43" s="1217"/>
      <c r="AD43" s="1326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63" t="s">
        <v>822</v>
      </c>
      <c r="S44" s="1264">
        <v>3331564555</v>
      </c>
      <c r="T44" s="1264" t="s">
        <v>441</v>
      </c>
      <c r="U44" s="1264">
        <v>24141949</v>
      </c>
      <c r="V44" s="1264" t="s">
        <v>430</v>
      </c>
      <c r="W44" s="1264" t="s">
        <v>205</v>
      </c>
      <c r="X44" s="1267">
        <f>12299.859+26147.952</f>
        <v>38447.811000000002</v>
      </c>
      <c r="Y44" s="1264" t="s">
        <v>128</v>
      </c>
      <c r="Z44" s="1261">
        <v>1</v>
      </c>
      <c r="AA44" s="1261">
        <v>1</v>
      </c>
      <c r="AB44" s="1268" t="s">
        <v>204</v>
      </c>
      <c r="AC44" s="1270"/>
      <c r="AD44" s="1293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63" t="s">
        <v>822</v>
      </c>
      <c r="S45" s="1264">
        <v>3331564557</v>
      </c>
      <c r="T45" s="1264" t="s">
        <v>256</v>
      </c>
      <c r="U45" s="1264" t="s">
        <v>256</v>
      </c>
      <c r="V45" s="1264" t="s">
        <v>256</v>
      </c>
      <c r="W45" s="1264" t="s">
        <v>256</v>
      </c>
      <c r="X45" s="1267" t="s">
        <v>256</v>
      </c>
      <c r="Y45" s="1264" t="s">
        <v>256</v>
      </c>
      <c r="Z45" s="1264" t="s">
        <v>256</v>
      </c>
      <c r="AA45" s="1264" t="s">
        <v>256</v>
      </c>
      <c r="AB45" s="1264" t="s">
        <v>256</v>
      </c>
      <c r="AC45" s="1270"/>
      <c r="AD45" s="1293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63" t="s">
        <v>822</v>
      </c>
      <c r="S46" s="1264">
        <v>3331564559</v>
      </c>
      <c r="T46" s="1264" t="s">
        <v>441</v>
      </c>
      <c r="U46" s="1264">
        <v>24141950</v>
      </c>
      <c r="V46" s="1264" t="s">
        <v>430</v>
      </c>
      <c r="W46" s="1264" t="s">
        <v>205</v>
      </c>
      <c r="X46" s="1267">
        <v>38441.25</v>
      </c>
      <c r="Y46" s="1264" t="s">
        <v>128</v>
      </c>
      <c r="Z46" s="1261">
        <v>1</v>
      </c>
      <c r="AA46" s="1261">
        <v>1</v>
      </c>
      <c r="AB46" s="1268" t="s">
        <v>204</v>
      </c>
      <c r="AC46" s="1270"/>
      <c r="AD46" s="1293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20" t="s">
        <v>822</v>
      </c>
      <c r="S47" s="1217">
        <v>3331564556</v>
      </c>
      <c r="T47" s="1294" t="s">
        <v>825</v>
      </c>
      <c r="U47" s="1294">
        <v>24141951</v>
      </c>
      <c r="V47" s="1217" t="s">
        <v>413</v>
      </c>
      <c r="W47" s="1294" t="s">
        <v>205</v>
      </c>
      <c r="X47" s="1191">
        <v>40018.68</v>
      </c>
      <c r="Y47" s="1294" t="s">
        <v>128</v>
      </c>
      <c r="Z47" s="1190">
        <v>1</v>
      </c>
      <c r="AA47" s="1190">
        <v>1</v>
      </c>
      <c r="AB47" s="1200" t="s">
        <v>207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810</v>
      </c>
      <c r="S48" s="1209">
        <v>3331564549</v>
      </c>
      <c r="T48" s="1264" t="s">
        <v>27</v>
      </c>
      <c r="U48" s="1264">
        <v>24141952</v>
      </c>
      <c r="V48" s="1209" t="s">
        <v>435</v>
      </c>
      <c r="W48" s="1264" t="s">
        <v>205</v>
      </c>
      <c r="X48" s="1203">
        <f>19202.528+6341.824</f>
        <v>25544.351999999999</v>
      </c>
      <c r="Y48" s="1264" t="s">
        <v>200</v>
      </c>
      <c r="Z48" s="1202">
        <v>1</v>
      </c>
      <c r="AA48" s="1202">
        <v>1</v>
      </c>
      <c r="AB48" s="1208" t="s">
        <v>204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810</v>
      </c>
      <c r="S49" s="1209">
        <v>3331564554</v>
      </c>
      <c r="T49" s="1264" t="s">
        <v>256</v>
      </c>
      <c r="U49" s="1264" t="s">
        <v>256</v>
      </c>
      <c r="V49" s="1209" t="s">
        <v>256</v>
      </c>
      <c r="W49" s="1264" t="s">
        <v>256</v>
      </c>
      <c r="X49" s="1203" t="s">
        <v>256</v>
      </c>
      <c r="Y49" s="1264" t="s">
        <v>256</v>
      </c>
      <c r="Z49" s="1202" t="s">
        <v>256</v>
      </c>
      <c r="AA49" s="1202" t="s">
        <v>256</v>
      </c>
      <c r="AB49" s="1208" t="s">
        <v>256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822</v>
      </c>
      <c r="S50" s="1209">
        <v>3331564573</v>
      </c>
      <c r="T50" s="1264" t="s">
        <v>27</v>
      </c>
      <c r="U50" s="1264">
        <v>24141953</v>
      </c>
      <c r="V50" s="1209" t="s">
        <v>430</v>
      </c>
      <c r="W50" s="1264" t="s">
        <v>205</v>
      </c>
      <c r="X50" s="1203">
        <v>36727.550999999999</v>
      </c>
      <c r="Y50" s="1264" t="s">
        <v>128</v>
      </c>
      <c r="Z50" s="1202">
        <v>1</v>
      </c>
      <c r="AA50" s="1202">
        <v>1</v>
      </c>
      <c r="AB50" s="1208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822</v>
      </c>
      <c r="S51" s="1209">
        <v>3331564579</v>
      </c>
      <c r="T51" s="1264" t="s">
        <v>27</v>
      </c>
      <c r="U51" s="1264">
        <v>24141954</v>
      </c>
      <c r="V51" s="1209" t="s">
        <v>413</v>
      </c>
      <c r="W51" s="1264" t="s">
        <v>205</v>
      </c>
      <c r="X51" s="1203">
        <v>26833.793000000001</v>
      </c>
      <c r="Y51" s="1264" t="s">
        <v>200</v>
      </c>
      <c r="Z51" s="1202">
        <v>1</v>
      </c>
      <c r="AA51" s="1202">
        <v>1</v>
      </c>
      <c r="AB51" s="1208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20" t="s">
        <v>822</v>
      </c>
      <c r="S52" s="1217">
        <v>3331564590</v>
      </c>
      <c r="T52" s="1294" t="s">
        <v>459</v>
      </c>
      <c r="U52" s="1294">
        <v>24141958</v>
      </c>
      <c r="V52" s="1217" t="s">
        <v>580</v>
      </c>
      <c r="W52" s="1294" t="s">
        <v>205</v>
      </c>
      <c r="X52" s="1191">
        <v>25139.94</v>
      </c>
      <c r="Y52" s="1294" t="s">
        <v>200</v>
      </c>
      <c r="Z52" s="1190">
        <v>1</v>
      </c>
      <c r="AA52" s="1190">
        <v>1</v>
      </c>
      <c r="AB52" s="1200" t="s">
        <v>207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822</v>
      </c>
      <c r="S53" s="1209">
        <v>3331564594</v>
      </c>
      <c r="T53" s="1264" t="s">
        <v>27</v>
      </c>
      <c r="U53" s="1264">
        <v>24141956</v>
      </c>
      <c r="V53" s="1209" t="s">
        <v>413</v>
      </c>
      <c r="W53" s="1264" t="s">
        <v>205</v>
      </c>
      <c r="X53" s="1203">
        <v>24981.745999999999</v>
      </c>
      <c r="Y53" s="1264" t="s">
        <v>200</v>
      </c>
      <c r="Z53" s="1202">
        <v>1</v>
      </c>
      <c r="AA53" s="1202">
        <v>1</v>
      </c>
      <c r="AB53" s="1208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822</v>
      </c>
      <c r="S54" s="1209">
        <v>3331564585</v>
      </c>
      <c r="T54" s="1264" t="s">
        <v>27</v>
      </c>
      <c r="U54" s="1264">
        <v>24141957</v>
      </c>
      <c r="V54" s="1209" t="s">
        <v>430</v>
      </c>
      <c r="W54" s="1264" t="s">
        <v>205</v>
      </c>
      <c r="X54" s="1203">
        <f>10911.852+6365.247+8773.326</f>
        <v>26050.425000000003</v>
      </c>
      <c r="Y54" s="1264" t="s">
        <v>200</v>
      </c>
      <c r="Z54" s="1202">
        <v>1</v>
      </c>
      <c r="AA54" s="1202">
        <v>1</v>
      </c>
      <c r="AB54" s="1208" t="s">
        <v>204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822</v>
      </c>
      <c r="S55" s="1209">
        <v>3331564596</v>
      </c>
      <c r="T55" s="1264" t="s">
        <v>256</v>
      </c>
      <c r="U55" s="1264" t="s">
        <v>256</v>
      </c>
      <c r="V55" s="1209" t="s">
        <v>256</v>
      </c>
      <c r="W55" s="1264" t="s">
        <v>256</v>
      </c>
      <c r="X55" s="1203" t="s">
        <v>256</v>
      </c>
      <c r="Y55" s="1264" t="s">
        <v>256</v>
      </c>
      <c r="Z55" s="1264" t="s">
        <v>256</v>
      </c>
      <c r="AA55" s="1264" t="s">
        <v>256</v>
      </c>
      <c r="AB55" s="1264" t="s">
        <v>256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822</v>
      </c>
      <c r="S56" s="1209">
        <v>3331564597</v>
      </c>
      <c r="T56" s="1264" t="s">
        <v>256</v>
      </c>
      <c r="U56" s="1264" t="s">
        <v>256</v>
      </c>
      <c r="V56" s="1209" t="s">
        <v>256</v>
      </c>
      <c r="W56" s="1264" t="s">
        <v>256</v>
      </c>
      <c r="X56" s="1203" t="s">
        <v>256</v>
      </c>
      <c r="Y56" s="1264" t="s">
        <v>256</v>
      </c>
      <c r="Z56" s="1264" t="s">
        <v>256</v>
      </c>
      <c r="AA56" s="1264" t="s">
        <v>256</v>
      </c>
      <c r="AB56" s="1264"/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810</v>
      </c>
      <c r="S57" s="1209">
        <v>3331564602</v>
      </c>
      <c r="T57" s="1264" t="s">
        <v>27</v>
      </c>
      <c r="U57" s="1264">
        <v>24141964</v>
      </c>
      <c r="V57" s="1209" t="s">
        <v>413</v>
      </c>
      <c r="W57" s="1264" t="s">
        <v>205</v>
      </c>
      <c r="X57" s="1203">
        <v>24926.165000000001</v>
      </c>
      <c r="Y57" s="1264" t="s">
        <v>200</v>
      </c>
      <c r="Z57" s="1202">
        <v>1</v>
      </c>
      <c r="AA57" s="1202">
        <v>1</v>
      </c>
      <c r="AB57" s="1208" t="s">
        <v>204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810</v>
      </c>
      <c r="S58" s="1209">
        <v>3331564603</v>
      </c>
      <c r="T58" s="1264" t="s">
        <v>27</v>
      </c>
      <c r="U58" s="1264">
        <v>24141965</v>
      </c>
      <c r="V58" s="1209" t="s">
        <v>486</v>
      </c>
      <c r="W58" s="1264" t="s">
        <v>205</v>
      </c>
      <c r="X58" s="1203">
        <f>33589.333+5985.7</f>
        <v>39575.032999999996</v>
      </c>
      <c r="Y58" s="1264" t="s">
        <v>128</v>
      </c>
      <c r="Z58" s="1202">
        <v>1</v>
      </c>
      <c r="AA58" s="1202">
        <v>1</v>
      </c>
      <c r="AB58" s="1208" t="s">
        <v>204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810</v>
      </c>
      <c r="S59" s="1209">
        <v>3331564606</v>
      </c>
      <c r="T59" s="1264" t="s">
        <v>256</v>
      </c>
      <c r="U59" s="1264" t="s">
        <v>256</v>
      </c>
      <c r="V59" s="1209" t="s">
        <v>256</v>
      </c>
      <c r="W59" s="1264" t="s">
        <v>256</v>
      </c>
      <c r="X59" s="1203" t="s">
        <v>256</v>
      </c>
      <c r="Y59" s="1264" t="s">
        <v>256</v>
      </c>
      <c r="Z59" s="1264" t="s">
        <v>256</v>
      </c>
      <c r="AA59" s="1264" t="s">
        <v>256</v>
      </c>
      <c r="AB59" s="1264" t="s">
        <v>256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810</v>
      </c>
      <c r="S60" s="1209">
        <v>3331564629</v>
      </c>
      <c r="T60" s="1264" t="s">
        <v>424</v>
      </c>
      <c r="U60" s="1264">
        <v>24141980</v>
      </c>
      <c r="V60" s="1209" t="s">
        <v>429</v>
      </c>
      <c r="W60" s="1264" t="s">
        <v>362</v>
      </c>
      <c r="X60" s="1203">
        <f>3593.983+16588.94+3613.552</f>
        <v>23796.474999999999</v>
      </c>
      <c r="Y60" s="1264" t="s">
        <v>426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2" t="s">
        <v>765</v>
      </c>
      <c r="S61" s="1209">
        <v>3331564632</v>
      </c>
      <c r="T61" s="1264" t="s">
        <v>256</v>
      </c>
      <c r="U61" s="1264" t="s">
        <v>256</v>
      </c>
      <c r="V61" s="1209" t="s">
        <v>256</v>
      </c>
      <c r="W61" s="1264" t="s">
        <v>256</v>
      </c>
      <c r="X61" s="1203" t="s">
        <v>256</v>
      </c>
      <c r="Y61" s="1264" t="s">
        <v>256</v>
      </c>
      <c r="Z61" s="1264" t="s">
        <v>256</v>
      </c>
      <c r="AA61" s="1264" t="s">
        <v>256</v>
      </c>
      <c r="AB61" s="1264" t="s">
        <v>256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52" t="s">
        <v>810</v>
      </c>
      <c r="S62" s="1209">
        <v>3331564638</v>
      </c>
      <c r="T62" s="1264" t="s">
        <v>256</v>
      </c>
      <c r="U62" s="1264" t="s">
        <v>256</v>
      </c>
      <c r="V62" s="1209" t="s">
        <v>256</v>
      </c>
      <c r="W62" s="1264" t="s">
        <v>256</v>
      </c>
      <c r="X62" s="1203" t="s">
        <v>256</v>
      </c>
      <c r="Y62" s="1264" t="s">
        <v>256</v>
      </c>
      <c r="Z62" s="1264" t="s">
        <v>256</v>
      </c>
      <c r="AA62" s="1264" t="s">
        <v>256</v>
      </c>
      <c r="AB62" s="1264" t="s">
        <v>256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20" t="s">
        <v>810</v>
      </c>
      <c r="S63" s="1217">
        <v>3331564641</v>
      </c>
      <c r="T63" s="1294" t="s">
        <v>424</v>
      </c>
      <c r="U63" s="1294">
        <v>24141981</v>
      </c>
      <c r="V63" s="1217" t="s">
        <v>429</v>
      </c>
      <c r="W63" s="1294" t="s">
        <v>362</v>
      </c>
      <c r="X63" s="1191">
        <f>2833.902+23173.21</f>
        <v>26007.112000000001</v>
      </c>
      <c r="Y63" s="1294" t="s">
        <v>426</v>
      </c>
      <c r="Z63" s="1294">
        <v>1</v>
      </c>
      <c r="AA63" s="1294">
        <v>1</v>
      </c>
      <c r="AB63" s="1294" t="s">
        <v>207</v>
      </c>
      <c r="AC63" s="1271"/>
      <c r="AD63" s="81"/>
    </row>
    <row r="64" spans="1:30" s="44" customFormat="1">
      <c r="R64" s="1220" t="s">
        <v>810</v>
      </c>
      <c r="S64" s="1217">
        <v>3331564643</v>
      </c>
      <c r="T64" s="1294" t="s">
        <v>256</v>
      </c>
      <c r="U64" s="1294" t="s">
        <v>256</v>
      </c>
      <c r="V64" s="1217" t="s">
        <v>256</v>
      </c>
      <c r="W64" s="1294" t="s">
        <v>256</v>
      </c>
      <c r="X64" s="1191" t="s">
        <v>256</v>
      </c>
      <c r="Y64" s="1294" t="s">
        <v>256</v>
      </c>
      <c r="Z64" s="1294" t="s">
        <v>256</v>
      </c>
      <c r="AA64" s="1294" t="s">
        <v>256</v>
      </c>
      <c r="AB64" s="1294" t="s">
        <v>256</v>
      </c>
      <c r="AC64" s="1271"/>
      <c r="AD64" s="81"/>
    </row>
    <row r="65" spans="18:30" s="44" customFormat="1">
      <c r="R65" s="1220" t="s">
        <v>810</v>
      </c>
      <c r="S65" s="1217">
        <v>3331564644</v>
      </c>
      <c r="T65" s="1294" t="s">
        <v>256</v>
      </c>
      <c r="U65" s="1294">
        <v>24141981</v>
      </c>
      <c r="V65" s="1217" t="s">
        <v>256</v>
      </c>
      <c r="W65" s="1294" t="s">
        <v>256</v>
      </c>
      <c r="X65" s="1191" t="s">
        <v>256</v>
      </c>
      <c r="Y65" s="1294" t="s">
        <v>256</v>
      </c>
      <c r="Z65" s="1294" t="s">
        <v>256</v>
      </c>
      <c r="AA65" s="1294" t="s">
        <v>256</v>
      </c>
      <c r="AB65" s="1294" t="s">
        <v>256</v>
      </c>
      <c r="AC65" s="1271"/>
      <c r="AD65" s="81"/>
    </row>
    <row r="66" spans="18:30" s="44" customFormat="1" ht="15.6">
      <c r="R66" s="1252" t="s">
        <v>443</v>
      </c>
      <c r="S66" s="1209">
        <v>3331563591</v>
      </c>
      <c r="T66" s="1264" t="s">
        <v>336</v>
      </c>
      <c r="U66" s="1209">
        <v>24141821</v>
      </c>
      <c r="V66" s="1264" t="s">
        <v>529</v>
      </c>
      <c r="W66" s="1209" t="s">
        <v>434</v>
      </c>
      <c r="X66" s="1281">
        <f>4214.637+29373.439+4214.637+3117.672</f>
        <v>40920.385000000002</v>
      </c>
      <c r="Y66" s="1209" t="s">
        <v>128</v>
      </c>
      <c r="Z66" s="1264">
        <v>1</v>
      </c>
      <c r="AA66" s="1264">
        <v>1</v>
      </c>
      <c r="AB66" s="1067" t="s">
        <v>204</v>
      </c>
      <c r="AC66" s="1217"/>
      <c r="AD66" s="1326"/>
    </row>
    <row r="67" spans="18:30" s="44" customFormat="1">
      <c r="R67" s="1201" t="s">
        <v>443</v>
      </c>
      <c r="S67" s="1202">
        <v>3331563594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31" t="s">
        <v>256</v>
      </c>
      <c r="Y67" s="1202" t="s">
        <v>256</v>
      </c>
      <c r="Z67" s="1202" t="s">
        <v>256</v>
      </c>
      <c r="AA67" s="1202" t="s">
        <v>256</v>
      </c>
      <c r="AB67" s="1202" t="s">
        <v>256</v>
      </c>
      <c r="AC67" s="1217"/>
      <c r="AD67" s="1326"/>
    </row>
    <row r="68" spans="18:30" s="44" customFormat="1">
      <c r="R68" s="1252" t="s">
        <v>443</v>
      </c>
      <c r="S68" s="1209">
        <v>3331563596</v>
      </c>
      <c r="T68" s="1264" t="s">
        <v>256</v>
      </c>
      <c r="U68" s="1202" t="s">
        <v>256</v>
      </c>
      <c r="V68" s="1202" t="s">
        <v>256</v>
      </c>
      <c r="W68" s="1202" t="s">
        <v>256</v>
      </c>
      <c r="X68" s="1231" t="s">
        <v>256</v>
      </c>
      <c r="Y68" s="1202" t="s">
        <v>256</v>
      </c>
      <c r="Z68" s="1202" t="s">
        <v>256</v>
      </c>
      <c r="AA68" s="1202" t="s">
        <v>256</v>
      </c>
      <c r="AB68" s="1202" t="s">
        <v>256</v>
      </c>
      <c r="AC68" s="1217"/>
      <c r="AD68" s="1326"/>
    </row>
    <row r="69" spans="18:30" s="44" customFormat="1">
      <c r="R69" s="1252" t="s">
        <v>794</v>
      </c>
      <c r="S69" s="1209">
        <v>3331564035</v>
      </c>
      <c r="T69" s="1264" t="s">
        <v>256</v>
      </c>
      <c r="U69" s="1202" t="s">
        <v>256</v>
      </c>
      <c r="V69" s="1202" t="s">
        <v>256</v>
      </c>
      <c r="W69" s="1202" t="s">
        <v>256</v>
      </c>
      <c r="X69" s="1231" t="s">
        <v>256</v>
      </c>
      <c r="Y69" s="1202" t="s">
        <v>256</v>
      </c>
      <c r="Z69" s="1202" t="s">
        <v>256</v>
      </c>
      <c r="AA69" s="1202" t="s">
        <v>256</v>
      </c>
      <c r="AB69" s="1202" t="s">
        <v>256</v>
      </c>
      <c r="AC69" s="1217"/>
      <c r="AD69" s="1326"/>
    </row>
    <row r="70" spans="18:30" s="44" customFormat="1" ht="15.6">
      <c r="R70" s="1202" t="s">
        <v>822</v>
      </c>
      <c r="S70" s="1202">
        <v>3331564391</v>
      </c>
      <c r="T70" s="1261" t="s">
        <v>27</v>
      </c>
      <c r="U70" s="1261">
        <v>24141920</v>
      </c>
      <c r="V70" s="1202" t="s">
        <v>219</v>
      </c>
      <c r="W70" s="1261" t="s">
        <v>199</v>
      </c>
      <c r="X70" s="1203">
        <v>26420.075000000001</v>
      </c>
      <c r="Y70" s="1202" t="s">
        <v>200</v>
      </c>
      <c r="Z70" s="1202">
        <v>1</v>
      </c>
      <c r="AA70" s="1202">
        <v>1</v>
      </c>
      <c r="AB70" s="1244" t="s">
        <v>204</v>
      </c>
      <c r="AC70" s="1217"/>
      <c r="AD70" s="1326"/>
    </row>
    <row r="71" spans="18:30" s="44" customFormat="1" ht="15.6">
      <c r="R71" s="1202" t="s">
        <v>822</v>
      </c>
      <c r="S71" s="1202">
        <v>3331564394</v>
      </c>
      <c r="T71" s="1202" t="s">
        <v>462</v>
      </c>
      <c r="U71" s="1261">
        <v>24141921</v>
      </c>
      <c r="V71" s="1202" t="s">
        <v>219</v>
      </c>
      <c r="W71" s="1261" t="s">
        <v>340</v>
      </c>
      <c r="X71" s="1203">
        <v>26067.202000000001</v>
      </c>
      <c r="Y71" s="1202" t="s">
        <v>200</v>
      </c>
      <c r="Z71" s="1202">
        <v>1</v>
      </c>
      <c r="AA71" s="1202">
        <v>1</v>
      </c>
      <c r="AB71" s="1244" t="s">
        <v>204</v>
      </c>
      <c r="AC71" s="1217"/>
      <c r="AD71" s="1326"/>
    </row>
    <row r="72" spans="18:30" s="44" customFormat="1" ht="15.6">
      <c r="R72" s="1202" t="s">
        <v>822</v>
      </c>
      <c r="S72" s="1261">
        <v>3331564398</v>
      </c>
      <c r="T72" s="1202" t="s">
        <v>287</v>
      </c>
      <c r="U72" s="1202">
        <v>24141922</v>
      </c>
      <c r="V72" s="1202" t="s">
        <v>219</v>
      </c>
      <c r="W72" s="1261" t="s">
        <v>340</v>
      </c>
      <c r="X72" s="1203">
        <v>25717.886999999999</v>
      </c>
      <c r="Y72" s="1202" t="s">
        <v>200</v>
      </c>
      <c r="Z72" s="1202">
        <v>1</v>
      </c>
      <c r="AA72" s="1202">
        <v>1</v>
      </c>
      <c r="AB72" s="1244" t="s">
        <v>204</v>
      </c>
      <c r="AC72" s="1217"/>
      <c r="AD72" s="1326"/>
    </row>
    <row r="73" spans="18:30" s="44" customFormat="1" ht="15.6">
      <c r="R73" s="1202" t="s">
        <v>822</v>
      </c>
      <c r="S73" s="1202">
        <v>3331564402</v>
      </c>
      <c r="T73" s="1261" t="s">
        <v>287</v>
      </c>
      <c r="U73" s="1261">
        <v>24141926</v>
      </c>
      <c r="V73" s="1202" t="s">
        <v>368</v>
      </c>
      <c r="W73" s="1261" t="s">
        <v>199</v>
      </c>
      <c r="X73" s="1203">
        <v>26466.853999999999</v>
      </c>
      <c r="Y73" s="1202" t="s">
        <v>200</v>
      </c>
      <c r="Z73" s="1202">
        <v>1</v>
      </c>
      <c r="AA73" s="1202">
        <v>1</v>
      </c>
      <c r="AB73" s="1244" t="s">
        <v>204</v>
      </c>
      <c r="AC73" s="1217"/>
      <c r="AD73" s="1326"/>
    </row>
    <row r="74" spans="18:30" s="44" customFormat="1" ht="15.6">
      <c r="R74" s="1201" t="s">
        <v>822</v>
      </c>
      <c r="S74" s="1227">
        <v>3331564424</v>
      </c>
      <c r="T74" s="1264" t="s">
        <v>11</v>
      </c>
      <c r="U74" s="1227">
        <v>24141935</v>
      </c>
      <c r="V74" s="1227" t="s">
        <v>535</v>
      </c>
      <c r="W74" s="1261" t="s">
        <v>199</v>
      </c>
      <c r="X74" s="1229">
        <f>11400.468+8872.92</f>
        <v>20273.387999999999</v>
      </c>
      <c r="Y74" s="1202" t="s">
        <v>200</v>
      </c>
      <c r="Z74" s="1202">
        <v>1</v>
      </c>
      <c r="AA74" s="1202">
        <v>1</v>
      </c>
      <c r="AB74" s="1244" t="s">
        <v>204</v>
      </c>
      <c r="AC74" s="1217"/>
      <c r="AD74" s="1326"/>
    </row>
    <row r="75" spans="18:30" s="44" customFormat="1" ht="15.6">
      <c r="R75" s="1201" t="s">
        <v>822</v>
      </c>
      <c r="S75" s="1227">
        <v>3331564425</v>
      </c>
      <c r="T75" s="1264" t="s">
        <v>256</v>
      </c>
      <c r="U75" s="1227" t="s">
        <v>256</v>
      </c>
      <c r="V75" s="1227" t="s">
        <v>256</v>
      </c>
      <c r="W75" s="1227" t="s">
        <v>256</v>
      </c>
      <c r="X75" s="1229" t="s">
        <v>256</v>
      </c>
      <c r="Y75" s="1202" t="s">
        <v>256</v>
      </c>
      <c r="Z75" s="1202" t="s">
        <v>256</v>
      </c>
      <c r="AA75" s="1202" t="s">
        <v>256</v>
      </c>
      <c r="AB75" s="1244" t="s">
        <v>256</v>
      </c>
      <c r="AC75" s="1270"/>
      <c r="AD75" s="81"/>
    </row>
    <row r="76" spans="18:30" s="44" customFormat="1" ht="15.6">
      <c r="R76" s="1202" t="s">
        <v>822</v>
      </c>
      <c r="S76" s="1202">
        <v>3331564407</v>
      </c>
      <c r="T76" s="1261" t="s">
        <v>11</v>
      </c>
      <c r="U76" s="1261">
        <v>24141930</v>
      </c>
      <c r="V76" s="1202" t="s">
        <v>368</v>
      </c>
      <c r="W76" s="1261" t="s">
        <v>199</v>
      </c>
      <c r="X76" s="1203">
        <f>8775.338+15691.34</f>
        <v>24466.678</v>
      </c>
      <c r="Y76" s="1202" t="s">
        <v>200</v>
      </c>
      <c r="Z76" s="1202">
        <v>1</v>
      </c>
      <c r="AA76" s="1202">
        <v>1</v>
      </c>
      <c r="AB76" s="1244" t="s">
        <v>204</v>
      </c>
      <c r="AC76" s="1217"/>
      <c r="AD76" s="1326"/>
    </row>
    <row r="77" spans="18:30" s="44" customFormat="1" ht="15.6">
      <c r="R77" s="1201" t="s">
        <v>822</v>
      </c>
      <c r="S77" s="1202">
        <v>3331564411</v>
      </c>
      <c r="T77" s="1261" t="s">
        <v>256</v>
      </c>
      <c r="U77" s="1261" t="s">
        <v>256</v>
      </c>
      <c r="V77" s="1202" t="s">
        <v>256</v>
      </c>
      <c r="W77" s="1261" t="s">
        <v>256</v>
      </c>
      <c r="X77" s="1203" t="s">
        <v>256</v>
      </c>
      <c r="Y77" s="1202" t="s">
        <v>256</v>
      </c>
      <c r="Z77" s="1202" t="s">
        <v>256</v>
      </c>
      <c r="AA77" s="1202" t="s">
        <v>256</v>
      </c>
      <c r="AB77" s="1244" t="s">
        <v>256</v>
      </c>
      <c r="AC77" s="1271"/>
      <c r="AD77" s="81"/>
    </row>
    <row r="78" spans="18:30" s="44" customFormat="1" ht="15.6">
      <c r="R78" s="1340" t="s">
        <v>794</v>
      </c>
      <c r="S78" s="1340">
        <v>3331564406</v>
      </c>
      <c r="T78" s="1202" t="s">
        <v>441</v>
      </c>
      <c r="U78" s="1261">
        <v>24141928</v>
      </c>
      <c r="V78" s="1202" t="s">
        <v>158</v>
      </c>
      <c r="W78" s="1261" t="s">
        <v>340</v>
      </c>
      <c r="X78" s="1203">
        <v>22492.399000000001</v>
      </c>
      <c r="Y78" s="1202" t="s">
        <v>200</v>
      </c>
      <c r="Z78" s="1202">
        <v>1</v>
      </c>
      <c r="AA78" s="1202">
        <v>1</v>
      </c>
      <c r="AB78" s="1078" t="s">
        <v>204</v>
      </c>
      <c r="AC78" s="1271"/>
      <c r="AD78" s="81" t="s">
        <v>94</v>
      </c>
    </row>
    <row r="79" spans="18:30" s="44" customFormat="1" ht="15.6">
      <c r="R79" s="1202" t="s">
        <v>822</v>
      </c>
      <c r="S79" s="1202">
        <v>3331564467</v>
      </c>
      <c r="T79" s="1202" t="s">
        <v>287</v>
      </c>
      <c r="U79" s="1202">
        <v>24141938</v>
      </c>
      <c r="V79" s="1202" t="s">
        <v>150</v>
      </c>
      <c r="W79" s="1261" t="s">
        <v>199</v>
      </c>
      <c r="X79" s="1203">
        <v>26166.06</v>
      </c>
      <c r="Y79" s="1202" t="s">
        <v>200</v>
      </c>
      <c r="Z79" s="1202">
        <v>1</v>
      </c>
      <c r="AA79" s="1202">
        <v>1</v>
      </c>
      <c r="AB79" s="1244" t="s">
        <v>204</v>
      </c>
      <c r="AC79" s="1271"/>
      <c r="AD79" s="81"/>
    </row>
    <row r="80" spans="18:30" s="44" customFormat="1" ht="15.6">
      <c r="R80" s="1201" t="s">
        <v>794</v>
      </c>
      <c r="S80" s="1202">
        <v>3331564469</v>
      </c>
      <c r="T80" s="1202" t="s">
        <v>34</v>
      </c>
      <c r="U80" s="1202">
        <v>24141939</v>
      </c>
      <c r="V80" s="1202" t="s">
        <v>150</v>
      </c>
      <c r="W80" s="1261" t="s">
        <v>199</v>
      </c>
      <c r="X80" s="1203">
        <v>24626.880000000001</v>
      </c>
      <c r="Y80" s="1202" t="s">
        <v>200</v>
      </c>
      <c r="Z80" s="1202">
        <v>1</v>
      </c>
      <c r="AA80" s="1202">
        <v>1</v>
      </c>
      <c r="AB80" s="1244" t="s">
        <v>204</v>
      </c>
      <c r="AC80" s="1271"/>
      <c r="AD80" s="81"/>
    </row>
    <row r="81" spans="18:30" s="44" customFormat="1" ht="15.6">
      <c r="R81" s="1351" t="s">
        <v>822</v>
      </c>
      <c r="S81" s="1340">
        <v>3331564495</v>
      </c>
      <c r="T81" s="1202" t="s">
        <v>441</v>
      </c>
      <c r="U81" s="1202">
        <v>24141940</v>
      </c>
      <c r="V81" s="1202" t="s">
        <v>150</v>
      </c>
      <c r="W81" s="1261" t="s">
        <v>199</v>
      </c>
      <c r="X81" s="1203">
        <f>16759.96+8208.96</f>
        <v>24968.92</v>
      </c>
      <c r="Y81" s="1202" t="s">
        <v>200</v>
      </c>
      <c r="Z81" s="1202">
        <v>1</v>
      </c>
      <c r="AA81" s="1202">
        <v>1</v>
      </c>
      <c r="AB81" s="1244" t="s">
        <v>204</v>
      </c>
      <c r="AC81" s="1217"/>
      <c r="AD81" s="81"/>
    </row>
    <row r="82" spans="18:30" s="44" customFormat="1" ht="15.6">
      <c r="R82" s="1202" t="s">
        <v>822</v>
      </c>
      <c r="S82" s="1227">
        <v>3331564496</v>
      </c>
      <c r="T82" s="1202" t="s">
        <v>256</v>
      </c>
      <c r="U82" s="1227" t="s">
        <v>256</v>
      </c>
      <c r="V82" s="1227" t="s">
        <v>256</v>
      </c>
      <c r="W82" s="1261" t="s">
        <v>256</v>
      </c>
      <c r="X82" s="1229" t="s">
        <v>256</v>
      </c>
      <c r="Y82" s="1202" t="s">
        <v>256</v>
      </c>
      <c r="Z82" s="1202" t="s">
        <v>256</v>
      </c>
      <c r="AA82" s="1202" t="s">
        <v>256</v>
      </c>
      <c r="AB82" s="1244" t="s">
        <v>256</v>
      </c>
      <c r="AC82" s="1217"/>
      <c r="AD82" s="1326"/>
    </row>
    <row r="83" spans="18:30" s="44" customFormat="1" ht="15.6">
      <c r="R83" s="1201" t="s">
        <v>822</v>
      </c>
      <c r="S83" s="1227">
        <v>3331564617</v>
      </c>
      <c r="T83" s="1264" t="s">
        <v>34</v>
      </c>
      <c r="U83" s="1227">
        <v>24141966</v>
      </c>
      <c r="V83" s="1227" t="s">
        <v>466</v>
      </c>
      <c r="W83" s="1261" t="s">
        <v>199</v>
      </c>
      <c r="X83" s="1229">
        <v>25545.861000000001</v>
      </c>
      <c r="Y83" s="1202" t="s">
        <v>200</v>
      </c>
      <c r="Z83" s="1202">
        <v>1</v>
      </c>
      <c r="AA83" s="1202">
        <v>1</v>
      </c>
      <c r="AB83" s="1244" t="s">
        <v>204</v>
      </c>
      <c r="AC83" s="1271" t="s">
        <v>422</v>
      </c>
      <c r="AD83" s="81"/>
    </row>
    <row r="84" spans="18:30" s="44" customFormat="1" ht="15.6">
      <c r="R84" s="1201" t="s">
        <v>822</v>
      </c>
      <c r="S84" s="1227">
        <v>3331564619</v>
      </c>
      <c r="T84" s="1264" t="s">
        <v>287</v>
      </c>
      <c r="U84" s="1227">
        <v>24141967</v>
      </c>
      <c r="V84" s="1227" t="s">
        <v>466</v>
      </c>
      <c r="W84" s="1261" t="s">
        <v>199</v>
      </c>
      <c r="X84" s="1229">
        <v>25502.855</v>
      </c>
      <c r="Y84" s="1202" t="s">
        <v>200</v>
      </c>
      <c r="Z84" s="1202">
        <v>1</v>
      </c>
      <c r="AA84" s="1202">
        <v>1</v>
      </c>
      <c r="AB84" s="1244" t="s">
        <v>204</v>
      </c>
      <c r="AC84" s="1271" t="s">
        <v>422</v>
      </c>
      <c r="AD84" s="81"/>
    </row>
    <row r="85" spans="18:30" s="44" customFormat="1" ht="15.6">
      <c r="R85" s="1201" t="s">
        <v>822</v>
      </c>
      <c r="S85" s="1227">
        <v>3331564621</v>
      </c>
      <c r="T85" s="1317" t="s">
        <v>287</v>
      </c>
      <c r="U85" s="1227">
        <v>24141968</v>
      </c>
      <c r="V85" s="1227" t="s">
        <v>466</v>
      </c>
      <c r="W85" s="1261" t="s">
        <v>199</v>
      </c>
      <c r="X85" s="1229">
        <v>26147.952000000001</v>
      </c>
      <c r="Y85" s="1202" t="s">
        <v>200</v>
      </c>
      <c r="Z85" s="1202">
        <v>1</v>
      </c>
      <c r="AA85" s="1202">
        <v>1</v>
      </c>
      <c r="AB85" s="1244" t="s">
        <v>204</v>
      </c>
      <c r="AC85" s="1271" t="s">
        <v>422</v>
      </c>
      <c r="AD85" s="81"/>
    </row>
    <row r="86" spans="18:30" s="44" customFormat="1" ht="15.6">
      <c r="R86" s="1190"/>
      <c r="S86" s="1190"/>
      <c r="T86" s="1217"/>
      <c r="U86" s="1190"/>
      <c r="V86" s="1224"/>
      <c r="W86" s="1293"/>
      <c r="X86" s="1191"/>
      <c r="Y86" s="1190"/>
      <c r="Z86" s="1217"/>
      <c r="AA86" s="1217"/>
      <c r="AB86" s="1218"/>
      <c r="AC86" s="1190"/>
      <c r="AD86" s="1329"/>
    </row>
    <row r="87" spans="18:30" s="44" customFormat="1">
      <c r="R87" s="1217"/>
      <c r="S87" s="1217"/>
      <c r="T87" s="1294"/>
      <c r="U87" s="1294"/>
      <c r="V87" s="1224"/>
      <c r="W87" s="1293"/>
      <c r="X87" s="1191"/>
      <c r="Y87" s="1294"/>
      <c r="Z87" s="1294"/>
      <c r="AA87" s="1294"/>
      <c r="AB87" s="1294"/>
      <c r="AC87" s="1217"/>
      <c r="AD87" s="1326"/>
    </row>
    <row r="88" spans="18:30" s="44" customFormat="1">
      <c r="R88" s="1217"/>
      <c r="S88" s="1217"/>
      <c r="T88" s="1294"/>
      <c r="U88" s="1294"/>
      <c r="V88" s="1224"/>
      <c r="W88" s="1293"/>
      <c r="X88" s="1191"/>
      <c r="Y88" s="1294"/>
      <c r="Z88" s="1294"/>
      <c r="AA88" s="1294"/>
      <c r="AB88" s="1294"/>
      <c r="AC88" s="1217"/>
      <c r="AD88" s="1326"/>
    </row>
    <row r="89" spans="18:30" s="44" customFormat="1">
      <c r="R89" s="1217"/>
      <c r="S89" s="1217"/>
      <c r="T89" s="1294"/>
      <c r="U89" s="1190"/>
      <c r="V89" s="1294"/>
      <c r="W89" s="1294"/>
      <c r="X89" s="1191"/>
      <c r="Y89" s="1294"/>
      <c r="Z89" s="1190"/>
      <c r="AA89" s="1190"/>
      <c r="AB89" s="1294"/>
      <c r="AC89" s="1217"/>
      <c r="AD89" s="1326"/>
    </row>
    <row r="90" spans="18:30" s="44" customFormat="1">
      <c r="R90" s="1217"/>
      <c r="S90" s="1217"/>
      <c r="T90" s="1294"/>
      <c r="U90" s="1190"/>
      <c r="V90" s="1294"/>
      <c r="W90" s="1294"/>
      <c r="X90" s="1191"/>
      <c r="Y90" s="1294"/>
      <c r="Z90" s="1190"/>
      <c r="AA90" s="1190"/>
      <c r="AB90" s="1294"/>
      <c r="AC90" s="1217"/>
      <c r="AD90" s="1326"/>
    </row>
    <row r="91" spans="18:30" s="44" customFormat="1">
      <c r="R91" s="1217"/>
      <c r="S91" s="1217"/>
      <c r="T91" s="1217"/>
      <c r="U91" s="1190"/>
      <c r="V91" s="1294"/>
      <c r="W91" s="1294"/>
      <c r="X91" s="1191"/>
      <c r="Y91" s="1294"/>
      <c r="Z91" s="1190"/>
      <c r="AA91" s="1190"/>
      <c r="AB91" s="1294"/>
      <c r="AC91" s="1217"/>
      <c r="AD91" s="1326"/>
    </row>
    <row r="92" spans="18:30" s="44" customFormat="1" ht="15.6">
      <c r="R92" s="1217"/>
      <c r="S92" s="1217"/>
      <c r="T92" s="1217"/>
      <c r="U92" s="1190"/>
      <c r="V92" s="1294"/>
      <c r="W92" s="1294"/>
      <c r="X92" s="1191"/>
      <c r="Y92" s="1294"/>
      <c r="Z92" s="1190"/>
      <c r="AA92" s="1190"/>
      <c r="AB92" s="1200"/>
      <c r="AC92" s="1217"/>
      <c r="AD92" s="1326"/>
    </row>
    <row r="93" spans="18:30" s="44" customFormat="1" ht="15.6">
      <c r="R93" s="1217"/>
      <c r="S93" s="1217"/>
      <c r="T93" s="1217"/>
      <c r="U93" s="1190"/>
      <c r="V93" s="1294"/>
      <c r="W93" s="1294"/>
      <c r="X93" s="1191"/>
      <c r="Y93" s="1190"/>
      <c r="Z93" s="1190"/>
      <c r="AA93" s="1190"/>
      <c r="AB93" s="1200"/>
      <c r="AC93" s="1217"/>
      <c r="AD93" s="1326"/>
    </row>
    <row r="94" spans="18:30" s="44" customFormat="1" ht="15.6">
      <c r="R94" s="1217"/>
      <c r="S94" s="1217"/>
      <c r="T94" s="1294"/>
      <c r="U94" s="1190"/>
      <c r="V94" s="1190"/>
      <c r="W94" s="1190"/>
      <c r="X94" s="1191"/>
      <c r="Y94" s="1190"/>
      <c r="Z94" s="1190"/>
      <c r="AA94" s="1190"/>
      <c r="AB94" s="1200"/>
      <c r="AC94" s="1217"/>
      <c r="AD94" s="1326"/>
    </row>
    <row r="95" spans="18:30" s="44" customFormat="1" ht="15.6">
      <c r="R95" s="1217"/>
      <c r="S95" s="1217"/>
      <c r="T95" s="1294"/>
      <c r="U95" s="1190"/>
      <c r="V95" s="1190"/>
      <c r="W95" s="1190"/>
      <c r="X95" s="1191"/>
      <c r="Y95" s="1190"/>
      <c r="Z95" s="1190"/>
      <c r="AA95" s="1190"/>
      <c r="AB95" s="1200"/>
      <c r="AC95" s="1217"/>
      <c r="AD95" s="1326"/>
    </row>
    <row r="96" spans="18:30" s="44" customFormat="1" ht="15.6">
      <c r="R96" s="1217"/>
      <c r="S96" s="1217"/>
      <c r="T96" s="1294"/>
      <c r="U96" s="1190"/>
      <c r="V96" s="1190"/>
      <c r="W96" s="1190"/>
      <c r="X96" s="1191"/>
      <c r="Y96" s="1190"/>
      <c r="Z96" s="1190"/>
      <c r="AA96" s="1190"/>
      <c r="AB96" s="1200"/>
      <c r="AC96" s="1217"/>
      <c r="AD96" s="1326"/>
    </row>
    <row r="97" spans="18:30" s="44" customFormat="1" ht="15.6">
      <c r="R97" s="1217"/>
      <c r="S97" s="1217"/>
      <c r="T97" s="1217"/>
      <c r="U97" s="1190"/>
      <c r="V97" s="1190"/>
      <c r="W97" s="1294"/>
      <c r="X97" s="1191"/>
      <c r="Y97" s="1190"/>
      <c r="Z97" s="1190"/>
      <c r="AA97" s="1190"/>
      <c r="AB97" s="1200"/>
      <c r="AC97" s="1217"/>
      <c r="AD97" s="1326"/>
    </row>
    <row r="98" spans="18:30" s="44" customFormat="1" ht="15.6">
      <c r="R98" s="1217"/>
      <c r="S98" s="1217"/>
      <c r="T98" s="1217"/>
      <c r="U98" s="1190"/>
      <c r="V98" s="1190"/>
      <c r="W98" s="1294"/>
      <c r="X98" s="1191"/>
      <c r="Y98" s="1190"/>
      <c r="Z98" s="1190"/>
      <c r="AA98" s="1190"/>
      <c r="AB98" s="1200"/>
      <c r="AC98" s="1217"/>
      <c r="AD98" s="1326"/>
    </row>
    <row r="99" spans="18:30" s="44" customFormat="1" ht="15.6">
      <c r="R99" s="1217"/>
      <c r="S99" s="1217"/>
      <c r="T99" s="1294"/>
      <c r="U99" s="1190"/>
      <c r="V99" s="1190"/>
      <c r="W99" s="1190"/>
      <c r="X99" s="1191"/>
      <c r="Y99" s="1190"/>
      <c r="Z99" s="1190"/>
      <c r="AA99" s="1190"/>
      <c r="AB99" s="1200"/>
      <c r="AC99" s="1217"/>
      <c r="AD99" s="1326"/>
    </row>
    <row r="100" spans="18:30" s="44" customFormat="1" ht="15.6">
      <c r="R100" s="1190"/>
      <c r="S100" s="1294"/>
      <c r="T100" s="1217"/>
      <c r="U100" s="1190"/>
      <c r="V100" s="1190"/>
      <c r="W100" s="1294"/>
      <c r="X100" s="1191"/>
      <c r="Y100" s="1190"/>
      <c r="Z100" s="1190"/>
      <c r="AA100" s="1190"/>
      <c r="AB100" s="1200"/>
      <c r="AC100" s="1217"/>
      <c r="AD100" s="1326"/>
    </row>
    <row r="101" spans="18:30" s="44" customFormat="1" ht="15.6">
      <c r="R101" s="1190"/>
      <c r="S101" s="1294"/>
      <c r="T101" s="1294"/>
      <c r="U101" s="1190"/>
      <c r="V101" s="1190"/>
      <c r="W101" s="1294"/>
      <c r="X101" s="1191"/>
      <c r="Y101" s="1190"/>
      <c r="Z101" s="1190"/>
      <c r="AA101" s="1190"/>
      <c r="AB101" s="1200"/>
      <c r="AC101" s="1217"/>
      <c r="AD101" s="1326"/>
    </row>
    <row r="102" spans="18:30" s="44" customFormat="1" ht="15.6">
      <c r="R102" s="1190"/>
      <c r="S102" s="1224"/>
      <c r="T102" s="1279"/>
      <c r="U102" s="1224"/>
      <c r="V102" s="1224"/>
      <c r="W102" s="1294"/>
      <c r="X102" s="1225"/>
      <c r="Y102" s="1190"/>
      <c r="Z102" s="1190"/>
      <c r="AA102" s="1190"/>
      <c r="AB102" s="1241"/>
      <c r="AC102" s="1217"/>
      <c r="AD102" s="1326"/>
    </row>
    <row r="103" spans="18:30" s="44" customFormat="1" ht="15.6">
      <c r="R103" s="1190"/>
      <c r="S103" s="1224"/>
      <c r="T103" s="1279"/>
      <c r="U103" s="1224"/>
      <c r="V103" s="1224"/>
      <c r="W103" s="1224"/>
      <c r="X103" s="1225"/>
      <c r="Y103" s="1190"/>
      <c r="Z103" s="1190"/>
      <c r="AA103" s="1190"/>
      <c r="AB103" s="1241"/>
      <c r="AC103" s="1217"/>
      <c r="AD103" s="1326"/>
    </row>
    <row r="104" spans="18:30" s="44" customFormat="1" ht="15.6">
      <c r="R104" s="1190"/>
      <c r="S104" s="1224"/>
      <c r="T104" s="1279"/>
      <c r="U104" s="1224"/>
      <c r="V104" s="1224"/>
      <c r="W104" s="1294"/>
      <c r="X104" s="1225"/>
      <c r="Y104" s="1190"/>
      <c r="Z104" s="1190"/>
      <c r="AA104" s="1190"/>
      <c r="AB104" s="1241"/>
      <c r="AC104" s="1217"/>
      <c r="AD104" s="1326"/>
    </row>
    <row r="105" spans="18:30" s="44" customFormat="1" ht="15.6">
      <c r="R105" s="1190"/>
      <c r="S105" s="1224"/>
      <c r="T105" s="1279"/>
      <c r="U105" s="1224"/>
      <c r="V105" s="1224"/>
      <c r="W105" s="1224"/>
      <c r="X105" s="1225"/>
      <c r="Y105" s="1190"/>
      <c r="Z105" s="1190"/>
      <c r="AA105" s="1190"/>
      <c r="AB105" s="1241"/>
      <c r="AC105" s="1217"/>
      <c r="AD105" s="1326"/>
    </row>
    <row r="106" spans="18:30" s="44" customFormat="1" ht="15.6">
      <c r="R106" s="1190"/>
      <c r="S106" s="1224"/>
      <c r="T106" s="1279"/>
      <c r="U106" s="1224"/>
      <c r="V106" s="1224"/>
      <c r="W106" s="1224"/>
      <c r="X106" s="1225"/>
      <c r="Y106" s="1190"/>
      <c r="Z106" s="1190"/>
      <c r="AA106" s="1190"/>
      <c r="AB106" s="1241"/>
      <c r="AC106" s="1217"/>
      <c r="AD106" s="1326"/>
    </row>
    <row r="107" spans="18:30" s="44" customFormat="1" ht="15.6">
      <c r="R107" s="1190"/>
      <c r="S107" s="1224"/>
      <c r="T107" s="1279"/>
      <c r="U107" s="1224"/>
      <c r="V107" s="1224"/>
      <c r="W107" s="1224"/>
      <c r="X107" s="1225"/>
      <c r="Y107" s="1190"/>
      <c r="Z107" s="1190"/>
      <c r="AA107" s="1190"/>
      <c r="AB107" s="1241"/>
      <c r="AC107" s="1217"/>
      <c r="AD107" s="1326"/>
    </row>
    <row r="108" spans="18:30" s="44" customFormat="1" ht="15.6">
      <c r="R108" s="1190"/>
      <c r="S108" s="1224"/>
      <c r="T108" s="1279"/>
      <c r="U108" s="1224"/>
      <c r="V108" s="1224"/>
      <c r="W108" s="1224"/>
      <c r="X108" s="1225"/>
      <c r="Y108" s="1190"/>
      <c r="Z108" s="1190"/>
      <c r="AA108" s="1190"/>
      <c r="AB108" s="1241"/>
      <c r="AC108" s="1217"/>
      <c r="AD108" s="1326"/>
    </row>
    <row r="109" spans="18:30" s="44" customFormat="1" ht="15.6">
      <c r="R109" s="1190"/>
      <c r="S109" s="1224"/>
      <c r="T109" s="1279"/>
      <c r="U109" s="1224"/>
      <c r="V109" s="1224"/>
      <c r="W109" s="1190"/>
      <c r="X109" s="1225"/>
      <c r="Y109" s="1190"/>
      <c r="Z109" s="1190"/>
      <c r="AA109" s="1190"/>
      <c r="AB109" s="1241"/>
      <c r="AC109" s="1217"/>
      <c r="AD109" s="1326"/>
    </row>
    <row r="110" spans="18:30" s="44" customFormat="1" ht="15.6">
      <c r="R110" s="1190"/>
      <c r="S110" s="1224"/>
      <c r="T110" s="1279"/>
      <c r="U110" s="1224"/>
      <c r="V110" s="1224"/>
      <c r="W110" s="1294"/>
      <c r="X110" s="1225"/>
      <c r="Y110" s="1190"/>
      <c r="Z110" s="1190"/>
      <c r="AA110" s="1190"/>
      <c r="AB110" s="1241"/>
      <c r="AC110" s="1217"/>
      <c r="AD110" s="1326"/>
    </row>
    <row r="111" spans="18:30" s="44" customFormat="1" ht="15.6">
      <c r="R111" s="1190"/>
      <c r="S111" s="1224"/>
      <c r="T111" s="1279"/>
      <c r="U111" s="1224"/>
      <c r="V111" s="1224"/>
      <c r="W111" s="1294"/>
      <c r="X111" s="1225"/>
      <c r="Y111" s="1190"/>
      <c r="Z111" s="1190"/>
      <c r="AA111" s="1190"/>
      <c r="AB111" s="1241"/>
      <c r="AC111" s="1217"/>
      <c r="AD111" s="1326"/>
    </row>
    <row r="112" spans="18:30" s="44" customFormat="1" ht="15.6">
      <c r="R112" s="1190"/>
      <c r="S112" s="1224"/>
      <c r="T112" s="1279"/>
      <c r="U112" s="1224"/>
      <c r="V112" s="1224"/>
      <c r="W112" s="1294"/>
      <c r="X112" s="1225"/>
      <c r="Y112" s="1190"/>
      <c r="Z112" s="1190"/>
      <c r="AA112" s="1190"/>
      <c r="AB112" s="1241"/>
      <c r="AC112" s="1217"/>
      <c r="AD112" s="1326"/>
    </row>
    <row r="113" spans="18:30" s="44" customFormat="1" ht="15.6">
      <c r="R113" s="1190"/>
      <c r="S113" s="1224"/>
      <c r="T113" s="1279"/>
      <c r="U113" s="1224"/>
      <c r="V113" s="1224"/>
      <c r="W113" s="1190"/>
      <c r="X113" s="1225"/>
      <c r="Y113" s="1190"/>
      <c r="Z113" s="1190"/>
      <c r="AA113" s="1190"/>
      <c r="AB113" s="1241"/>
      <c r="AC113" s="1217"/>
      <c r="AD113" s="1326"/>
    </row>
    <row r="114" spans="18:30" s="44" customFormat="1" ht="15.6">
      <c r="R114" s="1190"/>
      <c r="S114" s="1224"/>
      <c r="T114" s="1279"/>
      <c r="U114" s="1224"/>
      <c r="V114" s="1224"/>
      <c r="W114" s="1190"/>
      <c r="X114" s="1225"/>
      <c r="Y114" s="1190"/>
      <c r="Z114" s="1190"/>
      <c r="AA114" s="1190"/>
      <c r="AB114" s="1241"/>
      <c r="AC114" s="1217"/>
      <c r="AD114" s="1326"/>
    </row>
    <row r="115" spans="18:30" s="44" customFormat="1" ht="15.6">
      <c r="R115" s="1190"/>
      <c r="S115" s="1224"/>
      <c r="T115" s="1279"/>
      <c r="U115" s="1224"/>
      <c r="V115" s="1224"/>
      <c r="W115" s="1294"/>
      <c r="X115" s="1225"/>
      <c r="Y115" s="1190"/>
      <c r="Z115" s="1190"/>
      <c r="AA115" s="1190"/>
      <c r="AB115" s="1241"/>
      <c r="AC115" s="1217"/>
      <c r="AD115" s="1326"/>
    </row>
    <row r="116" spans="18:30" ht="15.6">
      <c r="R116" s="1190"/>
      <c r="S116" s="1224"/>
      <c r="T116" s="1279"/>
      <c r="U116" s="1224"/>
      <c r="V116" s="1224"/>
      <c r="W116" s="1294"/>
      <c r="X116" s="1225"/>
      <c r="Y116" s="1190"/>
      <c r="Z116" s="1190"/>
      <c r="AA116" s="1190"/>
      <c r="AB116" s="1241"/>
      <c r="AC116" s="1217"/>
      <c r="AD116" s="1326"/>
    </row>
    <row r="117" spans="18:30" ht="15.6">
      <c r="R117" s="1190"/>
      <c r="S117" s="1224"/>
      <c r="T117" s="1279"/>
      <c r="U117" s="1224"/>
      <c r="V117" s="1224"/>
      <c r="W117" s="1294"/>
      <c r="X117" s="1225"/>
      <c r="Y117" s="1190"/>
      <c r="Z117" s="1190"/>
      <c r="AA117" s="1190"/>
      <c r="AB117" s="1241"/>
      <c r="AC117" s="1217"/>
      <c r="AD117" s="1326"/>
    </row>
    <row r="118" spans="18:30" ht="15.6">
      <c r="R118" s="1190"/>
      <c r="S118" s="1224"/>
      <c r="T118" s="1279"/>
      <c r="U118" s="1224"/>
      <c r="V118" s="1224"/>
      <c r="W118" s="1294"/>
      <c r="X118" s="1225"/>
      <c r="Y118" s="1190"/>
      <c r="Z118" s="1190"/>
      <c r="AA118" s="1190"/>
      <c r="AB118" s="1241"/>
      <c r="AC118" s="1217"/>
      <c r="AD118" s="1326"/>
    </row>
    <row r="119" spans="18:30" ht="15.6">
      <c r="R119" s="1190"/>
      <c r="S119" s="1224"/>
      <c r="T119" s="1279"/>
      <c r="U119" s="1224"/>
      <c r="V119" s="1224"/>
      <c r="W119" s="1294"/>
      <c r="X119" s="1225"/>
      <c r="Y119" s="1190"/>
      <c r="Z119" s="1190"/>
      <c r="AA119" s="1190"/>
      <c r="AB119" s="1241"/>
      <c r="AC119" s="1217"/>
      <c r="AD119" s="1326"/>
    </row>
    <row r="120" spans="18:30" ht="15.6">
      <c r="R120" s="1190"/>
      <c r="S120" s="1224"/>
      <c r="T120" s="1279"/>
      <c r="U120" s="1224"/>
      <c r="V120" s="1224"/>
      <c r="W120" s="1294"/>
      <c r="X120" s="1225"/>
      <c r="Y120" s="1190"/>
      <c r="Z120" s="1190"/>
      <c r="AA120" s="1190"/>
      <c r="AB120" s="1241"/>
      <c r="AC120" s="1217"/>
      <c r="AD120" s="1326"/>
    </row>
    <row r="121" spans="18:30" ht="15.6">
      <c r="R121" s="1190"/>
      <c r="S121" s="1224"/>
      <c r="T121" s="1279"/>
      <c r="U121" s="1224"/>
      <c r="V121" s="1224"/>
      <c r="W121" s="1294"/>
      <c r="X121" s="1225"/>
      <c r="Y121" s="1190"/>
      <c r="Z121" s="1190"/>
      <c r="AA121" s="1190"/>
      <c r="AB121" s="1241"/>
      <c r="AC121" s="1217"/>
      <c r="AD121" s="1326"/>
    </row>
    <row r="122" spans="18:30" ht="15.6">
      <c r="R122" s="1190"/>
      <c r="S122" s="1224"/>
      <c r="T122" s="1279"/>
      <c r="U122" s="1224"/>
      <c r="V122" s="1224"/>
      <c r="W122" s="1294"/>
      <c r="X122" s="1225"/>
      <c r="Y122" s="1190"/>
      <c r="Z122" s="1190"/>
      <c r="AA122" s="1190"/>
      <c r="AB122" s="1241"/>
      <c r="AC122" s="1217"/>
      <c r="AD122" s="1326"/>
    </row>
    <row r="123" spans="18:30" s="44" customFormat="1" ht="15.6">
      <c r="R123" s="1190"/>
      <c r="S123" s="1224"/>
      <c r="T123" s="1279"/>
      <c r="U123" s="1224"/>
      <c r="V123" s="1224"/>
      <c r="W123" s="1294"/>
      <c r="X123" s="1225"/>
      <c r="Y123" s="1190"/>
      <c r="Z123" s="1190"/>
      <c r="AA123" s="1190"/>
      <c r="AB123" s="1241"/>
      <c r="AC123" s="1217"/>
      <c r="AD123" s="1326"/>
    </row>
    <row r="124" spans="18:30" s="44" customFormat="1" ht="15.6">
      <c r="R124" s="1190"/>
      <c r="S124" s="1224"/>
      <c r="T124" s="1279"/>
      <c r="U124" s="1224"/>
      <c r="V124" s="1224"/>
      <c r="W124" s="1294"/>
      <c r="X124" s="1225"/>
      <c r="Y124" s="1190"/>
      <c r="Z124" s="1190"/>
      <c r="AA124" s="1190"/>
      <c r="AB124" s="1241"/>
      <c r="AC124" s="1217"/>
      <c r="AD124" s="1326"/>
    </row>
    <row r="125" spans="18:30" s="44" customFormat="1" ht="15.6">
      <c r="R125" s="1190"/>
      <c r="S125" s="1224"/>
      <c r="T125" s="1279"/>
      <c r="U125" s="1224"/>
      <c r="V125" s="1224"/>
      <c r="W125" s="1294"/>
      <c r="X125" s="1225"/>
      <c r="Y125" s="1190"/>
      <c r="Z125" s="1190"/>
      <c r="AA125" s="1190"/>
      <c r="AB125" s="1241"/>
      <c r="AC125" s="1217"/>
      <c r="AD125" s="1326"/>
    </row>
    <row r="126" spans="18:30" s="44" customFormat="1" ht="15.6">
      <c r="R126" s="1190"/>
      <c r="S126" s="1294"/>
      <c r="T126" s="1293"/>
      <c r="U126" s="1190"/>
      <c r="V126" s="1217"/>
      <c r="W126" s="1190"/>
      <c r="X126" s="1191"/>
      <c r="Y126" s="1190"/>
      <c r="Z126" s="1190"/>
      <c r="AA126" s="1190"/>
      <c r="AB126" s="1241"/>
      <c r="AC126" s="1217"/>
      <c r="AD126" s="1326"/>
    </row>
    <row r="127" spans="18:30" s="44" customFormat="1" ht="15.6">
      <c r="R127" s="1190"/>
      <c r="S127" s="1294"/>
      <c r="T127" s="1293"/>
      <c r="U127" s="1190"/>
      <c r="V127" s="1217"/>
      <c r="W127" s="1190"/>
      <c r="X127" s="1191"/>
      <c r="Y127" s="1190"/>
      <c r="Z127" s="1190"/>
      <c r="AA127" s="1190"/>
      <c r="AB127" s="1241"/>
      <c r="AC127" s="1217"/>
      <c r="AD127" s="1326"/>
    </row>
    <row r="128" spans="18:30" s="44" customFormat="1" ht="15.6">
      <c r="R128" s="1190"/>
      <c r="S128" s="1294"/>
      <c r="T128" s="1293"/>
      <c r="U128" s="1190"/>
      <c r="V128" s="1217"/>
      <c r="W128" s="1190"/>
      <c r="X128" s="1191"/>
      <c r="Y128" s="1190"/>
      <c r="Z128" s="1190"/>
      <c r="AA128" s="1190"/>
      <c r="AB128" s="1200"/>
      <c r="AC128" s="1217"/>
      <c r="AD128" s="1326"/>
    </row>
    <row r="129" spans="18:30" s="44" customFormat="1" ht="15.6">
      <c r="R129" s="1190"/>
      <c r="S129" s="1190"/>
      <c r="T129" s="1293"/>
      <c r="U129" s="1190"/>
      <c r="V129" s="1190"/>
      <c r="W129" s="1190"/>
      <c r="X129" s="1191"/>
      <c r="Y129" s="1190"/>
      <c r="Z129" s="1190"/>
      <c r="AA129" s="1190"/>
      <c r="AB129" s="1200"/>
      <c r="AC129" s="1217"/>
      <c r="AD129" s="1326"/>
    </row>
    <row r="130" spans="18:30" s="44" customFormat="1" ht="15.6">
      <c r="R130" s="1190"/>
      <c r="S130" s="1190"/>
      <c r="T130" s="1293"/>
      <c r="U130" s="1190"/>
      <c r="V130" s="1190"/>
      <c r="W130" s="1190"/>
      <c r="X130" s="1191"/>
      <c r="Y130" s="1190"/>
      <c r="Z130" s="1190"/>
      <c r="AA130" s="1190"/>
      <c r="AB130" s="1200"/>
      <c r="AC130" s="1217"/>
      <c r="AD130" s="1326"/>
    </row>
    <row r="131" spans="18:30" ht="15.6">
      <c r="R131" s="1190"/>
      <c r="S131" s="1190"/>
      <c r="T131" s="1293"/>
      <c r="U131" s="1190"/>
      <c r="V131" s="1190"/>
      <c r="W131" s="1190"/>
      <c r="X131" s="1191"/>
      <c r="Y131" s="1190"/>
      <c r="Z131" s="1190"/>
      <c r="AA131" s="1190"/>
      <c r="AB131" s="1200"/>
      <c r="AC131" s="1217"/>
      <c r="AD131" s="1326"/>
    </row>
    <row r="132" spans="18:30" ht="15.6">
      <c r="R132" s="1190"/>
      <c r="S132" s="1190"/>
      <c r="T132" s="1293"/>
      <c r="U132" s="1190"/>
      <c r="V132" s="1190"/>
      <c r="W132" s="1190"/>
      <c r="X132" s="1191"/>
      <c r="Y132" s="1190"/>
      <c r="Z132" s="1190"/>
      <c r="AA132" s="1190"/>
      <c r="AB132" s="1200"/>
      <c r="AC132" s="1217"/>
      <c r="AD132" s="1326"/>
    </row>
    <row r="133" spans="18:30" ht="15.6">
      <c r="R133" s="1190"/>
      <c r="S133" s="1190"/>
      <c r="T133" s="1293"/>
      <c r="U133" s="1190"/>
      <c r="V133" s="1190"/>
      <c r="W133" s="1190"/>
      <c r="X133" s="1191"/>
      <c r="Y133" s="1190"/>
      <c r="Z133" s="1190"/>
      <c r="AA133" s="1190"/>
      <c r="AB133" s="1200"/>
      <c r="AC133" s="1217"/>
      <c r="AD133" s="1326"/>
    </row>
    <row r="134" spans="18:30" ht="15.6">
      <c r="R134" s="1190"/>
      <c r="S134" s="1190"/>
      <c r="T134" s="1293"/>
      <c r="U134" s="1190"/>
      <c r="V134" s="1190"/>
      <c r="W134" s="1190"/>
      <c r="X134" s="1191"/>
      <c r="Y134" s="1190"/>
      <c r="Z134" s="1190"/>
      <c r="AA134" s="1190"/>
      <c r="AB134" s="1200"/>
      <c r="AC134" s="1217"/>
      <c r="AD134" s="1326"/>
    </row>
    <row r="135" spans="18:30" ht="15.6">
      <c r="R135" s="1190"/>
      <c r="S135" s="1190"/>
      <c r="T135" s="1293"/>
      <c r="U135" s="1190"/>
      <c r="V135" s="1190"/>
      <c r="W135" s="1190"/>
      <c r="X135" s="1191"/>
      <c r="Y135" s="1190"/>
      <c r="Z135" s="1190"/>
      <c r="AA135" s="1190"/>
      <c r="AB135" s="1200"/>
      <c r="AC135" s="1217"/>
      <c r="AD135" s="1326"/>
    </row>
    <row r="136" spans="18:30" ht="15.6">
      <c r="R136" s="1190"/>
      <c r="S136" s="1190"/>
      <c r="T136" s="1190"/>
      <c r="U136" s="1190"/>
      <c r="V136" s="1190"/>
      <c r="W136" s="1190"/>
      <c r="X136" s="1191"/>
      <c r="Y136" s="1190"/>
      <c r="Z136" s="1190"/>
      <c r="AA136" s="1190"/>
      <c r="AB136" s="1200"/>
      <c r="AC136" s="1217"/>
      <c r="AD136" s="1326"/>
    </row>
    <row r="137" spans="18:30" ht="15.6">
      <c r="R137" s="1190"/>
      <c r="S137" s="1190"/>
      <c r="T137" s="1293"/>
      <c r="U137" s="1190"/>
      <c r="V137" s="1190"/>
      <c r="W137" s="1190"/>
      <c r="X137" s="1191"/>
      <c r="Y137" s="1190"/>
      <c r="Z137" s="1190"/>
      <c r="AA137" s="1190"/>
      <c r="AB137" s="1200"/>
      <c r="AC137" s="1217"/>
      <c r="AD137" s="1326"/>
    </row>
    <row r="138" spans="18:30" ht="15.6">
      <c r="R138" s="1190"/>
      <c r="S138" s="1190"/>
      <c r="T138" s="1293"/>
      <c r="U138" s="1190"/>
      <c r="V138" s="1190"/>
      <c r="W138" s="1190"/>
      <c r="X138" s="1191"/>
      <c r="Y138" s="1190"/>
      <c r="Z138" s="1190"/>
      <c r="AA138" s="1190"/>
      <c r="AB138" s="1200"/>
      <c r="AC138" s="1217"/>
      <c r="AD138" s="1326"/>
    </row>
    <row r="139" spans="18:30" ht="15.6">
      <c r="R139" s="1190"/>
      <c r="S139" s="1190"/>
      <c r="T139" s="1293"/>
      <c r="U139" s="1190"/>
      <c r="V139" s="1190"/>
      <c r="W139" s="1190"/>
      <c r="X139" s="1191"/>
      <c r="Y139" s="1190"/>
      <c r="Z139" s="1190"/>
      <c r="AA139" s="1190"/>
      <c r="AB139" s="1200"/>
      <c r="AC139" s="1217"/>
      <c r="AD139" s="1326"/>
    </row>
    <row r="140" spans="18:30">
      <c r="R140" s="1190"/>
      <c r="S140" s="1190"/>
      <c r="T140" s="1293"/>
      <c r="U140" s="1190"/>
      <c r="V140" s="1190"/>
      <c r="W140" s="1190"/>
      <c r="X140" s="1191"/>
      <c r="Y140" s="1190"/>
      <c r="Z140" s="1190"/>
      <c r="AA140" s="1190"/>
      <c r="AB140" s="1190"/>
      <c r="AC140" s="1217"/>
      <c r="AD140" s="1326"/>
    </row>
    <row r="141" spans="18:30" ht="15.6">
      <c r="R141" s="1190"/>
      <c r="S141" s="1190"/>
      <c r="T141" s="1224"/>
      <c r="U141" s="1190"/>
      <c r="V141" s="1190"/>
      <c r="W141" s="1190"/>
      <c r="X141" s="1191"/>
      <c r="Y141" s="1190"/>
      <c r="Z141" s="1217"/>
      <c r="AA141" s="1217"/>
      <c r="AB141" s="1218"/>
      <c r="AC141" s="1190"/>
      <c r="AD141" s="1326"/>
    </row>
    <row r="142" spans="18:30" ht="15.6">
      <c r="R142" s="1190"/>
      <c r="S142" s="1190"/>
      <c r="T142" s="1190"/>
      <c r="U142" s="1190"/>
      <c r="V142" s="1190"/>
      <c r="W142" s="1190"/>
      <c r="X142" s="1191"/>
      <c r="Y142" s="1190"/>
      <c r="Z142" s="1217"/>
      <c r="AA142" s="1217"/>
      <c r="AB142" s="1218"/>
      <c r="AC142" s="1190"/>
      <c r="AD142" s="1326"/>
    </row>
    <row r="143" spans="18:30" ht="15.6">
      <c r="R143" s="1190"/>
      <c r="S143" s="1190"/>
      <c r="T143" s="1190"/>
      <c r="U143" s="1190"/>
      <c r="V143" s="1190"/>
      <c r="W143" s="1190"/>
      <c r="X143" s="1191"/>
      <c r="Y143" s="1190"/>
      <c r="Z143" s="1217"/>
      <c r="AA143" s="1217"/>
      <c r="AB143" s="1218"/>
      <c r="AC143" s="1190"/>
      <c r="AD143" s="1326"/>
    </row>
    <row r="144" spans="18:30" ht="15.6">
      <c r="R144" s="1190"/>
      <c r="S144" s="1190"/>
      <c r="T144" s="1217"/>
      <c r="U144" s="1190"/>
      <c r="V144" s="1190"/>
      <c r="W144" s="1190"/>
      <c r="X144" s="1191"/>
      <c r="Y144" s="1190"/>
      <c r="Z144" s="1217"/>
      <c r="AA144" s="1217"/>
      <c r="AB144" s="1218"/>
      <c r="AC144" s="1190"/>
      <c r="AD144" s="1326"/>
    </row>
    <row r="145" spans="18:30" ht="15.6">
      <c r="R145" s="1190"/>
      <c r="S145" s="1190"/>
      <c r="T145" s="1217"/>
      <c r="U145" s="1190"/>
      <c r="V145" s="1190"/>
      <c r="W145" s="1190"/>
      <c r="X145" s="1191"/>
      <c r="Y145" s="1190"/>
      <c r="Z145" s="1217"/>
      <c r="AA145" s="1217"/>
      <c r="AB145" s="1218"/>
      <c r="AC145" s="1190"/>
      <c r="AD145" s="1326"/>
    </row>
    <row r="146" spans="18:30" ht="15.6">
      <c r="R146" s="1190"/>
      <c r="S146" s="1190"/>
      <c r="T146" s="1217"/>
      <c r="U146" s="1190"/>
      <c r="V146" s="1190"/>
      <c r="W146" s="1190"/>
      <c r="X146" s="1191"/>
      <c r="Y146" s="1190"/>
      <c r="Z146" s="1217"/>
      <c r="AA146" s="1217"/>
      <c r="AB146" s="1218"/>
      <c r="AC146" s="1190"/>
      <c r="AD146" s="1326"/>
    </row>
    <row r="147" spans="18:30" ht="15.6">
      <c r="R147" s="1190"/>
      <c r="S147" s="1190"/>
      <c r="T147" s="1217"/>
      <c r="U147" s="1190"/>
      <c r="V147" s="1190"/>
      <c r="W147" s="1190"/>
      <c r="X147" s="1191"/>
      <c r="Y147" s="1190"/>
      <c r="Z147" s="1217"/>
      <c r="AA147" s="1217"/>
      <c r="AB147" s="1218"/>
      <c r="AC147" s="1190"/>
      <c r="AD147" s="1326"/>
    </row>
    <row r="148" spans="18:30" ht="15.6">
      <c r="R148" s="1190"/>
      <c r="S148" s="1190"/>
      <c r="T148" s="1217"/>
      <c r="U148" s="1190"/>
      <c r="V148" s="1190"/>
      <c r="W148" s="1190"/>
      <c r="X148" s="1191"/>
      <c r="Y148" s="1190"/>
      <c r="Z148" s="1217"/>
      <c r="AA148" s="1217"/>
      <c r="AB148" s="1218"/>
      <c r="AC148" s="1190"/>
      <c r="AD148" s="1326"/>
    </row>
    <row r="149" spans="18:30" ht="15.6">
      <c r="R149" s="81"/>
      <c r="S149" s="81"/>
      <c r="T149" s="81"/>
      <c r="U149" s="81"/>
      <c r="V149" s="1190"/>
      <c r="W149" s="1190"/>
      <c r="X149" s="191"/>
      <c r="Y149" s="81"/>
      <c r="Z149" s="1217"/>
      <c r="AA149" s="1217"/>
      <c r="AB149" s="1218"/>
      <c r="AC149" s="1190"/>
      <c r="AD149" s="1326"/>
    </row>
    <row r="150" spans="18:30" ht="15.6">
      <c r="R150" s="81"/>
      <c r="S150" s="81"/>
      <c r="T150" s="81"/>
      <c r="U150" s="81"/>
      <c r="V150" s="1190"/>
      <c r="W150" s="1190"/>
      <c r="X150" s="1325"/>
      <c r="Y150" s="1190"/>
      <c r="Z150" s="1190"/>
      <c r="AA150" s="1190"/>
      <c r="AB150" s="1218"/>
      <c r="AC150" s="1190"/>
      <c r="AD150" s="1326"/>
    </row>
    <row r="151" spans="18:30" ht="15.6">
      <c r="R151" s="1190"/>
      <c r="S151" s="1190"/>
      <c r="T151" s="1217"/>
      <c r="U151" s="1190"/>
      <c r="V151" s="1190"/>
      <c r="W151" s="1190"/>
      <c r="X151" s="1325"/>
      <c r="Y151" s="1190"/>
      <c r="Z151" s="1190"/>
      <c r="AA151" s="1190"/>
      <c r="AB151" s="1218"/>
      <c r="AC151" s="1190"/>
      <c r="AD151" s="1326"/>
    </row>
    <row r="152" spans="18:30" ht="15.6">
      <c r="R152" s="1190"/>
      <c r="S152" s="1190"/>
      <c r="T152" s="1190"/>
      <c r="U152" s="1190"/>
      <c r="V152" s="1190"/>
      <c r="W152" s="1190"/>
      <c r="X152" s="1190"/>
      <c r="Y152" s="1190"/>
      <c r="Z152" s="1190"/>
      <c r="AA152" s="1190"/>
      <c r="AB152" s="1218"/>
      <c r="AC152" s="1190"/>
      <c r="AD152" s="1326"/>
    </row>
    <row r="153" spans="18:30" ht="15.6">
      <c r="R153" s="1190"/>
      <c r="S153" s="1190"/>
      <c r="T153" s="1217"/>
      <c r="U153" s="1190"/>
      <c r="V153" s="1190"/>
      <c r="W153" s="1190"/>
      <c r="X153" s="1191"/>
      <c r="Y153" s="1190"/>
      <c r="Z153" s="1217"/>
      <c r="AA153" s="1217"/>
      <c r="AB153" s="1218"/>
      <c r="AC153" s="1190"/>
      <c r="AD153" s="1326"/>
    </row>
    <row r="154" spans="18:30" ht="15.6">
      <c r="R154" s="1330"/>
      <c r="S154" s="1331"/>
      <c r="T154" s="1332"/>
      <c r="U154" s="1331"/>
      <c r="V154" s="1331"/>
      <c r="W154" s="1331"/>
      <c r="X154" s="1333"/>
      <c r="Y154" s="1331"/>
      <c r="Z154" s="1332"/>
      <c r="AA154" s="1332"/>
      <c r="AB154" s="1334"/>
      <c r="AC154" s="1335"/>
      <c r="AD154" s="81"/>
    </row>
    <row r="155" spans="18:30" ht="15.6">
      <c r="R155" s="1189"/>
      <c r="S155" s="1190"/>
      <c r="T155" s="1217"/>
      <c r="U155" s="1190"/>
      <c r="V155" s="1190"/>
      <c r="W155" s="1190"/>
      <c r="X155" s="1191"/>
      <c r="Y155" s="1190"/>
      <c r="Z155" s="1217"/>
      <c r="AA155" s="1217"/>
      <c r="AB155" s="1218"/>
      <c r="AC155" s="1192"/>
      <c r="AD155" s="81"/>
    </row>
    <row r="156" spans="18:30" ht="15.6">
      <c r="R156" s="1189"/>
      <c r="S156" s="1190"/>
      <c r="T156" s="1217"/>
      <c r="U156" s="1190"/>
      <c r="V156" s="1190"/>
      <c r="W156" s="1190"/>
      <c r="X156" s="1191"/>
      <c r="Y156" s="1190"/>
      <c r="Z156" s="1217"/>
      <c r="AA156" s="1217"/>
      <c r="AB156" s="1218"/>
      <c r="AC156" s="1192"/>
      <c r="AD156" s="81"/>
    </row>
    <row r="157" spans="18:30" ht="15.6">
      <c r="R157" s="1189"/>
      <c r="S157" s="1190"/>
      <c r="T157" s="1190"/>
      <c r="U157" s="1190"/>
      <c r="V157" s="1190"/>
      <c r="W157" s="1190"/>
      <c r="X157" s="1191"/>
      <c r="Y157" s="1190"/>
      <c r="Z157" s="1217"/>
      <c r="AA157" s="1217"/>
      <c r="AB157" s="1218"/>
      <c r="AC157" s="1192"/>
      <c r="AD157" s="81"/>
    </row>
    <row r="158" spans="18:30" ht="15.6">
      <c r="R158" s="1189"/>
      <c r="S158" s="1190"/>
      <c r="T158" s="1217"/>
      <c r="U158" s="1190"/>
      <c r="V158" s="1190"/>
      <c r="W158" s="1190"/>
      <c r="X158" s="1191"/>
      <c r="Y158" s="1190"/>
      <c r="Z158" s="1217"/>
      <c r="AA158" s="1217"/>
      <c r="AB158" s="1218"/>
      <c r="AC158" s="1192"/>
      <c r="AD158" s="81"/>
    </row>
    <row r="159" spans="18:30" ht="15.6">
      <c r="R159" s="1189"/>
      <c r="S159" s="1190"/>
      <c r="T159" s="1217"/>
      <c r="U159" s="1190"/>
      <c r="V159" s="1190"/>
      <c r="W159" s="1190"/>
      <c r="X159" s="1191"/>
      <c r="Y159" s="1190"/>
      <c r="Z159" s="1217"/>
      <c r="AA159" s="1217"/>
      <c r="AB159" s="1218"/>
      <c r="AC159" s="1192"/>
      <c r="AD159" s="81"/>
    </row>
    <row r="160" spans="18:30" ht="15.6">
      <c r="R160" s="1189"/>
      <c r="S160" s="1190"/>
      <c r="T160" s="1190"/>
      <c r="U160" s="1190"/>
      <c r="V160" s="1190"/>
      <c r="W160" s="1190"/>
      <c r="X160" s="1191"/>
      <c r="Y160" s="1190"/>
      <c r="Z160" s="1217"/>
      <c r="AA160" s="1217"/>
      <c r="AB160" s="1218"/>
      <c r="AC160" s="1192"/>
      <c r="AD160" s="81"/>
    </row>
    <row r="161" spans="18:30" ht="15.6">
      <c r="R161" s="1189"/>
      <c r="S161" s="1190"/>
      <c r="T161" s="1217"/>
      <c r="U161" s="1190"/>
      <c r="V161" s="1190"/>
      <c r="W161" s="1190"/>
      <c r="X161" s="1191"/>
      <c r="Y161" s="1190"/>
      <c r="Z161" s="1217"/>
      <c r="AA161" s="1217"/>
      <c r="AB161" s="1218"/>
      <c r="AC161" s="1192"/>
      <c r="AD161" s="81"/>
    </row>
    <row r="162" spans="18:30" ht="15.6">
      <c r="R162" s="1189"/>
      <c r="S162" s="1190"/>
      <c r="T162" s="1217"/>
      <c r="U162" s="1190"/>
      <c r="V162" s="1190"/>
      <c r="W162" s="1190"/>
      <c r="X162" s="1191"/>
      <c r="Y162" s="1190"/>
      <c r="Z162" s="1217"/>
      <c r="AA162" s="1217"/>
      <c r="AB162" s="1218"/>
      <c r="AC162" s="1192"/>
      <c r="AD162" s="81"/>
    </row>
    <row r="163" spans="18:30" ht="15.6">
      <c r="R163" s="1189"/>
      <c r="S163" s="1190"/>
      <c r="T163" s="1217"/>
      <c r="U163" s="1190"/>
      <c r="V163" s="1190"/>
      <c r="W163" s="1190"/>
      <c r="X163" s="1191"/>
      <c r="Y163" s="1190"/>
      <c r="Z163" s="1217"/>
      <c r="AA163" s="1217"/>
      <c r="AB163" s="1218"/>
      <c r="AC163" s="1192"/>
      <c r="AD163" s="81"/>
    </row>
    <row r="164" spans="18:30" ht="15.6">
      <c r="R164" s="1189"/>
      <c r="S164" s="1190"/>
      <c r="T164" s="1217"/>
      <c r="U164" s="1190"/>
      <c r="V164" s="1190"/>
      <c r="W164" s="1190"/>
      <c r="X164" s="1191"/>
      <c r="Y164" s="1190"/>
      <c r="Z164" s="1217"/>
      <c r="AA164" s="1217"/>
      <c r="AB164" s="1218"/>
      <c r="AC164" s="1192"/>
      <c r="AD164" s="81"/>
    </row>
    <row r="165" spans="18:30" ht="15.6">
      <c r="R165" s="1189"/>
      <c r="S165" s="1190"/>
      <c r="T165" s="1190"/>
      <c r="U165" s="1190"/>
      <c r="V165" s="1190"/>
      <c r="W165" s="1190"/>
      <c r="X165" s="1191"/>
      <c r="Y165" s="1190"/>
      <c r="Z165" s="1217"/>
      <c r="AA165" s="1217"/>
      <c r="AB165" s="1218"/>
      <c r="AC165" s="1192"/>
      <c r="AD165" s="81"/>
    </row>
    <row r="166" spans="18:30" ht="15.6">
      <c r="R166" s="1189"/>
      <c r="S166" s="1190"/>
      <c r="T166" s="1190"/>
      <c r="U166" s="1190"/>
      <c r="V166" s="1190"/>
      <c r="W166" s="1190"/>
      <c r="X166" s="1191"/>
      <c r="Y166" s="1190"/>
      <c r="Z166" s="1217"/>
      <c r="AA166" s="1217"/>
      <c r="AB166" s="1218"/>
      <c r="AC166" s="1192"/>
      <c r="AD166" s="81"/>
    </row>
    <row r="167" spans="18:30" ht="15.6">
      <c r="R167" s="1189"/>
      <c r="S167" s="1190"/>
      <c r="T167" s="1190"/>
      <c r="U167" s="1190"/>
      <c r="V167" s="1190"/>
      <c r="W167" s="1190"/>
      <c r="X167" s="1191"/>
      <c r="Y167" s="1190"/>
      <c r="Z167" s="1217"/>
      <c r="AA167" s="1217"/>
      <c r="AB167" s="1218"/>
      <c r="AC167" s="1192"/>
      <c r="AD167" s="81"/>
    </row>
    <row r="168" spans="18:30" ht="15.6">
      <c r="R168" s="1189"/>
      <c r="S168" s="1190"/>
      <c r="T168" s="1217"/>
      <c r="U168" s="1190"/>
      <c r="V168" s="1190"/>
      <c r="W168" s="1190"/>
      <c r="X168" s="1191"/>
      <c r="Y168" s="1190"/>
      <c r="Z168" s="1217"/>
      <c r="AA168" s="1217"/>
      <c r="AB168" s="1218"/>
      <c r="AC168" s="1192"/>
      <c r="AD168" s="81"/>
    </row>
    <row r="169" spans="18:30" ht="15.6">
      <c r="R169" s="1189"/>
      <c r="S169" s="1190"/>
      <c r="T169" s="1217"/>
      <c r="U169" s="1190"/>
      <c r="V169" s="1190"/>
      <c r="W169" s="1190"/>
      <c r="X169" s="1191"/>
      <c r="Y169" s="1190"/>
      <c r="Z169" s="1217"/>
      <c r="AA169" s="1217"/>
      <c r="AB169" s="1218"/>
      <c r="AC169" s="1192"/>
      <c r="AD169" s="81"/>
    </row>
    <row r="170" spans="18:30" ht="15.6">
      <c r="R170" s="1189"/>
      <c r="S170" s="1190"/>
      <c r="T170" s="1190"/>
      <c r="U170" s="1190"/>
      <c r="V170" s="1190"/>
      <c r="W170" s="1190"/>
      <c r="X170" s="1191"/>
      <c r="Y170" s="1190"/>
      <c r="Z170" s="1217"/>
      <c r="AA170" s="1217"/>
      <c r="AB170" s="1218"/>
      <c r="AC170" s="1192"/>
      <c r="AD170" s="81"/>
    </row>
    <row r="171" spans="18:30" ht="15.6">
      <c r="R171" s="1189"/>
      <c r="S171" s="1190"/>
      <c r="T171" s="1190"/>
      <c r="U171" s="1190"/>
      <c r="V171" s="1190"/>
      <c r="W171" s="1190"/>
      <c r="X171" s="1191"/>
      <c r="Y171" s="1190"/>
      <c r="Z171" s="1217"/>
      <c r="AA171" s="1217"/>
      <c r="AB171" s="1218"/>
      <c r="AC171" s="1192"/>
      <c r="AD171" s="81"/>
    </row>
    <row r="172" spans="18:30" ht="15.6">
      <c r="R172" s="1189"/>
      <c r="S172" s="1190"/>
      <c r="T172" s="1111"/>
      <c r="U172" s="1190"/>
      <c r="V172" s="1190"/>
      <c r="W172" s="1190"/>
      <c r="X172" s="1191"/>
      <c r="Y172" s="1190"/>
      <c r="Z172" s="1106"/>
      <c r="AA172" s="1106"/>
      <c r="AB172" s="1110"/>
      <c r="AC172" s="1192"/>
      <c r="AD172" s="81"/>
    </row>
    <row r="173" spans="18:30" ht="15.6">
      <c r="R173" s="1189"/>
      <c r="S173" s="1190"/>
      <c r="T173" s="1111"/>
      <c r="U173" s="1190"/>
      <c r="V173" s="1190"/>
      <c r="W173" s="1190"/>
      <c r="X173" s="1191"/>
      <c r="Y173" s="1190"/>
      <c r="Z173" s="1190"/>
      <c r="AA173" s="1190"/>
      <c r="AB173" s="1110"/>
      <c r="AC173" s="1192"/>
      <c r="AD173" s="81"/>
    </row>
    <row r="174" spans="18:30">
      <c r="R174" s="1189"/>
      <c r="S174" s="1190"/>
      <c r="T174" s="1106"/>
      <c r="U174" s="1190"/>
      <c r="V174" s="1190"/>
      <c r="W174" s="1190"/>
      <c r="X174" s="1191"/>
      <c r="Y174" s="1190"/>
      <c r="Z174" s="1190"/>
      <c r="AA174" s="1190"/>
      <c r="AB174" s="1190"/>
      <c r="AC174" s="1192"/>
      <c r="AD174" s="81"/>
    </row>
    <row r="175" spans="18:30">
      <c r="R175" s="1189"/>
      <c r="S175" s="1190"/>
      <c r="T175" s="1190"/>
      <c r="U175" s="1190"/>
      <c r="V175" s="1190"/>
      <c r="W175" s="1190"/>
      <c r="X175" s="1191"/>
      <c r="Y175" s="1190"/>
      <c r="Z175" s="1190"/>
      <c r="AA175" s="1190"/>
      <c r="AB175" s="1190"/>
      <c r="AC175" s="1192"/>
      <c r="AD175" s="81"/>
    </row>
    <row r="176" spans="18:30">
      <c r="R176" s="1189"/>
      <c r="S176" s="1190"/>
      <c r="T176" s="1190"/>
      <c r="U176" s="1190"/>
      <c r="V176" s="1190"/>
      <c r="W176" s="1190"/>
      <c r="X176" s="1191"/>
      <c r="Y176" s="1190"/>
      <c r="Z176" s="1190"/>
      <c r="AA176" s="1190"/>
      <c r="AB176" s="1190"/>
      <c r="AC176" s="1192"/>
      <c r="AD176" s="81"/>
    </row>
    <row r="177" spans="18:30">
      <c r="R177" s="1189"/>
      <c r="S177" s="1190"/>
      <c r="T177" s="1106"/>
      <c r="U177" s="1190"/>
      <c r="V177" s="1190"/>
      <c r="W177" s="1190"/>
      <c r="X177" s="1191"/>
      <c r="Y177" s="1190"/>
      <c r="Z177" s="1190"/>
      <c r="AA177" s="1190"/>
      <c r="AB177" s="1190"/>
      <c r="AC177" s="1192"/>
      <c r="AD177" s="81"/>
    </row>
    <row r="178" spans="18:30">
      <c r="R178" s="1189"/>
      <c r="S178" s="1190"/>
      <c r="T178" s="1106"/>
      <c r="U178" s="1190"/>
      <c r="V178" s="1190"/>
      <c r="W178" s="1190"/>
      <c r="X178" s="1191"/>
      <c r="Y178" s="1190"/>
      <c r="Z178" s="1190"/>
      <c r="AA178" s="1190"/>
      <c r="AB178" s="1190"/>
      <c r="AC178" s="1192"/>
      <c r="AD178" s="26"/>
    </row>
    <row r="179" spans="18:30">
      <c r="R179" s="1189"/>
      <c r="S179" s="1190"/>
      <c r="T179" s="1111"/>
      <c r="U179" s="1190"/>
      <c r="V179" s="1190"/>
      <c r="W179" s="1190"/>
      <c r="X179" s="1191"/>
      <c r="Y179" s="1190"/>
      <c r="Z179" s="1190"/>
      <c r="AA179" s="1190"/>
      <c r="AB179" s="1190"/>
      <c r="AC179" s="1192"/>
      <c r="AD179" s="26"/>
    </row>
    <row r="180" spans="18:30">
      <c r="R180" s="1189"/>
      <c r="S180" s="1190"/>
      <c r="T180" s="1106"/>
      <c r="U180" s="1190"/>
      <c r="V180" s="1190"/>
      <c r="W180" s="1190"/>
      <c r="X180" s="1191"/>
      <c r="Y180" s="1190"/>
      <c r="Z180" s="1190"/>
      <c r="AA180" s="1190"/>
      <c r="AB180" s="1190"/>
      <c r="AC180" s="1192"/>
      <c r="AD180" s="26"/>
    </row>
    <row r="181" spans="18:30">
      <c r="R181" s="1189"/>
      <c r="S181" s="1190"/>
      <c r="T181" s="1111"/>
      <c r="U181" s="1190"/>
      <c r="V181" s="1190"/>
      <c r="W181" s="1190"/>
      <c r="X181" s="1191"/>
      <c r="Y181" s="1190"/>
      <c r="Z181" s="1190"/>
      <c r="AA181" s="1190"/>
      <c r="AB181" s="1190"/>
      <c r="AC181" s="1192"/>
      <c r="AD181" s="26"/>
    </row>
    <row r="182" spans="18:30">
      <c r="R182" s="1189"/>
      <c r="S182" s="1190"/>
      <c r="T182" s="1106"/>
      <c r="U182" s="1190"/>
      <c r="V182" s="1190"/>
      <c r="W182" s="1190"/>
      <c r="X182" s="1191"/>
      <c r="Y182" s="1190"/>
      <c r="Z182" s="1190"/>
      <c r="AA182" s="1190"/>
      <c r="AB182" s="1190"/>
      <c r="AC182" s="1192"/>
      <c r="AD182" s="26"/>
    </row>
    <row r="183" spans="18:30">
      <c r="R183" s="1189"/>
      <c r="S183" s="1190"/>
      <c r="T183" s="1106"/>
      <c r="U183" s="1190"/>
      <c r="V183" s="1190"/>
      <c r="W183" s="1190"/>
      <c r="X183" s="1191"/>
      <c r="Y183" s="1190"/>
      <c r="Z183" s="1190"/>
      <c r="AA183" s="1190"/>
      <c r="AB183" s="1190"/>
      <c r="AC183" s="1192"/>
      <c r="AD183" s="26"/>
    </row>
    <row r="184" spans="18:30">
      <c r="R184" s="1189"/>
      <c r="S184" s="1190"/>
      <c r="T184" s="1111"/>
      <c r="U184" s="1190"/>
      <c r="V184" s="1190"/>
      <c r="W184" s="1190"/>
      <c r="X184" s="1191"/>
      <c r="Y184" s="1190"/>
      <c r="Z184" s="1190"/>
      <c r="AA184" s="1190"/>
      <c r="AB184" s="1190"/>
      <c r="AC184" s="1192"/>
      <c r="AD184" s="26"/>
    </row>
    <row r="185" spans="18:30">
      <c r="R185" s="1189"/>
      <c r="S185" s="1190"/>
      <c r="T185" s="1106"/>
      <c r="U185" s="1190"/>
      <c r="V185" s="1190"/>
      <c r="W185" s="1190"/>
      <c r="X185" s="1191"/>
      <c r="Y185" s="1190"/>
      <c r="Z185" s="1190"/>
      <c r="AA185" s="1190"/>
      <c r="AB185" s="1190"/>
      <c r="AC185" s="1192"/>
      <c r="AD185" s="26"/>
    </row>
    <row r="186" spans="18:30">
      <c r="R186" s="1189"/>
      <c r="S186" s="1190"/>
      <c r="T186" s="1190"/>
      <c r="U186" s="1190"/>
      <c r="V186" s="1190"/>
      <c r="W186" s="1190"/>
      <c r="X186" s="1191"/>
      <c r="Y186" s="1190"/>
      <c r="Z186" s="1190"/>
      <c r="AA186" s="1190"/>
      <c r="AB186" s="1190"/>
      <c r="AC186" s="1192"/>
      <c r="AD186" s="26"/>
    </row>
    <row r="187" spans="18:30">
      <c r="R187" s="1189"/>
      <c r="S187" s="1190"/>
      <c r="T187" s="1106"/>
      <c r="U187" s="1190"/>
      <c r="V187" s="1190"/>
      <c r="W187" s="1190"/>
      <c r="X187" s="1191"/>
      <c r="Y187" s="1190"/>
      <c r="Z187" s="1190"/>
      <c r="AA187" s="1190"/>
      <c r="AB187" s="1190"/>
      <c r="AC187" s="1192"/>
      <c r="AD187" s="26"/>
    </row>
    <row r="188" spans="18:30">
      <c r="R188" s="1189"/>
      <c r="S188" s="1190"/>
      <c r="T188" s="1106"/>
      <c r="U188" s="1190"/>
      <c r="V188" s="1190"/>
      <c r="W188" s="1190"/>
      <c r="X188" s="1191"/>
      <c r="Y188" s="1190"/>
      <c r="Z188" s="1190"/>
      <c r="AA188" s="1190"/>
      <c r="AB188" s="1190"/>
      <c r="AC188" s="1192"/>
      <c r="AD188" s="26"/>
    </row>
    <row r="189" spans="18:30">
      <c r="R189" s="1189"/>
      <c r="S189" s="1190"/>
      <c r="T189" s="1106"/>
      <c r="U189" s="1190"/>
      <c r="V189" s="1190"/>
      <c r="W189" s="1190"/>
      <c r="X189" s="1191"/>
      <c r="Y189" s="1190"/>
      <c r="Z189" s="1190"/>
      <c r="AA189" s="1190"/>
      <c r="AB189" s="1190"/>
      <c r="AC189" s="1192"/>
      <c r="AD189" s="26"/>
    </row>
    <row r="190" spans="18:30">
      <c r="R190" s="1189"/>
      <c r="S190" s="1190"/>
      <c r="T190" s="1106"/>
      <c r="U190" s="1190"/>
      <c r="V190" s="1190"/>
      <c r="W190" s="1190"/>
      <c r="X190" s="1193"/>
      <c r="Y190" s="1190"/>
      <c r="Z190" s="1190"/>
      <c r="AA190" s="1190"/>
      <c r="AB190" s="1190"/>
      <c r="AC190" s="1192"/>
      <c r="AD190" s="26"/>
    </row>
    <row r="191" spans="18:30">
      <c r="R191" s="1189"/>
      <c r="S191" s="1190"/>
      <c r="T191" s="1111"/>
      <c r="U191" s="1190"/>
      <c r="V191" s="1190"/>
      <c r="W191" s="1190"/>
      <c r="X191" s="1191"/>
      <c r="Y191" s="1190"/>
      <c r="Z191" s="1190"/>
      <c r="AA191" s="1190"/>
      <c r="AB191" s="1190"/>
      <c r="AC191" s="1192"/>
      <c r="AD191" s="26"/>
    </row>
    <row r="192" spans="18:30">
      <c r="R192" s="1194"/>
      <c r="S192" s="1195"/>
      <c r="T192" s="1111"/>
      <c r="U192" s="1195"/>
      <c r="V192" s="1190"/>
      <c r="W192" s="1190"/>
      <c r="X192" s="1196"/>
      <c r="Y192" s="1195"/>
      <c r="Z192" s="1195"/>
      <c r="AA192" s="1195"/>
      <c r="AB192" s="1195"/>
      <c r="AC192" s="1192"/>
      <c r="AD192" s="26"/>
    </row>
    <row r="193" spans="18:30">
      <c r="R193" s="1194"/>
      <c r="S193" s="1195"/>
      <c r="T193" s="1111"/>
      <c r="U193" s="1195"/>
      <c r="V193" s="1190"/>
      <c r="W193" s="1190"/>
      <c r="X193" s="1196"/>
      <c r="Y193" s="1195"/>
      <c r="Z193" s="1195"/>
      <c r="AA193" s="1195"/>
      <c r="AB193" s="1195"/>
      <c r="AC193" s="1192"/>
      <c r="AD193" s="26"/>
    </row>
    <row r="194" spans="18:30">
      <c r="R194" s="1189"/>
      <c r="S194" s="1190"/>
      <c r="T194" s="1111"/>
      <c r="U194" s="1190"/>
      <c r="V194" s="1190"/>
      <c r="W194" s="1190"/>
      <c r="X194" s="1191"/>
      <c r="Y194" s="1195"/>
      <c r="Z194" s="1190"/>
      <c r="AA194" s="1190"/>
      <c r="AB194" s="1190"/>
      <c r="AC194" s="1192"/>
      <c r="AD194" s="26"/>
    </row>
    <row r="195" spans="18:30">
      <c r="R195" s="1189"/>
      <c r="S195" s="1190"/>
      <c r="T195" s="1111"/>
      <c r="U195" s="1190"/>
      <c r="V195" s="1190"/>
      <c r="W195" s="1190"/>
      <c r="X195" s="1191"/>
      <c r="Y195" s="1195"/>
      <c r="Z195" s="1190"/>
      <c r="AA195" s="1190"/>
      <c r="AB195" s="1190"/>
      <c r="AC195" s="1192"/>
      <c r="AD195" s="26"/>
    </row>
    <row r="196" spans="18:30">
      <c r="R196" s="1194"/>
      <c r="S196" s="1195"/>
      <c r="T196" s="1111"/>
      <c r="U196" s="1195"/>
      <c r="V196" s="1195"/>
      <c r="W196" s="1190"/>
      <c r="X196" s="1196"/>
      <c r="Y196" s="1195"/>
      <c r="Z196" s="1195"/>
      <c r="AA196" s="1195"/>
      <c r="AB196" s="1190"/>
      <c r="AC196" s="1192"/>
      <c r="AD196" s="26"/>
    </row>
    <row r="197" spans="18:30">
      <c r="R197" s="1194"/>
      <c r="S197" s="1195"/>
      <c r="T197" s="1106"/>
      <c r="U197" s="1195"/>
      <c r="V197" s="1195"/>
      <c r="W197" s="1195"/>
      <c r="X197" s="1196"/>
      <c r="Y197" s="1195"/>
      <c r="Z197" s="1195"/>
      <c r="AA197" s="1195"/>
      <c r="AB197" s="1195"/>
      <c r="AC197" s="1197"/>
      <c r="AD197" s="26"/>
    </row>
    <row r="198" spans="18:30">
      <c r="R198" s="1189"/>
      <c r="S198" s="1190"/>
      <c r="T198" s="1190"/>
      <c r="U198" s="1190"/>
      <c r="V198" s="1190"/>
      <c r="W198" s="1190"/>
      <c r="X198" s="1191"/>
      <c r="Y198" s="1190"/>
      <c r="Z198" s="1190"/>
      <c r="AA198" s="1190"/>
      <c r="AB198" s="1190"/>
      <c r="AC198" s="1192"/>
      <c r="AD198" s="26"/>
    </row>
    <row r="199" spans="18:30">
      <c r="R199" s="1189"/>
      <c r="S199" s="1190"/>
      <c r="T199" s="1190"/>
      <c r="U199" s="1190"/>
      <c r="V199" s="1195"/>
      <c r="W199" s="1190"/>
      <c r="X199" s="1191"/>
      <c r="Y199" s="1190"/>
      <c r="Z199" s="1190"/>
      <c r="AA199" s="1190"/>
      <c r="AB199" s="1190"/>
      <c r="AC199" s="1192"/>
      <c r="AD199" s="26"/>
    </row>
    <row r="200" spans="18:30">
      <c r="R200" s="1189"/>
      <c r="S200" s="1190"/>
      <c r="T200" s="1190"/>
      <c r="U200" s="1190"/>
      <c r="V200" s="1195"/>
      <c r="W200" s="1190"/>
      <c r="X200" s="1191"/>
      <c r="Y200" s="1190"/>
      <c r="Z200" s="1190"/>
      <c r="AA200" s="1190"/>
      <c r="AB200" s="1190"/>
      <c r="AC200" s="1192"/>
      <c r="AD200" s="26"/>
    </row>
    <row r="201" spans="18:30">
      <c r="R201" s="1189"/>
      <c r="S201" s="1190"/>
      <c r="T201" s="1190"/>
      <c r="U201" s="1190"/>
      <c r="V201" s="1190"/>
      <c r="W201" s="1190"/>
      <c r="X201" s="1191"/>
      <c r="Y201" s="1190"/>
      <c r="Z201" s="1190"/>
      <c r="AA201" s="1190"/>
      <c r="AB201" s="1190"/>
      <c r="AC201" s="1192"/>
      <c r="AD201" s="26"/>
    </row>
    <row r="202" spans="18:30">
      <c r="R202" s="1189"/>
      <c r="S202" s="1190"/>
      <c r="T202" s="1190"/>
      <c r="U202" s="1190"/>
      <c r="V202" s="1190"/>
      <c r="W202" s="1190"/>
      <c r="X202" s="1191"/>
      <c r="Y202" s="1190"/>
      <c r="Z202" s="1190"/>
      <c r="AA202" s="1190"/>
      <c r="AB202" s="1190"/>
      <c r="AC202" s="1192"/>
      <c r="AD202" s="26"/>
    </row>
    <row r="203" spans="18:30">
      <c r="R203" s="1189"/>
      <c r="S203" s="1190"/>
      <c r="T203" s="1190"/>
      <c r="U203" s="1190"/>
      <c r="V203" s="1195"/>
      <c r="W203" s="1190"/>
      <c r="X203" s="1191"/>
      <c r="Y203" s="1190"/>
      <c r="Z203" s="1190"/>
      <c r="AA203" s="1190"/>
      <c r="AB203" s="1190"/>
      <c r="AC203" s="1192"/>
      <c r="AD203" s="81"/>
    </row>
    <row r="204" spans="18:30">
      <c r="R204" s="1189"/>
      <c r="S204" s="1190"/>
      <c r="T204" s="1190"/>
      <c r="U204" s="1190"/>
      <c r="V204" s="1195"/>
      <c r="W204" s="1190"/>
      <c r="X204" s="1191"/>
      <c r="Y204" s="1190"/>
      <c r="Z204" s="1190"/>
      <c r="AA204" s="1190"/>
      <c r="AB204" s="1190"/>
      <c r="AC204" s="1192"/>
      <c r="AD204" s="203"/>
    </row>
    <row r="205" spans="18:30">
      <c r="R205" s="1190"/>
      <c r="S205" s="1190"/>
      <c r="T205" s="1190"/>
      <c r="U205" s="1190"/>
      <c r="V205" s="1190"/>
      <c r="W205" s="1190"/>
      <c r="X205" s="1190"/>
      <c r="Y205" s="1190"/>
      <c r="Z205" s="1190"/>
      <c r="AA205" s="1190"/>
      <c r="AB205" s="1190"/>
      <c r="AC205" s="1190"/>
      <c r="AD205" s="44"/>
    </row>
    <row r="206" spans="18:30">
      <c r="R206" s="1190"/>
      <c r="S206" s="1190"/>
      <c r="T206" s="1190"/>
      <c r="U206" s="1190"/>
      <c r="V206" s="1190"/>
      <c r="W206" s="1190"/>
      <c r="X206" s="1190"/>
      <c r="Y206" s="1190"/>
      <c r="Z206" s="1190"/>
      <c r="AA206" s="1190"/>
      <c r="AB206" s="1190"/>
      <c r="AC206" s="1190"/>
      <c r="AD206" s="44"/>
    </row>
    <row r="207" spans="18:30">
      <c r="R207" s="1190"/>
      <c r="S207" s="1190"/>
      <c r="T207" s="1190"/>
      <c r="U207" s="1190"/>
      <c r="V207" s="1190"/>
      <c r="W207" s="1190"/>
      <c r="X207" s="1190"/>
      <c r="Y207" s="1190"/>
      <c r="Z207" s="1190"/>
      <c r="AA207" s="1190"/>
      <c r="AB207" s="1190"/>
      <c r="AC207" s="1190"/>
      <c r="AD207" s="44"/>
    </row>
    <row r="208" spans="18:30">
      <c r="R208" s="1190"/>
      <c r="S208" s="1190"/>
      <c r="T208" s="1190"/>
      <c r="U208" s="1190"/>
      <c r="V208" s="1190"/>
      <c r="W208" s="1190"/>
      <c r="X208" s="1190"/>
      <c r="Y208" s="1190"/>
      <c r="Z208" s="1190"/>
      <c r="AA208" s="1190"/>
      <c r="AB208" s="1190"/>
      <c r="AC208" s="1190"/>
      <c r="AD208" s="44"/>
    </row>
    <row r="209" spans="18:30">
      <c r="R209" s="1190"/>
      <c r="S209" s="1190"/>
      <c r="T209" s="1190"/>
      <c r="U209" s="1190"/>
      <c r="V209" s="1190"/>
      <c r="W209" s="1190"/>
      <c r="X209" s="1190"/>
      <c r="Y209" s="1190"/>
      <c r="Z209" s="1190"/>
      <c r="AA209" s="1190"/>
      <c r="AB209" s="1190"/>
      <c r="AC209" s="1190"/>
      <c r="AD209" s="44"/>
    </row>
    <row r="210" spans="18:30">
      <c r="R210" s="1190"/>
      <c r="S210" s="1190"/>
      <c r="T210" s="1190"/>
      <c r="U210" s="1190"/>
      <c r="V210" s="1190"/>
      <c r="W210" s="1190"/>
      <c r="X210" s="1190"/>
      <c r="Y210" s="1190"/>
      <c r="Z210" s="1190"/>
      <c r="AA210" s="1190"/>
      <c r="AB210" s="1190"/>
      <c r="AC210" s="1190"/>
      <c r="AD210" s="44"/>
    </row>
    <row r="211" spans="18:30">
      <c r="R211" s="1190"/>
      <c r="S211" s="1190"/>
      <c r="T211" s="1190"/>
      <c r="U211" s="1190"/>
      <c r="V211" s="1190"/>
      <c r="W211" s="1190"/>
      <c r="X211" s="1190"/>
      <c r="Y211" s="1190"/>
      <c r="Z211" s="1190"/>
      <c r="AA211" s="1190"/>
      <c r="AB211" s="1190"/>
      <c r="AC211" s="1190"/>
    </row>
    <row r="212" spans="18:30">
      <c r="R212" s="1190"/>
      <c r="S212" s="1190"/>
      <c r="T212" s="1190"/>
      <c r="U212" s="1190"/>
      <c r="V212" s="1190"/>
      <c r="W212" s="1190"/>
      <c r="X212" s="1190"/>
      <c r="Y212" s="1190"/>
      <c r="Z212" s="1190"/>
      <c r="AA212" s="1190"/>
      <c r="AB212" s="1190"/>
      <c r="AC212" s="1190"/>
    </row>
    <row r="213" spans="18:30">
      <c r="R213" s="1190"/>
      <c r="S213" s="1190"/>
      <c r="T213" s="1190"/>
      <c r="U213" s="1190"/>
      <c r="V213" s="1190"/>
      <c r="W213" s="1190"/>
      <c r="X213" s="1190"/>
      <c r="Y213" s="1190"/>
      <c r="Z213" s="1190"/>
      <c r="AA213" s="1190"/>
      <c r="AB213" s="1190"/>
      <c r="AC213" s="1190"/>
    </row>
    <row r="214" spans="18:30">
      <c r="R214" s="1190"/>
      <c r="S214" s="1190"/>
      <c r="T214" s="1190"/>
      <c r="U214" s="1190"/>
      <c r="V214" s="1190"/>
      <c r="W214" s="1190"/>
      <c r="X214" s="1190"/>
      <c r="Y214" s="1190"/>
      <c r="Z214" s="1190"/>
      <c r="AA214" s="1190"/>
      <c r="AB214" s="1190"/>
      <c r="AC214" s="1190"/>
    </row>
    <row r="215" spans="18:30">
      <c r="R215" s="1190"/>
      <c r="S215" s="1190"/>
      <c r="T215" s="1190"/>
      <c r="U215" s="1190"/>
      <c r="V215" s="1190"/>
      <c r="W215" s="1190"/>
      <c r="X215" s="1190"/>
      <c r="Y215" s="1190"/>
      <c r="Z215" s="1190"/>
      <c r="AA215" s="1190"/>
      <c r="AB215" s="1190"/>
      <c r="AC215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63" name="Range1_65_32_32_30_30_30_30_30_30_30_30_30_30_30_30_30_30"/>
    <protectedRange algorithmName="SHA-512" hashValue="XYWjC+iAz2ErgjMh7TSLHlxfTfK0uVcITDFdCCZFdnsWWbUNnsQqu9AM+0WFXQpYcy9ZvQx2KUXfpLhpOROHkg==" saltValue="47TiGLG0rJVTo3iAJH8T4w==" spinCount="100000" sqref="B23:D63" name="Range2_5_2_2_2_2_2_2_2_2_2_2_2_2_2_2_2"/>
    <protectedRange algorithmName="SHA-512" hashValue="24Yg3M703G5L8OyJWxlkx8c1Gwfrkael5W/l3TUk/Rcz5tR8QOgCx5v0Ebb/UGz+9BDKPJ5wV4hH8uuxvmtGIw==" saltValue="ZSJQ8EEnwGxsiYzxIw6K0Q==" spinCount="100000" sqref="B23:D63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_2"/>
    <protectedRange algorithmName="SHA-512" hashValue="24Yg3M703G5L8OyJWxlkx8c1Gwfrkael5W/l3TUk/Rcz5tR8QOgCx5v0Ebb/UGz+9BDKPJ5wV4hH8uuxvmtGIw==" saltValue="ZSJQ8EEnwGxsiYzxIw6K0Q==" spinCount="100000" sqref="B20:D22" name="Range1_65_32_2_2_2_2_2_2_2_2_2_2_2_2_2_3_2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F0B4-42E4-4FF1-8046-48E942C3578F}">
  <dimension ref="A1:AG186"/>
  <sheetViews>
    <sheetView showGridLines="0" topLeftCell="G1" zoomScale="55" zoomScaleNormal="55" workbookViewId="0">
      <selection activeCell="T40" sqref="T40:V40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27" customWidth="1"/>
    <col min="22" max="22" width="53" customWidth="1"/>
    <col min="23" max="23" width="29.109375" bestFit="1" customWidth="1"/>
    <col min="24" max="24" width="18.33203125" bestFit="1" customWidth="1"/>
    <col min="25" max="25" width="23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35.44140625" bestFit="1" customWidth="1"/>
    <col min="31" max="31" width="9.109375" bestFit="1" customWidth="1"/>
  </cols>
  <sheetData>
    <row r="1" spans="1:33" ht="17.399999999999999">
      <c r="A1" s="1211" t="s">
        <v>826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827</v>
      </c>
      <c r="B2" s="733"/>
      <c r="C2" s="733"/>
      <c r="D2" s="733"/>
      <c r="E2" s="735"/>
      <c r="F2" s="1536" t="s">
        <v>828</v>
      </c>
      <c r="G2" s="1536"/>
      <c r="H2" s="1536"/>
      <c r="I2" s="742"/>
      <c r="J2" s="1525" t="s">
        <v>829</v>
      </c>
      <c r="K2" s="1525"/>
      <c r="L2" s="1525"/>
      <c r="M2" s="735"/>
      <c r="N2" s="1535"/>
      <c r="O2" s="1535"/>
      <c r="P2" s="1535"/>
      <c r="R2" s="1202" t="s">
        <v>443</v>
      </c>
      <c r="S2" s="1264">
        <v>3331563767</v>
      </c>
      <c r="T2" s="1261" t="s">
        <v>11</v>
      </c>
      <c r="U2" s="1202">
        <v>24141845</v>
      </c>
      <c r="V2" s="1209" t="s">
        <v>435</v>
      </c>
      <c r="W2" s="1202" t="s">
        <v>205</v>
      </c>
      <c r="X2" s="1203">
        <v>44167.677000000003</v>
      </c>
      <c r="Y2" s="1202" t="s">
        <v>128</v>
      </c>
      <c r="Z2" s="1202">
        <v>1</v>
      </c>
      <c r="AA2" s="1202">
        <v>1</v>
      </c>
      <c r="AB2" s="1208" t="s">
        <v>204</v>
      </c>
      <c r="AC2" s="1217"/>
      <c r="AD2" s="1326" t="s">
        <v>830</v>
      </c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09" t="s">
        <v>443</v>
      </c>
      <c r="S3" s="1209">
        <v>3331563689</v>
      </c>
      <c r="T3" s="1264" t="s">
        <v>441</v>
      </c>
      <c r="U3" s="1202">
        <v>24141834</v>
      </c>
      <c r="V3" s="1202" t="s">
        <v>435</v>
      </c>
      <c r="W3" s="1202" t="s">
        <v>205</v>
      </c>
      <c r="X3" s="1203">
        <v>45328.851000000002</v>
      </c>
      <c r="Y3" s="1202" t="s">
        <v>128</v>
      </c>
      <c r="Z3" s="1202">
        <v>1</v>
      </c>
      <c r="AA3" s="1202">
        <v>1</v>
      </c>
      <c r="AB3" s="1208" t="s">
        <v>204</v>
      </c>
      <c r="AC3" s="1217"/>
      <c r="AD3" s="1326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09" t="s">
        <v>443</v>
      </c>
      <c r="S4" s="1209">
        <v>3331563692</v>
      </c>
      <c r="T4" s="1264" t="s">
        <v>441</v>
      </c>
      <c r="U4" s="1202">
        <v>24141835</v>
      </c>
      <c r="V4" s="1202" t="s">
        <v>435</v>
      </c>
      <c r="W4" s="1202" t="s">
        <v>205</v>
      </c>
      <c r="X4" s="1203">
        <f>29271.476+3010.455+7311.105</f>
        <v>39593.035999999993</v>
      </c>
      <c r="Y4" s="1202" t="s">
        <v>128</v>
      </c>
      <c r="Z4" s="1202">
        <v>1</v>
      </c>
      <c r="AA4" s="1202">
        <v>1</v>
      </c>
      <c r="AB4" s="1208" t="s">
        <v>204</v>
      </c>
      <c r="AC4" s="1209"/>
      <c r="AD4" s="1326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SUMPRODUCT(--ISNUMBER(MATCH(TRIM(W1:W338), {"JABODETABEK","JAWA TENGAH","JAWA TIMUR","LUAR PULAU"}, 0)), --(AC1:AC338=""))</f>
        <v>52</v>
      </c>
      <c r="C5" s="1303" cm="1">
        <f t="array" ref="C5">SUMPRODUCT(--(LOWER(TRIM(AB1:AB364))="masuk"), --(ISNUMBER(MATCH(TRIM(W1:W364), {"JABODETABEK","JAWA TENGAH","JAWA TIMUR","LUAR PULAU"}, 0))), --(LOWER(AC1:AC364)&lt;&gt;"add"))</f>
        <v>42</v>
      </c>
      <c r="D5" s="1304">
        <f>C5+-B5</f>
        <v>-10</v>
      </c>
      <c r="E5" s="734"/>
      <c r="F5" s="1306" cm="1">
        <f t="array" ref="F5">SUMPRODUCT(--(LOWER(AC1:AC364)="add"), --(ISNUMBER(MATCH(W1:W364, {"JABODETABEK","JAWA TENGAH","JAWA TIMUR","LUAR PULAU"}, 0))))</f>
        <v>6</v>
      </c>
      <c r="G5" s="1303" cm="1">
        <f t="array" ref="G5">SUMPRODUCT(--(LOWER(AB1:AB364)="masuk"), --(LOWER(AC1:AC364)="add"))</f>
        <v>4</v>
      </c>
      <c r="H5" s="1304">
        <f>G5+-F5</f>
        <v>-2</v>
      </c>
      <c r="I5" s="734"/>
      <c r="J5" s="1306" cm="1">
        <f t="array" ref="J5">SUMPRODUCT(--(ISNUMBER(SEARCH("next day",LOWER(W1:W364)))+ISNUMBER(SEARCH("nextday",LOWER(W1:W364)))&gt; 0))</f>
        <v>7</v>
      </c>
      <c r="K5" s="1303" cm="1">
        <f t="array" ref="K5">SUMPRODUCT(--(LOWER(AB1:AB364)="masuk"), --ISNUMBER(SEARCH("next day", LOWER(W1:W364))))</f>
        <v>7</v>
      </c>
      <c r="L5" s="1304">
        <f>K5+-J5</f>
        <v>0</v>
      </c>
      <c r="M5" s="734"/>
      <c r="N5" s="1306">
        <f>B5+F5+J5</f>
        <v>65</v>
      </c>
      <c r="O5" s="1303">
        <f>C5+G5+K5</f>
        <v>53</v>
      </c>
      <c r="P5" s="1304">
        <f>D5+H5+L5</f>
        <v>-12</v>
      </c>
      <c r="R5" s="1209" t="s">
        <v>443</v>
      </c>
      <c r="S5" s="1209">
        <v>3331563694</v>
      </c>
      <c r="T5" s="1264" t="s">
        <v>256</v>
      </c>
      <c r="U5" s="1202" t="s">
        <v>256</v>
      </c>
      <c r="V5" s="1202" t="s">
        <v>256</v>
      </c>
      <c r="W5" s="1202" t="s">
        <v>256</v>
      </c>
      <c r="X5" s="1203" t="s">
        <v>256</v>
      </c>
      <c r="Y5" s="1202" t="s">
        <v>256</v>
      </c>
      <c r="Z5" s="1202" t="s">
        <v>256</v>
      </c>
      <c r="AA5" s="1202" t="s">
        <v>256</v>
      </c>
      <c r="AB5" s="1208" t="s">
        <v>256</v>
      </c>
      <c r="AC5" s="1217"/>
      <c r="AD5" s="1326"/>
      <c r="AE5" s="44"/>
      <c r="AF5" s="44"/>
      <c r="AG5" s="44"/>
    </row>
    <row r="6" spans="1:33" ht="17.399999999999999">
      <c r="A6" s="733"/>
      <c r="B6" s="733">
        <f>SUM(B5)</f>
        <v>52</v>
      </c>
      <c r="C6" s="733">
        <f>SUM(C5)</f>
        <v>42</v>
      </c>
      <c r="D6" s="739">
        <f>SUM(D5)</f>
        <v>-10</v>
      </c>
      <c r="E6" s="734"/>
      <c r="F6" s="733">
        <f>SUM(F5)</f>
        <v>6</v>
      </c>
      <c r="G6" s="733">
        <f>SUM(G5)</f>
        <v>4</v>
      </c>
      <c r="H6" s="739">
        <f>SUM(H5)</f>
        <v>-2</v>
      </c>
      <c r="I6" s="733"/>
      <c r="J6" s="733">
        <f>SUM(J5)</f>
        <v>7</v>
      </c>
      <c r="K6" s="733">
        <f>SUM(K5)</f>
        <v>7</v>
      </c>
      <c r="L6" s="739">
        <f>SUM(L5)</f>
        <v>0</v>
      </c>
      <c r="M6" s="733"/>
      <c r="N6" s="760">
        <f>SUM(N5:N5)</f>
        <v>65</v>
      </c>
      <c r="O6" s="760">
        <f>SUM(O5:O5)</f>
        <v>53</v>
      </c>
      <c r="P6" s="761">
        <f>SUM(P5:P5)</f>
        <v>-12</v>
      </c>
      <c r="R6" s="1209" t="s">
        <v>443</v>
      </c>
      <c r="S6" s="1209">
        <v>3331563698</v>
      </c>
      <c r="T6" s="1264" t="s">
        <v>256</v>
      </c>
      <c r="U6" s="1202" t="s">
        <v>256</v>
      </c>
      <c r="V6" s="1202" t="s">
        <v>256</v>
      </c>
      <c r="W6" s="1202" t="s">
        <v>256</v>
      </c>
      <c r="X6" s="1203" t="s">
        <v>256</v>
      </c>
      <c r="Y6" s="1202" t="s">
        <v>256</v>
      </c>
      <c r="Z6" s="1202" t="s">
        <v>256</v>
      </c>
      <c r="AA6" s="1202" t="s">
        <v>256</v>
      </c>
      <c r="AB6" s="1208" t="s">
        <v>256</v>
      </c>
      <c r="AC6" s="1217"/>
      <c r="AD6" s="1326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09" t="s">
        <v>443</v>
      </c>
      <c r="S7" s="1209">
        <v>3331563723</v>
      </c>
      <c r="T7" s="1264" t="s">
        <v>441</v>
      </c>
      <c r="U7" s="1202">
        <v>24141836</v>
      </c>
      <c r="V7" s="1202" t="s">
        <v>444</v>
      </c>
      <c r="W7" s="1202" t="s">
        <v>203</v>
      </c>
      <c r="X7" s="1203">
        <v>41286.239999999998</v>
      </c>
      <c r="Y7" s="1202" t="s">
        <v>128</v>
      </c>
      <c r="Z7" s="1202">
        <v>1</v>
      </c>
      <c r="AA7" s="1202">
        <v>1</v>
      </c>
      <c r="AB7" s="1208" t="s">
        <v>204</v>
      </c>
      <c r="AC7" s="1217"/>
      <c r="AD7" s="1326"/>
      <c r="AE7" s="44"/>
      <c r="AF7" s="44"/>
      <c r="AG7" s="44"/>
    </row>
    <row r="8" spans="1:33" ht="17.399999999999999">
      <c r="A8" s="763" t="str">
        <f>A1</f>
        <v>Plan tgl 22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09" t="s">
        <v>443</v>
      </c>
      <c r="S8" s="1209">
        <v>3331563726</v>
      </c>
      <c r="T8" s="1264" t="s">
        <v>441</v>
      </c>
      <c r="U8" s="1202">
        <v>24141837</v>
      </c>
      <c r="V8" s="1202" t="s">
        <v>444</v>
      </c>
      <c r="W8" s="1202" t="s">
        <v>203</v>
      </c>
      <c r="X8" s="1203">
        <f>25524.735+9833.65+6063.917</f>
        <v>41422.302000000003</v>
      </c>
      <c r="Y8" s="1202" t="s">
        <v>128</v>
      </c>
      <c r="Z8" s="1202">
        <v>1</v>
      </c>
      <c r="AA8" s="1202">
        <v>1</v>
      </c>
      <c r="AB8" s="1208" t="s">
        <v>204</v>
      </c>
      <c r="AC8" s="81"/>
      <c r="AD8" s="1326"/>
      <c r="AE8" s="44"/>
      <c r="AF8" s="44"/>
      <c r="AG8" s="44"/>
    </row>
    <row r="9" spans="1:33" ht="18">
      <c r="A9" s="763" t="str">
        <f>A2</f>
        <v>Realz update 23 OKT’25 jam 07.00</v>
      </c>
      <c r="B9" s="825"/>
      <c r="C9" s="825"/>
      <c r="D9" s="825"/>
      <c r="E9" s="734"/>
      <c r="F9" s="1525" t="str">
        <f>F2</f>
        <v>Tgl 22 OKT’25 diatas jam 15.00</v>
      </c>
      <c r="G9" s="1525"/>
      <c r="H9" s="1525"/>
      <c r="I9" s="826"/>
      <c r="J9" s="1525" t="str">
        <f>J2</f>
        <v>Tgl 22 OKT’25</v>
      </c>
      <c r="K9" s="1525"/>
      <c r="L9" s="1525"/>
      <c r="M9" s="734"/>
      <c r="N9" s="1526"/>
      <c r="O9" s="1526"/>
      <c r="P9" s="1526"/>
      <c r="R9" s="1202" t="s">
        <v>794</v>
      </c>
      <c r="S9" s="1264">
        <v>3331563791</v>
      </c>
      <c r="T9" s="1264" t="s">
        <v>459</v>
      </c>
      <c r="U9" s="1202">
        <v>24141857</v>
      </c>
      <c r="V9" s="1202" t="s">
        <v>413</v>
      </c>
      <c r="W9" s="1202" t="s">
        <v>205</v>
      </c>
      <c r="X9" s="1203">
        <v>28829.445</v>
      </c>
      <c r="Y9" s="1202" t="s">
        <v>426</v>
      </c>
      <c r="Z9" s="1202">
        <v>1</v>
      </c>
      <c r="AA9" s="1202">
        <v>1</v>
      </c>
      <c r="AB9" s="1208" t="s">
        <v>204</v>
      </c>
      <c r="AC9" s="1209"/>
      <c r="AD9" s="1326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202" t="s">
        <v>794</v>
      </c>
      <c r="S10" s="1264">
        <v>3331563730</v>
      </c>
      <c r="T10" s="1264" t="s">
        <v>459</v>
      </c>
      <c r="U10" s="1202">
        <v>24141839</v>
      </c>
      <c r="V10" s="1202" t="s">
        <v>413</v>
      </c>
      <c r="W10" s="1202" t="s">
        <v>205</v>
      </c>
      <c r="X10" s="1203">
        <v>30099.52</v>
      </c>
      <c r="Y10" s="1202" t="s">
        <v>426</v>
      </c>
      <c r="Z10" s="1202">
        <v>1</v>
      </c>
      <c r="AA10" s="1202">
        <v>1</v>
      </c>
      <c r="AB10" s="1208" t="s">
        <v>204</v>
      </c>
      <c r="AC10" s="1217"/>
      <c r="AD10" s="1326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2" t="s">
        <v>794</v>
      </c>
      <c r="S11" s="1264">
        <v>3331563744</v>
      </c>
      <c r="T11" s="1264" t="s">
        <v>459</v>
      </c>
      <c r="U11" s="1202">
        <v>24141841</v>
      </c>
      <c r="V11" s="1202" t="s">
        <v>413</v>
      </c>
      <c r="W11" s="1202" t="s">
        <v>205</v>
      </c>
      <c r="X11" s="1203">
        <v>29954.152999999998</v>
      </c>
      <c r="Y11" s="1202" t="s">
        <v>426</v>
      </c>
      <c r="Z11" s="1202">
        <v>1</v>
      </c>
      <c r="AA11" s="1202">
        <v>1</v>
      </c>
      <c r="AB11" s="1208" t="s">
        <v>204</v>
      </c>
      <c r="AC11" s="1217"/>
      <c r="AD11" s="1326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SUMPRODUCT(--(TRIM(LOWER(W1:W364))="jabodetabek"), --(LOWER(AC1:AC364)&lt;&gt;"add"))</f>
        <v>17</v>
      </c>
      <c r="C12" s="748" cm="1">
        <f t="array" ref="C12">SUMPRODUCT(--(LOWER(AB1:AB364)="masuk"), --(TRIM(LOWER(W1:W364))="jabodetabek"), --(LOWER(AC1:AC364)&lt;&gt;"add"))</f>
        <v>17</v>
      </c>
      <c r="D12" s="973">
        <f>C12+-B12</f>
        <v>0</v>
      </c>
      <c r="E12" s="734"/>
      <c r="F12" s="748" cm="1">
        <f t="array" ref="F12">SUMPRODUCT(--(LOWER(AC1:AC364)="add"), --(TRIM(LOWER(W1:W364))="jabodetabek"))</f>
        <v>3</v>
      </c>
      <c r="G12" s="747" cm="1">
        <f t="array" ref="G12">SUMPRODUCT(--(LOWER(AB1:AB364)="masuk"), --(LOWER(AC1:AC364)="add"), --(TRIM(LOWER(W1:W364))="jabodetabek"))</f>
        <v>3</v>
      </c>
      <c r="H12" s="740">
        <f>G12+-F12</f>
        <v>0</v>
      </c>
      <c r="I12" s="734"/>
      <c r="J12" s="748" cm="1">
        <f t="array" ref="J12">SUMPRODUCT(--(ISNUMBER(SEARCH("jabodetabek next day",LOWER(W1:W364)))+ISNUMBER(SEARCH("jabodetabek nextday",LOWER(W1:W364)))&gt; 0))</f>
        <v>7</v>
      </c>
      <c r="K12" s="747" cm="1">
        <f t="array" ref="K12">SUMPRODUCT(--(LOWER(AB1:AB364)="masuk"), --(LOWER(TRIM(W1:W364))="jabodetabek next day"))</f>
        <v>7</v>
      </c>
      <c r="L12" s="740">
        <f>K12+-J12</f>
        <v>0</v>
      </c>
      <c r="M12" s="734"/>
      <c r="N12" s="748">
        <f t="shared" ref="N12:P16" si="0">B12+F12+J12</f>
        <v>27</v>
      </c>
      <c r="O12" s="747">
        <f t="shared" si="0"/>
        <v>27</v>
      </c>
      <c r="P12" s="740">
        <f t="shared" si="0"/>
        <v>0</v>
      </c>
      <c r="R12" s="1202" t="s">
        <v>794</v>
      </c>
      <c r="S12" s="1264">
        <v>3331563778</v>
      </c>
      <c r="T12" s="1264" t="s">
        <v>459</v>
      </c>
      <c r="U12" s="1202">
        <v>24141852</v>
      </c>
      <c r="V12" s="1202" t="s">
        <v>413</v>
      </c>
      <c r="W12" s="1202" t="s">
        <v>205</v>
      </c>
      <c r="X12" s="1203">
        <v>29543.705000000002</v>
      </c>
      <c r="Y12" s="1202" t="s">
        <v>426</v>
      </c>
      <c r="Z12" s="1202">
        <v>1</v>
      </c>
      <c r="AA12" s="1202">
        <v>1</v>
      </c>
      <c r="AB12" s="1208" t="s">
        <v>204</v>
      </c>
      <c r="AC12" s="1209"/>
      <c r="AD12" s="1326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SUMPRODUCT(--(TRIM(LOWER(W1:W364))="jawa tengah"), --(LOWER(AC1:AC364)&lt;&gt;"add"))</f>
        <v>9</v>
      </c>
      <c r="C13" s="750" cm="1">
        <f t="array" ref="C13">SUMPRODUCT(--(LOWER(AB1:AB364)="masuk"), --(TRIM(LOWER(W1:W364))="jawa tengah"), --(LOWER(AC1:AC364)&lt;&gt;"add"))</f>
        <v>3</v>
      </c>
      <c r="D13" s="846">
        <f>C13+-B13</f>
        <v>-6</v>
      </c>
      <c r="E13" s="734"/>
      <c r="F13" s="751" cm="1">
        <f t="array" ref="F13">SUMPRODUCT(--(LOWER(AC1:AC364)="add"), --(TRIM(LOWER(W1:W364))="jawa tengah"))</f>
        <v>0</v>
      </c>
      <c r="G13" s="747" cm="1">
        <f t="array" ref="G13">SUMPRODUCT(--(LOWER(AB1:AB364)="masuk"), --(LOWER(AC1:AC364)="add"), --(TRIM(LOWER(W1:W364))="jawa tengah"))</f>
        <v>0</v>
      </c>
      <c r="H13" s="740">
        <f>G13+-F13</f>
        <v>0</v>
      </c>
      <c r="I13" s="734"/>
      <c r="J13" s="748" cm="1">
        <f t="array" ref="J13">SUMPRODUCT(--((LOWER(TRIM(W1:W364))="jawa tengah next day")+(LOWER(TRIM(W1:W364))="jawa tengah nextday")))</f>
        <v>0</v>
      </c>
      <c r="K13" s="747" cm="1">
        <f t="array" ref="K13">SUMPRODUCT(--(LOWER(AB1:AB364)="masuk"), --(LOWER(TRIM(W1:W364))="jawa tengah next day"))</f>
        <v>0</v>
      </c>
      <c r="L13" s="740">
        <f>K13+-J13</f>
        <v>0</v>
      </c>
      <c r="M13" s="734"/>
      <c r="N13" s="748">
        <f t="shared" si="0"/>
        <v>9</v>
      </c>
      <c r="O13" s="747">
        <f t="shared" si="0"/>
        <v>3</v>
      </c>
      <c r="P13" s="740">
        <f t="shared" si="0"/>
        <v>-6</v>
      </c>
      <c r="R13" s="1202" t="s">
        <v>794</v>
      </c>
      <c r="S13" s="1264">
        <v>3331563780</v>
      </c>
      <c r="T13" s="1264" t="s">
        <v>459</v>
      </c>
      <c r="U13" s="1202">
        <v>24141853</v>
      </c>
      <c r="V13" s="1202" t="s">
        <v>413</v>
      </c>
      <c r="W13" s="1202" t="s">
        <v>205</v>
      </c>
      <c r="X13" s="1203">
        <v>29543.705000000002</v>
      </c>
      <c r="Y13" s="1202" t="s">
        <v>426</v>
      </c>
      <c r="Z13" s="1202">
        <v>1</v>
      </c>
      <c r="AA13" s="1202">
        <v>1</v>
      </c>
      <c r="AB13" s="1208" t="s">
        <v>204</v>
      </c>
      <c r="AC13" s="1209"/>
      <c r="AD13" s="1326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SUMPRODUCT(--(TRIM(LOWER(W1:W364))="jawa timur"), --(LOWER(AC1:AC364)&lt;&gt;"add"))</f>
        <v>15</v>
      </c>
      <c r="C14" s="750" cm="1">
        <f t="array" ref="C14">SUMPRODUCT(--(LOWER(AB1:AB364)="masuk"), --(TRIM(LOWER(W1:W364))="jawa timur"), --(LOWER(AC1:AC364)&lt;&gt;"add"))</f>
        <v>15</v>
      </c>
      <c r="D14" s="846">
        <f>C14+-B14</f>
        <v>0</v>
      </c>
      <c r="E14" s="734"/>
      <c r="F14" s="750" cm="1">
        <f t="array" ref="F14">SUMPRODUCT(--(LOWER(AC1:AC364)="add"), --(TRIM(LOWER(W1:W364))="jawa timur"))</f>
        <v>3</v>
      </c>
      <c r="G14" s="747" cm="1">
        <f t="array" ref="G14">SUMPRODUCT(--(LOWER(AB1:AB364)="masuk"), --(LOWER(AC1:AC364)="add"), --(TRIM(LOWER(W1:W364))="jawa timur"))</f>
        <v>1</v>
      </c>
      <c r="H14" s="740">
        <f>G14+-F14</f>
        <v>-2</v>
      </c>
      <c r="I14" s="734"/>
      <c r="J14" s="748" cm="1">
        <f t="array" ref="J14">SUMPRODUCT(--((LOWER(TRIM(W1:W364))="jawa timur next day")+(LOWER(TRIM(W1:W364))="jawa timur nextday")))</f>
        <v>0</v>
      </c>
      <c r="K14" s="747" cm="1">
        <f t="array" ref="K14">SUMPRODUCT(--(LOWER(AB1:AB364)="masuk"), --(LOWER(TRIM(W1:W364))="jawa timur next day"))</f>
        <v>0</v>
      </c>
      <c r="L14" s="740">
        <f>K14+-J14</f>
        <v>0</v>
      </c>
      <c r="M14" s="734"/>
      <c r="N14" s="748">
        <f t="shared" si="0"/>
        <v>18</v>
      </c>
      <c r="O14" s="747">
        <f t="shared" si="0"/>
        <v>16</v>
      </c>
      <c r="P14" s="740">
        <f t="shared" si="0"/>
        <v>-2</v>
      </c>
      <c r="R14" s="1202" t="s">
        <v>794</v>
      </c>
      <c r="S14" s="1264">
        <v>3331563784</v>
      </c>
      <c r="T14" s="1264" t="s">
        <v>459</v>
      </c>
      <c r="U14" s="1202">
        <v>24141854</v>
      </c>
      <c r="V14" s="1202" t="s">
        <v>413</v>
      </c>
      <c r="W14" s="1202" t="s">
        <v>205</v>
      </c>
      <c r="X14" s="1203">
        <v>30014.01</v>
      </c>
      <c r="Y14" s="1202" t="s">
        <v>426</v>
      </c>
      <c r="Z14" s="1202">
        <v>1</v>
      </c>
      <c r="AA14" s="1202">
        <v>1</v>
      </c>
      <c r="AB14" s="1208" t="s">
        <v>204</v>
      </c>
      <c r="AC14" s="1209"/>
      <c r="AD14" s="1326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SUMPRODUCT(--(TRIM(LOWER(W1:W364))="luar pulau"), --(LOWER(AC1:AC364)&lt;&gt;"add"))</f>
        <v>11</v>
      </c>
      <c r="C15" s="750" cm="1">
        <f t="array" ref="C15">SUMPRODUCT(--(LOWER(AB1:AB364)="masuk"), --(TRIM(LOWER(W1:W364))="luar pulau"), --(LOWER(AC1:AC364)&lt;&gt;"add"))</f>
        <v>7</v>
      </c>
      <c r="D15" s="846">
        <f>C15+-B15</f>
        <v>-4</v>
      </c>
      <c r="E15" s="734"/>
      <c r="F15" s="748" cm="1">
        <f t="array" ref="F15">SUMPRODUCT(--(LOWER(AC1:AC364)="add"), --(TRIM(LOWER(W1:W364))="luar pulau"))</f>
        <v>0</v>
      </c>
      <c r="G15" s="747" cm="1">
        <f t="array" ref="G15">SUMPRODUCT(--(LOWER(AB1:AB364)="masuk"), --(LOWER(AC1:AC364)="add"), --(TRIM(LOWER(W1:W364))="luar pulau"))</f>
        <v>0</v>
      </c>
      <c r="H15" s="740">
        <f>G15+-F15</f>
        <v>0</v>
      </c>
      <c r="I15" s="734"/>
      <c r="J15" s="748" cm="1">
        <f t="array" ref="J15">SUMPRODUCT(--((LOWER(TRIM(W1:W364))="luar pulau next day")+(LOWER(TRIM(W1:W364))="luar pulau nextday")))</f>
        <v>0</v>
      </c>
      <c r="K15" s="747" cm="1">
        <f t="array" ref="K15">SUMPRODUCT(--(LOWER(AB1:AB364)="masuk"), --(LOWER(TRIM(W1:W364))="luar pulau next day"))</f>
        <v>0</v>
      </c>
      <c r="L15" s="740">
        <f>K15+-J15</f>
        <v>0</v>
      </c>
      <c r="M15" s="734"/>
      <c r="N15" s="748">
        <f t="shared" si="0"/>
        <v>11</v>
      </c>
      <c r="O15" s="747">
        <f t="shared" si="0"/>
        <v>7</v>
      </c>
      <c r="P15" s="740">
        <f t="shared" si="0"/>
        <v>-4</v>
      </c>
      <c r="R15" s="1202" t="s">
        <v>428</v>
      </c>
      <c r="S15" s="1336">
        <v>3331562116</v>
      </c>
      <c r="T15" s="1317" t="s">
        <v>424</v>
      </c>
      <c r="U15" s="1227">
        <v>24141691</v>
      </c>
      <c r="V15" s="1227" t="s">
        <v>429</v>
      </c>
      <c r="W15" s="1227" t="s">
        <v>362</v>
      </c>
      <c r="X15" s="1229">
        <v>23209.335999999999</v>
      </c>
      <c r="Y15" s="1202" t="s">
        <v>426</v>
      </c>
      <c r="Z15" s="1202">
        <v>1</v>
      </c>
      <c r="AA15" s="1202">
        <v>1</v>
      </c>
      <c r="AB15" s="1244" t="s">
        <v>204</v>
      </c>
      <c r="AC15" s="1217"/>
      <c r="AD15" s="1326"/>
      <c r="AE15" s="44"/>
      <c r="AF15" s="44"/>
      <c r="AG15" s="44"/>
    </row>
    <row r="16" spans="1:33" ht="17.399999999999999">
      <c r="A16" s="827"/>
      <c r="B16" s="733">
        <f>SUM(B12:B15)</f>
        <v>52</v>
      </c>
      <c r="C16" s="733">
        <f>SUM(C12:C15)</f>
        <v>42</v>
      </c>
      <c r="D16" s="739">
        <f>SUM(D12:D15)</f>
        <v>-10</v>
      </c>
      <c r="E16" s="734"/>
      <c r="F16" s="733">
        <f>SUM(F12:F15)</f>
        <v>6</v>
      </c>
      <c r="G16" s="733">
        <f>SUM(G12:G15)</f>
        <v>4</v>
      </c>
      <c r="H16" s="739">
        <f>SUM(H12:H15)</f>
        <v>-2</v>
      </c>
      <c r="I16" s="734"/>
      <c r="J16" s="733">
        <f>SUM(J12:J15)</f>
        <v>7</v>
      </c>
      <c r="K16" s="733">
        <f>SUM(K12:K15)</f>
        <v>7</v>
      </c>
      <c r="L16" s="739">
        <f>SUM(L12:L15)</f>
        <v>0</v>
      </c>
      <c r="M16" s="734"/>
      <c r="N16" s="760">
        <f t="shared" si="0"/>
        <v>65</v>
      </c>
      <c r="O16" s="760">
        <f t="shared" si="0"/>
        <v>53</v>
      </c>
      <c r="P16" s="761">
        <f t="shared" si="0"/>
        <v>-12</v>
      </c>
      <c r="R16" s="1202" t="s">
        <v>428</v>
      </c>
      <c r="S16" s="1336">
        <v>3331562125</v>
      </c>
      <c r="T16" s="1317" t="s">
        <v>424</v>
      </c>
      <c r="U16" s="1227">
        <v>24141693</v>
      </c>
      <c r="V16" s="1227" t="s">
        <v>429</v>
      </c>
      <c r="W16" s="1227" t="s">
        <v>362</v>
      </c>
      <c r="X16" s="1229">
        <v>22745.66</v>
      </c>
      <c r="Y16" s="1202" t="s">
        <v>426</v>
      </c>
      <c r="Z16" s="1202">
        <v>1</v>
      </c>
      <c r="AA16" s="1202">
        <v>1</v>
      </c>
      <c r="AB16" s="1244" t="s">
        <v>204</v>
      </c>
      <c r="AC16" s="1217"/>
      <c r="AD16" s="1326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2" t="s">
        <v>428</v>
      </c>
      <c r="S17" s="1337">
        <v>3331562128</v>
      </c>
      <c r="T17" s="1317" t="s">
        <v>424</v>
      </c>
      <c r="U17" s="1227">
        <v>24141694</v>
      </c>
      <c r="V17" s="1227" t="s">
        <v>429</v>
      </c>
      <c r="W17" s="1227" t="s">
        <v>362</v>
      </c>
      <c r="X17" s="1229">
        <v>22745.66</v>
      </c>
      <c r="Y17" s="1202" t="s">
        <v>426</v>
      </c>
      <c r="Z17" s="1202">
        <v>1</v>
      </c>
      <c r="AA17" s="1202">
        <v>1</v>
      </c>
      <c r="AB17" s="1244" t="s">
        <v>204</v>
      </c>
      <c r="AC17" s="1217"/>
      <c r="AD17" s="1326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2" t="s">
        <v>428</v>
      </c>
      <c r="S18" s="1336">
        <v>3331562145</v>
      </c>
      <c r="T18" s="1317" t="s">
        <v>424</v>
      </c>
      <c r="U18" s="1227">
        <v>24141695</v>
      </c>
      <c r="V18" s="1227" t="s">
        <v>429</v>
      </c>
      <c r="W18" s="1227" t="s">
        <v>362</v>
      </c>
      <c r="X18" s="1229">
        <v>24797.9</v>
      </c>
      <c r="Y18" s="1202" t="s">
        <v>426</v>
      </c>
      <c r="Z18" s="1202">
        <v>1</v>
      </c>
      <c r="AA18" s="1202">
        <v>1</v>
      </c>
      <c r="AB18" s="1244" t="s">
        <v>204</v>
      </c>
      <c r="AC18" s="1217"/>
      <c r="AD18" s="1326"/>
    </row>
    <row r="19" spans="1:30" s="44" customFormat="1" ht="17.399999999999999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2" t="s">
        <v>428</v>
      </c>
      <c r="S19" s="1336">
        <v>3331562146</v>
      </c>
      <c r="T19" s="1317" t="s">
        <v>424</v>
      </c>
      <c r="U19" s="1227">
        <v>24141696</v>
      </c>
      <c r="V19" s="1227" t="s">
        <v>429</v>
      </c>
      <c r="W19" s="1227" t="s">
        <v>362</v>
      </c>
      <c r="X19" s="1229">
        <v>23087.7</v>
      </c>
      <c r="Y19" s="1202" t="s">
        <v>426</v>
      </c>
      <c r="Z19" s="1202">
        <v>1</v>
      </c>
      <c r="AA19" s="1202">
        <v>1</v>
      </c>
      <c r="AB19" s="1244" t="s">
        <v>204</v>
      </c>
      <c r="AC19" s="1217"/>
      <c r="AD19" s="1326"/>
    </row>
    <row r="20" spans="1:30" s="44" customFormat="1" ht="17.399999999999999">
      <c r="A20" s="1520" t="s">
        <v>434</v>
      </c>
      <c r="B20" s="1522" t="s">
        <v>415</v>
      </c>
      <c r="C20" s="1523"/>
      <c r="D20" s="152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2" t="s">
        <v>428</v>
      </c>
      <c r="S20" s="1336">
        <v>3331562148</v>
      </c>
      <c r="T20" s="1317" t="s">
        <v>424</v>
      </c>
      <c r="U20" s="1227">
        <v>24141698</v>
      </c>
      <c r="V20" s="1227" t="s">
        <v>429</v>
      </c>
      <c r="W20" s="1227" t="s">
        <v>362</v>
      </c>
      <c r="X20" s="1229">
        <f>19352.925+5771.925</f>
        <v>25124.85</v>
      </c>
      <c r="Y20" s="1202" t="s">
        <v>426</v>
      </c>
      <c r="Z20" s="1202">
        <v>1</v>
      </c>
      <c r="AA20" s="1202">
        <v>1</v>
      </c>
      <c r="AB20" s="1244" t="s">
        <v>204</v>
      </c>
      <c r="AC20" s="1217"/>
      <c r="AD20" s="1326"/>
    </row>
    <row r="21" spans="1:30" s="44" customFormat="1" ht="17.399999999999999">
      <c r="A21" s="152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428</v>
      </c>
      <c r="S21" s="1227">
        <v>3331562151</v>
      </c>
      <c r="T21" s="1317" t="s">
        <v>256</v>
      </c>
      <c r="U21" s="1227" t="s">
        <v>256</v>
      </c>
      <c r="V21" s="1227" t="s">
        <v>256</v>
      </c>
      <c r="W21" s="1227" t="s">
        <v>256</v>
      </c>
      <c r="X21" s="1229" t="s">
        <v>256</v>
      </c>
      <c r="Y21" s="1202" t="s">
        <v>256</v>
      </c>
      <c r="Z21" s="1202" t="s">
        <v>256</v>
      </c>
      <c r="AA21" s="1202" t="s">
        <v>256</v>
      </c>
      <c r="AB21" s="1244" t="s">
        <v>256</v>
      </c>
      <c r="AC21" s="1217"/>
      <c r="AD21" s="1326"/>
    </row>
    <row r="22" spans="1:30" s="44" customFormat="1" ht="18">
      <c r="A22" s="968" t="s">
        <v>427</v>
      </c>
      <c r="B22" s="970" cm="1">
        <f t="array" ref="B22">SUMPRODUCT(--((LOWER(TRIM($W$2:$W$357))="ambil sendiri")+(LOWER(TRIM($W$2:$W$357))="cokot sorangan")))</f>
        <v>2</v>
      </c>
      <c r="C22" s="969" cm="1">
        <f t="array" ref="C22">SUMPRODUCT(--(LOWER(AB2:AB383)="masuk"), --((LOWER(TRIM($W$2:$W$383))="cokot sorangan") + (LOWER(TRIM(W2:W383))="ambil sendiri")))</f>
        <v>0</v>
      </c>
      <c r="D22" s="741">
        <f>C22+-B22</f>
        <v>-2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9" t="s">
        <v>794</v>
      </c>
      <c r="S22" s="105">
        <v>3331563983</v>
      </c>
      <c r="T22" s="1264" t="s">
        <v>27</v>
      </c>
      <c r="U22" s="1264">
        <v>24141875</v>
      </c>
      <c r="V22" s="1264" t="s">
        <v>444</v>
      </c>
      <c r="W22" s="1209" t="s">
        <v>205</v>
      </c>
      <c r="X22" s="1313">
        <v>23524.555</v>
      </c>
      <c r="Y22" s="1209" t="s">
        <v>200</v>
      </c>
      <c r="Z22" s="1264">
        <v>1</v>
      </c>
      <c r="AA22" s="1264">
        <v>1</v>
      </c>
      <c r="AB22" s="1067" t="s">
        <v>204</v>
      </c>
      <c r="AC22" s="1217"/>
      <c r="AD22" s="1326"/>
    </row>
    <row r="23" spans="1:30" s="44" customFormat="1" ht="17.399999999999999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09" t="s">
        <v>794</v>
      </c>
      <c r="S23" s="1209">
        <v>3331563987</v>
      </c>
      <c r="T23" s="1264" t="s">
        <v>27</v>
      </c>
      <c r="U23" s="1209">
        <v>24141874</v>
      </c>
      <c r="V23" s="1264" t="s">
        <v>444</v>
      </c>
      <c r="W23" s="1209" t="s">
        <v>205</v>
      </c>
      <c r="X23" s="1281">
        <f>2736.32+18470.16</f>
        <v>21206.48</v>
      </c>
      <c r="Y23" s="1209" t="s">
        <v>200</v>
      </c>
      <c r="Z23" s="1264">
        <v>1</v>
      </c>
      <c r="AA23" s="1264">
        <v>1</v>
      </c>
      <c r="AB23" s="1067" t="s">
        <v>204</v>
      </c>
      <c r="AC23" s="1217"/>
      <c r="AD23" s="1326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09" t="s">
        <v>794</v>
      </c>
      <c r="S24" s="1209">
        <v>3331563989</v>
      </c>
      <c r="T24" s="1264" t="s">
        <v>256</v>
      </c>
      <c r="U24" s="1209" t="s">
        <v>256</v>
      </c>
      <c r="V24" s="1264" t="s">
        <v>256</v>
      </c>
      <c r="W24" s="1209" t="s">
        <v>256</v>
      </c>
      <c r="X24" s="1281" t="s">
        <v>256</v>
      </c>
      <c r="Y24" s="1209" t="s">
        <v>256</v>
      </c>
      <c r="Z24" s="1264" t="s">
        <v>256</v>
      </c>
      <c r="AA24" s="1264" t="s">
        <v>256</v>
      </c>
      <c r="AB24" s="1067" t="s">
        <v>256</v>
      </c>
      <c r="AC24" s="1217"/>
      <c r="AD24" s="1326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02" t="s">
        <v>794</v>
      </c>
      <c r="S25" s="1202">
        <v>3331564001</v>
      </c>
      <c r="T25" s="1264" t="s">
        <v>608</v>
      </c>
      <c r="U25" s="1202">
        <v>24141879</v>
      </c>
      <c r="V25" s="1202" t="s">
        <v>561</v>
      </c>
      <c r="W25" s="1202" t="s">
        <v>362</v>
      </c>
      <c r="X25" s="1231">
        <v>24028.31</v>
      </c>
      <c r="Y25" s="1209" t="s">
        <v>467</v>
      </c>
      <c r="Z25" s="1264">
        <v>1</v>
      </c>
      <c r="AA25" s="1264">
        <v>1</v>
      </c>
      <c r="AB25" s="1244" t="s">
        <v>204</v>
      </c>
      <c r="AC25" s="1190"/>
      <c r="AD25" s="1326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17" t="s">
        <v>794</v>
      </c>
      <c r="S26" s="1217">
        <v>3331564004</v>
      </c>
      <c r="T26" s="1294" t="s">
        <v>599</v>
      </c>
      <c r="U26" s="1190">
        <v>24141881</v>
      </c>
      <c r="V26" s="1190" t="s">
        <v>561</v>
      </c>
      <c r="W26" s="1190" t="s">
        <v>362</v>
      </c>
      <c r="X26" s="1325">
        <v>26337.08</v>
      </c>
      <c r="Y26" s="1190" t="s">
        <v>200</v>
      </c>
      <c r="Z26" s="1190">
        <v>1</v>
      </c>
      <c r="AA26" s="1190">
        <v>1</v>
      </c>
      <c r="AB26" s="1241" t="s">
        <v>207</v>
      </c>
      <c r="AC26" s="1217"/>
      <c r="AD26" s="1326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17" t="s">
        <v>794</v>
      </c>
      <c r="S27" s="1217">
        <v>3331564002</v>
      </c>
      <c r="T27" s="1294" t="s">
        <v>599</v>
      </c>
      <c r="U27" s="1190">
        <v>24141880</v>
      </c>
      <c r="V27" s="1190" t="s">
        <v>561</v>
      </c>
      <c r="W27" s="1190" t="s">
        <v>362</v>
      </c>
      <c r="X27" s="1296">
        <v>24455.86</v>
      </c>
      <c r="Y27" s="1190" t="s">
        <v>200</v>
      </c>
      <c r="Z27" s="1190">
        <v>1</v>
      </c>
      <c r="AA27" s="1190">
        <v>1</v>
      </c>
      <c r="AB27" s="1241" t="s">
        <v>207</v>
      </c>
      <c r="AC27" s="1217"/>
      <c r="AD27" s="1326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09" t="s">
        <v>794</v>
      </c>
      <c r="S28" s="1209">
        <v>3331564010</v>
      </c>
      <c r="T28" s="1264" t="s">
        <v>518</v>
      </c>
      <c r="U28" s="1202">
        <v>24141883</v>
      </c>
      <c r="V28" s="1202" t="s">
        <v>226</v>
      </c>
      <c r="W28" s="1202" t="s">
        <v>203</v>
      </c>
      <c r="X28" s="1203">
        <v>24968.92</v>
      </c>
      <c r="Y28" s="1202" t="s">
        <v>200</v>
      </c>
      <c r="Z28" s="1202">
        <v>1</v>
      </c>
      <c r="AA28" s="1202">
        <v>1</v>
      </c>
      <c r="AB28" s="1067" t="s">
        <v>204</v>
      </c>
      <c r="AC28" s="1217"/>
      <c r="AD28" s="1326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17" t="s">
        <v>794</v>
      </c>
      <c r="S29" s="1217">
        <v>3331564012</v>
      </c>
      <c r="T29" s="1294" t="s">
        <v>459</v>
      </c>
      <c r="U29" s="1190">
        <v>24141884</v>
      </c>
      <c r="V29" s="1190" t="s">
        <v>226</v>
      </c>
      <c r="W29" s="1190" t="s">
        <v>203</v>
      </c>
      <c r="X29" s="1191">
        <v>24541.37</v>
      </c>
      <c r="Y29" s="1190" t="s">
        <v>812</v>
      </c>
      <c r="Z29" s="1190">
        <v>1</v>
      </c>
      <c r="AA29" s="1190">
        <v>1</v>
      </c>
      <c r="AB29" s="1099" t="s">
        <v>207</v>
      </c>
      <c r="AC29" s="1217"/>
      <c r="AD29" s="1326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17" t="s">
        <v>794</v>
      </c>
      <c r="S30" s="1217">
        <v>3331564014</v>
      </c>
      <c r="T30" s="1294" t="s">
        <v>459</v>
      </c>
      <c r="U30" s="1190">
        <v>24141885</v>
      </c>
      <c r="V30" s="1190" t="s">
        <v>226</v>
      </c>
      <c r="W30" s="1190" t="s">
        <v>203</v>
      </c>
      <c r="X30" s="1191">
        <v>24541.37</v>
      </c>
      <c r="Y30" s="1190" t="s">
        <v>812</v>
      </c>
      <c r="Z30" s="1190">
        <v>1</v>
      </c>
      <c r="AA30" s="1190">
        <v>1</v>
      </c>
      <c r="AB30" s="1099" t="s">
        <v>207</v>
      </c>
      <c r="AC30" s="1217"/>
      <c r="AD30" s="1326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17" t="s">
        <v>794</v>
      </c>
      <c r="S31" s="1217">
        <v>3331564007</v>
      </c>
      <c r="T31" s="1294" t="s">
        <v>459</v>
      </c>
      <c r="U31" s="1190">
        <v>24141886</v>
      </c>
      <c r="V31" s="1190" t="s">
        <v>224</v>
      </c>
      <c r="W31" s="1190" t="s">
        <v>203</v>
      </c>
      <c r="X31" s="1191">
        <v>29329.93</v>
      </c>
      <c r="Y31" s="1190" t="s">
        <v>426</v>
      </c>
      <c r="Z31" s="1190">
        <v>1</v>
      </c>
      <c r="AA31" s="1190">
        <v>1</v>
      </c>
      <c r="AB31" s="1099" t="s">
        <v>207</v>
      </c>
      <c r="AC31" s="1217"/>
      <c r="AD31" s="1326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443</v>
      </c>
      <c r="S32" s="1209">
        <v>3331563692</v>
      </c>
      <c r="T32" s="1264" t="s">
        <v>459</v>
      </c>
      <c r="U32" s="1202">
        <v>24141835</v>
      </c>
      <c r="V32" s="1202" t="s">
        <v>435</v>
      </c>
      <c r="W32" s="1202" t="s">
        <v>205</v>
      </c>
      <c r="X32" s="1203">
        <f>7311.105+3010.455+11085.056</f>
        <v>21406.616000000002</v>
      </c>
      <c r="Y32" s="1202" t="s">
        <v>426</v>
      </c>
      <c r="Z32" s="1202">
        <v>1</v>
      </c>
      <c r="AA32" s="1202">
        <v>1</v>
      </c>
      <c r="AB32" s="1067" t="s">
        <v>204</v>
      </c>
      <c r="AC32" s="1217"/>
      <c r="AD32" s="1326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443</v>
      </c>
      <c r="S33" s="1209">
        <v>3331563694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17"/>
      <c r="AD33" s="1326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9" t="s">
        <v>443</v>
      </c>
      <c r="S34" s="1209">
        <v>3331563698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17"/>
      <c r="AD34" s="1326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9" t="s">
        <v>794</v>
      </c>
      <c r="S35" s="1209">
        <v>3331564026</v>
      </c>
      <c r="T35" s="1264" t="s">
        <v>459</v>
      </c>
      <c r="U35" s="1264">
        <v>24141888</v>
      </c>
      <c r="V35" s="1202" t="s">
        <v>435</v>
      </c>
      <c r="W35" s="1202" t="s">
        <v>205</v>
      </c>
      <c r="X35" s="1203">
        <f>5848.884+19398.848</f>
        <v>25247.732000000004</v>
      </c>
      <c r="Y35" s="1202" t="s">
        <v>426</v>
      </c>
      <c r="Z35" s="1202">
        <v>1</v>
      </c>
      <c r="AA35" s="1202">
        <v>1</v>
      </c>
      <c r="AB35" s="1067" t="s">
        <v>204</v>
      </c>
      <c r="AC35" s="1264"/>
      <c r="AD35" s="1174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9" t="s">
        <v>794</v>
      </c>
      <c r="S36" s="1209">
        <v>3331564027</v>
      </c>
      <c r="T36" s="1264" t="s">
        <v>256</v>
      </c>
      <c r="U36" s="1264" t="s">
        <v>256</v>
      </c>
      <c r="V36" s="1264" t="s">
        <v>256</v>
      </c>
      <c r="W36" s="1264" t="s">
        <v>256</v>
      </c>
      <c r="X36" s="1203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09"/>
      <c r="AD36" s="1174"/>
    </row>
    <row r="37" spans="1:30" s="44" customFormat="1" ht="17.399999999999999" hidden="1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17" t="s">
        <v>794</v>
      </c>
      <c r="S37" s="1217">
        <v>3331564029</v>
      </c>
      <c r="T37" s="1294" t="s">
        <v>439</v>
      </c>
      <c r="U37" s="1294">
        <v>24141889</v>
      </c>
      <c r="V37" s="1294" t="s">
        <v>440</v>
      </c>
      <c r="W37" s="1294" t="s">
        <v>434</v>
      </c>
      <c r="X37" s="1191">
        <v>40486.434999999998</v>
      </c>
      <c r="Y37" s="1294" t="s">
        <v>128</v>
      </c>
      <c r="Z37" s="1294">
        <v>1</v>
      </c>
      <c r="AA37" s="1294">
        <v>1</v>
      </c>
      <c r="AB37" s="1099" t="s">
        <v>207</v>
      </c>
      <c r="AC37" s="1217"/>
      <c r="AD37" s="1326"/>
    </row>
    <row r="38" spans="1:30" s="44" customFormat="1" ht="17.399999999999999" hidden="1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17" t="s">
        <v>794</v>
      </c>
      <c r="S38" s="1217">
        <v>3331564036</v>
      </c>
      <c r="T38" s="1294" t="s">
        <v>439</v>
      </c>
      <c r="U38" s="1294">
        <v>24141890</v>
      </c>
      <c r="V38" s="1294" t="s">
        <v>440</v>
      </c>
      <c r="W38" s="1294" t="s">
        <v>434</v>
      </c>
      <c r="X38" s="1191">
        <f>13986.223+25201.81</f>
        <v>39188.033000000003</v>
      </c>
      <c r="Y38" s="1294" t="s">
        <v>128</v>
      </c>
      <c r="Z38" s="1294">
        <v>1</v>
      </c>
      <c r="AA38" s="1294">
        <v>1</v>
      </c>
      <c r="AB38" s="1099" t="s">
        <v>207</v>
      </c>
      <c r="AC38" s="1217"/>
      <c r="AD38" s="1326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17" t="s">
        <v>794</v>
      </c>
      <c r="S39" s="1217">
        <v>3331564037</v>
      </c>
      <c r="T39" s="1294" t="s">
        <v>256</v>
      </c>
      <c r="U39" s="1294" t="s">
        <v>256</v>
      </c>
      <c r="V39" s="1217" t="s">
        <v>256</v>
      </c>
      <c r="W39" s="1294" t="s">
        <v>256</v>
      </c>
      <c r="X39" s="1191" t="s">
        <v>256</v>
      </c>
      <c r="Y39" s="1294" t="s">
        <v>256</v>
      </c>
      <c r="Z39" s="1294" t="s">
        <v>256</v>
      </c>
      <c r="AA39" s="1294" t="s">
        <v>256</v>
      </c>
      <c r="AB39" s="1294" t="s">
        <v>256</v>
      </c>
      <c r="AC39" s="1217"/>
      <c r="AD39" s="1326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17" t="s">
        <v>443</v>
      </c>
      <c r="S40" s="1217">
        <v>3331563654</v>
      </c>
      <c r="T40" s="1294" t="s">
        <v>424</v>
      </c>
      <c r="U40" s="1294">
        <v>24141829</v>
      </c>
      <c r="V40" s="1217" t="s">
        <v>425</v>
      </c>
      <c r="W40" s="1294" t="s">
        <v>362</v>
      </c>
      <c r="X40" s="1191">
        <v>22617.395</v>
      </c>
      <c r="Y40" s="1190" t="s">
        <v>426</v>
      </c>
      <c r="Z40" s="1190">
        <v>1</v>
      </c>
      <c r="AA40" s="1190">
        <v>1</v>
      </c>
      <c r="AB40" s="1241" t="s">
        <v>207</v>
      </c>
      <c r="AC40" s="1217"/>
      <c r="AD40" s="1326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17" t="s">
        <v>443</v>
      </c>
      <c r="S41" s="1217">
        <v>3331563747</v>
      </c>
      <c r="T41" s="1294" t="s">
        <v>351</v>
      </c>
      <c r="U41" s="1294">
        <v>24141844</v>
      </c>
      <c r="V41" s="1217" t="s">
        <v>687</v>
      </c>
      <c r="W41" s="1294" t="s">
        <v>362</v>
      </c>
      <c r="X41" s="1191">
        <v>24712.39</v>
      </c>
      <c r="Y41" s="1190" t="s">
        <v>426</v>
      </c>
      <c r="Z41" s="1190">
        <v>1</v>
      </c>
      <c r="AA41" s="1190">
        <v>1</v>
      </c>
      <c r="AB41" s="1241" t="s">
        <v>207</v>
      </c>
      <c r="AC41" s="1217"/>
      <c r="AD41" s="1326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09" t="s">
        <v>794</v>
      </c>
      <c r="S42" s="1209">
        <v>3331564098</v>
      </c>
      <c r="T42" s="1264" t="s">
        <v>441</v>
      </c>
      <c r="U42" s="1264">
        <v>24141897</v>
      </c>
      <c r="V42" s="1209" t="s">
        <v>413</v>
      </c>
      <c r="W42" s="1264" t="s">
        <v>205</v>
      </c>
      <c r="X42" s="1203">
        <v>38754.394999999997</v>
      </c>
      <c r="Y42" s="1202" t="s">
        <v>128</v>
      </c>
      <c r="Z42" s="1202">
        <v>1</v>
      </c>
      <c r="AA42" s="1202">
        <v>1</v>
      </c>
      <c r="AB42" s="1244" t="s">
        <v>204</v>
      </c>
      <c r="AC42" s="1217"/>
      <c r="AD42" s="1326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17" t="s">
        <v>794</v>
      </c>
      <c r="S43" s="1217">
        <v>3331564109</v>
      </c>
      <c r="T43" s="1294" t="s">
        <v>459</v>
      </c>
      <c r="U43" s="1294">
        <v>24141901</v>
      </c>
      <c r="V43" s="1217" t="s">
        <v>226</v>
      </c>
      <c r="W43" s="1294" t="s">
        <v>203</v>
      </c>
      <c r="X43" s="1191">
        <f>3593.983+25525.238</f>
        <v>29119.221000000001</v>
      </c>
      <c r="Y43" s="1190" t="s">
        <v>426</v>
      </c>
      <c r="Z43" s="1190">
        <v>1</v>
      </c>
      <c r="AA43" s="1190">
        <v>1</v>
      </c>
      <c r="AB43" s="1241" t="s">
        <v>207</v>
      </c>
      <c r="AC43" s="1217"/>
      <c r="AD43" s="1326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17" t="s">
        <v>794</v>
      </c>
      <c r="S44" s="1217">
        <v>3331564112</v>
      </c>
      <c r="T44" s="1294" t="s">
        <v>256</v>
      </c>
      <c r="U44" s="1294" t="s">
        <v>256</v>
      </c>
      <c r="V44" s="1217" t="s">
        <v>256</v>
      </c>
      <c r="W44" s="1294" t="s">
        <v>256</v>
      </c>
      <c r="X44" s="1191" t="s">
        <v>256</v>
      </c>
      <c r="Y44" s="1190" t="s">
        <v>256</v>
      </c>
      <c r="Z44" s="1190" t="s">
        <v>256</v>
      </c>
      <c r="AA44" s="1190" t="s">
        <v>256</v>
      </c>
      <c r="AB44" s="1241" t="s">
        <v>256</v>
      </c>
      <c r="AC44" s="1217"/>
      <c r="AD44" s="1326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17" t="s">
        <v>794</v>
      </c>
      <c r="S45" s="1217">
        <v>3331564118</v>
      </c>
      <c r="T45" s="1294" t="s">
        <v>459</v>
      </c>
      <c r="U45" s="1294">
        <v>24141902</v>
      </c>
      <c r="V45" s="1217" t="s">
        <v>226</v>
      </c>
      <c r="W45" s="1294" t="s">
        <v>203</v>
      </c>
      <c r="X45" s="1191">
        <v>30057.268</v>
      </c>
      <c r="Y45" s="1190" t="s">
        <v>426</v>
      </c>
      <c r="Z45" s="1190">
        <v>1</v>
      </c>
      <c r="AA45" s="1190">
        <v>1</v>
      </c>
      <c r="AB45" s="1241" t="s">
        <v>207</v>
      </c>
      <c r="AC45" s="1217"/>
      <c r="AD45" s="1326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20" t="s">
        <v>794</v>
      </c>
      <c r="S46" s="1217">
        <v>3331564130</v>
      </c>
      <c r="T46" s="1294" t="s">
        <v>459</v>
      </c>
      <c r="U46" s="1294">
        <v>24141904</v>
      </c>
      <c r="V46" s="1217" t="s">
        <v>226</v>
      </c>
      <c r="W46" s="1294" t="s">
        <v>203</v>
      </c>
      <c r="X46" s="1191">
        <v>27577.477999999999</v>
      </c>
      <c r="Y46" s="1190" t="s">
        <v>426</v>
      </c>
      <c r="Z46" s="1190">
        <v>1</v>
      </c>
      <c r="AA46" s="1190">
        <v>1</v>
      </c>
      <c r="AB46" s="1241" t="s">
        <v>207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09" t="s">
        <v>794</v>
      </c>
      <c r="S47" s="1209">
        <v>3331564141</v>
      </c>
      <c r="T47" s="1264" t="s">
        <v>441</v>
      </c>
      <c r="U47" s="1264">
        <v>24141911</v>
      </c>
      <c r="V47" s="1209" t="s">
        <v>430</v>
      </c>
      <c r="W47" s="1264" t="s">
        <v>205</v>
      </c>
      <c r="X47" s="1203">
        <f>27229.229+9915.929+5216.11+1333.201+2744.871</f>
        <v>46439.34</v>
      </c>
      <c r="Y47" s="1202" t="s">
        <v>128</v>
      </c>
      <c r="Z47" s="1202">
        <v>1</v>
      </c>
      <c r="AA47" s="1202">
        <v>1</v>
      </c>
      <c r="AB47" s="1244" t="s">
        <v>204</v>
      </c>
      <c r="AC47" s="1217"/>
      <c r="AD47" s="1326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794</v>
      </c>
      <c r="S48" s="1209">
        <v>3331564143</v>
      </c>
      <c r="T48" s="1264" t="s">
        <v>256</v>
      </c>
      <c r="U48" s="1264" t="s">
        <v>256</v>
      </c>
      <c r="V48" s="1209" t="s">
        <v>256</v>
      </c>
      <c r="W48" s="1264" t="s">
        <v>256</v>
      </c>
      <c r="X48" s="1203" t="s">
        <v>256</v>
      </c>
      <c r="Y48" s="1202" t="s">
        <v>256</v>
      </c>
      <c r="Z48" s="1202" t="s">
        <v>256</v>
      </c>
      <c r="AA48" s="1202" t="s">
        <v>256</v>
      </c>
      <c r="AB48" s="1244" t="s">
        <v>256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794</v>
      </c>
      <c r="S49" s="1209">
        <v>3331564144</v>
      </c>
      <c r="T49" s="1264" t="s">
        <v>256</v>
      </c>
      <c r="U49" s="1264" t="s">
        <v>256</v>
      </c>
      <c r="V49" s="1209" t="s">
        <v>256</v>
      </c>
      <c r="W49" s="1264" t="s">
        <v>256</v>
      </c>
      <c r="X49" s="1203" t="s">
        <v>256</v>
      </c>
      <c r="Y49" s="1202" t="s">
        <v>256</v>
      </c>
      <c r="Z49" s="1202" t="s">
        <v>256</v>
      </c>
      <c r="AA49" s="1202" t="s">
        <v>256</v>
      </c>
      <c r="AB49" s="1244" t="s">
        <v>256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794</v>
      </c>
      <c r="S50" s="1209">
        <v>3331564145</v>
      </c>
      <c r="T50" s="1264" t="s">
        <v>256</v>
      </c>
      <c r="U50" s="1264" t="s">
        <v>256</v>
      </c>
      <c r="V50" s="1209" t="s">
        <v>256</v>
      </c>
      <c r="W50" s="1264" t="s">
        <v>256</v>
      </c>
      <c r="X50" s="1203" t="s">
        <v>256</v>
      </c>
      <c r="Y50" s="1202" t="s">
        <v>256</v>
      </c>
      <c r="Z50" s="1202" t="s">
        <v>256</v>
      </c>
      <c r="AA50" s="1202" t="s">
        <v>256</v>
      </c>
      <c r="AB50" s="1244" t="s">
        <v>256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794</v>
      </c>
      <c r="S51" s="1209">
        <v>3331564146</v>
      </c>
      <c r="T51" s="1264" t="s">
        <v>256</v>
      </c>
      <c r="U51" s="1264" t="s">
        <v>256</v>
      </c>
      <c r="V51" s="1209" t="s">
        <v>256</v>
      </c>
      <c r="W51" s="1264" t="s">
        <v>256</v>
      </c>
      <c r="X51" s="1203" t="s">
        <v>256</v>
      </c>
      <c r="Y51" s="1202" t="s">
        <v>256</v>
      </c>
      <c r="Z51" s="1202" t="s">
        <v>256</v>
      </c>
      <c r="AA51" s="1202" t="s">
        <v>256</v>
      </c>
      <c r="AB51" s="1244" t="s">
        <v>256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794</v>
      </c>
      <c r="S52" s="1209">
        <v>3331564147</v>
      </c>
      <c r="T52" s="1264" t="s">
        <v>441</v>
      </c>
      <c r="U52" s="1264">
        <v>24141910</v>
      </c>
      <c r="V52" s="1209" t="s">
        <v>430</v>
      </c>
      <c r="W52" s="1264" t="s">
        <v>205</v>
      </c>
      <c r="X52" s="1203">
        <v>37541.966999999997</v>
      </c>
      <c r="Y52" s="1202" t="s">
        <v>128</v>
      </c>
      <c r="Z52" s="1202">
        <v>1</v>
      </c>
      <c r="AA52" s="1202">
        <v>1</v>
      </c>
      <c r="AB52" s="1244" t="s">
        <v>204</v>
      </c>
      <c r="AC52" s="1217" t="s">
        <v>422</v>
      </c>
      <c r="AD52" s="81"/>
    </row>
    <row r="53" spans="1:30" s="44" customFormat="1" ht="15.6">
      <c r="R53" s="1202" t="s">
        <v>428</v>
      </c>
      <c r="S53" s="1227">
        <v>3331562151</v>
      </c>
      <c r="T53" s="1317" t="s">
        <v>256</v>
      </c>
      <c r="U53" s="1227" t="s">
        <v>256</v>
      </c>
      <c r="V53" s="1227" t="s">
        <v>256</v>
      </c>
      <c r="W53" s="1227" t="s">
        <v>256</v>
      </c>
      <c r="X53" s="1229" t="s">
        <v>256</v>
      </c>
      <c r="Y53" s="1202" t="s">
        <v>256</v>
      </c>
      <c r="Z53" s="1202" t="s">
        <v>256</v>
      </c>
      <c r="AA53" s="1202" t="s">
        <v>256</v>
      </c>
      <c r="AB53" s="1244" t="s">
        <v>256</v>
      </c>
      <c r="AC53" s="1217"/>
      <c r="AD53" s="1326"/>
    </row>
    <row r="54" spans="1:30" s="44" customFormat="1" ht="15.6">
      <c r="R54" s="1189" t="s">
        <v>794</v>
      </c>
      <c r="S54" s="1224">
        <v>3331564206</v>
      </c>
      <c r="T54" s="1294" t="s">
        <v>441</v>
      </c>
      <c r="U54" s="1224">
        <v>24141917</v>
      </c>
      <c r="V54" s="1224" t="s">
        <v>792</v>
      </c>
      <c r="W54" s="1224" t="s">
        <v>803</v>
      </c>
      <c r="X54" s="1225">
        <v>39416.589</v>
      </c>
      <c r="Y54" s="1190" t="s">
        <v>128</v>
      </c>
      <c r="Z54" s="1190">
        <v>1</v>
      </c>
      <c r="AA54" s="1190">
        <v>1</v>
      </c>
      <c r="AB54" s="1241" t="s">
        <v>207</v>
      </c>
      <c r="AC54" s="1271" t="s">
        <v>422</v>
      </c>
      <c r="AD54" s="81"/>
    </row>
    <row r="55" spans="1:30" s="44" customFormat="1" ht="15.6">
      <c r="R55" s="1189" t="s">
        <v>794</v>
      </c>
      <c r="S55" s="1224">
        <v>3331564210</v>
      </c>
      <c r="T55" s="1294" t="s">
        <v>441</v>
      </c>
      <c r="U55" s="1224">
        <v>24141916</v>
      </c>
      <c r="V55" s="1224" t="s">
        <v>792</v>
      </c>
      <c r="W55" s="1224" t="s">
        <v>803</v>
      </c>
      <c r="X55" s="1225">
        <f>32798.542+9235.08</f>
        <v>42033.622000000003</v>
      </c>
      <c r="Y55" s="1190" t="s">
        <v>128</v>
      </c>
      <c r="Z55" s="1190">
        <v>1</v>
      </c>
      <c r="AA55" s="1190">
        <v>1</v>
      </c>
      <c r="AB55" s="1241" t="s">
        <v>207</v>
      </c>
      <c r="AC55" s="1271" t="s">
        <v>422</v>
      </c>
      <c r="AD55" s="81"/>
    </row>
    <row r="56" spans="1:30" s="44" customFormat="1" ht="15.6">
      <c r="R56" s="1189" t="s">
        <v>794</v>
      </c>
      <c r="S56" s="1224">
        <v>3331564212</v>
      </c>
      <c r="T56" s="1279" t="s">
        <v>256</v>
      </c>
      <c r="U56" s="1224" t="s">
        <v>256</v>
      </c>
      <c r="V56" s="1224" t="s">
        <v>256</v>
      </c>
      <c r="W56" s="1224" t="s">
        <v>256</v>
      </c>
      <c r="X56" s="1225" t="s">
        <v>256</v>
      </c>
      <c r="Y56" s="1190" t="s">
        <v>256</v>
      </c>
      <c r="Z56" s="1190" t="s">
        <v>256</v>
      </c>
      <c r="AA56" s="1190" t="s">
        <v>256</v>
      </c>
      <c r="AB56" s="1241" t="s">
        <v>256</v>
      </c>
      <c r="AC56" s="1271"/>
      <c r="AD56" s="81"/>
    </row>
    <row r="57" spans="1:30" s="44" customFormat="1" ht="15.6">
      <c r="R57" s="1202" t="s">
        <v>549</v>
      </c>
      <c r="S57" s="1202">
        <v>3331563785</v>
      </c>
      <c r="T57" s="1209" t="s">
        <v>287</v>
      </c>
      <c r="U57" s="1202">
        <v>24141855</v>
      </c>
      <c r="V57" s="1202" t="s">
        <v>601</v>
      </c>
      <c r="W57" s="1202" t="s">
        <v>199</v>
      </c>
      <c r="X57" s="1203">
        <v>26892.059000000001</v>
      </c>
      <c r="Y57" s="1202" t="s">
        <v>200</v>
      </c>
      <c r="Z57" s="1209">
        <v>1</v>
      </c>
      <c r="AA57" s="1209">
        <v>1</v>
      </c>
      <c r="AB57" s="1228" t="s">
        <v>204</v>
      </c>
      <c r="AC57" s="1190"/>
      <c r="AD57" s="1329"/>
    </row>
    <row r="58" spans="1:30" s="44" customFormat="1">
      <c r="R58" s="1209" t="s">
        <v>443</v>
      </c>
      <c r="S58" s="1209">
        <v>3331563968</v>
      </c>
      <c r="T58" s="1264" t="s">
        <v>287</v>
      </c>
      <c r="U58" s="1264">
        <v>24141865</v>
      </c>
      <c r="V58" s="1264" t="s">
        <v>368</v>
      </c>
      <c r="W58" s="1264" t="s">
        <v>199</v>
      </c>
      <c r="X58" s="1203">
        <v>25990.761999999999</v>
      </c>
      <c r="Y58" s="1264" t="s">
        <v>200</v>
      </c>
      <c r="Z58" s="1264">
        <v>1</v>
      </c>
      <c r="AA58" s="1264">
        <v>1</v>
      </c>
      <c r="AB58" s="1264" t="s">
        <v>204</v>
      </c>
      <c r="AC58" s="1217"/>
      <c r="AD58" s="1326"/>
    </row>
    <row r="59" spans="1:30" s="44" customFormat="1">
      <c r="R59" s="1209" t="s">
        <v>443</v>
      </c>
      <c r="S59" s="1209">
        <v>3331563970</v>
      </c>
      <c r="T59" s="1264" t="s">
        <v>11</v>
      </c>
      <c r="U59" s="1264">
        <v>24141866</v>
      </c>
      <c r="V59" s="1264" t="s">
        <v>368</v>
      </c>
      <c r="W59" s="1264" t="s">
        <v>199</v>
      </c>
      <c r="X59" s="1203">
        <v>25303.361000000001</v>
      </c>
      <c r="Y59" s="1264" t="s">
        <v>200</v>
      </c>
      <c r="Z59" s="1264">
        <v>1</v>
      </c>
      <c r="AA59" s="1264">
        <v>1</v>
      </c>
      <c r="AB59" s="1264" t="s">
        <v>204</v>
      </c>
      <c r="AC59" s="1217"/>
      <c r="AD59" s="1326"/>
    </row>
    <row r="60" spans="1:30" s="44" customFormat="1">
      <c r="R60" s="1209" t="s">
        <v>443</v>
      </c>
      <c r="S60" s="1209">
        <v>3331563973</v>
      </c>
      <c r="T60" s="1264" t="s">
        <v>11</v>
      </c>
      <c r="U60" s="1202">
        <v>24141867</v>
      </c>
      <c r="V60" s="1264" t="s">
        <v>368</v>
      </c>
      <c r="W60" s="1264" t="s">
        <v>199</v>
      </c>
      <c r="X60" s="1203">
        <v>26019.442999999999</v>
      </c>
      <c r="Y60" s="1264" t="s">
        <v>200</v>
      </c>
      <c r="Z60" s="1202">
        <v>1</v>
      </c>
      <c r="AA60" s="1202">
        <v>1</v>
      </c>
      <c r="AB60" s="1264" t="s">
        <v>204</v>
      </c>
      <c r="AC60" s="1217"/>
      <c r="AD60" s="1326"/>
    </row>
    <row r="61" spans="1:30" s="44" customFormat="1">
      <c r="R61" s="1209" t="s">
        <v>443</v>
      </c>
      <c r="S61" s="1209">
        <v>3331563975</v>
      </c>
      <c r="T61" s="1264" t="s">
        <v>34</v>
      </c>
      <c r="U61" s="1202">
        <v>24141868</v>
      </c>
      <c r="V61" s="1264" t="s">
        <v>368</v>
      </c>
      <c r="W61" s="1264" t="s">
        <v>199</v>
      </c>
      <c r="X61" s="1203">
        <v>25695.755000000001</v>
      </c>
      <c r="Y61" s="1264" t="s">
        <v>200</v>
      </c>
      <c r="Z61" s="1202">
        <v>1</v>
      </c>
      <c r="AA61" s="1202">
        <v>1</v>
      </c>
      <c r="AB61" s="1264" t="s">
        <v>204</v>
      </c>
      <c r="AC61" s="1217"/>
      <c r="AD61" s="1326"/>
    </row>
    <row r="62" spans="1:30" s="44" customFormat="1">
      <c r="R62" s="1209" t="s">
        <v>443</v>
      </c>
      <c r="S62" s="1209">
        <v>3331563976</v>
      </c>
      <c r="T62" s="1209" t="s">
        <v>34</v>
      </c>
      <c r="U62" s="1202">
        <v>24141869</v>
      </c>
      <c r="V62" s="1264" t="s">
        <v>368</v>
      </c>
      <c r="W62" s="1264" t="s">
        <v>340</v>
      </c>
      <c r="X62" s="1203">
        <v>24669.634999999998</v>
      </c>
      <c r="Y62" s="1264" t="s">
        <v>200</v>
      </c>
      <c r="Z62" s="1202">
        <v>1</v>
      </c>
      <c r="AA62" s="1202">
        <v>1</v>
      </c>
      <c r="AB62" s="1264" t="s">
        <v>204</v>
      </c>
      <c r="AC62" s="1217"/>
      <c r="AD62" s="1326"/>
    </row>
    <row r="63" spans="1:30" s="44" customFormat="1" ht="15.6">
      <c r="R63" s="1209" t="s">
        <v>443</v>
      </c>
      <c r="S63" s="1209">
        <v>3331563977</v>
      </c>
      <c r="T63" s="1209" t="s">
        <v>34</v>
      </c>
      <c r="U63" s="1202">
        <v>24141870</v>
      </c>
      <c r="V63" s="1264" t="s">
        <v>368</v>
      </c>
      <c r="W63" s="1264" t="s">
        <v>340</v>
      </c>
      <c r="X63" s="1203">
        <v>25139.94</v>
      </c>
      <c r="Y63" s="1264" t="s">
        <v>200</v>
      </c>
      <c r="Z63" s="1202">
        <v>1</v>
      </c>
      <c r="AA63" s="1202">
        <v>1</v>
      </c>
      <c r="AB63" s="1208" t="s">
        <v>204</v>
      </c>
      <c r="AC63" s="1217"/>
      <c r="AD63" s="1326"/>
    </row>
    <row r="64" spans="1:30" s="44" customFormat="1" ht="15.6">
      <c r="R64" s="1209" t="s">
        <v>443</v>
      </c>
      <c r="S64" s="1209">
        <v>3331563554</v>
      </c>
      <c r="T64" s="1209" t="s">
        <v>27</v>
      </c>
      <c r="U64" s="1202">
        <v>24141871</v>
      </c>
      <c r="V64" s="1264" t="s">
        <v>368</v>
      </c>
      <c r="W64" s="1264" t="s">
        <v>340</v>
      </c>
      <c r="X64" s="1203">
        <f>6215.204+6385.082+4465.789+7182.84</f>
        <v>24248.915000000001</v>
      </c>
      <c r="Y64" s="1202" t="s">
        <v>200</v>
      </c>
      <c r="Z64" s="1202">
        <v>1</v>
      </c>
      <c r="AA64" s="1202">
        <v>1</v>
      </c>
      <c r="AB64" s="1208" t="s">
        <v>204</v>
      </c>
      <c r="AC64" s="1217"/>
      <c r="AD64" s="1326"/>
    </row>
    <row r="65" spans="18:30" s="44" customFormat="1" ht="15.6">
      <c r="R65" s="1209" t="s">
        <v>443</v>
      </c>
      <c r="S65" s="1209">
        <v>3331563555</v>
      </c>
      <c r="T65" s="1264" t="s">
        <v>256</v>
      </c>
      <c r="U65" s="1202" t="s">
        <v>256</v>
      </c>
      <c r="V65" s="1202" t="s">
        <v>256</v>
      </c>
      <c r="W65" s="1202" t="s">
        <v>256</v>
      </c>
      <c r="X65" s="1203" t="s">
        <v>256</v>
      </c>
      <c r="Y65" s="1202" t="s">
        <v>256</v>
      </c>
      <c r="Z65" s="1202" t="s">
        <v>256</v>
      </c>
      <c r="AA65" s="1202" t="s">
        <v>256</v>
      </c>
      <c r="AB65" s="1208" t="s">
        <v>256</v>
      </c>
      <c r="AC65" s="1217"/>
      <c r="AD65" s="1326"/>
    </row>
    <row r="66" spans="18:30" s="44" customFormat="1" ht="15.6">
      <c r="R66" s="1209" t="s">
        <v>443</v>
      </c>
      <c r="S66" s="1209">
        <v>3331563561</v>
      </c>
      <c r="T66" s="1264" t="s">
        <v>256</v>
      </c>
      <c r="U66" s="1202" t="s">
        <v>256</v>
      </c>
      <c r="V66" s="1202" t="s">
        <v>256</v>
      </c>
      <c r="W66" s="1202" t="s">
        <v>256</v>
      </c>
      <c r="X66" s="1203" t="s">
        <v>256</v>
      </c>
      <c r="Y66" s="1202" t="s">
        <v>256</v>
      </c>
      <c r="Z66" s="1202" t="s">
        <v>256</v>
      </c>
      <c r="AA66" s="1202" t="s">
        <v>256</v>
      </c>
      <c r="AB66" s="1208" t="s">
        <v>256</v>
      </c>
      <c r="AC66" s="1217"/>
      <c r="AD66" s="1326"/>
    </row>
    <row r="67" spans="18:30" s="44" customFormat="1" ht="15.6">
      <c r="R67" s="1209" t="s">
        <v>443</v>
      </c>
      <c r="S67" s="1209">
        <v>3331563978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17"/>
      <c r="AD67" s="1326"/>
    </row>
    <row r="68" spans="18:30" s="44" customFormat="1" ht="15.6">
      <c r="R68" s="1209" t="s">
        <v>794</v>
      </c>
      <c r="S68" s="1209">
        <v>3331563992</v>
      </c>
      <c r="T68" s="1209" t="s">
        <v>441</v>
      </c>
      <c r="U68" s="1202">
        <v>24141876</v>
      </c>
      <c r="V68" s="1202" t="s">
        <v>150</v>
      </c>
      <c r="W68" s="1264" t="s">
        <v>199</v>
      </c>
      <c r="X68" s="1203">
        <v>24455.86</v>
      </c>
      <c r="Y68" s="1202" t="s">
        <v>200</v>
      </c>
      <c r="Z68" s="1202">
        <v>1</v>
      </c>
      <c r="AA68" s="1202">
        <v>1</v>
      </c>
      <c r="AB68" s="1208" t="s">
        <v>204</v>
      </c>
      <c r="AC68" s="1217"/>
      <c r="AD68" s="1326"/>
    </row>
    <row r="69" spans="18:30" s="44" customFormat="1" ht="15.6">
      <c r="R69" s="1209" t="s">
        <v>794</v>
      </c>
      <c r="S69" s="1209">
        <v>3331563997</v>
      </c>
      <c r="T69" s="1209" t="s">
        <v>287</v>
      </c>
      <c r="U69" s="1202">
        <v>24141877</v>
      </c>
      <c r="V69" s="1202" t="s">
        <v>150</v>
      </c>
      <c r="W69" s="1264" t="s">
        <v>199</v>
      </c>
      <c r="X69" s="1203">
        <f>4275.5+20720.582</f>
        <v>24996.081999999999</v>
      </c>
      <c r="Y69" s="1202" t="s">
        <v>200</v>
      </c>
      <c r="Z69" s="1202">
        <v>1</v>
      </c>
      <c r="AA69" s="1202">
        <v>1</v>
      </c>
      <c r="AB69" s="1208" t="s">
        <v>204</v>
      </c>
      <c r="AC69" s="1217"/>
      <c r="AD69" s="1326"/>
    </row>
    <row r="70" spans="18:30" s="44" customFormat="1" ht="15.6">
      <c r="R70" s="1209" t="s">
        <v>794</v>
      </c>
      <c r="S70" s="1209">
        <v>3331564003</v>
      </c>
      <c r="T70" s="1264" t="s">
        <v>256</v>
      </c>
      <c r="U70" s="1202" t="s">
        <v>256</v>
      </c>
      <c r="V70" s="1202" t="s">
        <v>256</v>
      </c>
      <c r="W70" s="1202" t="s">
        <v>256</v>
      </c>
      <c r="X70" s="1203" t="s">
        <v>256</v>
      </c>
      <c r="Y70" s="1202" t="s">
        <v>256</v>
      </c>
      <c r="Z70" s="1202" t="s">
        <v>256</v>
      </c>
      <c r="AA70" s="1202" t="s">
        <v>256</v>
      </c>
      <c r="AB70" s="1208" t="s">
        <v>256</v>
      </c>
      <c r="AC70" s="1217"/>
      <c r="AD70" s="1326"/>
    </row>
    <row r="71" spans="18:30" s="44" customFormat="1" ht="15.6">
      <c r="R71" s="1202" t="s">
        <v>794</v>
      </c>
      <c r="S71" s="1264">
        <v>3331564005</v>
      </c>
      <c r="T71" s="1209" t="s">
        <v>11</v>
      </c>
      <c r="U71" s="1202">
        <v>24141878</v>
      </c>
      <c r="V71" s="1202" t="s">
        <v>150</v>
      </c>
      <c r="W71" s="1264" t="s">
        <v>199</v>
      </c>
      <c r="X71" s="1203">
        <v>23515.25</v>
      </c>
      <c r="Y71" s="1202" t="s">
        <v>200</v>
      </c>
      <c r="Z71" s="1202">
        <v>1</v>
      </c>
      <c r="AA71" s="1202">
        <v>1</v>
      </c>
      <c r="AB71" s="1208" t="s">
        <v>204</v>
      </c>
      <c r="AC71" s="1217"/>
      <c r="AD71" s="1326"/>
    </row>
    <row r="72" spans="18:30" s="44" customFormat="1" ht="15.6">
      <c r="R72" s="1202" t="s">
        <v>452</v>
      </c>
      <c r="S72" s="1264">
        <v>3331564006</v>
      </c>
      <c r="T72" s="1264" t="s">
        <v>287</v>
      </c>
      <c r="U72" s="1202">
        <v>24141882</v>
      </c>
      <c r="V72" s="1202" t="s">
        <v>150</v>
      </c>
      <c r="W72" s="1264" t="s">
        <v>199</v>
      </c>
      <c r="X72" s="1203">
        <v>21292.995999999999</v>
      </c>
      <c r="Y72" s="1202" t="s">
        <v>200</v>
      </c>
      <c r="Z72" s="1202">
        <v>1</v>
      </c>
      <c r="AA72" s="1202">
        <v>1</v>
      </c>
      <c r="AB72" s="1208" t="s">
        <v>204</v>
      </c>
      <c r="AC72" s="1217"/>
      <c r="AD72" s="1326"/>
    </row>
    <row r="73" spans="18:30" s="44" customFormat="1" ht="15.6">
      <c r="R73" s="1202" t="s">
        <v>794</v>
      </c>
      <c r="S73" s="1227">
        <v>3331564074</v>
      </c>
      <c r="T73" s="1317" t="s">
        <v>34</v>
      </c>
      <c r="U73" s="1227">
        <v>24141895</v>
      </c>
      <c r="V73" s="1227" t="s">
        <v>572</v>
      </c>
      <c r="W73" s="1264" t="s">
        <v>199</v>
      </c>
      <c r="X73" s="1229">
        <f>3802.68+21163.725</f>
        <v>24966.404999999999</v>
      </c>
      <c r="Y73" s="1202" t="s">
        <v>200</v>
      </c>
      <c r="Z73" s="1202">
        <v>1</v>
      </c>
      <c r="AA73" s="1202">
        <v>1</v>
      </c>
      <c r="AB73" s="1244" t="s">
        <v>204</v>
      </c>
      <c r="AC73" s="1217"/>
      <c r="AD73" s="1326"/>
    </row>
    <row r="74" spans="18:30" s="44" customFormat="1" ht="15.6">
      <c r="R74" s="1202" t="s">
        <v>794</v>
      </c>
      <c r="S74" s="1227">
        <v>3331564080</v>
      </c>
      <c r="T74" s="1317" t="s">
        <v>256</v>
      </c>
      <c r="U74" s="1227" t="s">
        <v>256</v>
      </c>
      <c r="V74" s="1227" t="s">
        <v>256</v>
      </c>
      <c r="W74" s="1227" t="s">
        <v>256</v>
      </c>
      <c r="X74" s="1229" t="s">
        <v>256</v>
      </c>
      <c r="Y74" s="1202" t="s">
        <v>256</v>
      </c>
      <c r="Z74" s="1202" t="s">
        <v>256</v>
      </c>
      <c r="AA74" s="1202" t="s">
        <v>256</v>
      </c>
      <c r="AB74" s="1244" t="s">
        <v>256</v>
      </c>
      <c r="AC74" s="1217"/>
      <c r="AD74" s="1326"/>
    </row>
    <row r="75" spans="18:30" s="44" customFormat="1" ht="15.6">
      <c r="R75" s="1202" t="s">
        <v>794</v>
      </c>
      <c r="S75" s="1227">
        <v>3331564093</v>
      </c>
      <c r="T75" s="1317" t="s">
        <v>462</v>
      </c>
      <c r="U75" s="1227">
        <v>24141896</v>
      </c>
      <c r="V75" s="1227" t="s">
        <v>831</v>
      </c>
      <c r="W75" s="1264" t="s">
        <v>199</v>
      </c>
      <c r="X75" s="1229">
        <v>24894.853999999999</v>
      </c>
      <c r="Y75" s="1202" t="s">
        <v>200</v>
      </c>
      <c r="Z75" s="1202">
        <v>1</v>
      </c>
      <c r="AA75" s="1202">
        <v>1</v>
      </c>
      <c r="AB75" s="1244" t="s">
        <v>204</v>
      </c>
      <c r="AC75" s="1217"/>
      <c r="AD75" s="1326"/>
    </row>
    <row r="76" spans="18:30" s="44" customFormat="1" ht="15.6">
      <c r="R76" s="1202" t="s">
        <v>412</v>
      </c>
      <c r="S76" s="1227">
        <v>3331562482</v>
      </c>
      <c r="T76" s="1317" t="s">
        <v>287</v>
      </c>
      <c r="U76" s="1227">
        <v>24141898</v>
      </c>
      <c r="V76" s="1227" t="s">
        <v>601</v>
      </c>
      <c r="W76" s="1227" t="s">
        <v>199</v>
      </c>
      <c r="X76" s="1229">
        <f>1028.115+11543.904+5704.02+4436.461+5822.859</f>
        <v>28535.359</v>
      </c>
      <c r="Y76" s="1202" t="s">
        <v>200</v>
      </c>
      <c r="Z76" s="1202">
        <v>1</v>
      </c>
      <c r="AA76" s="1202">
        <v>1</v>
      </c>
      <c r="AB76" s="1244" t="s">
        <v>204</v>
      </c>
      <c r="AC76" s="1217"/>
      <c r="AD76" s="1326"/>
    </row>
    <row r="77" spans="18:30" s="44" customFormat="1" ht="15.6">
      <c r="R77" s="1202" t="s">
        <v>443</v>
      </c>
      <c r="S77" s="1227">
        <v>3331563793</v>
      </c>
      <c r="T77" s="1317" t="s">
        <v>256</v>
      </c>
      <c r="U77" s="1227" t="s">
        <v>256</v>
      </c>
      <c r="V77" s="1227" t="s">
        <v>256</v>
      </c>
      <c r="W77" s="1227" t="s">
        <v>256</v>
      </c>
      <c r="X77" s="1229" t="s">
        <v>256</v>
      </c>
      <c r="Y77" s="1202" t="s">
        <v>256</v>
      </c>
      <c r="Z77" s="1202" t="s">
        <v>256</v>
      </c>
      <c r="AA77" s="1202" t="s">
        <v>256</v>
      </c>
      <c r="AB77" s="1244" t="s">
        <v>256</v>
      </c>
      <c r="AC77" s="1217"/>
      <c r="AD77" s="1326"/>
    </row>
    <row r="78" spans="18:30" s="44" customFormat="1" ht="15.6">
      <c r="R78" s="1202" t="s">
        <v>794</v>
      </c>
      <c r="S78" s="1227">
        <v>3331564059</v>
      </c>
      <c r="T78" s="1317" t="s">
        <v>256</v>
      </c>
      <c r="U78" s="1227" t="s">
        <v>256</v>
      </c>
      <c r="V78" s="1227" t="s">
        <v>256</v>
      </c>
      <c r="W78" s="1227" t="s">
        <v>256</v>
      </c>
      <c r="X78" s="1229" t="s">
        <v>256</v>
      </c>
      <c r="Y78" s="1202" t="s">
        <v>256</v>
      </c>
      <c r="Z78" s="1202" t="s">
        <v>256</v>
      </c>
      <c r="AA78" s="1202" t="s">
        <v>256</v>
      </c>
      <c r="AB78" s="1244" t="s">
        <v>256</v>
      </c>
      <c r="AC78" s="1217"/>
      <c r="AD78" s="1326"/>
    </row>
    <row r="79" spans="18:30" s="44" customFormat="1" ht="15.6">
      <c r="R79" s="1202" t="s">
        <v>794</v>
      </c>
      <c r="S79" s="1227">
        <v>3331564060</v>
      </c>
      <c r="T79" s="1317" t="s">
        <v>256</v>
      </c>
      <c r="U79" s="1227" t="s">
        <v>256</v>
      </c>
      <c r="V79" s="1227" t="s">
        <v>256</v>
      </c>
      <c r="W79" s="1227" t="s">
        <v>256</v>
      </c>
      <c r="X79" s="1229" t="s">
        <v>256</v>
      </c>
      <c r="Y79" s="1202" t="s">
        <v>256</v>
      </c>
      <c r="Z79" s="1202" t="s">
        <v>256</v>
      </c>
      <c r="AA79" s="1202" t="s">
        <v>256</v>
      </c>
      <c r="AB79" s="1244" t="s">
        <v>256</v>
      </c>
      <c r="AC79" s="1217"/>
      <c r="AD79" s="1326"/>
    </row>
    <row r="80" spans="18:30" s="44" customFormat="1" ht="15.6">
      <c r="R80" s="1202" t="s">
        <v>443</v>
      </c>
      <c r="S80" s="1227">
        <v>3331563799</v>
      </c>
      <c r="T80" s="1317" t="s">
        <v>256</v>
      </c>
      <c r="U80" s="1227" t="s">
        <v>256</v>
      </c>
      <c r="V80" s="1227" t="s">
        <v>256</v>
      </c>
      <c r="W80" s="1202" t="s">
        <v>256</v>
      </c>
      <c r="X80" s="1229" t="s">
        <v>256</v>
      </c>
      <c r="Y80" s="1202" t="s">
        <v>256</v>
      </c>
      <c r="Z80" s="1202" t="s">
        <v>256</v>
      </c>
      <c r="AA80" s="1202" t="s">
        <v>256</v>
      </c>
      <c r="AB80" s="1244" t="s">
        <v>256</v>
      </c>
      <c r="AC80" s="1217"/>
      <c r="AD80" s="1326"/>
    </row>
    <row r="81" spans="18:30" s="44" customFormat="1" ht="15.6">
      <c r="R81" s="1202" t="s">
        <v>794</v>
      </c>
      <c r="S81" s="1227">
        <v>3331564088</v>
      </c>
      <c r="T81" s="1317" t="s">
        <v>34</v>
      </c>
      <c r="U81" s="1227">
        <v>24141899</v>
      </c>
      <c r="V81" s="1227" t="s">
        <v>219</v>
      </c>
      <c r="W81" s="1264" t="s">
        <v>199</v>
      </c>
      <c r="X81" s="1229">
        <v>25139.94</v>
      </c>
      <c r="Y81" s="1202" t="s">
        <v>200</v>
      </c>
      <c r="Z81" s="1202">
        <v>1</v>
      </c>
      <c r="AA81" s="1202">
        <v>1</v>
      </c>
      <c r="AB81" s="1244" t="s">
        <v>204</v>
      </c>
      <c r="AC81" s="1217"/>
      <c r="AD81" s="1326"/>
    </row>
    <row r="82" spans="18:30" s="44" customFormat="1" ht="15.6">
      <c r="R82" s="1202" t="s">
        <v>794</v>
      </c>
      <c r="S82" s="1227">
        <v>3331564103</v>
      </c>
      <c r="T82" s="1317" t="s">
        <v>34</v>
      </c>
      <c r="U82" s="1227">
        <v>24141900</v>
      </c>
      <c r="V82" s="1227" t="s">
        <v>219</v>
      </c>
      <c r="W82" s="1264" t="s">
        <v>199</v>
      </c>
      <c r="X82" s="1229">
        <v>25524.735000000001</v>
      </c>
      <c r="Y82" s="1202" t="s">
        <v>200</v>
      </c>
      <c r="Z82" s="1202">
        <v>1</v>
      </c>
      <c r="AA82" s="1202">
        <v>1</v>
      </c>
      <c r="AB82" s="1244" t="s">
        <v>204</v>
      </c>
      <c r="AC82" s="1217"/>
      <c r="AD82" s="1326"/>
    </row>
    <row r="83" spans="18:30" s="44" customFormat="1" ht="15.6">
      <c r="R83" s="1202" t="s">
        <v>794</v>
      </c>
      <c r="S83" s="1227">
        <v>3331564126</v>
      </c>
      <c r="T83" s="1317" t="s">
        <v>27</v>
      </c>
      <c r="U83" s="1227">
        <v>24141905</v>
      </c>
      <c r="V83" s="1227" t="s">
        <v>150</v>
      </c>
      <c r="W83" s="1264" t="s">
        <v>199</v>
      </c>
      <c r="X83" s="1229">
        <f>20949.95+1677.254+4018.97</f>
        <v>26646.174000000003</v>
      </c>
      <c r="Y83" s="1202" t="s">
        <v>200</v>
      </c>
      <c r="Z83" s="1202">
        <v>1</v>
      </c>
      <c r="AA83" s="1202">
        <v>1</v>
      </c>
      <c r="AB83" s="1244" t="s">
        <v>204</v>
      </c>
      <c r="AC83" s="1217"/>
      <c r="AD83" s="1326"/>
    </row>
    <row r="84" spans="18:30" s="44" customFormat="1" ht="15.6">
      <c r="R84" s="1202" t="s">
        <v>794</v>
      </c>
      <c r="S84" s="1227">
        <v>3331564134</v>
      </c>
      <c r="T84" s="1317" t="s">
        <v>256</v>
      </c>
      <c r="U84" s="1227" t="s">
        <v>256</v>
      </c>
      <c r="V84" s="1227" t="s">
        <v>256</v>
      </c>
      <c r="W84" s="1202" t="s">
        <v>256</v>
      </c>
      <c r="X84" s="1229" t="s">
        <v>256</v>
      </c>
      <c r="Y84" s="1202" t="s">
        <v>256</v>
      </c>
      <c r="Z84" s="1202" t="s">
        <v>256</v>
      </c>
      <c r="AA84" s="1202" t="s">
        <v>256</v>
      </c>
      <c r="AB84" s="1244" t="s">
        <v>256</v>
      </c>
      <c r="AC84" s="1217"/>
      <c r="AD84" s="1326"/>
    </row>
    <row r="85" spans="18:30" s="44" customFormat="1" ht="15.6">
      <c r="R85" s="1202" t="s">
        <v>794</v>
      </c>
      <c r="S85" s="1227">
        <v>3331564135</v>
      </c>
      <c r="T85" s="1317" t="s">
        <v>256</v>
      </c>
      <c r="U85" s="1227" t="s">
        <v>256</v>
      </c>
      <c r="V85" s="1227" t="s">
        <v>256</v>
      </c>
      <c r="W85" s="1202" t="s">
        <v>256</v>
      </c>
      <c r="X85" s="1229" t="s">
        <v>256</v>
      </c>
      <c r="Y85" s="1202" t="s">
        <v>256</v>
      </c>
      <c r="Z85" s="1202" t="s">
        <v>256</v>
      </c>
      <c r="AA85" s="1202" t="s">
        <v>256</v>
      </c>
      <c r="AB85" s="1244" t="s">
        <v>256</v>
      </c>
      <c r="AC85" s="1217"/>
      <c r="AD85" s="1326"/>
    </row>
    <row r="86" spans="18:30" s="44" customFormat="1" ht="15.6">
      <c r="R86" s="1202" t="s">
        <v>794</v>
      </c>
      <c r="S86" s="1227">
        <v>3331564137</v>
      </c>
      <c r="T86" s="1317" t="s">
        <v>27</v>
      </c>
      <c r="U86" s="1227">
        <v>24141906</v>
      </c>
      <c r="V86" s="1227" t="s">
        <v>150</v>
      </c>
      <c r="W86" s="1264" t="s">
        <v>199</v>
      </c>
      <c r="X86" s="1229">
        <v>26040.545999999998</v>
      </c>
      <c r="Y86" s="1202" t="s">
        <v>200</v>
      </c>
      <c r="Z86" s="1202">
        <v>1</v>
      </c>
      <c r="AA86" s="1202">
        <v>1</v>
      </c>
      <c r="AB86" s="1244" t="s">
        <v>204</v>
      </c>
      <c r="AC86" s="1217"/>
      <c r="AD86" s="1326"/>
    </row>
    <row r="87" spans="18:30" s="44" customFormat="1" ht="15.6">
      <c r="R87" s="1202" t="s">
        <v>794</v>
      </c>
      <c r="S87" s="1227">
        <v>3331564139</v>
      </c>
      <c r="T87" s="1317" t="s">
        <v>11</v>
      </c>
      <c r="U87" s="1227">
        <v>24141907</v>
      </c>
      <c r="V87" s="1227" t="s">
        <v>150</v>
      </c>
      <c r="W87" s="1264" t="s">
        <v>199</v>
      </c>
      <c r="X87" s="1229">
        <v>23900.044999999998</v>
      </c>
      <c r="Y87" s="1202" t="s">
        <v>200</v>
      </c>
      <c r="Z87" s="1202">
        <v>1</v>
      </c>
      <c r="AA87" s="1202">
        <v>1</v>
      </c>
      <c r="AB87" s="1244" t="s">
        <v>204</v>
      </c>
      <c r="AC87" s="1217"/>
      <c r="AD87" s="1326"/>
    </row>
    <row r="88" spans="18:30" s="44" customFormat="1" ht="15.6">
      <c r="R88" s="1202" t="s">
        <v>794</v>
      </c>
      <c r="S88" s="1227">
        <v>3331564129</v>
      </c>
      <c r="T88" s="1317" t="s">
        <v>287</v>
      </c>
      <c r="U88" s="1227">
        <v>24141908</v>
      </c>
      <c r="V88" s="1227" t="s">
        <v>219</v>
      </c>
      <c r="W88" s="1264" t="s">
        <v>340</v>
      </c>
      <c r="X88" s="1229">
        <v>25545.861000000001</v>
      </c>
      <c r="Y88" s="1202" t="s">
        <v>200</v>
      </c>
      <c r="Z88" s="1202">
        <v>1</v>
      </c>
      <c r="AA88" s="1202">
        <v>1</v>
      </c>
      <c r="AB88" s="1244" t="s">
        <v>204</v>
      </c>
      <c r="AC88" s="1217"/>
      <c r="AD88" s="1326"/>
    </row>
    <row r="89" spans="18:30" s="44" customFormat="1" ht="15.6">
      <c r="R89" s="1202" t="s">
        <v>794</v>
      </c>
      <c r="S89" s="1227">
        <v>3331564132</v>
      </c>
      <c r="T89" s="1317" t="s">
        <v>11</v>
      </c>
      <c r="U89" s="1227">
        <v>24141909</v>
      </c>
      <c r="V89" s="1227" t="s">
        <v>219</v>
      </c>
      <c r="W89" s="1264" t="s">
        <v>340</v>
      </c>
      <c r="X89" s="1229">
        <v>25072.79</v>
      </c>
      <c r="Y89" s="1202" t="s">
        <v>200</v>
      </c>
      <c r="Z89" s="1202">
        <v>1</v>
      </c>
      <c r="AA89" s="1202">
        <v>1</v>
      </c>
      <c r="AB89" s="1244" t="s">
        <v>204</v>
      </c>
      <c r="AC89" s="1217"/>
      <c r="AD89" s="1326"/>
    </row>
    <row r="90" spans="18:30" s="44" customFormat="1" ht="15.6">
      <c r="R90" s="1202" t="s">
        <v>794</v>
      </c>
      <c r="S90" s="1227">
        <v>3331564151</v>
      </c>
      <c r="T90" s="1317" t="s">
        <v>34</v>
      </c>
      <c r="U90" s="1227">
        <v>24141912</v>
      </c>
      <c r="V90" s="1227" t="s">
        <v>466</v>
      </c>
      <c r="W90" s="1264" t="s">
        <v>199</v>
      </c>
      <c r="X90" s="1229">
        <v>26180.144</v>
      </c>
      <c r="Y90" s="1202" t="s">
        <v>200</v>
      </c>
      <c r="Z90" s="1202">
        <v>1</v>
      </c>
      <c r="AA90" s="1202">
        <v>1</v>
      </c>
      <c r="AB90" s="1244" t="s">
        <v>204</v>
      </c>
      <c r="AC90" s="1217" t="s">
        <v>422</v>
      </c>
      <c r="AD90" s="1326"/>
    </row>
    <row r="91" spans="18:30" s="44" customFormat="1" ht="15.6">
      <c r="R91" s="1202" t="s">
        <v>794</v>
      </c>
      <c r="S91" s="1227">
        <v>3331564187</v>
      </c>
      <c r="T91" s="1317" t="s">
        <v>27</v>
      </c>
      <c r="U91" s="1227">
        <v>24141913</v>
      </c>
      <c r="V91" s="1227" t="s">
        <v>447</v>
      </c>
      <c r="W91" s="1264" t="s">
        <v>340</v>
      </c>
      <c r="X91" s="1229">
        <f>8318.362+8865.342+8318.362</f>
        <v>25502.065999999999</v>
      </c>
      <c r="Y91" s="1202" t="s">
        <v>200</v>
      </c>
      <c r="Z91" s="1202">
        <v>1</v>
      </c>
      <c r="AA91" s="1202">
        <v>1</v>
      </c>
      <c r="AB91" s="1244" t="s">
        <v>204</v>
      </c>
      <c r="AC91" s="1217"/>
      <c r="AD91" s="1326"/>
    </row>
    <row r="92" spans="18:30" s="44" customFormat="1" ht="15.6">
      <c r="R92" s="1202" t="s">
        <v>794</v>
      </c>
      <c r="S92" s="1227">
        <v>3331564192</v>
      </c>
      <c r="T92" s="1317" t="s">
        <v>256</v>
      </c>
      <c r="U92" s="1227" t="s">
        <v>256</v>
      </c>
      <c r="V92" s="1227" t="s">
        <v>256</v>
      </c>
      <c r="W92" s="1264" t="s">
        <v>256</v>
      </c>
      <c r="X92" s="1229" t="s">
        <v>256</v>
      </c>
      <c r="Y92" s="1202" t="s">
        <v>256</v>
      </c>
      <c r="Z92" s="1202" t="s">
        <v>256</v>
      </c>
      <c r="AA92" s="1202" t="s">
        <v>256</v>
      </c>
      <c r="AB92" s="1244" t="s">
        <v>256</v>
      </c>
      <c r="AC92" s="1217"/>
      <c r="AD92" s="1326"/>
    </row>
    <row r="93" spans="18:30" s="44" customFormat="1" ht="15.6">
      <c r="R93" s="1202" t="s">
        <v>452</v>
      </c>
      <c r="S93" s="1227">
        <v>3331564197</v>
      </c>
      <c r="T93" s="1317" t="s">
        <v>256</v>
      </c>
      <c r="U93" s="1227" t="s">
        <v>256</v>
      </c>
      <c r="V93" s="1227" t="s">
        <v>256</v>
      </c>
      <c r="W93" s="1264" t="s">
        <v>256</v>
      </c>
      <c r="X93" s="1229" t="s">
        <v>256</v>
      </c>
      <c r="Y93" s="1202" t="s">
        <v>256</v>
      </c>
      <c r="Z93" s="1202" t="s">
        <v>256</v>
      </c>
      <c r="AA93" s="1202" t="s">
        <v>256</v>
      </c>
      <c r="AB93" s="1244" t="s">
        <v>256</v>
      </c>
      <c r="AC93" s="1217"/>
      <c r="AD93" s="1326"/>
    </row>
    <row r="94" spans="18:30" s="44" customFormat="1" ht="15.6">
      <c r="R94" s="1202" t="s">
        <v>794</v>
      </c>
      <c r="S94" s="1227">
        <v>3331564207</v>
      </c>
      <c r="T94" s="1317" t="s">
        <v>27</v>
      </c>
      <c r="U94" s="1227">
        <v>24141914</v>
      </c>
      <c r="V94" s="1227" t="s">
        <v>676</v>
      </c>
      <c r="W94" s="1264" t="s">
        <v>199</v>
      </c>
      <c r="X94" s="1229">
        <v>24730.407999999999</v>
      </c>
      <c r="Y94" s="1202" t="s">
        <v>200</v>
      </c>
      <c r="Z94" s="1202">
        <v>1</v>
      </c>
      <c r="AA94" s="1202">
        <v>1</v>
      </c>
      <c r="AB94" s="1244" t="s">
        <v>204</v>
      </c>
      <c r="AC94" s="1217" t="s">
        <v>422</v>
      </c>
      <c r="AD94" s="1326"/>
    </row>
    <row r="95" spans="18:30" s="44" customFormat="1" ht="15.6">
      <c r="R95" s="1202" t="s">
        <v>794</v>
      </c>
      <c r="S95" s="1227">
        <v>3331564215</v>
      </c>
      <c r="T95" s="1317" t="s">
        <v>27</v>
      </c>
      <c r="U95" s="1227">
        <v>24141918</v>
      </c>
      <c r="V95" s="1227" t="s">
        <v>676</v>
      </c>
      <c r="W95" s="1264" t="s">
        <v>199</v>
      </c>
      <c r="X95" s="1229">
        <v>24345.613000000001</v>
      </c>
      <c r="Y95" s="1202" t="s">
        <v>200</v>
      </c>
      <c r="Z95" s="1202">
        <v>1</v>
      </c>
      <c r="AA95" s="1202">
        <v>1</v>
      </c>
      <c r="AB95" s="1244" t="s">
        <v>204</v>
      </c>
      <c r="AC95" s="1217" t="s">
        <v>422</v>
      </c>
      <c r="AD95" s="1326"/>
    </row>
    <row r="96" spans="18:30" s="44" customFormat="1" ht="15.6">
      <c r="R96" s="1202" t="s">
        <v>794</v>
      </c>
      <c r="S96" s="1227">
        <v>3331564218</v>
      </c>
      <c r="T96" s="1317" t="s">
        <v>287</v>
      </c>
      <c r="U96" s="1227">
        <v>24141919</v>
      </c>
      <c r="V96" s="1227" t="s">
        <v>675</v>
      </c>
      <c r="W96" s="1264" t="s">
        <v>340</v>
      </c>
      <c r="X96" s="1229">
        <v>26208.814999999999</v>
      </c>
      <c r="Y96" s="1202" t="s">
        <v>200</v>
      </c>
      <c r="Z96" s="1202">
        <v>1</v>
      </c>
      <c r="AA96" s="1202">
        <v>1</v>
      </c>
      <c r="AB96" s="1244" t="s">
        <v>204</v>
      </c>
      <c r="AC96" s="1217"/>
      <c r="AD96" s="1326"/>
    </row>
    <row r="97" spans="18:30" s="44" customFormat="1" ht="15.6">
      <c r="R97" s="1190"/>
      <c r="S97" s="1294"/>
      <c r="T97" s="1293"/>
      <c r="U97" s="1190"/>
      <c r="V97" s="1217"/>
      <c r="W97" s="1190"/>
      <c r="X97" s="1191"/>
      <c r="Y97" s="1190"/>
      <c r="Z97" s="1190"/>
      <c r="AA97" s="1190"/>
      <c r="AB97" s="1241"/>
      <c r="AC97" s="1217"/>
      <c r="AD97" s="1326"/>
    </row>
    <row r="98" spans="18:30" s="44" customFormat="1" ht="15.6">
      <c r="R98" s="1190"/>
      <c r="S98" s="1294"/>
      <c r="T98" s="1293"/>
      <c r="U98" s="1190"/>
      <c r="V98" s="1217"/>
      <c r="W98" s="1190"/>
      <c r="X98" s="1191"/>
      <c r="Y98" s="1190"/>
      <c r="Z98" s="1190"/>
      <c r="AA98" s="1190"/>
      <c r="AB98" s="1241"/>
      <c r="AC98" s="1217"/>
      <c r="AD98" s="1326"/>
    </row>
    <row r="99" spans="18:30" s="44" customFormat="1" ht="15.6">
      <c r="R99" s="1190"/>
      <c r="S99" s="1294"/>
      <c r="T99" s="1293"/>
      <c r="U99" s="1190"/>
      <c r="V99" s="1217"/>
      <c r="W99" s="1190"/>
      <c r="X99" s="1191"/>
      <c r="Y99" s="1190"/>
      <c r="Z99" s="1190"/>
      <c r="AA99" s="1190"/>
      <c r="AB99" s="1200"/>
      <c r="AC99" s="1217"/>
      <c r="AD99" s="1326"/>
    </row>
    <row r="100" spans="18:30" s="44" customFormat="1" ht="15.6">
      <c r="R100" s="1190"/>
      <c r="S100" s="1190"/>
      <c r="T100" s="1293"/>
      <c r="U100" s="1190"/>
      <c r="V100" s="1190"/>
      <c r="W100" s="1190"/>
      <c r="X100" s="1191"/>
      <c r="Y100" s="1190"/>
      <c r="Z100" s="1190"/>
      <c r="AA100" s="1190"/>
      <c r="AB100" s="1200"/>
      <c r="AC100" s="1217"/>
      <c r="AD100" s="1326"/>
    </row>
    <row r="101" spans="18:30" s="44" customFormat="1" ht="15.6">
      <c r="R101" s="1190"/>
      <c r="S101" s="1190"/>
      <c r="T101" s="1293"/>
      <c r="U101" s="1190"/>
      <c r="V101" s="1190"/>
      <c r="W101" s="1190"/>
      <c r="X101" s="1191"/>
      <c r="Y101" s="1190"/>
      <c r="Z101" s="1190"/>
      <c r="AA101" s="1190"/>
      <c r="AB101" s="1200"/>
      <c r="AC101" s="1217"/>
      <c r="AD101" s="1326"/>
    </row>
    <row r="102" spans="18:30" s="44" customFormat="1" ht="15.6">
      <c r="R102" s="1190"/>
      <c r="S102" s="1190"/>
      <c r="T102" s="1293"/>
      <c r="U102" s="1190"/>
      <c r="V102" s="1190"/>
      <c r="W102" s="1190"/>
      <c r="X102" s="1191"/>
      <c r="Y102" s="1190"/>
      <c r="Z102" s="1190"/>
      <c r="AA102" s="1190"/>
      <c r="AB102" s="1200"/>
      <c r="AC102" s="1217"/>
      <c r="AD102" s="1326"/>
    </row>
    <row r="103" spans="18:30" s="44" customFormat="1" ht="15.6">
      <c r="R103" s="1190"/>
      <c r="S103" s="1190"/>
      <c r="T103" s="1293"/>
      <c r="U103" s="1190"/>
      <c r="V103" s="1190"/>
      <c r="W103" s="1190"/>
      <c r="X103" s="1191"/>
      <c r="Y103" s="1190"/>
      <c r="Z103" s="1190"/>
      <c r="AA103" s="1190"/>
      <c r="AB103" s="1200"/>
      <c r="AC103" s="1217"/>
      <c r="AD103" s="1326"/>
    </row>
    <row r="104" spans="18:30" s="44" customFormat="1" ht="15.6">
      <c r="R104" s="1190"/>
      <c r="S104" s="1190"/>
      <c r="T104" s="1293"/>
      <c r="U104" s="1190"/>
      <c r="V104" s="1190"/>
      <c r="W104" s="1190"/>
      <c r="X104" s="1191"/>
      <c r="Y104" s="1190"/>
      <c r="Z104" s="1190"/>
      <c r="AA104" s="1190"/>
      <c r="AB104" s="1200"/>
      <c r="AC104" s="1217"/>
      <c r="AD104" s="1326"/>
    </row>
    <row r="105" spans="18:30" s="44" customFormat="1" ht="15.6">
      <c r="R105" s="1190"/>
      <c r="S105" s="1190"/>
      <c r="T105" s="1293"/>
      <c r="U105" s="1190"/>
      <c r="V105" s="1190"/>
      <c r="W105" s="1190"/>
      <c r="X105" s="1191"/>
      <c r="Y105" s="1190"/>
      <c r="Z105" s="1190"/>
      <c r="AA105" s="1190"/>
      <c r="AB105" s="1200"/>
      <c r="AC105" s="1217"/>
      <c r="AD105" s="1326"/>
    </row>
    <row r="106" spans="18:30" s="44" customFormat="1" ht="15.6">
      <c r="R106" s="1190"/>
      <c r="S106" s="1190"/>
      <c r="T106" s="1293"/>
      <c r="U106" s="1190"/>
      <c r="V106" s="1190"/>
      <c r="W106" s="1190"/>
      <c r="X106" s="1191"/>
      <c r="Y106" s="1190"/>
      <c r="Z106" s="1190"/>
      <c r="AA106" s="1190"/>
      <c r="AB106" s="1200"/>
      <c r="AC106" s="1217"/>
      <c r="AD106" s="1326"/>
    </row>
    <row r="107" spans="18:30" ht="15.6">
      <c r="R107" s="1190"/>
      <c r="S107" s="1190"/>
      <c r="T107" s="1190"/>
      <c r="U107" s="1190"/>
      <c r="V107" s="1190"/>
      <c r="W107" s="1190"/>
      <c r="X107" s="1191"/>
      <c r="Y107" s="1190"/>
      <c r="Z107" s="1190"/>
      <c r="AA107" s="1190"/>
      <c r="AB107" s="1200"/>
      <c r="AC107" s="1217"/>
      <c r="AD107" s="1326"/>
    </row>
    <row r="108" spans="18:30" ht="15.6">
      <c r="R108" s="1190"/>
      <c r="S108" s="1190"/>
      <c r="T108" s="1293"/>
      <c r="U108" s="1190"/>
      <c r="V108" s="1190"/>
      <c r="W108" s="1190"/>
      <c r="X108" s="1191"/>
      <c r="Y108" s="1190"/>
      <c r="Z108" s="1190"/>
      <c r="AA108" s="1190"/>
      <c r="AB108" s="1200"/>
      <c r="AC108" s="1217"/>
      <c r="AD108" s="1326"/>
    </row>
    <row r="109" spans="18:30" ht="15.6">
      <c r="R109" s="1190"/>
      <c r="S109" s="1190"/>
      <c r="T109" s="1293"/>
      <c r="U109" s="1190"/>
      <c r="V109" s="1190"/>
      <c r="W109" s="1190"/>
      <c r="X109" s="1191"/>
      <c r="Y109" s="1190"/>
      <c r="Z109" s="1190"/>
      <c r="AA109" s="1190"/>
      <c r="AB109" s="1200"/>
      <c r="AC109" s="1217"/>
      <c r="AD109" s="1326"/>
    </row>
    <row r="110" spans="18:30" ht="15.6">
      <c r="R110" s="1190"/>
      <c r="S110" s="1190"/>
      <c r="T110" s="1293"/>
      <c r="U110" s="1190"/>
      <c r="V110" s="1190"/>
      <c r="W110" s="1190"/>
      <c r="X110" s="1191"/>
      <c r="Y110" s="1190"/>
      <c r="Z110" s="1190"/>
      <c r="AA110" s="1190"/>
      <c r="AB110" s="1200"/>
      <c r="AC110" s="1217"/>
      <c r="AD110" s="1326"/>
    </row>
    <row r="111" spans="18:30">
      <c r="R111" s="1190"/>
      <c r="S111" s="1190"/>
      <c r="T111" s="1293"/>
      <c r="U111" s="1190"/>
      <c r="V111" s="1190"/>
      <c r="W111" s="1190"/>
      <c r="X111" s="1191"/>
      <c r="Y111" s="1190"/>
      <c r="Z111" s="1190"/>
      <c r="AA111" s="1190"/>
      <c r="AB111" s="1190"/>
      <c r="AC111" s="1217"/>
      <c r="AD111" s="1326"/>
    </row>
    <row r="112" spans="18:30" ht="15.6">
      <c r="R112" s="1190"/>
      <c r="S112" s="1190"/>
      <c r="T112" s="1224"/>
      <c r="U112" s="1190"/>
      <c r="V112" s="1190"/>
      <c r="W112" s="1190"/>
      <c r="X112" s="1191"/>
      <c r="Y112" s="1190"/>
      <c r="Z112" s="1217"/>
      <c r="AA112" s="1217"/>
      <c r="AB112" s="1218"/>
      <c r="AC112" s="1190"/>
      <c r="AD112" s="1326"/>
    </row>
    <row r="113" spans="18:30" ht="15.6">
      <c r="R113" s="1190"/>
      <c r="S113" s="1190"/>
      <c r="T113" s="1190"/>
      <c r="U113" s="1190"/>
      <c r="V113" s="1190"/>
      <c r="W113" s="1190"/>
      <c r="X113" s="1191"/>
      <c r="Y113" s="1190"/>
      <c r="Z113" s="1217"/>
      <c r="AA113" s="1217"/>
      <c r="AB113" s="1218"/>
      <c r="AC113" s="1190"/>
      <c r="AD113" s="1326"/>
    </row>
    <row r="114" spans="18:30" s="44" customFormat="1" ht="15.6">
      <c r="R114" s="1190"/>
      <c r="S114" s="1190"/>
      <c r="T114" s="1190"/>
      <c r="U114" s="1190"/>
      <c r="V114" s="1190"/>
      <c r="W114" s="1190"/>
      <c r="X114" s="1191"/>
      <c r="Y114" s="1190"/>
      <c r="Z114" s="1217"/>
      <c r="AA114" s="1217"/>
      <c r="AB114" s="1218"/>
      <c r="AC114" s="1190"/>
      <c r="AD114" s="1326"/>
    </row>
    <row r="115" spans="18:30" s="44" customFormat="1" ht="15.6">
      <c r="R115" s="1190"/>
      <c r="S115" s="1190"/>
      <c r="T115" s="1217"/>
      <c r="U115" s="1190"/>
      <c r="V115" s="1190"/>
      <c r="W115" s="1190"/>
      <c r="X115" s="1191"/>
      <c r="Y115" s="1190"/>
      <c r="Z115" s="1217"/>
      <c r="AA115" s="1217"/>
      <c r="AB115" s="1218"/>
      <c r="AC115" s="1190"/>
      <c r="AD115" s="1326"/>
    </row>
    <row r="116" spans="18:30" s="44" customFormat="1" ht="15.6">
      <c r="R116" s="1190"/>
      <c r="S116" s="1190"/>
      <c r="T116" s="1217"/>
      <c r="U116" s="1190"/>
      <c r="V116" s="1190"/>
      <c r="W116" s="1190"/>
      <c r="X116" s="1191"/>
      <c r="Y116" s="1190"/>
      <c r="Z116" s="1217"/>
      <c r="AA116" s="1217"/>
      <c r="AB116" s="1218"/>
      <c r="AC116" s="1190"/>
      <c r="AD116" s="1326"/>
    </row>
    <row r="117" spans="18:30" s="44" customFormat="1" ht="15.6">
      <c r="R117" s="1190"/>
      <c r="S117" s="1190"/>
      <c r="T117" s="1217"/>
      <c r="U117" s="1190"/>
      <c r="V117" s="1190"/>
      <c r="W117" s="1190"/>
      <c r="X117" s="1191"/>
      <c r="Y117" s="1190"/>
      <c r="Z117" s="1217"/>
      <c r="AA117" s="1217"/>
      <c r="AB117" s="1218"/>
      <c r="AC117" s="1190"/>
      <c r="AD117" s="1326"/>
    </row>
    <row r="118" spans="18:30" s="44" customFormat="1" ht="15.6">
      <c r="R118" s="1190"/>
      <c r="S118" s="1190"/>
      <c r="T118" s="1217"/>
      <c r="U118" s="1190"/>
      <c r="V118" s="1190"/>
      <c r="W118" s="1190"/>
      <c r="X118" s="1191"/>
      <c r="Y118" s="1190"/>
      <c r="Z118" s="1217"/>
      <c r="AA118" s="1217"/>
      <c r="AB118" s="1218"/>
      <c r="AC118" s="1190"/>
      <c r="AD118" s="1326"/>
    </row>
    <row r="119" spans="18:30" s="44" customFormat="1" ht="15.6">
      <c r="R119" s="1190"/>
      <c r="S119" s="1190"/>
      <c r="T119" s="1217"/>
      <c r="U119" s="1190"/>
      <c r="V119" s="1190"/>
      <c r="W119" s="1190"/>
      <c r="X119" s="1191"/>
      <c r="Y119" s="1190"/>
      <c r="Z119" s="1217"/>
      <c r="AA119" s="1217"/>
      <c r="AB119" s="1218"/>
      <c r="AC119" s="1190"/>
      <c r="AD119" s="1326"/>
    </row>
    <row r="120" spans="18:30" s="44" customFormat="1" ht="15.6">
      <c r="R120" s="81"/>
      <c r="S120" s="81"/>
      <c r="T120" s="81"/>
      <c r="U120" s="81"/>
      <c r="V120" s="1190"/>
      <c r="W120" s="1190"/>
      <c r="X120" s="191"/>
      <c r="Y120" s="81"/>
      <c r="Z120" s="1217"/>
      <c r="AA120" s="1217"/>
      <c r="AB120" s="1218"/>
      <c r="AC120" s="1190"/>
      <c r="AD120" s="1326"/>
    </row>
    <row r="121" spans="18:30" s="44" customFormat="1" ht="15.6">
      <c r="R121" s="81"/>
      <c r="S121" s="81"/>
      <c r="T121" s="81"/>
      <c r="U121" s="81"/>
      <c r="V121" s="1190"/>
      <c r="W121" s="1190"/>
      <c r="X121" s="1325"/>
      <c r="Y121" s="1190"/>
      <c r="Z121" s="1190"/>
      <c r="AA121" s="1190"/>
      <c r="AB121" s="1218"/>
      <c r="AC121" s="1190"/>
      <c r="AD121" s="1326"/>
    </row>
    <row r="122" spans="18:30" ht="15.6">
      <c r="R122" s="1190"/>
      <c r="S122" s="1190"/>
      <c r="T122" s="1217"/>
      <c r="U122" s="1190"/>
      <c r="V122" s="1190"/>
      <c r="W122" s="1190"/>
      <c r="X122" s="1325"/>
      <c r="Y122" s="1190"/>
      <c r="Z122" s="1190"/>
      <c r="AA122" s="1190"/>
      <c r="AB122" s="1218"/>
      <c r="AC122" s="1190"/>
      <c r="AD122" s="1326"/>
    </row>
    <row r="123" spans="18:30" ht="15.6">
      <c r="R123" s="1190"/>
      <c r="S123" s="1190"/>
      <c r="T123" s="1190"/>
      <c r="U123" s="1190"/>
      <c r="V123" s="1190"/>
      <c r="W123" s="1190"/>
      <c r="X123" s="1190"/>
      <c r="Y123" s="1190"/>
      <c r="Z123" s="1190"/>
      <c r="AA123" s="1190"/>
      <c r="AB123" s="1218"/>
      <c r="AC123" s="1190"/>
      <c r="AD123" s="1326"/>
    </row>
    <row r="124" spans="18:30" ht="15.6">
      <c r="R124" s="1190"/>
      <c r="S124" s="1190"/>
      <c r="T124" s="1217"/>
      <c r="U124" s="1190"/>
      <c r="V124" s="1190"/>
      <c r="W124" s="1190"/>
      <c r="X124" s="1191"/>
      <c r="Y124" s="1190"/>
      <c r="Z124" s="1217"/>
      <c r="AA124" s="1217"/>
      <c r="AB124" s="1218"/>
      <c r="AC124" s="1190"/>
      <c r="AD124" s="1326"/>
    </row>
    <row r="125" spans="18:30" ht="15.6">
      <c r="R125" s="1330"/>
      <c r="S125" s="1331"/>
      <c r="T125" s="1332"/>
      <c r="U125" s="1331"/>
      <c r="V125" s="1331"/>
      <c r="W125" s="1331"/>
      <c r="X125" s="1333"/>
      <c r="Y125" s="1331"/>
      <c r="Z125" s="1332"/>
      <c r="AA125" s="1332"/>
      <c r="AB125" s="1334"/>
      <c r="AC125" s="1335"/>
      <c r="AD125" s="81"/>
    </row>
    <row r="126" spans="18:30" ht="15.6">
      <c r="R126" s="1189"/>
      <c r="S126" s="1190"/>
      <c r="T126" s="1217"/>
      <c r="U126" s="1190"/>
      <c r="V126" s="1190"/>
      <c r="W126" s="1190"/>
      <c r="X126" s="1191"/>
      <c r="Y126" s="1190"/>
      <c r="Z126" s="1217"/>
      <c r="AA126" s="1217"/>
      <c r="AB126" s="1218"/>
      <c r="AC126" s="1192"/>
      <c r="AD126" s="81"/>
    </row>
    <row r="127" spans="18:30" ht="15.6">
      <c r="R127" s="1189"/>
      <c r="S127" s="1190"/>
      <c r="T127" s="1217"/>
      <c r="U127" s="1190"/>
      <c r="V127" s="1190"/>
      <c r="W127" s="1190"/>
      <c r="X127" s="1191"/>
      <c r="Y127" s="1190"/>
      <c r="Z127" s="1217"/>
      <c r="AA127" s="1217"/>
      <c r="AB127" s="1218"/>
      <c r="AC127" s="1192"/>
      <c r="AD127" s="81"/>
    </row>
    <row r="128" spans="18:30" ht="15.6">
      <c r="R128" s="1189"/>
      <c r="S128" s="1190"/>
      <c r="T128" s="1190"/>
      <c r="U128" s="1190"/>
      <c r="V128" s="1190"/>
      <c r="W128" s="1190"/>
      <c r="X128" s="1191"/>
      <c r="Y128" s="1190"/>
      <c r="Z128" s="1217"/>
      <c r="AA128" s="1217"/>
      <c r="AB128" s="1218"/>
      <c r="AC128" s="1192"/>
      <c r="AD128" s="81"/>
    </row>
    <row r="129" spans="18:30" ht="15.6">
      <c r="R129" s="1189"/>
      <c r="S129" s="1190"/>
      <c r="T129" s="1217"/>
      <c r="U129" s="1190"/>
      <c r="V129" s="1190"/>
      <c r="W129" s="1190"/>
      <c r="X129" s="1191"/>
      <c r="Y129" s="1190"/>
      <c r="Z129" s="1217"/>
      <c r="AA129" s="1217"/>
      <c r="AB129" s="1218"/>
      <c r="AC129" s="1192"/>
      <c r="AD129" s="81"/>
    </row>
    <row r="130" spans="18:30" ht="15.6">
      <c r="R130" s="1189"/>
      <c r="S130" s="1190"/>
      <c r="T130" s="1217"/>
      <c r="U130" s="1190"/>
      <c r="V130" s="1190"/>
      <c r="W130" s="1190"/>
      <c r="X130" s="1191"/>
      <c r="Y130" s="1190"/>
      <c r="Z130" s="1217"/>
      <c r="AA130" s="1217"/>
      <c r="AB130" s="1218"/>
      <c r="AC130" s="1192"/>
      <c r="AD130" s="81"/>
    </row>
    <row r="131" spans="18:30" ht="15.6">
      <c r="R131" s="1189"/>
      <c r="S131" s="1190"/>
      <c r="T131" s="1190"/>
      <c r="U131" s="1190"/>
      <c r="V131" s="1190"/>
      <c r="W131" s="1190"/>
      <c r="X131" s="1191"/>
      <c r="Y131" s="1190"/>
      <c r="Z131" s="1217"/>
      <c r="AA131" s="1217"/>
      <c r="AB131" s="1218"/>
      <c r="AC131" s="1192"/>
      <c r="AD131" s="81"/>
    </row>
    <row r="132" spans="18:30" ht="15.6">
      <c r="R132" s="1189"/>
      <c r="S132" s="1190"/>
      <c r="T132" s="1217"/>
      <c r="U132" s="1190"/>
      <c r="V132" s="1190"/>
      <c r="W132" s="1190"/>
      <c r="X132" s="1191"/>
      <c r="Y132" s="1190"/>
      <c r="Z132" s="1217"/>
      <c r="AA132" s="1217"/>
      <c r="AB132" s="1218"/>
      <c r="AC132" s="1192"/>
      <c r="AD132" s="81"/>
    </row>
    <row r="133" spans="18:30" ht="15.6">
      <c r="R133" s="1189"/>
      <c r="S133" s="1190"/>
      <c r="T133" s="1217"/>
      <c r="U133" s="1190"/>
      <c r="V133" s="1190"/>
      <c r="W133" s="1190"/>
      <c r="X133" s="1191"/>
      <c r="Y133" s="1190"/>
      <c r="Z133" s="1217"/>
      <c r="AA133" s="1217"/>
      <c r="AB133" s="1218"/>
      <c r="AC133" s="1192"/>
      <c r="AD133" s="81"/>
    </row>
    <row r="134" spans="18:30" ht="15.6">
      <c r="R134" s="1189"/>
      <c r="S134" s="1190"/>
      <c r="T134" s="1217"/>
      <c r="U134" s="1190"/>
      <c r="V134" s="1190"/>
      <c r="W134" s="1190"/>
      <c r="X134" s="1191"/>
      <c r="Y134" s="1190"/>
      <c r="Z134" s="1217"/>
      <c r="AA134" s="1217"/>
      <c r="AB134" s="1218"/>
      <c r="AC134" s="1192"/>
      <c r="AD134" s="81"/>
    </row>
    <row r="135" spans="18:30" ht="15.6">
      <c r="R135" s="1189"/>
      <c r="S135" s="1190"/>
      <c r="T135" s="1217"/>
      <c r="U135" s="1190"/>
      <c r="V135" s="1190"/>
      <c r="W135" s="1190"/>
      <c r="X135" s="1191"/>
      <c r="Y135" s="1190"/>
      <c r="Z135" s="1217"/>
      <c r="AA135" s="1217"/>
      <c r="AB135" s="1218"/>
      <c r="AC135" s="1192"/>
      <c r="AD135" s="81"/>
    </row>
    <row r="136" spans="18:30" ht="15.6">
      <c r="R136" s="1189"/>
      <c r="S136" s="1190"/>
      <c r="T136" s="1190"/>
      <c r="U136" s="1190"/>
      <c r="V136" s="1190"/>
      <c r="W136" s="1190"/>
      <c r="X136" s="1191"/>
      <c r="Y136" s="1190"/>
      <c r="Z136" s="1217"/>
      <c r="AA136" s="1217"/>
      <c r="AB136" s="1218"/>
      <c r="AC136" s="1192"/>
      <c r="AD136" s="81"/>
    </row>
    <row r="137" spans="18:30" ht="15.6">
      <c r="R137" s="1189"/>
      <c r="S137" s="1190"/>
      <c r="T137" s="1190"/>
      <c r="U137" s="1190"/>
      <c r="V137" s="1190"/>
      <c r="W137" s="1190"/>
      <c r="X137" s="1191"/>
      <c r="Y137" s="1190"/>
      <c r="Z137" s="1217"/>
      <c r="AA137" s="1217"/>
      <c r="AB137" s="1218"/>
      <c r="AC137" s="1192"/>
      <c r="AD137" s="81"/>
    </row>
    <row r="138" spans="18:30" ht="15.6">
      <c r="R138" s="1189"/>
      <c r="S138" s="1190"/>
      <c r="T138" s="1190"/>
      <c r="U138" s="1190"/>
      <c r="V138" s="1190"/>
      <c r="W138" s="1190"/>
      <c r="X138" s="1191"/>
      <c r="Y138" s="1190"/>
      <c r="Z138" s="1217"/>
      <c r="AA138" s="1217"/>
      <c r="AB138" s="1218"/>
      <c r="AC138" s="1192"/>
      <c r="AD138" s="81"/>
    </row>
    <row r="139" spans="18:30" ht="15.6">
      <c r="R139" s="1189"/>
      <c r="S139" s="1190"/>
      <c r="T139" s="1217"/>
      <c r="U139" s="1190"/>
      <c r="V139" s="1190"/>
      <c r="W139" s="1190"/>
      <c r="X139" s="1191"/>
      <c r="Y139" s="1190"/>
      <c r="Z139" s="1217"/>
      <c r="AA139" s="1217"/>
      <c r="AB139" s="1218"/>
      <c r="AC139" s="1192"/>
      <c r="AD139" s="81"/>
    </row>
    <row r="140" spans="18:30" ht="15.6">
      <c r="R140" s="1189"/>
      <c r="S140" s="1190"/>
      <c r="T140" s="1217"/>
      <c r="U140" s="1190"/>
      <c r="V140" s="1190"/>
      <c r="W140" s="1190"/>
      <c r="X140" s="1191"/>
      <c r="Y140" s="1190"/>
      <c r="Z140" s="1217"/>
      <c r="AA140" s="1217"/>
      <c r="AB140" s="1218"/>
      <c r="AC140" s="1192"/>
      <c r="AD140" s="81"/>
    </row>
    <row r="141" spans="18:30" ht="15.6">
      <c r="R141" s="1189"/>
      <c r="S141" s="1190"/>
      <c r="T141" s="1190"/>
      <c r="U141" s="1190"/>
      <c r="V141" s="1190"/>
      <c r="W141" s="1190"/>
      <c r="X141" s="1191"/>
      <c r="Y141" s="1190"/>
      <c r="Z141" s="1217"/>
      <c r="AA141" s="1217"/>
      <c r="AB141" s="1218"/>
      <c r="AC141" s="1192"/>
      <c r="AD141" s="81"/>
    </row>
    <row r="142" spans="18:30" ht="15.6">
      <c r="R142" s="1189"/>
      <c r="S142" s="1190"/>
      <c r="T142" s="1190"/>
      <c r="U142" s="1190"/>
      <c r="V142" s="1190"/>
      <c r="W142" s="1190"/>
      <c r="X142" s="1191"/>
      <c r="Y142" s="1190"/>
      <c r="Z142" s="1217"/>
      <c r="AA142" s="1217"/>
      <c r="AB142" s="1218"/>
      <c r="AC142" s="1192"/>
      <c r="AD142" s="81"/>
    </row>
    <row r="143" spans="18:30" ht="15.6">
      <c r="R143" s="1189"/>
      <c r="S143" s="1190"/>
      <c r="T143" s="1111"/>
      <c r="U143" s="1190"/>
      <c r="V143" s="1190"/>
      <c r="W143" s="1190"/>
      <c r="X143" s="1191"/>
      <c r="Y143" s="1190"/>
      <c r="Z143" s="1106"/>
      <c r="AA143" s="1106"/>
      <c r="AB143" s="1110"/>
      <c r="AC143" s="1192"/>
      <c r="AD143" s="81"/>
    </row>
    <row r="144" spans="18:30" ht="15.6">
      <c r="R144" s="1189"/>
      <c r="S144" s="1190"/>
      <c r="T144" s="1111"/>
      <c r="U144" s="1190"/>
      <c r="V144" s="1190"/>
      <c r="W144" s="1190"/>
      <c r="X144" s="1191"/>
      <c r="Y144" s="1190"/>
      <c r="Z144" s="1190"/>
      <c r="AA144" s="1190"/>
      <c r="AB144" s="1110"/>
      <c r="AC144" s="1192"/>
      <c r="AD144" s="81"/>
    </row>
    <row r="145" spans="18:30">
      <c r="R145" s="1189"/>
      <c r="S145" s="1190"/>
      <c r="T145" s="1106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81"/>
    </row>
    <row r="146" spans="18:30">
      <c r="R146" s="1189"/>
      <c r="S146" s="1190"/>
      <c r="T146" s="1190"/>
      <c r="U146" s="1190"/>
      <c r="V146" s="1190"/>
      <c r="W146" s="1190"/>
      <c r="X146" s="1191"/>
      <c r="Y146" s="1190"/>
      <c r="Z146" s="1190"/>
      <c r="AA146" s="1190"/>
      <c r="AB146" s="1190"/>
      <c r="AC146" s="1192"/>
      <c r="AD146" s="81"/>
    </row>
    <row r="147" spans="18:30">
      <c r="R147" s="1189"/>
      <c r="S147" s="1190"/>
      <c r="T147" s="1190"/>
      <c r="U147" s="1190"/>
      <c r="V147" s="1190"/>
      <c r="W147" s="1190"/>
      <c r="X147" s="1191"/>
      <c r="Y147" s="1190"/>
      <c r="Z147" s="1190"/>
      <c r="AA147" s="1190"/>
      <c r="AB147" s="1190"/>
      <c r="AC147" s="1192"/>
      <c r="AD147" s="81"/>
    </row>
    <row r="148" spans="18:30">
      <c r="R148" s="1189"/>
      <c r="S148" s="1190"/>
      <c r="T148" s="1106"/>
      <c r="U148" s="1190"/>
      <c r="V148" s="1190"/>
      <c r="W148" s="1190"/>
      <c r="X148" s="1191"/>
      <c r="Y148" s="1190"/>
      <c r="Z148" s="1190"/>
      <c r="AA148" s="1190"/>
      <c r="AB148" s="1190"/>
      <c r="AC148" s="1192"/>
      <c r="AD148" s="81"/>
    </row>
    <row r="149" spans="18:30">
      <c r="R149" s="1189"/>
      <c r="S149" s="1190"/>
      <c r="T149" s="1106"/>
      <c r="U149" s="1190"/>
      <c r="V149" s="1190"/>
      <c r="W149" s="1190"/>
      <c r="X149" s="1191"/>
      <c r="Y149" s="1190"/>
      <c r="Z149" s="1190"/>
      <c r="AA149" s="1190"/>
      <c r="AB149" s="1190"/>
      <c r="AC149" s="1192"/>
      <c r="AD149" s="26"/>
    </row>
    <row r="150" spans="18:30">
      <c r="R150" s="1189"/>
      <c r="S150" s="1190"/>
      <c r="T150" s="1111"/>
      <c r="U150" s="1190"/>
      <c r="V150" s="1190"/>
      <c r="W150" s="1190"/>
      <c r="X150" s="1191"/>
      <c r="Y150" s="1190"/>
      <c r="Z150" s="1190"/>
      <c r="AA150" s="1190"/>
      <c r="AB150" s="1190"/>
      <c r="AC150" s="1192"/>
      <c r="AD150" s="26"/>
    </row>
    <row r="151" spans="18:30">
      <c r="R151" s="1189"/>
      <c r="S151" s="1190"/>
      <c r="T151" s="1106"/>
      <c r="U151" s="1190"/>
      <c r="V151" s="1190"/>
      <c r="W151" s="1190"/>
      <c r="X151" s="1191"/>
      <c r="Y151" s="1190"/>
      <c r="Z151" s="1190"/>
      <c r="AA151" s="1190"/>
      <c r="AB151" s="1190"/>
      <c r="AC151" s="1192"/>
      <c r="AD151" s="26"/>
    </row>
    <row r="152" spans="18:30">
      <c r="R152" s="1189"/>
      <c r="S152" s="1190"/>
      <c r="T152" s="1111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26"/>
    </row>
    <row r="153" spans="18:30">
      <c r="R153" s="1189"/>
      <c r="S153" s="1190"/>
      <c r="T153" s="1106"/>
      <c r="U153" s="1190"/>
      <c r="V153" s="1190"/>
      <c r="W153" s="1190"/>
      <c r="X153" s="1191"/>
      <c r="Y153" s="1190"/>
      <c r="Z153" s="1190"/>
      <c r="AA153" s="1190"/>
      <c r="AB153" s="1190"/>
      <c r="AC153" s="1192"/>
      <c r="AD153" s="26"/>
    </row>
    <row r="154" spans="18:30">
      <c r="R154" s="1189"/>
      <c r="S154" s="1190"/>
      <c r="T154" s="1106"/>
      <c r="U154" s="1190"/>
      <c r="V154" s="1190"/>
      <c r="W154" s="1190"/>
      <c r="X154" s="1191"/>
      <c r="Y154" s="1190"/>
      <c r="Z154" s="1190"/>
      <c r="AA154" s="1190"/>
      <c r="AB154" s="1190"/>
      <c r="AC154" s="1192"/>
      <c r="AD154" s="26"/>
    </row>
    <row r="155" spans="18:30">
      <c r="R155" s="1189"/>
      <c r="S155" s="1190"/>
      <c r="T155" s="1111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26"/>
    </row>
    <row r="156" spans="18:30">
      <c r="R156" s="1189"/>
      <c r="S156" s="1190"/>
      <c r="T156" s="1106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26"/>
    </row>
    <row r="157" spans="18:30">
      <c r="R157" s="1189"/>
      <c r="S157" s="1190"/>
      <c r="T157" s="1190"/>
      <c r="U157" s="1190"/>
      <c r="V157" s="1190"/>
      <c r="W157" s="1190"/>
      <c r="X157" s="1191"/>
      <c r="Y157" s="1190"/>
      <c r="Z157" s="1190"/>
      <c r="AA157" s="1190"/>
      <c r="AB157" s="1190"/>
      <c r="AC157" s="1192"/>
      <c r="AD157" s="26"/>
    </row>
    <row r="158" spans="18:30">
      <c r="R158" s="1189"/>
      <c r="S158" s="1190"/>
      <c r="T158" s="1106"/>
      <c r="U158" s="1190"/>
      <c r="V158" s="1190"/>
      <c r="W158" s="1190"/>
      <c r="X158" s="1191"/>
      <c r="Y158" s="1190"/>
      <c r="Z158" s="1190"/>
      <c r="AA158" s="1190"/>
      <c r="AB158" s="1190"/>
      <c r="AC158" s="1192"/>
      <c r="AD158" s="26"/>
    </row>
    <row r="159" spans="18:30">
      <c r="R159" s="1189"/>
      <c r="S159" s="1190"/>
      <c r="T159" s="1106"/>
      <c r="U159" s="1190"/>
      <c r="V159" s="1190"/>
      <c r="W159" s="1190"/>
      <c r="X159" s="1191"/>
      <c r="Y159" s="1190"/>
      <c r="Z159" s="1190"/>
      <c r="AA159" s="1190"/>
      <c r="AB159" s="1190"/>
      <c r="AC159" s="1192"/>
      <c r="AD159" s="26"/>
    </row>
    <row r="160" spans="18:30">
      <c r="R160" s="1189"/>
      <c r="S160" s="1190"/>
      <c r="T160" s="1106"/>
      <c r="U160" s="1190"/>
      <c r="V160" s="1190"/>
      <c r="W160" s="1190"/>
      <c r="X160" s="1191"/>
      <c r="Y160" s="1190"/>
      <c r="Z160" s="1190"/>
      <c r="AA160" s="1190"/>
      <c r="AB160" s="1190"/>
      <c r="AC160" s="1192"/>
      <c r="AD160" s="26"/>
    </row>
    <row r="161" spans="18:30">
      <c r="R161" s="1189"/>
      <c r="S161" s="1190"/>
      <c r="T161" s="1106"/>
      <c r="U161" s="1190"/>
      <c r="V161" s="1190"/>
      <c r="W161" s="1190"/>
      <c r="X161" s="1193"/>
      <c r="Y161" s="1190"/>
      <c r="Z161" s="1190"/>
      <c r="AA161" s="1190"/>
      <c r="AB161" s="1190"/>
      <c r="AC161" s="1192"/>
      <c r="AD161" s="26"/>
    </row>
    <row r="162" spans="18:30">
      <c r="R162" s="1189"/>
      <c r="S162" s="1190"/>
      <c r="T162" s="1111"/>
      <c r="U162" s="1190"/>
      <c r="V162" s="1190"/>
      <c r="W162" s="1190"/>
      <c r="X162" s="1191"/>
      <c r="Y162" s="1190"/>
      <c r="Z162" s="1190"/>
      <c r="AA162" s="1190"/>
      <c r="AB162" s="1190"/>
      <c r="AC162" s="1192"/>
      <c r="AD162" s="26"/>
    </row>
    <row r="163" spans="18:30">
      <c r="R163" s="1194"/>
      <c r="S163" s="1195"/>
      <c r="T163" s="1111"/>
      <c r="U163" s="1195"/>
      <c r="V163" s="1190"/>
      <c r="W163" s="1190"/>
      <c r="X163" s="1196"/>
      <c r="Y163" s="1195"/>
      <c r="Z163" s="1195"/>
      <c r="AA163" s="1195"/>
      <c r="AB163" s="1195"/>
      <c r="AC163" s="1192"/>
      <c r="AD163" s="26"/>
    </row>
    <row r="164" spans="18:30">
      <c r="R164" s="1194"/>
      <c r="S164" s="1195"/>
      <c r="T164" s="1111"/>
      <c r="U164" s="1195"/>
      <c r="V164" s="1190"/>
      <c r="W164" s="1190"/>
      <c r="X164" s="1196"/>
      <c r="Y164" s="1195"/>
      <c r="Z164" s="1195"/>
      <c r="AA164" s="1195"/>
      <c r="AB164" s="1195"/>
      <c r="AC164" s="1192"/>
      <c r="AD164" s="26"/>
    </row>
    <row r="165" spans="18:30">
      <c r="R165" s="1189"/>
      <c r="S165" s="1190"/>
      <c r="T165" s="1111"/>
      <c r="U165" s="1190"/>
      <c r="V165" s="1190"/>
      <c r="W165" s="1190"/>
      <c r="X165" s="1191"/>
      <c r="Y165" s="1195"/>
      <c r="Z165" s="1190"/>
      <c r="AA165" s="1190"/>
      <c r="AB165" s="1190"/>
      <c r="AC165" s="1192"/>
      <c r="AD165" s="26"/>
    </row>
    <row r="166" spans="18:30">
      <c r="R166" s="1189"/>
      <c r="S166" s="1190"/>
      <c r="T166" s="1111"/>
      <c r="U166" s="1190"/>
      <c r="V166" s="1190"/>
      <c r="W166" s="1190"/>
      <c r="X166" s="1191"/>
      <c r="Y166" s="1195"/>
      <c r="Z166" s="1190"/>
      <c r="AA166" s="1190"/>
      <c r="AB166" s="1190"/>
      <c r="AC166" s="1192"/>
      <c r="AD166" s="26"/>
    </row>
    <row r="167" spans="18:30">
      <c r="R167" s="1194"/>
      <c r="S167" s="1195"/>
      <c r="T167" s="1111"/>
      <c r="U167" s="1195"/>
      <c r="V167" s="1195"/>
      <c r="W167" s="1190"/>
      <c r="X167" s="1196"/>
      <c r="Y167" s="1195"/>
      <c r="Z167" s="1195"/>
      <c r="AA167" s="1195"/>
      <c r="AB167" s="1190"/>
      <c r="AC167" s="1192"/>
      <c r="AD167" s="26"/>
    </row>
    <row r="168" spans="18:30">
      <c r="R168" s="1194"/>
      <c r="S168" s="1195"/>
      <c r="T168" s="1106"/>
      <c r="U168" s="1195"/>
      <c r="V168" s="1195"/>
      <c r="W168" s="1195"/>
      <c r="X168" s="1196"/>
      <c r="Y168" s="1195"/>
      <c r="Z168" s="1195"/>
      <c r="AA168" s="1195"/>
      <c r="AB168" s="1195"/>
      <c r="AC168" s="1197"/>
      <c r="AD168" s="26"/>
    </row>
    <row r="169" spans="18:30">
      <c r="R169" s="1189"/>
      <c r="S169" s="1190"/>
      <c r="T169" s="1190"/>
      <c r="U169" s="1190"/>
      <c r="V169" s="1190"/>
      <c r="W169" s="1190"/>
      <c r="X169" s="1191"/>
      <c r="Y169" s="1190"/>
      <c r="Z169" s="1190"/>
      <c r="AA169" s="1190"/>
      <c r="AB169" s="1190"/>
      <c r="AC169" s="1192"/>
      <c r="AD169" s="26"/>
    </row>
    <row r="170" spans="18:30">
      <c r="R170" s="1189"/>
      <c r="S170" s="1190"/>
      <c r="T170" s="1190"/>
      <c r="U170" s="1190"/>
      <c r="V170" s="1195"/>
      <c r="W170" s="1190"/>
      <c r="X170" s="1191"/>
      <c r="Y170" s="1190"/>
      <c r="Z170" s="1190"/>
      <c r="AA170" s="1190"/>
      <c r="AB170" s="1190"/>
      <c r="AC170" s="1192"/>
      <c r="AD170" s="26"/>
    </row>
    <row r="171" spans="18:30">
      <c r="R171" s="1189"/>
      <c r="S171" s="1190"/>
      <c r="T171" s="1190"/>
      <c r="U171" s="1190"/>
      <c r="V171" s="1195"/>
      <c r="W171" s="1190"/>
      <c r="X171" s="1191"/>
      <c r="Y171" s="1190"/>
      <c r="Z171" s="1190"/>
      <c r="AA171" s="1190"/>
      <c r="AB171" s="1190"/>
      <c r="AC171" s="1192"/>
      <c r="AD171" s="26"/>
    </row>
    <row r="172" spans="18:30">
      <c r="R172" s="1189"/>
      <c r="S172" s="1190"/>
      <c r="T172" s="1190"/>
      <c r="U172" s="1190"/>
      <c r="V172" s="1190"/>
      <c r="W172" s="1190"/>
      <c r="X172" s="1191"/>
      <c r="Y172" s="1190"/>
      <c r="Z172" s="1190"/>
      <c r="AA172" s="1190"/>
      <c r="AB172" s="1190"/>
      <c r="AC172" s="1192"/>
      <c r="AD172" s="26"/>
    </row>
    <row r="173" spans="18:30">
      <c r="R173" s="1189"/>
      <c r="S173" s="1190"/>
      <c r="T173" s="1190"/>
      <c r="U173" s="1190"/>
      <c r="V173" s="1190"/>
      <c r="W173" s="1190"/>
      <c r="X173" s="1191"/>
      <c r="Y173" s="1190"/>
      <c r="Z173" s="1190"/>
      <c r="AA173" s="1190"/>
      <c r="AB173" s="1190"/>
      <c r="AC173" s="1192"/>
      <c r="AD173" s="26"/>
    </row>
    <row r="174" spans="18:30">
      <c r="R174" s="1189"/>
      <c r="S174" s="1190"/>
      <c r="T174" s="1190"/>
      <c r="U174" s="1190"/>
      <c r="V174" s="1195"/>
      <c r="W174" s="1190"/>
      <c r="X174" s="1191"/>
      <c r="Y174" s="1190"/>
      <c r="Z174" s="1190"/>
      <c r="AA174" s="1190"/>
      <c r="AB174" s="1190"/>
      <c r="AC174" s="1192"/>
      <c r="AD174" s="81"/>
    </row>
    <row r="175" spans="18:30">
      <c r="R175" s="1189"/>
      <c r="S175" s="1190"/>
      <c r="T175" s="1190"/>
      <c r="U175" s="1190"/>
      <c r="V175" s="1195"/>
      <c r="W175" s="1190"/>
      <c r="X175" s="1191"/>
      <c r="Y175" s="1190"/>
      <c r="Z175" s="1190"/>
      <c r="AA175" s="1190"/>
      <c r="AB175" s="1190"/>
      <c r="AC175" s="1192"/>
      <c r="AD175" s="203"/>
    </row>
    <row r="176" spans="18:30">
      <c r="R176" s="1190"/>
      <c r="S176" s="1190"/>
      <c r="T176" s="1190"/>
      <c r="U176" s="1190"/>
      <c r="V176" s="1190"/>
      <c r="W176" s="1190"/>
      <c r="X176" s="1190"/>
      <c r="Y176" s="1190"/>
      <c r="Z176" s="1190"/>
      <c r="AA176" s="1190"/>
      <c r="AB176" s="1190"/>
      <c r="AC176" s="1190"/>
      <c r="AD176" s="44"/>
    </row>
    <row r="177" spans="18:30">
      <c r="R177" s="1190"/>
      <c r="S177" s="1190"/>
      <c r="T177" s="1190"/>
      <c r="U177" s="1190"/>
      <c r="V177" s="1190"/>
      <c r="W177" s="1190"/>
      <c r="X177" s="1190"/>
      <c r="Y177" s="1190"/>
      <c r="Z177" s="1190"/>
      <c r="AA177" s="1190"/>
      <c r="AB177" s="1190"/>
      <c r="AC177" s="1190"/>
      <c r="AD177" s="44"/>
    </row>
    <row r="178" spans="18:30">
      <c r="R178" s="1190"/>
      <c r="S178" s="1190"/>
      <c r="T178" s="1190"/>
      <c r="U178" s="1190"/>
      <c r="V178" s="1190"/>
      <c r="W178" s="1190"/>
      <c r="X178" s="1190"/>
      <c r="Y178" s="1190"/>
      <c r="Z178" s="1190"/>
      <c r="AA178" s="1190"/>
      <c r="AB178" s="1190"/>
      <c r="AC178" s="1190"/>
      <c r="AD178" s="44"/>
    </row>
    <row r="179" spans="18:30">
      <c r="R179" s="1190"/>
      <c r="S179" s="1190"/>
      <c r="T179" s="1190"/>
      <c r="U179" s="1190"/>
      <c r="V179" s="1190"/>
      <c r="W179" s="1190"/>
      <c r="X179" s="1190"/>
      <c r="Y179" s="1190"/>
      <c r="Z179" s="1190"/>
      <c r="AA179" s="1190"/>
      <c r="AB179" s="1190"/>
      <c r="AC179" s="1190"/>
      <c r="AD179" s="44"/>
    </row>
    <row r="180" spans="18:30">
      <c r="R180" s="1190"/>
      <c r="S180" s="1190"/>
      <c r="T180" s="1190"/>
      <c r="U180" s="1190"/>
      <c r="V180" s="1190"/>
      <c r="W180" s="1190"/>
      <c r="X180" s="1190"/>
      <c r="Y180" s="1190"/>
      <c r="Z180" s="1190"/>
      <c r="AA180" s="1190"/>
      <c r="AB180" s="1190"/>
      <c r="AC180" s="1190"/>
      <c r="AD180" s="44"/>
    </row>
    <row r="181" spans="18:30">
      <c r="R181" s="1190"/>
      <c r="S181" s="1190"/>
      <c r="T181" s="1190"/>
      <c r="U181" s="1190"/>
      <c r="V181" s="1190"/>
      <c r="W181" s="1190"/>
      <c r="X181" s="1190"/>
      <c r="Y181" s="1190"/>
      <c r="Z181" s="1190"/>
      <c r="AA181" s="1190"/>
      <c r="AB181" s="1190"/>
      <c r="AC181" s="1190"/>
      <c r="AD181" s="44"/>
    </row>
    <row r="182" spans="18:30">
      <c r="R182" s="1190"/>
      <c r="S182" s="1190"/>
      <c r="T182" s="1190"/>
      <c r="U182" s="1190"/>
      <c r="V182" s="1190"/>
      <c r="W182" s="1190"/>
      <c r="X182" s="1190"/>
      <c r="Y182" s="1190"/>
      <c r="Z182" s="1190"/>
      <c r="AA182" s="1190"/>
      <c r="AB182" s="1190"/>
      <c r="AC182" s="1190"/>
    </row>
    <row r="183" spans="18:30">
      <c r="R183" s="1190"/>
      <c r="S183" s="1190"/>
      <c r="T183" s="1190"/>
      <c r="U183" s="1190"/>
      <c r="V183" s="1190"/>
      <c r="W183" s="1190"/>
      <c r="X183" s="1190"/>
      <c r="Y183" s="1190"/>
      <c r="Z183" s="1190"/>
      <c r="AA183" s="1190"/>
      <c r="AB183" s="1190"/>
      <c r="AC183" s="1190"/>
    </row>
    <row r="184" spans="18:30">
      <c r="R184" s="1190"/>
      <c r="S184" s="1190"/>
      <c r="T184" s="1190"/>
      <c r="U184" s="1190"/>
      <c r="V184" s="1190"/>
      <c r="W184" s="1190"/>
      <c r="X184" s="1190"/>
      <c r="Y184" s="1190"/>
      <c r="Z184" s="1190"/>
      <c r="AA184" s="1190"/>
      <c r="AB184" s="1190"/>
      <c r="AC184" s="1190"/>
    </row>
    <row r="185" spans="18:30">
      <c r="R185" s="1190"/>
      <c r="S185" s="1190"/>
      <c r="T185" s="1190"/>
      <c r="U185" s="1190"/>
      <c r="V185" s="1190"/>
      <c r="W185" s="1190"/>
      <c r="X185" s="1190"/>
      <c r="Y185" s="1190"/>
      <c r="Z185" s="1190"/>
      <c r="AA185" s="1190"/>
      <c r="AB185" s="1190"/>
      <c r="AC185" s="1190"/>
    </row>
    <row r="186" spans="18:30">
      <c r="R186" s="1190"/>
      <c r="S186" s="1190"/>
      <c r="T186" s="1190"/>
      <c r="U186" s="1190"/>
      <c r="V186" s="1190"/>
      <c r="W186" s="1190"/>
      <c r="X186" s="1190"/>
      <c r="Y186" s="1190"/>
      <c r="Z186" s="1190"/>
      <c r="AA186" s="1190"/>
      <c r="AB186" s="1190"/>
      <c r="AC186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2" name="Range1_65_32_32_30_30_30_30_30_30_30_30_30_30_30_30_30"/>
    <protectedRange algorithmName="SHA-512" hashValue="XYWjC+iAz2ErgjMh7TSLHlxfTfK0uVcITDFdCCZFdnsWWbUNnsQqu9AM+0WFXQpYcy9ZvQx2KUXfpLhpOROHkg==" saltValue="47TiGLG0rJVTo3iAJH8T4w==" spinCount="100000" sqref="B23:D52" name="Range2_5_2_2_2_2_2_2_2_2_2_2_2_2_2_2_2"/>
    <protectedRange algorithmName="SHA-512" hashValue="24Yg3M703G5L8OyJWxlkx8c1Gwfrkael5W/l3TUk/Rcz5tR8QOgCx5v0Ebb/UGz+9BDKPJ5wV4hH8uuxvmtGIw==" saltValue="ZSJQ8EEnwGxsiYzxIw6K0Q==" spinCount="100000" sqref="B23:D52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"/>
    <protectedRange algorithmName="SHA-512" hashValue="24Yg3M703G5L8OyJWxlkx8c1Gwfrkael5W/l3TUk/Rcz5tR8QOgCx5v0Ebb/UGz+9BDKPJ5wV4hH8uuxvmtGIw==" saltValue="ZSJQ8EEnwGxsiYzxIw6K0Q==" spinCount="100000" sqref="B20:D22" name="Range1_65_32_2_2_2_2_2_2_2_2_2_2_2_2_2_3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0654C-3690-4F49-B98D-8C39AD8A532B}">
  <dimension ref="A1:AG169"/>
  <sheetViews>
    <sheetView showGridLines="0" topLeftCell="R23" zoomScale="55" zoomScaleNormal="55" workbookViewId="0">
      <selection activeCell="R24" sqref="R24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27" customWidth="1"/>
    <col min="22" max="22" width="53" customWidth="1"/>
    <col min="23" max="23" width="29.109375" bestFit="1" customWidth="1"/>
    <col min="24" max="24" width="18.33203125" bestFit="1" customWidth="1"/>
    <col min="25" max="25" width="23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35.44140625" bestFit="1" customWidth="1"/>
    <col min="31" max="31" width="9.109375" bestFit="1" customWidth="1"/>
  </cols>
  <sheetData>
    <row r="1" spans="1:33" ht="17.399999999999999">
      <c r="A1" s="1211" t="s">
        <v>832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298" t="s">
        <v>407</v>
      </c>
      <c r="AD1" s="1180" t="s">
        <v>408</v>
      </c>
    </row>
    <row r="2" spans="1:33" s="1242" customFormat="1" ht="17.399999999999999">
      <c r="A2" s="762" t="s">
        <v>833</v>
      </c>
      <c r="B2" s="733"/>
      <c r="C2" s="733"/>
      <c r="D2" s="733"/>
      <c r="E2" s="735"/>
      <c r="F2" s="1536" t="s">
        <v>834</v>
      </c>
      <c r="G2" s="1536"/>
      <c r="H2" s="1536"/>
      <c r="I2" s="742"/>
      <c r="J2" s="1525" t="s">
        <v>835</v>
      </c>
      <c r="K2" s="1525"/>
      <c r="L2" s="1525"/>
      <c r="M2" s="735"/>
      <c r="N2" s="1535"/>
      <c r="O2" s="1535"/>
      <c r="P2" s="1535"/>
      <c r="R2" s="1260" t="s">
        <v>428</v>
      </c>
      <c r="S2" s="1261">
        <v>3331562099</v>
      </c>
      <c r="T2" s="1207" t="s">
        <v>424</v>
      </c>
      <c r="U2" s="1261">
        <v>24141677</v>
      </c>
      <c r="V2" s="1261" t="s">
        <v>429</v>
      </c>
      <c r="W2" s="1207" t="s">
        <v>362</v>
      </c>
      <c r="X2" s="1267">
        <v>25373.834999999999</v>
      </c>
      <c r="Y2" s="1163" t="s">
        <v>426</v>
      </c>
      <c r="Z2" s="1264">
        <v>1</v>
      </c>
      <c r="AA2" s="1264">
        <v>1</v>
      </c>
      <c r="AB2" s="1067" t="s">
        <v>204</v>
      </c>
      <c r="AC2" s="1266"/>
      <c r="AD2" s="81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60" t="s">
        <v>428</v>
      </c>
      <c r="S3" s="1261">
        <v>3331562100</v>
      </c>
      <c r="T3" s="1207" t="s">
        <v>424</v>
      </c>
      <c r="U3" s="1261">
        <v>24141678</v>
      </c>
      <c r="V3" s="1261" t="s">
        <v>429</v>
      </c>
      <c r="W3" s="1207" t="s">
        <v>362</v>
      </c>
      <c r="X3" s="1267">
        <v>23997.627</v>
      </c>
      <c r="Y3" s="1163" t="s">
        <v>426</v>
      </c>
      <c r="Z3" s="1264">
        <v>1</v>
      </c>
      <c r="AA3" s="1264">
        <v>1</v>
      </c>
      <c r="AB3" s="1067" t="s">
        <v>204</v>
      </c>
      <c r="AC3" s="1266"/>
      <c r="AD3" s="81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52" t="s">
        <v>418</v>
      </c>
      <c r="S4" s="1209">
        <v>3331563248</v>
      </c>
      <c r="T4" s="1264" t="s">
        <v>439</v>
      </c>
      <c r="U4" s="1202">
        <v>24141797</v>
      </c>
      <c r="V4" s="1202" t="s">
        <v>440</v>
      </c>
      <c r="W4" s="1202" t="s">
        <v>434</v>
      </c>
      <c r="X4" s="1281">
        <f>20180+21486</f>
        <v>41666</v>
      </c>
      <c r="Y4" s="1312" t="s">
        <v>436</v>
      </c>
      <c r="Z4" s="1202">
        <v>1</v>
      </c>
      <c r="AA4" s="1202">
        <v>1</v>
      </c>
      <c r="AB4" s="1067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SUMPRODUCT(--ISNUMBER(MATCH(TRIM(W1:W321), {"JABODETABEK","JAWA TENGAH","JAWA TIMUR","LUAR PULAU"}, 0)), --(AC1:AC321=""))</f>
        <v>25</v>
      </c>
      <c r="C5" s="1303" cm="1">
        <f t="array" ref="C5">SUMPRODUCT(--(LOWER(TRIM(AB1:AB347))="masuk"), --(ISNUMBER(MATCH(TRIM(W1:W347), {"JABODETABEK","JAWA TENGAH","JAWA TIMUR","LUAR PULAU"}, 0))), --(LOWER(AC1:AC347)&lt;&gt;"add"))</f>
        <v>24</v>
      </c>
      <c r="D5" s="1304">
        <f>C5+-B5</f>
        <v>-1</v>
      </c>
      <c r="E5" s="734"/>
      <c r="F5" s="1306" cm="1">
        <f t="array" ref="F5">SUMPRODUCT(--(LOWER(AC1:AC347)="add"), --(ISNUMBER(MATCH(W1:W347, {"JABODETABEK","JAWA TENGAH","JAWA TIMUR","LUAR PULAU"}, 0))))</f>
        <v>22</v>
      </c>
      <c r="G5" s="1303" cm="1">
        <f t="array" ref="G5">SUMPRODUCT(--(LOWER(AB1:AB347)="masuk"), --(LOWER(AC1:AC347)="add"))</f>
        <v>20</v>
      </c>
      <c r="H5" s="1304">
        <f>G5+-F5</f>
        <v>-2</v>
      </c>
      <c r="I5" s="734"/>
      <c r="J5" s="1306" cm="1">
        <f t="array" ref="J5">SUMPRODUCT(--(ISNUMBER(SEARCH("next day",LOWER(W1:W347)))+ISNUMBER(SEARCH("nextday",LOWER(W1:W347)))&gt; 0))</f>
        <v>1</v>
      </c>
      <c r="K5" s="1303" cm="1">
        <f t="array" ref="K5">SUMPRODUCT(--(LOWER(AB1:AB347)="masuk"), --ISNUMBER(SEARCH("next day", LOWER(W1:W347))))</f>
        <v>1</v>
      </c>
      <c r="L5" s="1304">
        <f>K5+-J5</f>
        <v>0</v>
      </c>
      <c r="M5" s="734"/>
      <c r="N5" s="1306">
        <f>B5+F5+J5</f>
        <v>48</v>
      </c>
      <c r="O5" s="1303">
        <f>C5+G5+K5</f>
        <v>45</v>
      </c>
      <c r="P5" s="1304">
        <f>D5+H5+L5</f>
        <v>-3</v>
      </c>
      <c r="R5" s="1252" t="s">
        <v>418</v>
      </c>
      <c r="S5" s="1209">
        <v>3331563255</v>
      </c>
      <c r="T5" s="1264" t="s">
        <v>256</v>
      </c>
      <c r="U5" s="1202" t="s">
        <v>256</v>
      </c>
      <c r="V5" s="1202" t="s">
        <v>256</v>
      </c>
      <c r="W5" s="1202" t="s">
        <v>256</v>
      </c>
      <c r="X5" s="1203" t="s">
        <v>256</v>
      </c>
      <c r="Y5" s="1202" t="s">
        <v>256</v>
      </c>
      <c r="Z5" s="1202" t="s">
        <v>256</v>
      </c>
      <c r="AA5" s="1202" t="s">
        <v>256</v>
      </c>
      <c r="AB5" s="1202" t="s">
        <v>256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25</v>
      </c>
      <c r="C6" s="733">
        <f>SUM(C5)</f>
        <v>24</v>
      </c>
      <c r="D6" s="739">
        <f>SUM(D5)</f>
        <v>-1</v>
      </c>
      <c r="E6" s="734"/>
      <c r="F6" s="733">
        <f>SUM(F5)</f>
        <v>22</v>
      </c>
      <c r="G6" s="733">
        <f>SUM(G5)</f>
        <v>20</v>
      </c>
      <c r="H6" s="739">
        <f>SUM(H5)</f>
        <v>-2</v>
      </c>
      <c r="I6" s="733"/>
      <c r="J6" s="733">
        <f>SUM(J5)</f>
        <v>1</v>
      </c>
      <c r="K6" s="733">
        <f>SUM(K5)</f>
        <v>1</v>
      </c>
      <c r="L6" s="739">
        <f>SUM(L5)</f>
        <v>0</v>
      </c>
      <c r="M6" s="733"/>
      <c r="N6" s="760">
        <f>SUM(N5:N5)</f>
        <v>48</v>
      </c>
      <c r="O6" s="760">
        <f>SUM(O5:O5)</f>
        <v>45</v>
      </c>
      <c r="P6" s="761">
        <f>SUM(P5:P5)</f>
        <v>-3</v>
      </c>
      <c r="R6" s="1252" t="s">
        <v>418</v>
      </c>
      <c r="S6" s="1209">
        <v>3331563262</v>
      </c>
      <c r="T6" s="1264" t="s">
        <v>439</v>
      </c>
      <c r="U6" s="1202">
        <v>24141798</v>
      </c>
      <c r="V6" s="1202" t="s">
        <v>440</v>
      </c>
      <c r="W6" s="1202" t="s">
        <v>434</v>
      </c>
      <c r="X6" s="1203">
        <v>35222.324000000001</v>
      </c>
      <c r="Y6" s="1312" t="s">
        <v>436</v>
      </c>
      <c r="Z6" s="1202">
        <v>1</v>
      </c>
      <c r="AA6" s="1202">
        <v>1</v>
      </c>
      <c r="AB6" s="1067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418</v>
      </c>
      <c r="S7" s="1209">
        <v>3331563264</v>
      </c>
      <c r="T7" s="1264" t="s">
        <v>439</v>
      </c>
      <c r="U7" s="1202">
        <v>24141799</v>
      </c>
      <c r="V7" s="1202" t="s">
        <v>440</v>
      </c>
      <c r="W7" s="1202" t="s">
        <v>434</v>
      </c>
      <c r="X7" s="1203">
        <v>45242.838000000003</v>
      </c>
      <c r="Y7" s="1209" t="s">
        <v>436</v>
      </c>
      <c r="Z7" s="1202">
        <v>1</v>
      </c>
      <c r="AA7" s="1202">
        <v>1</v>
      </c>
      <c r="AB7" s="1067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21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172" t="s">
        <v>443</v>
      </c>
      <c r="S8" s="1163">
        <v>3331563052</v>
      </c>
      <c r="T8" s="1168"/>
      <c r="U8" s="1168">
        <v>24141790</v>
      </c>
      <c r="V8" s="1168" t="s">
        <v>430</v>
      </c>
      <c r="W8" s="1168" t="s">
        <v>205</v>
      </c>
      <c r="X8" s="1168">
        <f>12773.795+33861.96</f>
        <v>46635.754999999997</v>
      </c>
      <c r="Y8" s="1168" t="s">
        <v>197</v>
      </c>
      <c r="Z8" s="1202">
        <v>1</v>
      </c>
      <c r="AA8" s="1202">
        <v>1</v>
      </c>
      <c r="AB8" s="1067" t="s">
        <v>204</v>
      </c>
      <c r="AC8" s="240"/>
      <c r="AD8" s="81"/>
      <c r="AE8" s="44"/>
      <c r="AF8" s="44"/>
      <c r="AG8" s="44"/>
    </row>
    <row r="9" spans="1:33" ht="18">
      <c r="A9" s="763" t="str">
        <f>A2</f>
        <v>Realz update 22 OKT’25 jam 07.00</v>
      </c>
      <c r="B9" s="825"/>
      <c r="C9" s="825"/>
      <c r="D9" s="825"/>
      <c r="E9" s="734"/>
      <c r="F9" s="1525" t="str">
        <f>F2</f>
        <v>Tgl 21 OKT’25 diatas jam 15.00</v>
      </c>
      <c r="G9" s="1525"/>
      <c r="H9" s="1525"/>
      <c r="I9" s="826"/>
      <c r="J9" s="1525" t="str">
        <f>J2</f>
        <v>Tgl 21 OKT’25</v>
      </c>
      <c r="K9" s="1525"/>
      <c r="L9" s="1525"/>
      <c r="M9" s="734"/>
      <c r="N9" s="1526"/>
      <c r="O9" s="1526"/>
      <c r="P9" s="1526"/>
      <c r="R9" s="1172" t="s">
        <v>443</v>
      </c>
      <c r="S9" s="1163">
        <v>3331563054</v>
      </c>
      <c r="T9" s="1207" t="s">
        <v>256</v>
      </c>
      <c r="U9" s="1163" t="s">
        <v>256</v>
      </c>
      <c r="V9" s="1209" t="s">
        <v>256</v>
      </c>
      <c r="W9" s="1207" t="s">
        <v>256</v>
      </c>
      <c r="X9" s="1168" t="s">
        <v>256</v>
      </c>
      <c r="Y9" s="1163" t="s">
        <v>256</v>
      </c>
      <c r="Z9" s="1207" t="s">
        <v>256</v>
      </c>
      <c r="AA9" s="1207" t="s">
        <v>256</v>
      </c>
      <c r="AB9" s="1067" t="s">
        <v>256</v>
      </c>
      <c r="AC9" s="240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260" t="s">
        <v>443</v>
      </c>
      <c r="S10" s="1261">
        <v>3331563212</v>
      </c>
      <c r="T10" s="1207" t="s">
        <v>336</v>
      </c>
      <c r="U10" s="1261">
        <v>24141794</v>
      </c>
      <c r="V10" s="1261" t="s">
        <v>435</v>
      </c>
      <c r="W10" s="1168" t="s">
        <v>205</v>
      </c>
      <c r="X10" s="1267">
        <f>30137.496+10261.2</f>
        <v>40398.695999999996</v>
      </c>
      <c r="Y10" s="1163" t="s">
        <v>128</v>
      </c>
      <c r="Z10" s="1202">
        <v>1</v>
      </c>
      <c r="AA10" s="1202">
        <v>1</v>
      </c>
      <c r="AB10" s="1067" t="s">
        <v>204</v>
      </c>
      <c r="AC10" s="240"/>
      <c r="AD10" s="81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63" t="s">
        <v>443</v>
      </c>
      <c r="S11" s="1264">
        <v>3331563215</v>
      </c>
      <c r="T11" s="1264" t="s">
        <v>256</v>
      </c>
      <c r="U11" s="1264" t="s">
        <v>256</v>
      </c>
      <c r="V11" s="1264" t="s">
        <v>256</v>
      </c>
      <c r="W11" s="1264" t="s">
        <v>256</v>
      </c>
      <c r="X11" s="1269" t="s">
        <v>256</v>
      </c>
      <c r="Y11" s="1264" t="s">
        <v>256</v>
      </c>
      <c r="Z11" s="1264" t="s">
        <v>256</v>
      </c>
      <c r="AA11" s="1264" t="s">
        <v>256</v>
      </c>
      <c r="AB11" s="1067" t="s">
        <v>256</v>
      </c>
      <c r="AC11" s="1266"/>
      <c r="AD11" s="81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SUMPRODUCT(--(TRIM(LOWER(W1:W347))="jabodetabek"), --(LOWER(AC1:AC347)&lt;&gt;"add"))</f>
        <v>2</v>
      </c>
      <c r="C12" s="748" cm="1">
        <f t="array" ref="C12">SUMPRODUCT(--(LOWER(AB1:AB347)="masuk"), --(TRIM(LOWER(W1:W347))="jabodetabek"), --(LOWER(AC1:AC347)&lt;&gt;"add"))</f>
        <v>2</v>
      </c>
      <c r="D12" s="973">
        <f>C12+-B12</f>
        <v>0</v>
      </c>
      <c r="E12" s="734"/>
      <c r="F12" s="748" cm="1">
        <f t="array" ref="F12">SUMPRODUCT(--(LOWER(AC1:AC347)="add"), --(TRIM(LOWER(W1:W347))="jabodetabek"))</f>
        <v>11</v>
      </c>
      <c r="G12" s="747" cm="1">
        <f t="array" ref="G12">SUMPRODUCT(--(LOWER(AB1:AB347)="masuk"), --(LOWER(AC1:AC347)="add"), --(TRIM(LOWER(W1:W347))="jabodetabek"))</f>
        <v>11</v>
      </c>
      <c r="H12" s="740">
        <f>G12+-F12</f>
        <v>0</v>
      </c>
      <c r="I12" s="734"/>
      <c r="J12" s="748" cm="1">
        <f t="array" ref="J12">SUMPRODUCT(--(ISNUMBER(SEARCH("jabodetabek next day",LOWER(W1:W347)))+ISNUMBER(SEARCH("jabodetabek nextday",LOWER(W1:W347)))&gt; 0))</f>
        <v>1</v>
      </c>
      <c r="K12" s="747" cm="1">
        <f t="array" ref="K12">SUMPRODUCT(--(LOWER(AB1:AB347)="masuk"), --(LOWER(TRIM(W1:W347))="jabodetabek next day"))</f>
        <v>1</v>
      </c>
      <c r="L12" s="740">
        <f>K12+-J12</f>
        <v>0</v>
      </c>
      <c r="M12" s="734"/>
      <c r="N12" s="748">
        <f t="shared" ref="N12:P16" si="0">B12+F12+J12</f>
        <v>14</v>
      </c>
      <c r="O12" s="747">
        <f t="shared" si="0"/>
        <v>14</v>
      </c>
      <c r="P12" s="740">
        <f t="shared" si="0"/>
        <v>0</v>
      </c>
      <c r="R12" s="1263" t="s">
        <v>443</v>
      </c>
      <c r="S12" s="1264">
        <v>3331563218</v>
      </c>
      <c r="T12" s="1264" t="s">
        <v>457</v>
      </c>
      <c r="U12" s="1264">
        <v>24141795</v>
      </c>
      <c r="V12" s="1209" t="s">
        <v>435</v>
      </c>
      <c r="W12" s="1168" t="s">
        <v>205</v>
      </c>
      <c r="X12" s="1269">
        <v>42447.415000000001</v>
      </c>
      <c r="Y12" s="1163" t="s">
        <v>128</v>
      </c>
      <c r="Z12" s="1202">
        <v>1</v>
      </c>
      <c r="AA12" s="1202">
        <v>1</v>
      </c>
      <c r="AB12" s="1067" t="s">
        <v>204</v>
      </c>
      <c r="AC12" s="1266"/>
      <c r="AD12" s="81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SUMPRODUCT(--(TRIM(LOWER(W1:W347))="jawa tengah"), --(LOWER(AC1:AC347)&lt;&gt;"add"))</f>
        <v>0</v>
      </c>
      <c r="C13" s="750" cm="1">
        <f t="array" ref="C13">SUMPRODUCT(--(LOWER(AB1:AB347)="masuk"), --(TRIM(LOWER(W1:W347))="jawa tengah"), --(LOWER(AC1:AC347)&lt;&gt;"add"))</f>
        <v>0</v>
      </c>
      <c r="D13" s="846">
        <f>C13+-B13</f>
        <v>0</v>
      </c>
      <c r="E13" s="734"/>
      <c r="F13" s="751" cm="1">
        <f t="array" ref="F13">SUMPRODUCT(--(LOWER(AC1:AC347)="add"), --(TRIM(LOWER(W1:W347))="jawa tengah"))</f>
        <v>2</v>
      </c>
      <c r="G13" s="747" cm="1">
        <f t="array" ref="G13">SUMPRODUCT(--(LOWER(AB1:AB347)="masuk"), --(LOWER(AC1:AC347)="add"), --(TRIM(LOWER(W1:W347))="jawa tengah"))</f>
        <v>2</v>
      </c>
      <c r="H13" s="740">
        <f>G13+-F13</f>
        <v>0</v>
      </c>
      <c r="I13" s="734"/>
      <c r="J13" s="748" cm="1">
        <f t="array" ref="J13">SUMPRODUCT(--((LOWER(TRIM(W1:W347))="jawa tengah next day")+(LOWER(TRIM(W1:W347))="jawa tengah nextday")))</f>
        <v>0</v>
      </c>
      <c r="K13" s="747" cm="1">
        <f t="array" ref="K13">SUMPRODUCT(--(LOWER(AB1:AB347)="masuk"), --(LOWER(TRIM(W1:W347))="jawa tengah next day"))</f>
        <v>0</v>
      </c>
      <c r="L13" s="740">
        <f>K13+-J13</f>
        <v>0</v>
      </c>
      <c r="M13" s="734"/>
      <c r="N13" s="748">
        <f t="shared" si="0"/>
        <v>2</v>
      </c>
      <c r="O13" s="747">
        <f t="shared" si="0"/>
        <v>2</v>
      </c>
      <c r="P13" s="740">
        <f t="shared" si="0"/>
        <v>0</v>
      </c>
      <c r="R13" s="1264" t="s">
        <v>443</v>
      </c>
      <c r="S13" s="1264">
        <v>3331563558</v>
      </c>
      <c r="T13" s="1264" t="s">
        <v>836</v>
      </c>
      <c r="U13" s="1264">
        <v>24141816</v>
      </c>
      <c r="V13" s="1264" t="s">
        <v>173</v>
      </c>
      <c r="W13" s="1264" t="s">
        <v>205</v>
      </c>
      <c r="X13" s="1313">
        <f>4040.347+11965.782+17743.325+7056.608</f>
        <v>40806.061999999998</v>
      </c>
      <c r="Y13" s="1264" t="s">
        <v>128</v>
      </c>
      <c r="Z13" s="1264">
        <v>1</v>
      </c>
      <c r="AA13" s="1264">
        <v>1</v>
      </c>
      <c r="AB13" s="1067" t="s">
        <v>204</v>
      </c>
      <c r="AC13" s="1270"/>
      <c r="AD13" s="81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SUMPRODUCT(--(TRIM(LOWER(W1:W347))="jawa timur"), --(LOWER(AC1:AC347)&lt;&gt;"add"))</f>
        <v>11</v>
      </c>
      <c r="C14" s="750" cm="1">
        <f t="array" ref="C14">SUMPRODUCT(--(LOWER(AB1:AB347)="masuk"), --(TRIM(LOWER(W1:W347))="jawa timur"), --(LOWER(AC1:AC347)&lt;&gt;"add"))</f>
        <v>10</v>
      </c>
      <c r="D14" s="846">
        <f>C14+-B14</f>
        <v>-1</v>
      </c>
      <c r="E14" s="734"/>
      <c r="F14" s="750" cm="1">
        <f t="array" ref="F14">SUMPRODUCT(--(LOWER(AC1:AC347)="add"), --(TRIM(LOWER(W1:W347))="jawa timur"))</f>
        <v>9</v>
      </c>
      <c r="G14" s="747" cm="1">
        <f t="array" ref="G14">SUMPRODUCT(--(LOWER(AB1:AB347)="masuk"), --(LOWER(AC1:AC347)="add"), --(TRIM(LOWER(W1:W347))="jawa timur"))</f>
        <v>7</v>
      </c>
      <c r="H14" s="740">
        <f>G14+-F14</f>
        <v>-2</v>
      </c>
      <c r="I14" s="734"/>
      <c r="J14" s="748" cm="1">
        <f t="array" ref="J14">SUMPRODUCT(--((LOWER(TRIM(W1:W347))="jawa timur next day")+(LOWER(TRIM(W1:W347))="jawa timur nextday")))</f>
        <v>0</v>
      </c>
      <c r="K14" s="747" cm="1">
        <f t="array" ref="K14">SUMPRODUCT(--(LOWER(AB1:AB347)="masuk"), --(LOWER(TRIM(W1:W347))="jawa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17</v>
      </c>
      <c r="P14" s="740">
        <f t="shared" si="0"/>
        <v>-3</v>
      </c>
      <c r="R14" s="1264" t="s">
        <v>443</v>
      </c>
      <c r="S14" s="1264">
        <v>3331563559</v>
      </c>
      <c r="T14" s="1264" t="s">
        <v>256</v>
      </c>
      <c r="U14" s="1264" t="s">
        <v>256</v>
      </c>
      <c r="V14" s="1264" t="s">
        <v>256</v>
      </c>
      <c r="W14" s="1264" t="s">
        <v>256</v>
      </c>
      <c r="X14" s="1313" t="s">
        <v>256</v>
      </c>
      <c r="Y14" s="1264" t="s">
        <v>256</v>
      </c>
      <c r="Z14" s="1264" t="s">
        <v>256</v>
      </c>
      <c r="AA14" s="1264" t="s">
        <v>256</v>
      </c>
      <c r="AB14" s="1067" t="s">
        <v>256</v>
      </c>
      <c r="AC14" s="1270"/>
      <c r="AD14" s="81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SUMPRODUCT(--(TRIM(LOWER(W1:W347))="luar pulau"), --(LOWER(AC1:AC347)&lt;&gt;"add"))</f>
        <v>12</v>
      </c>
      <c r="C15" s="750" cm="1">
        <f t="array" ref="C15">SUMPRODUCT(--(LOWER(AB1:AB347)="masuk"), --(TRIM(LOWER(W1:W347))="luar pulau"), --(LOWER(AC1:AC347)&lt;&gt;"add"))</f>
        <v>12</v>
      </c>
      <c r="D15" s="846">
        <f>C15+-B15</f>
        <v>0</v>
      </c>
      <c r="E15" s="734"/>
      <c r="F15" s="748" cm="1">
        <f t="array" ref="F15">SUMPRODUCT(--(LOWER(AC1:AC347)="add"), --(TRIM(LOWER(W1:W347))="luar pulau"))</f>
        <v>0</v>
      </c>
      <c r="G15" s="747" cm="1">
        <f t="array" ref="G15">SUMPRODUCT(--(LOWER(AB1:AB347)="masuk"), --(LOWER(AC1:AC347)="add"), --(TRIM(LOWER(W1:W347))="luar pulau"))</f>
        <v>0</v>
      </c>
      <c r="H15" s="740">
        <f>G15+-F15</f>
        <v>0</v>
      </c>
      <c r="I15" s="734"/>
      <c r="J15" s="748" cm="1">
        <f t="array" ref="J15">SUMPRODUCT(--((LOWER(TRIM(W1:W347))="luar pulau next day")+(LOWER(TRIM(W1:W347))="luar pulau nextday")))</f>
        <v>0</v>
      </c>
      <c r="K15" s="747" cm="1">
        <f t="array" ref="K15">SUMPRODUCT(--(LOWER(AB1:AB347)="masuk"), --(LOWER(TRIM(W1:W347))="luar pulau next day"))</f>
        <v>0</v>
      </c>
      <c r="L15" s="740">
        <f>K15+-J15</f>
        <v>0</v>
      </c>
      <c r="M15" s="734"/>
      <c r="N15" s="748">
        <f t="shared" si="0"/>
        <v>12</v>
      </c>
      <c r="O15" s="747">
        <f t="shared" si="0"/>
        <v>12</v>
      </c>
      <c r="P15" s="740">
        <f t="shared" si="0"/>
        <v>0</v>
      </c>
      <c r="R15" s="1264" t="s">
        <v>443</v>
      </c>
      <c r="S15" s="1264">
        <v>3331563562</v>
      </c>
      <c r="T15" s="1264" t="s">
        <v>256</v>
      </c>
      <c r="U15" s="1264" t="s">
        <v>256</v>
      </c>
      <c r="V15" s="1264" t="s">
        <v>256</v>
      </c>
      <c r="W15" s="1264" t="s">
        <v>256</v>
      </c>
      <c r="X15" s="1313" t="s">
        <v>256</v>
      </c>
      <c r="Y15" s="1264" t="s">
        <v>256</v>
      </c>
      <c r="Z15" s="1264" t="s">
        <v>256</v>
      </c>
      <c r="AA15" s="1264" t="s">
        <v>256</v>
      </c>
      <c r="AB15" s="1264" t="s">
        <v>256</v>
      </c>
      <c r="AC15" s="1240"/>
      <c r="AD15" s="81"/>
      <c r="AE15" s="44"/>
      <c r="AF15" s="44"/>
      <c r="AG15" s="44"/>
    </row>
    <row r="16" spans="1:33" ht="17.399999999999999">
      <c r="A16" s="827"/>
      <c r="B16" s="733">
        <f>SUM(B12:B15)</f>
        <v>25</v>
      </c>
      <c r="C16" s="733">
        <f>SUM(C12:C15)</f>
        <v>24</v>
      </c>
      <c r="D16" s="739">
        <f>SUM(D12:D15)</f>
        <v>-1</v>
      </c>
      <c r="E16" s="734"/>
      <c r="F16" s="733">
        <f>SUM(F12:F15)</f>
        <v>22</v>
      </c>
      <c r="G16" s="733">
        <f>SUM(G12:G15)</f>
        <v>20</v>
      </c>
      <c r="H16" s="739">
        <f>SUM(H12:H15)</f>
        <v>-2</v>
      </c>
      <c r="I16" s="734"/>
      <c r="J16" s="733">
        <f>SUM(J12:J15)</f>
        <v>1</v>
      </c>
      <c r="K16" s="733">
        <f>SUM(K12:K15)</f>
        <v>1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45</v>
      </c>
      <c r="P16" s="761">
        <f t="shared" si="0"/>
        <v>-3</v>
      </c>
      <c r="R16" s="1264" t="s">
        <v>443</v>
      </c>
      <c r="S16" s="1264">
        <v>3331563545</v>
      </c>
      <c r="T16" s="1264" t="s">
        <v>256</v>
      </c>
      <c r="U16" s="1264" t="s">
        <v>256</v>
      </c>
      <c r="V16" s="1264" t="s">
        <v>256</v>
      </c>
      <c r="W16" s="1264" t="s">
        <v>256</v>
      </c>
      <c r="X16" s="1313" t="s">
        <v>256</v>
      </c>
      <c r="Y16" s="1264" t="s">
        <v>256</v>
      </c>
      <c r="Z16" s="1264" t="s">
        <v>256</v>
      </c>
      <c r="AA16" s="1264" t="s">
        <v>256</v>
      </c>
      <c r="AB16" s="1264" t="s">
        <v>256</v>
      </c>
      <c r="AC16" s="1240"/>
      <c r="AD16" s="81"/>
      <c r="AE16" s="44"/>
      <c r="AF16" s="44"/>
      <c r="AG16" s="44"/>
    </row>
    <row r="17" spans="1:33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9"/>
      <c r="M17" s="734"/>
      <c r="N17" s="1021"/>
      <c r="O17" s="1021"/>
      <c r="P17" s="1022"/>
      <c r="R17" s="1264" t="s">
        <v>443</v>
      </c>
      <c r="S17" s="1264">
        <v>3331563560</v>
      </c>
      <c r="T17" s="1264" t="s">
        <v>27</v>
      </c>
      <c r="U17" s="1264">
        <v>24141817</v>
      </c>
      <c r="V17" s="1264" t="s">
        <v>413</v>
      </c>
      <c r="W17" s="1264" t="s">
        <v>205</v>
      </c>
      <c r="X17" s="1313">
        <f>22302.014+3723.886</f>
        <v>26025.899999999998</v>
      </c>
      <c r="Y17" s="1264" t="s">
        <v>200</v>
      </c>
      <c r="Z17" s="1264">
        <v>1</v>
      </c>
      <c r="AA17" s="1264">
        <v>1</v>
      </c>
      <c r="AB17" s="1067" t="s">
        <v>204</v>
      </c>
      <c r="AC17" s="1271"/>
      <c r="AD17" s="81"/>
      <c r="AE17" s="44"/>
      <c r="AF17" s="44"/>
      <c r="AG17" s="44"/>
    </row>
    <row r="18" spans="1:33" ht="17.399999999999999">
      <c r="A18" s="827"/>
      <c r="B18" s="733"/>
      <c r="C18" s="733"/>
      <c r="D18" s="739"/>
      <c r="E18" s="734"/>
      <c r="F18" s="733"/>
      <c r="G18" s="733"/>
      <c r="H18" s="739"/>
      <c r="I18" s="734"/>
      <c r="J18" s="733"/>
      <c r="K18" s="733"/>
      <c r="L18" s="739"/>
      <c r="M18" s="734"/>
      <c r="N18" s="1021"/>
      <c r="O18" s="1021"/>
      <c r="P18" s="1022"/>
      <c r="R18" s="1264" t="s">
        <v>837</v>
      </c>
      <c r="S18" s="1264">
        <v>3331563563</v>
      </c>
      <c r="T18" s="1264" t="s">
        <v>256</v>
      </c>
      <c r="U18" s="1264" t="s">
        <v>256</v>
      </c>
      <c r="V18" s="1264" t="s">
        <v>256</v>
      </c>
      <c r="W18" s="1264" t="s">
        <v>256</v>
      </c>
      <c r="X18" s="1313" t="s">
        <v>256</v>
      </c>
      <c r="Y18" s="1264" t="s">
        <v>256</v>
      </c>
      <c r="Z18" s="1264" t="s">
        <v>256</v>
      </c>
      <c r="AA18" s="1209" t="s">
        <v>256</v>
      </c>
      <c r="AB18" s="1104" t="s">
        <v>256</v>
      </c>
      <c r="AC18" s="1271"/>
      <c r="AD18" s="81"/>
      <c r="AE18" s="44"/>
      <c r="AF18" s="44"/>
      <c r="AG18" s="44"/>
    </row>
    <row r="19" spans="1:33" ht="17.399999999999999">
      <c r="A19" s="827"/>
      <c r="B19" s="733"/>
      <c r="C19" s="733"/>
      <c r="D19" s="739"/>
      <c r="E19" s="734"/>
      <c r="F19" s="733"/>
      <c r="G19" s="733"/>
      <c r="H19" s="739"/>
      <c r="I19" s="734"/>
      <c r="J19" s="733"/>
      <c r="K19" s="733"/>
      <c r="L19" s="733"/>
      <c r="M19" s="734"/>
      <c r="O19" s="1021"/>
      <c r="P19" s="1022"/>
      <c r="R19" s="1252" t="s">
        <v>443</v>
      </c>
      <c r="S19" s="1209">
        <v>3331563568</v>
      </c>
      <c r="T19" s="1264" t="s">
        <v>336</v>
      </c>
      <c r="U19" s="1209">
        <v>24141818</v>
      </c>
      <c r="V19" s="1209" t="s">
        <v>529</v>
      </c>
      <c r="W19" s="1209" t="s">
        <v>434</v>
      </c>
      <c r="X19" s="1281">
        <v>38711.093999999997</v>
      </c>
      <c r="Y19" s="1209" t="s">
        <v>128</v>
      </c>
      <c r="Z19" s="1264">
        <v>1</v>
      </c>
      <c r="AA19" s="1264">
        <v>1</v>
      </c>
      <c r="AB19" s="1067" t="s">
        <v>204</v>
      </c>
      <c r="AC19" s="1271"/>
      <c r="AD19" s="81"/>
      <c r="AE19" s="44"/>
      <c r="AF19" s="44"/>
      <c r="AG19" s="44"/>
    </row>
    <row r="20" spans="1:33" ht="17.399999999999999">
      <c r="A20" s="1520" t="s">
        <v>434</v>
      </c>
      <c r="B20" s="1522" t="s">
        <v>415</v>
      </c>
      <c r="C20" s="1523"/>
      <c r="D20" s="1524"/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252" t="s">
        <v>452</v>
      </c>
      <c r="S20" s="1209">
        <v>3331563569</v>
      </c>
      <c r="T20" s="1264" t="s">
        <v>336</v>
      </c>
      <c r="U20" s="1209">
        <v>24141819</v>
      </c>
      <c r="V20" s="1209" t="s">
        <v>529</v>
      </c>
      <c r="W20" s="1209" t="s">
        <v>434</v>
      </c>
      <c r="X20" s="1281">
        <f>23122.734+18186.42</f>
        <v>41309.153999999995</v>
      </c>
      <c r="Y20" s="1209" t="s">
        <v>128</v>
      </c>
      <c r="Z20" s="1264">
        <v>1</v>
      </c>
      <c r="AA20" s="1264">
        <v>1</v>
      </c>
      <c r="AB20" s="1067" t="s">
        <v>204</v>
      </c>
      <c r="AC20" s="1271"/>
      <c r="AD20" s="81"/>
      <c r="AE20" s="44"/>
      <c r="AF20" s="44"/>
      <c r="AG20" s="44"/>
    </row>
    <row r="21" spans="1:33" ht="17.399999999999999">
      <c r="A21" s="1521"/>
      <c r="B21" s="966" t="s">
        <v>419</v>
      </c>
      <c r="C21" s="966" t="s">
        <v>420</v>
      </c>
      <c r="D21" s="967" t="s">
        <v>421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263" t="s">
        <v>443</v>
      </c>
      <c r="S21" s="1264">
        <v>3331563575</v>
      </c>
      <c r="T21" s="1264" t="s">
        <v>256</v>
      </c>
      <c r="U21" s="1264" t="s">
        <v>256</v>
      </c>
      <c r="V21" s="1209" t="s">
        <v>256</v>
      </c>
      <c r="W21" s="1264" t="s">
        <v>256</v>
      </c>
      <c r="X21" s="1269" t="s">
        <v>256</v>
      </c>
      <c r="Y21" s="1264" t="s">
        <v>256</v>
      </c>
      <c r="Z21" s="1264" t="s">
        <v>256</v>
      </c>
      <c r="AA21" s="1264" t="s">
        <v>256</v>
      </c>
      <c r="AB21" s="1067" t="s">
        <v>256</v>
      </c>
      <c r="AC21" s="1240"/>
      <c r="AD21" s="81"/>
      <c r="AE21" s="44"/>
      <c r="AF21" s="44"/>
      <c r="AG21" s="44"/>
    </row>
    <row r="22" spans="1:33" ht="18">
      <c r="A22" s="968" t="s">
        <v>427</v>
      </c>
      <c r="B22" s="970" cm="1">
        <f t="array" ref="B22">SUMPRODUCT(--((LOWER(TRIM($W$2:$W$354))="ambil sendiri")+(LOWER(TRIM($W$2:$W$354))="cokot sorangan")))</f>
        <v>8</v>
      </c>
      <c r="C22" s="969" cm="1">
        <f t="array" ref="C22">SUMPRODUCT(--(LOWER(AB2:AB380)="masuk"), --((LOWER(TRIM($W$2:$W$380))="cokot sorangan") + (LOWER(TRIM(W2:W380))="ambil sendiri")))</f>
        <v>7</v>
      </c>
      <c r="D22" s="741">
        <f>C22+-B22</f>
        <v>-1</v>
      </c>
      <c r="E22" s="734"/>
      <c r="F22" s="733"/>
      <c r="G22" s="733"/>
      <c r="H22" s="739"/>
      <c r="I22" s="734"/>
      <c r="J22" s="733"/>
      <c r="K22" s="733"/>
      <c r="L22" s="733"/>
      <c r="M22" s="734"/>
      <c r="N22" s="1021"/>
      <c r="O22" s="1021"/>
      <c r="P22" s="1022"/>
      <c r="R22" s="1252" t="s">
        <v>443</v>
      </c>
      <c r="S22" s="1309">
        <v>3331563576</v>
      </c>
      <c r="T22" s="1264" t="s">
        <v>336</v>
      </c>
      <c r="U22" s="1264">
        <v>24141820</v>
      </c>
      <c r="V22" s="1264" t="s">
        <v>529</v>
      </c>
      <c r="W22" s="1209" t="s">
        <v>434</v>
      </c>
      <c r="X22" s="1313">
        <f>20944.166+23815.55</f>
        <v>44759.716</v>
      </c>
      <c r="Y22" s="1209" t="s">
        <v>128</v>
      </c>
      <c r="Z22" s="1264">
        <v>1</v>
      </c>
      <c r="AA22" s="1264">
        <v>1</v>
      </c>
      <c r="AB22" s="1067" t="s">
        <v>204</v>
      </c>
      <c r="AC22" s="1271"/>
      <c r="AD22" s="81"/>
      <c r="AE22" s="44"/>
      <c r="AF22" s="44"/>
      <c r="AG22" s="44"/>
    </row>
    <row r="23" spans="1:33" ht="17.399999999999999">
      <c r="A23" s="993"/>
      <c r="B23" s="1021"/>
      <c r="C23" s="1021"/>
      <c r="D23" s="1022"/>
      <c r="E23" s="734"/>
      <c r="F23" s="733"/>
      <c r="G23" s="733"/>
      <c r="H23" s="739"/>
      <c r="I23" s="734"/>
      <c r="J23" s="733"/>
      <c r="K23" s="733"/>
      <c r="L23" s="733"/>
      <c r="M23" s="734"/>
      <c r="N23" s="1021"/>
      <c r="O23" s="1021"/>
      <c r="P23" s="1022"/>
      <c r="R23" s="1252" t="s">
        <v>443</v>
      </c>
      <c r="S23" s="1209">
        <v>3331563580</v>
      </c>
      <c r="T23" s="1264" t="s">
        <v>256</v>
      </c>
      <c r="U23" s="1209" t="s">
        <v>256</v>
      </c>
      <c r="V23" s="1264" t="s">
        <v>256</v>
      </c>
      <c r="W23" s="1264" t="s">
        <v>256</v>
      </c>
      <c r="X23" s="1281" t="s">
        <v>256</v>
      </c>
      <c r="Y23" s="1264" t="s">
        <v>256</v>
      </c>
      <c r="Z23" s="1264" t="s">
        <v>256</v>
      </c>
      <c r="AA23" s="1264" t="s">
        <v>256</v>
      </c>
      <c r="AB23" s="1067" t="s">
        <v>256</v>
      </c>
      <c r="AC23" s="1271"/>
      <c r="AD23" s="81"/>
      <c r="AE23" s="44"/>
      <c r="AF23" s="44"/>
      <c r="AG23" s="44"/>
    </row>
    <row r="24" spans="1:33" ht="17.399999999999999">
      <c r="A24" s="993"/>
      <c r="B24" s="1021"/>
      <c r="C24" s="1021"/>
      <c r="D24" s="1022"/>
      <c r="E24" s="734"/>
      <c r="F24" s="733"/>
      <c r="G24" s="733"/>
      <c r="H24" s="739"/>
      <c r="I24" s="734"/>
      <c r="J24" s="733"/>
      <c r="K24" s="733"/>
      <c r="L24" s="733"/>
      <c r="M24" s="734"/>
      <c r="N24" s="1021"/>
      <c r="O24" s="1021"/>
      <c r="P24" s="1022"/>
      <c r="R24" s="1341" t="s">
        <v>443</v>
      </c>
      <c r="S24" s="1342">
        <v>3331563591</v>
      </c>
      <c r="T24" s="1343" t="s">
        <v>336</v>
      </c>
      <c r="U24" s="1342">
        <v>24141821</v>
      </c>
      <c r="V24" s="1343" t="s">
        <v>529</v>
      </c>
      <c r="W24" s="1342" t="s">
        <v>434</v>
      </c>
      <c r="X24" s="1347">
        <f>4214.637+29373.439+4214.637+3117.672</f>
        <v>40920.385000000002</v>
      </c>
      <c r="Y24" s="1342" t="s">
        <v>128</v>
      </c>
      <c r="Z24" s="1343">
        <v>1</v>
      </c>
      <c r="AA24" s="1343">
        <v>1</v>
      </c>
      <c r="AB24" s="1348" t="s">
        <v>207</v>
      </c>
      <c r="AC24" s="1271"/>
      <c r="AD24" s="81"/>
      <c r="AE24" s="44"/>
      <c r="AF24" s="44"/>
      <c r="AG24" s="44"/>
    </row>
    <row r="25" spans="1:33" ht="17.399999999999999">
      <c r="A25" s="993"/>
      <c r="B25" s="1021"/>
      <c r="C25" s="1021"/>
      <c r="D25" s="1022"/>
      <c r="E25" s="734"/>
      <c r="F25" s="733"/>
      <c r="G25" s="733"/>
      <c r="H25" s="739"/>
      <c r="I25" s="734"/>
      <c r="J25" s="733"/>
      <c r="K25" s="733"/>
      <c r="L25" s="733"/>
      <c r="M25" s="734"/>
      <c r="N25" s="1021"/>
      <c r="O25" s="1021"/>
      <c r="P25" s="1022"/>
      <c r="R25" s="1349" t="s">
        <v>443</v>
      </c>
      <c r="S25" s="1344">
        <v>3331563594</v>
      </c>
      <c r="T25" s="1343" t="s">
        <v>256</v>
      </c>
      <c r="U25" s="1344" t="s">
        <v>256</v>
      </c>
      <c r="V25" s="1344" t="s">
        <v>256</v>
      </c>
      <c r="W25" s="1344" t="s">
        <v>256</v>
      </c>
      <c r="X25" s="1350" t="s">
        <v>256</v>
      </c>
      <c r="Y25" s="1344" t="s">
        <v>256</v>
      </c>
      <c r="Z25" s="1344" t="s">
        <v>256</v>
      </c>
      <c r="AA25" s="1344" t="s">
        <v>256</v>
      </c>
      <c r="AB25" s="1344" t="s">
        <v>256</v>
      </c>
      <c r="AC25" s="1192"/>
      <c r="AD25" s="81"/>
      <c r="AE25" s="44"/>
      <c r="AF25" s="44"/>
      <c r="AG25" s="44"/>
    </row>
    <row r="26" spans="1:33" ht="17.399999999999999">
      <c r="A26" s="993"/>
      <c r="B26" s="1021"/>
      <c r="C26" s="1021"/>
      <c r="D26" s="1022"/>
      <c r="E26" s="734"/>
      <c r="F26" s="733"/>
      <c r="G26" s="733"/>
      <c r="H26" s="739"/>
      <c r="I26" s="734"/>
      <c r="J26" s="733"/>
      <c r="K26" s="733"/>
      <c r="L26" s="733"/>
      <c r="M26" s="734"/>
      <c r="N26" s="1021"/>
      <c r="O26" s="1021"/>
      <c r="P26" s="1022"/>
      <c r="R26" s="1341" t="s">
        <v>443</v>
      </c>
      <c r="S26" s="1342">
        <v>3331563596</v>
      </c>
      <c r="T26" s="1343" t="s">
        <v>256</v>
      </c>
      <c r="U26" s="1344" t="s">
        <v>256</v>
      </c>
      <c r="V26" s="1344" t="s">
        <v>256</v>
      </c>
      <c r="W26" s="1344" t="s">
        <v>256</v>
      </c>
      <c r="X26" s="1350" t="s">
        <v>256</v>
      </c>
      <c r="Y26" s="1344" t="s">
        <v>256</v>
      </c>
      <c r="Z26" s="1344" t="s">
        <v>256</v>
      </c>
      <c r="AA26" s="1344" t="s">
        <v>256</v>
      </c>
      <c r="AB26" s="1344" t="s">
        <v>256</v>
      </c>
      <c r="AC26" s="1271"/>
      <c r="AD26" s="81"/>
      <c r="AE26" s="44"/>
      <c r="AF26" s="44"/>
      <c r="AG26" s="44"/>
    </row>
    <row r="27" spans="1:33" ht="17.399999999999999">
      <c r="A27" s="993"/>
      <c r="B27" s="1021"/>
      <c r="C27" s="1021"/>
      <c r="D27" s="1022"/>
      <c r="E27" s="734"/>
      <c r="F27" s="733"/>
      <c r="G27" s="733"/>
      <c r="H27" s="739"/>
      <c r="I27" s="734"/>
      <c r="J27" s="733"/>
      <c r="K27" s="733"/>
      <c r="L27" s="733"/>
      <c r="M27" s="734"/>
      <c r="N27" s="1021"/>
      <c r="O27" s="1021"/>
      <c r="P27" s="1022"/>
      <c r="R27" s="1341" t="s">
        <v>794</v>
      </c>
      <c r="S27" s="1342">
        <v>3331564035</v>
      </c>
      <c r="T27" s="1343" t="s">
        <v>256</v>
      </c>
      <c r="U27" s="1344" t="s">
        <v>256</v>
      </c>
      <c r="V27" s="1344" t="s">
        <v>256</v>
      </c>
      <c r="W27" s="1344" t="s">
        <v>256</v>
      </c>
      <c r="X27" s="1350" t="s">
        <v>256</v>
      </c>
      <c r="Y27" s="1344" t="s">
        <v>256</v>
      </c>
      <c r="Z27" s="1344" t="s">
        <v>256</v>
      </c>
      <c r="AA27" s="1344" t="s">
        <v>256</v>
      </c>
      <c r="AB27" s="1344" t="s">
        <v>256</v>
      </c>
      <c r="AC27" s="1271"/>
      <c r="AD27" s="81"/>
      <c r="AE27" s="44"/>
      <c r="AF27" s="44"/>
      <c r="AG27" s="44"/>
    </row>
    <row r="28" spans="1:33" ht="17.399999999999999">
      <c r="A28" s="993"/>
      <c r="B28" s="1021"/>
      <c r="C28" s="1021"/>
      <c r="D28" s="1022"/>
      <c r="E28" s="734"/>
      <c r="F28" s="733"/>
      <c r="G28" s="733"/>
      <c r="H28" s="739"/>
      <c r="I28" s="734"/>
      <c r="J28" s="733"/>
      <c r="K28" s="733"/>
      <c r="L28" s="733"/>
      <c r="M28" s="734"/>
      <c r="N28" s="1021"/>
      <c r="O28" s="1021"/>
      <c r="P28" s="1022"/>
      <c r="R28" s="1252" t="s">
        <v>443</v>
      </c>
      <c r="S28" s="1209">
        <v>3331563601</v>
      </c>
      <c r="T28" s="1264" t="s">
        <v>336</v>
      </c>
      <c r="U28" s="1202">
        <v>24141822</v>
      </c>
      <c r="V28" s="1264" t="s">
        <v>529</v>
      </c>
      <c r="W28" s="1209" t="s">
        <v>434</v>
      </c>
      <c r="X28" s="1281">
        <f>24986.776+4147.235+4157.235+7621.21</f>
        <v>40912.455999999998</v>
      </c>
      <c r="Y28" s="1209" t="s">
        <v>128</v>
      </c>
      <c r="Z28" s="1264">
        <v>1</v>
      </c>
      <c r="AA28" s="1264">
        <v>1</v>
      </c>
      <c r="AB28" s="1067" t="s">
        <v>204</v>
      </c>
      <c r="AC28" s="1271"/>
      <c r="AD28" s="81"/>
      <c r="AE28" s="44"/>
      <c r="AF28" s="44"/>
      <c r="AG28" s="44"/>
    </row>
    <row r="29" spans="1:33" ht="17.399999999999999">
      <c r="A29" s="993"/>
      <c r="B29" s="1021"/>
      <c r="C29" s="1021"/>
      <c r="D29" s="1022"/>
      <c r="E29" s="734"/>
      <c r="F29" s="733"/>
      <c r="G29" s="733"/>
      <c r="H29" s="739"/>
      <c r="I29" s="734"/>
      <c r="J29" s="733"/>
      <c r="K29" s="733"/>
      <c r="L29" s="733"/>
      <c r="M29" s="734"/>
      <c r="N29" s="1021"/>
      <c r="O29" s="1021"/>
      <c r="P29" s="1022"/>
      <c r="R29" s="1252" t="s">
        <v>443</v>
      </c>
      <c r="S29" s="1209">
        <v>3331563602</v>
      </c>
      <c r="T29" s="1264" t="s">
        <v>256</v>
      </c>
      <c r="U29" s="1202" t="s">
        <v>256</v>
      </c>
      <c r="V29" s="1202" t="s">
        <v>256</v>
      </c>
      <c r="W29" s="1202" t="s">
        <v>256</v>
      </c>
      <c r="X29" s="1203" t="s">
        <v>256</v>
      </c>
      <c r="Y29" s="1202" t="s">
        <v>256</v>
      </c>
      <c r="Z29" s="1202" t="s">
        <v>256</v>
      </c>
      <c r="AA29" s="1202" t="s">
        <v>256</v>
      </c>
      <c r="AB29" s="1202" t="s">
        <v>256</v>
      </c>
      <c r="AC29" s="1271"/>
      <c r="AD29" s="81"/>
      <c r="AE29" s="44"/>
      <c r="AF29" s="44"/>
      <c r="AG29" s="44"/>
    </row>
    <row r="30" spans="1:33" ht="17.399999999999999">
      <c r="A30" s="993"/>
      <c r="B30" s="1021"/>
      <c r="C30" s="1021"/>
      <c r="D30" s="1022"/>
      <c r="E30" s="734"/>
      <c r="F30" s="733"/>
      <c r="G30" s="733"/>
      <c r="H30" s="739"/>
      <c r="I30" s="734"/>
      <c r="J30" s="733"/>
      <c r="K30" s="733"/>
      <c r="L30" s="733"/>
      <c r="M30" s="734"/>
      <c r="N30" s="1021"/>
      <c r="O30" s="1021"/>
      <c r="P30" s="1022"/>
      <c r="R30" s="1252" t="s">
        <v>443</v>
      </c>
      <c r="S30" s="1209">
        <v>3331563605</v>
      </c>
      <c r="T30" s="1264" t="s">
        <v>256</v>
      </c>
      <c r="U30" s="1202" t="s">
        <v>256</v>
      </c>
      <c r="V30" s="1202" t="s">
        <v>256</v>
      </c>
      <c r="W30" s="1202" t="s">
        <v>256</v>
      </c>
      <c r="X30" s="1203" t="s">
        <v>256</v>
      </c>
      <c r="Y30" s="1312" t="s">
        <v>256</v>
      </c>
      <c r="Z30" s="1202" t="s">
        <v>256</v>
      </c>
      <c r="AA30" s="1202" t="s">
        <v>256</v>
      </c>
      <c r="AB30" s="1067" t="s">
        <v>256</v>
      </c>
      <c r="AC30" s="1271"/>
      <c r="AD30" s="81"/>
      <c r="AE30" s="44"/>
      <c r="AF30" s="44"/>
      <c r="AG30" s="44"/>
    </row>
    <row r="31" spans="1:33" ht="17.399999999999999">
      <c r="A31" s="993"/>
      <c r="B31" s="1021"/>
      <c r="C31" s="1021"/>
      <c r="D31" s="1022"/>
      <c r="E31" s="734"/>
      <c r="F31" s="733"/>
      <c r="G31" s="733"/>
      <c r="H31" s="739"/>
      <c r="I31" s="734"/>
      <c r="J31" s="733"/>
      <c r="K31" s="733"/>
      <c r="L31" s="733"/>
      <c r="M31" s="734"/>
      <c r="N31" s="1021"/>
      <c r="O31" s="1021"/>
      <c r="P31" s="1022"/>
      <c r="R31" s="1252" t="s">
        <v>443</v>
      </c>
      <c r="S31" s="1209">
        <v>3331563610</v>
      </c>
      <c r="T31" s="1264" t="s">
        <v>256</v>
      </c>
      <c r="U31" s="1202" t="s">
        <v>256</v>
      </c>
      <c r="V31" s="1202" t="s">
        <v>256</v>
      </c>
      <c r="W31" s="1202" t="s">
        <v>256</v>
      </c>
      <c r="X31" s="1203" t="s">
        <v>256</v>
      </c>
      <c r="Y31" s="1312" t="s">
        <v>256</v>
      </c>
      <c r="Z31" s="1202" t="s">
        <v>256</v>
      </c>
      <c r="AA31" s="1202" t="s">
        <v>256</v>
      </c>
      <c r="AB31" s="1067" t="s">
        <v>256</v>
      </c>
      <c r="AC31" s="1271"/>
      <c r="AD31" s="81"/>
      <c r="AE31" s="44"/>
      <c r="AF31" s="44"/>
      <c r="AG31" s="44"/>
    </row>
    <row r="32" spans="1:33" ht="17.399999999999999">
      <c r="A32" s="993"/>
      <c r="B32" s="1021"/>
      <c r="C32" s="1021"/>
      <c r="D32" s="1022"/>
      <c r="E32" s="734"/>
      <c r="F32" s="733"/>
      <c r="G32" s="733"/>
      <c r="H32" s="739"/>
      <c r="I32" s="734"/>
      <c r="J32" s="733"/>
      <c r="K32" s="733"/>
      <c r="L32" s="733"/>
      <c r="M32" s="734"/>
      <c r="N32" s="1021"/>
      <c r="O32" s="1021"/>
      <c r="P32" s="1022"/>
      <c r="R32" s="1252" t="s">
        <v>443</v>
      </c>
      <c r="S32" s="1209">
        <v>3331563603</v>
      </c>
      <c r="T32" s="1264" t="s">
        <v>152</v>
      </c>
      <c r="U32" s="1202">
        <v>24141824</v>
      </c>
      <c r="V32" s="1202" t="s">
        <v>430</v>
      </c>
      <c r="W32" s="1202" t="s">
        <v>205</v>
      </c>
      <c r="X32" s="1203">
        <f>8056.08+7274.568+9135.486+10560.485</f>
        <v>35026.619000000006</v>
      </c>
      <c r="Y32" s="1202" t="s">
        <v>128</v>
      </c>
      <c r="Z32" s="1202">
        <v>1</v>
      </c>
      <c r="AA32" s="1202">
        <v>1</v>
      </c>
      <c r="AB32" s="1067" t="s">
        <v>204</v>
      </c>
      <c r="AC32" s="1271"/>
      <c r="AD32" s="81"/>
      <c r="AE32" s="44"/>
      <c r="AF32" s="44"/>
      <c r="AG32" s="44"/>
    </row>
    <row r="33" spans="1:33" ht="17.399999999999999">
      <c r="A33" s="993"/>
      <c r="B33" s="1021"/>
      <c r="C33" s="1021"/>
      <c r="D33" s="1022"/>
      <c r="E33" s="734"/>
      <c r="F33" s="733"/>
      <c r="G33" s="733"/>
      <c r="H33" s="739"/>
      <c r="I33" s="734"/>
      <c r="J33" s="733"/>
      <c r="K33" s="733"/>
      <c r="L33" s="733"/>
      <c r="M33" s="734"/>
      <c r="N33" s="1021"/>
      <c r="O33" s="1021"/>
      <c r="P33" s="1022"/>
      <c r="R33" s="1252" t="s">
        <v>443</v>
      </c>
      <c r="S33" s="1209">
        <v>3331563609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71"/>
      <c r="AD33" s="81"/>
      <c r="AE33" s="44"/>
      <c r="AF33" s="44"/>
      <c r="AG33" s="44"/>
    </row>
    <row r="34" spans="1:33" ht="17.399999999999999">
      <c r="A34" s="993"/>
      <c r="B34" s="1021"/>
      <c r="C34" s="1021"/>
      <c r="D34" s="1022"/>
      <c r="E34" s="734"/>
      <c r="F34" s="733"/>
      <c r="G34" s="733"/>
      <c r="H34" s="739"/>
      <c r="I34" s="734"/>
      <c r="J34" s="733"/>
      <c r="K34" s="733"/>
      <c r="L34" s="733"/>
      <c r="M34" s="734"/>
      <c r="N34" s="1021"/>
      <c r="O34" s="1021"/>
      <c r="P34" s="1022"/>
      <c r="R34" s="1252" t="s">
        <v>810</v>
      </c>
      <c r="S34" s="1209">
        <v>3331563612</v>
      </c>
      <c r="T34" s="1264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067" t="s">
        <v>256</v>
      </c>
      <c r="AC34" s="1271"/>
      <c r="AD34" s="81"/>
      <c r="AE34" s="44"/>
      <c r="AF34" s="44"/>
      <c r="AG34" s="44"/>
    </row>
    <row r="35" spans="1:33" ht="17.399999999999999">
      <c r="A35" s="993"/>
      <c r="B35" s="1021"/>
      <c r="C35" s="1021"/>
      <c r="D35" s="1022"/>
      <c r="E35" s="734"/>
      <c r="F35" s="733"/>
      <c r="G35" s="733"/>
      <c r="H35" s="739"/>
      <c r="I35" s="734"/>
      <c r="J35" s="733"/>
      <c r="K35" s="733"/>
      <c r="L35" s="733"/>
      <c r="M35" s="734"/>
      <c r="N35" s="1021"/>
      <c r="O35" s="1021"/>
      <c r="P35" s="1022"/>
      <c r="R35" s="1252" t="s">
        <v>443</v>
      </c>
      <c r="S35" s="1209">
        <v>3331563614</v>
      </c>
      <c r="T35" s="1264" t="s">
        <v>256</v>
      </c>
      <c r="U35" s="1202" t="s">
        <v>256</v>
      </c>
      <c r="V35" s="1202" t="s">
        <v>256</v>
      </c>
      <c r="W35" s="1202" t="s">
        <v>256</v>
      </c>
      <c r="X35" s="1203" t="s">
        <v>256</v>
      </c>
      <c r="Y35" s="1202" t="s">
        <v>256</v>
      </c>
      <c r="Z35" s="1202" t="s">
        <v>256</v>
      </c>
      <c r="AA35" s="1202" t="s">
        <v>256</v>
      </c>
      <c r="AB35" s="1067" t="s">
        <v>256</v>
      </c>
      <c r="AC35" s="1271"/>
      <c r="AD35" s="81"/>
      <c r="AE35" s="44"/>
      <c r="AF35" s="44"/>
      <c r="AG35" s="44"/>
    </row>
    <row r="36" spans="1:33" ht="17.399999999999999">
      <c r="A36" s="993"/>
      <c r="B36" s="1021"/>
      <c r="C36" s="1021"/>
      <c r="D36" s="1022"/>
      <c r="E36" s="734"/>
      <c r="F36" s="733"/>
      <c r="G36" s="733"/>
      <c r="H36" s="739"/>
      <c r="I36" s="734"/>
      <c r="J36" s="733"/>
      <c r="K36" s="733"/>
      <c r="L36" s="733"/>
      <c r="M36" s="734"/>
      <c r="N36" s="1021"/>
      <c r="O36" s="1021"/>
      <c r="P36" s="1022"/>
      <c r="R36" s="1252" t="s">
        <v>443</v>
      </c>
      <c r="S36" s="1209">
        <v>3331563585</v>
      </c>
      <c r="T36" s="1264" t="s">
        <v>457</v>
      </c>
      <c r="U36" s="1264">
        <v>24141825</v>
      </c>
      <c r="V36" s="1264" t="s">
        <v>430</v>
      </c>
      <c r="W36" s="1264" t="s">
        <v>205</v>
      </c>
      <c r="X36" s="1203">
        <f>13246.002+20607.91+6627.025</f>
        <v>40480.936999999998</v>
      </c>
      <c r="Y36" s="1264" t="s">
        <v>128</v>
      </c>
      <c r="Z36" s="1264">
        <v>1</v>
      </c>
      <c r="AA36" s="1264">
        <v>1</v>
      </c>
      <c r="AB36" s="1067" t="s">
        <v>204</v>
      </c>
      <c r="AC36" s="1294"/>
      <c r="AD36" s="81"/>
      <c r="AE36" s="44"/>
      <c r="AF36" s="44"/>
      <c r="AG36" s="44"/>
    </row>
    <row r="37" spans="1:33" ht="17.399999999999999">
      <c r="A37" s="993"/>
      <c r="B37" s="1021"/>
      <c r="C37" s="1021"/>
      <c r="D37" s="1022"/>
      <c r="E37" s="734"/>
      <c r="F37" s="733"/>
      <c r="G37" s="733"/>
      <c r="H37" s="739"/>
      <c r="I37" s="734"/>
      <c r="J37" s="733"/>
      <c r="K37" s="733"/>
      <c r="L37" s="733"/>
      <c r="M37" s="734"/>
      <c r="N37" s="1021"/>
      <c r="O37" s="1021"/>
      <c r="P37" s="1022"/>
      <c r="R37" s="1252" t="s">
        <v>443</v>
      </c>
      <c r="S37" s="1209">
        <v>3331563627</v>
      </c>
      <c r="T37" s="1264" t="s">
        <v>256</v>
      </c>
      <c r="U37" s="1264" t="s">
        <v>256</v>
      </c>
      <c r="V37" s="1264" t="s">
        <v>256</v>
      </c>
      <c r="W37" s="1264" t="s">
        <v>256</v>
      </c>
      <c r="X37" s="1203" t="s">
        <v>256</v>
      </c>
      <c r="Y37" s="1264" t="s">
        <v>256</v>
      </c>
      <c r="Z37" s="1264" t="s">
        <v>256</v>
      </c>
      <c r="AA37" s="1264" t="s">
        <v>256</v>
      </c>
      <c r="AB37" s="1264" t="s">
        <v>256</v>
      </c>
      <c r="AC37" s="1271"/>
      <c r="AD37" s="81"/>
      <c r="AE37" s="44"/>
      <c r="AF37" s="44"/>
      <c r="AG37" s="44"/>
    </row>
    <row r="38" spans="1:33" ht="17.399999999999999">
      <c r="A38" s="993"/>
      <c r="B38" s="1021"/>
      <c r="C38" s="1021"/>
      <c r="D38" s="1022"/>
      <c r="E38" s="734"/>
      <c r="F38" s="733"/>
      <c r="G38" s="733"/>
      <c r="H38" s="739"/>
      <c r="I38" s="734"/>
      <c r="J38" s="733"/>
      <c r="K38" s="733"/>
      <c r="L38" s="733"/>
      <c r="M38" s="734"/>
      <c r="N38" s="1021"/>
      <c r="O38" s="1021"/>
      <c r="P38" s="1022"/>
      <c r="R38" s="1252" t="s">
        <v>443</v>
      </c>
      <c r="S38" s="1209">
        <v>3331563581</v>
      </c>
      <c r="T38" s="1264" t="s">
        <v>256</v>
      </c>
      <c r="U38" s="1264" t="s">
        <v>256</v>
      </c>
      <c r="V38" s="1264" t="s">
        <v>256</v>
      </c>
      <c r="W38" s="1264" t="s">
        <v>256</v>
      </c>
      <c r="X38" s="1203" t="s">
        <v>256</v>
      </c>
      <c r="Y38" s="1264" t="s">
        <v>256</v>
      </c>
      <c r="Z38" s="1264" t="s">
        <v>256</v>
      </c>
      <c r="AA38" s="1264" t="s">
        <v>256</v>
      </c>
      <c r="AB38" s="1264" t="s">
        <v>256</v>
      </c>
      <c r="AC38" s="1271"/>
      <c r="AD38" s="81"/>
      <c r="AE38" s="44"/>
      <c r="AF38" s="44"/>
      <c r="AG38" s="44"/>
    </row>
    <row r="39" spans="1:33" ht="17.399999999999999">
      <c r="A39" s="993"/>
      <c r="B39" s="1021"/>
      <c r="C39" s="1021"/>
      <c r="D39" s="1022"/>
      <c r="E39" s="734"/>
      <c r="F39" s="733"/>
      <c r="G39" s="733"/>
      <c r="H39" s="739"/>
      <c r="I39" s="734"/>
      <c r="J39" s="733"/>
      <c r="K39" s="733"/>
      <c r="L39" s="733"/>
      <c r="M39" s="734"/>
      <c r="N39" s="1021"/>
      <c r="O39" s="1021"/>
      <c r="P39" s="1022"/>
      <c r="R39" s="1252" t="s">
        <v>443</v>
      </c>
      <c r="S39" s="1209">
        <v>3331563645</v>
      </c>
      <c r="T39" s="1264" t="s">
        <v>27</v>
      </c>
      <c r="U39" s="1202">
        <v>24141826</v>
      </c>
      <c r="V39" s="1202" t="s">
        <v>430</v>
      </c>
      <c r="W39" s="1264" t="s">
        <v>205</v>
      </c>
      <c r="X39" s="1203">
        <f>7952.43+1325.908+12524.31+16370.799</f>
        <v>38173.447</v>
      </c>
      <c r="Y39" s="1264" t="s">
        <v>128</v>
      </c>
      <c r="Z39" s="1264">
        <v>1</v>
      </c>
      <c r="AA39" s="1264">
        <v>1</v>
      </c>
      <c r="AB39" s="1067" t="s">
        <v>204</v>
      </c>
      <c r="AC39" s="1271"/>
      <c r="AD39" s="81"/>
      <c r="AE39" s="44"/>
      <c r="AF39" s="44"/>
      <c r="AG39" s="44"/>
    </row>
    <row r="40" spans="1:33" ht="17.399999999999999">
      <c r="A40" s="993"/>
      <c r="B40" s="1021"/>
      <c r="C40" s="1021"/>
      <c r="D40" s="1022"/>
      <c r="E40" s="734"/>
      <c r="F40" s="733"/>
      <c r="G40" s="733"/>
      <c r="H40" s="739"/>
      <c r="I40" s="734"/>
      <c r="J40" s="733"/>
      <c r="K40" s="733"/>
      <c r="L40" s="733"/>
      <c r="M40" s="734"/>
      <c r="N40" s="1021"/>
      <c r="O40" s="1021"/>
      <c r="P40" s="1022"/>
      <c r="R40" s="1252" t="s">
        <v>443</v>
      </c>
      <c r="S40" s="1209">
        <v>3331563650</v>
      </c>
      <c r="T40" s="1264" t="s">
        <v>256</v>
      </c>
      <c r="U40" s="1264" t="s">
        <v>256</v>
      </c>
      <c r="V40" s="1264" t="s">
        <v>256</v>
      </c>
      <c r="W40" s="1264" t="s">
        <v>256</v>
      </c>
      <c r="X40" s="1203" t="s">
        <v>256</v>
      </c>
      <c r="Y40" s="1264" t="s">
        <v>256</v>
      </c>
      <c r="Z40" s="1264" t="s">
        <v>256</v>
      </c>
      <c r="AA40" s="1264" t="s">
        <v>256</v>
      </c>
      <c r="AB40" s="1264" t="s">
        <v>256</v>
      </c>
      <c r="AC40" s="1271"/>
      <c r="AD40" s="81"/>
      <c r="AE40" s="44"/>
      <c r="AF40" s="44"/>
      <c r="AG40" s="44"/>
    </row>
    <row r="41" spans="1:33" ht="17.399999999999999">
      <c r="A41" s="993"/>
      <c r="B41" s="1021"/>
      <c r="C41" s="1021"/>
      <c r="D41" s="1022"/>
      <c r="E41" s="734"/>
      <c r="F41" s="733"/>
      <c r="G41" s="733"/>
      <c r="H41" s="739"/>
      <c r="I41" s="734"/>
      <c r="J41" s="733"/>
      <c r="K41" s="733"/>
      <c r="L41" s="733"/>
      <c r="M41" s="734"/>
      <c r="N41" s="1021"/>
      <c r="O41" s="1021"/>
      <c r="P41" s="1022"/>
      <c r="R41" s="1252" t="s">
        <v>443</v>
      </c>
      <c r="S41" s="1209">
        <v>3331563653</v>
      </c>
      <c r="T41" s="1264" t="s">
        <v>256</v>
      </c>
      <c r="U41" s="1264" t="s">
        <v>256</v>
      </c>
      <c r="V41" s="1264" t="s">
        <v>256</v>
      </c>
      <c r="W41" s="1264" t="s">
        <v>256</v>
      </c>
      <c r="X41" s="1203" t="s">
        <v>256</v>
      </c>
      <c r="Y41" s="1264" t="s">
        <v>256</v>
      </c>
      <c r="Z41" s="1264" t="s">
        <v>256</v>
      </c>
      <c r="AA41" s="1264" t="s">
        <v>256</v>
      </c>
      <c r="AB41" s="1264" t="s">
        <v>256</v>
      </c>
      <c r="AC41" s="1271"/>
      <c r="AD41" s="81"/>
      <c r="AE41" s="44"/>
      <c r="AF41" s="44"/>
      <c r="AG41" s="44"/>
    </row>
    <row r="42" spans="1:33" ht="17.399999999999999">
      <c r="A42" s="993"/>
      <c r="B42" s="1021"/>
      <c r="C42" s="1021"/>
      <c r="D42" s="1022"/>
      <c r="E42" s="734"/>
      <c r="F42" s="733"/>
      <c r="G42" s="733"/>
      <c r="H42" s="739"/>
      <c r="I42" s="734"/>
      <c r="J42" s="733"/>
      <c r="K42" s="733"/>
      <c r="L42" s="733"/>
      <c r="M42" s="734"/>
      <c r="N42" s="1021"/>
      <c r="O42" s="1021"/>
      <c r="P42" s="1022"/>
      <c r="R42" s="1252" t="s">
        <v>443</v>
      </c>
      <c r="S42" s="1209">
        <v>3331563660</v>
      </c>
      <c r="T42" s="1264" t="s">
        <v>256</v>
      </c>
      <c r="U42" s="1264" t="s">
        <v>256</v>
      </c>
      <c r="V42" s="1264" t="s">
        <v>256</v>
      </c>
      <c r="W42" s="1264" t="s">
        <v>256</v>
      </c>
      <c r="X42" s="1203" t="s">
        <v>256</v>
      </c>
      <c r="Y42" s="1264" t="s">
        <v>256</v>
      </c>
      <c r="Z42" s="1264" t="s">
        <v>256</v>
      </c>
      <c r="AA42" s="1264" t="s">
        <v>256</v>
      </c>
      <c r="AB42" s="1264" t="s">
        <v>256</v>
      </c>
      <c r="AC42" s="1271"/>
      <c r="AD42" s="81"/>
      <c r="AE42" s="44"/>
      <c r="AF42" s="44"/>
      <c r="AG42" s="44"/>
    </row>
    <row r="43" spans="1:33" ht="17.399999999999999">
      <c r="A43" s="993"/>
      <c r="B43" s="1021"/>
      <c r="C43" s="1021"/>
      <c r="D43" s="1022"/>
      <c r="E43" s="734"/>
      <c r="F43" s="733"/>
      <c r="G43" s="733"/>
      <c r="H43" s="739"/>
      <c r="I43" s="734"/>
      <c r="J43" s="733"/>
      <c r="K43" s="733"/>
      <c r="L43" s="733"/>
      <c r="M43" s="734"/>
      <c r="N43" s="1021"/>
      <c r="O43" s="1021"/>
      <c r="P43" s="1022"/>
      <c r="R43" s="1252" t="s">
        <v>443</v>
      </c>
      <c r="S43" s="1209">
        <v>3331563679</v>
      </c>
      <c r="T43" s="1264" t="s">
        <v>27</v>
      </c>
      <c r="U43" s="1202">
        <v>24141830</v>
      </c>
      <c r="V43" s="1202" t="s">
        <v>430</v>
      </c>
      <c r="W43" s="1202" t="s">
        <v>205</v>
      </c>
      <c r="X43" s="1203">
        <f>4849.7126+20643.12</f>
        <v>25492.832599999998</v>
      </c>
      <c r="Y43" s="1202" t="s">
        <v>200</v>
      </c>
      <c r="Z43" s="1202">
        <v>1</v>
      </c>
      <c r="AA43" s="1202">
        <v>1</v>
      </c>
      <c r="AB43" s="1208" t="s">
        <v>204</v>
      </c>
      <c r="AC43" s="1271"/>
      <c r="AD43" s="81"/>
      <c r="AE43" s="44"/>
      <c r="AF43" s="44"/>
      <c r="AG43" s="44"/>
    </row>
    <row r="44" spans="1:33" ht="17.399999999999999">
      <c r="A44" s="993"/>
      <c r="B44" s="1021"/>
      <c r="C44" s="1021"/>
      <c r="D44" s="1022"/>
      <c r="E44" s="734"/>
      <c r="F44" s="733"/>
      <c r="G44" s="733"/>
      <c r="H44" s="739"/>
      <c r="I44" s="734"/>
      <c r="J44" s="733"/>
      <c r="K44" s="733"/>
      <c r="L44" s="733"/>
      <c r="M44" s="734"/>
      <c r="N44" s="1021"/>
      <c r="O44" s="1021"/>
      <c r="P44" s="1022"/>
      <c r="R44" s="1252" t="s">
        <v>443</v>
      </c>
      <c r="S44" s="1209">
        <v>3331563682</v>
      </c>
      <c r="T44" s="1264" t="s">
        <v>256</v>
      </c>
      <c r="U44" s="1202" t="s">
        <v>256</v>
      </c>
      <c r="V44" s="1202" t="s">
        <v>256</v>
      </c>
      <c r="W44" s="1202" t="s">
        <v>256</v>
      </c>
      <c r="X44" s="1203" t="s">
        <v>256</v>
      </c>
      <c r="Y44" s="1202" t="s">
        <v>256</v>
      </c>
      <c r="Z44" s="1202" t="s">
        <v>256</v>
      </c>
      <c r="AA44" s="1202" t="s">
        <v>256</v>
      </c>
      <c r="AB44" s="1208" t="s">
        <v>256</v>
      </c>
      <c r="AC44" s="1271"/>
      <c r="AD44" s="81"/>
      <c r="AE44" s="44"/>
      <c r="AF44" s="44"/>
      <c r="AG44" s="44"/>
    </row>
    <row r="45" spans="1:33" ht="17.399999999999999">
      <c r="A45" s="993"/>
      <c r="B45" s="1021"/>
      <c r="C45" s="1021"/>
      <c r="D45" s="1022"/>
      <c r="E45" s="734"/>
      <c r="F45" s="733"/>
      <c r="G45" s="733"/>
      <c r="H45" s="739"/>
      <c r="I45" s="734"/>
      <c r="J45" s="733"/>
      <c r="K45" s="733"/>
      <c r="L45" s="733"/>
      <c r="M45" s="734"/>
      <c r="N45" s="1021"/>
      <c r="O45" s="1021"/>
      <c r="P45" s="1022"/>
      <c r="R45" s="1252" t="s">
        <v>443</v>
      </c>
      <c r="S45" s="1209">
        <v>3331563706</v>
      </c>
      <c r="T45" s="1264" t="s">
        <v>441</v>
      </c>
      <c r="U45" s="1202">
        <v>24141831</v>
      </c>
      <c r="V45" s="1202" t="s">
        <v>173</v>
      </c>
      <c r="W45" s="1202" t="s">
        <v>205</v>
      </c>
      <c r="X45" s="1203">
        <f>20822.343+15135.27</f>
        <v>35957.612999999998</v>
      </c>
      <c r="Y45" s="1202" t="s">
        <v>128</v>
      </c>
      <c r="Z45" s="1202">
        <v>1</v>
      </c>
      <c r="AA45" s="1202">
        <v>1</v>
      </c>
      <c r="AB45" s="1208" t="s">
        <v>204</v>
      </c>
      <c r="AC45" s="1271" t="s">
        <v>422</v>
      </c>
      <c r="AD45" s="81"/>
      <c r="AE45" s="44"/>
      <c r="AF45" s="44"/>
      <c r="AG45" s="44"/>
    </row>
    <row r="46" spans="1:33" ht="17.399999999999999">
      <c r="A46" s="993"/>
      <c r="B46" s="1021"/>
      <c r="C46" s="1021"/>
      <c r="D46" s="1022"/>
      <c r="E46" s="734"/>
      <c r="F46" s="733"/>
      <c r="G46" s="733"/>
      <c r="H46" s="739"/>
      <c r="I46" s="734"/>
      <c r="J46" s="733"/>
      <c r="K46" s="733"/>
      <c r="L46" s="733"/>
      <c r="M46" s="734"/>
      <c r="N46" s="1021"/>
      <c r="O46" s="1021"/>
      <c r="P46" s="1022"/>
      <c r="R46" s="1252" t="s">
        <v>443</v>
      </c>
      <c r="S46" s="1209">
        <v>3331563710</v>
      </c>
      <c r="T46" s="1264" t="s">
        <v>256</v>
      </c>
      <c r="U46" s="1202" t="s">
        <v>256</v>
      </c>
      <c r="V46" s="1202" t="s">
        <v>256</v>
      </c>
      <c r="W46" s="1202" t="s">
        <v>256</v>
      </c>
      <c r="X46" s="1203" t="s">
        <v>256</v>
      </c>
      <c r="Y46" s="1202" t="s">
        <v>256</v>
      </c>
      <c r="Z46" s="1202" t="s">
        <v>256</v>
      </c>
      <c r="AA46" s="1202" t="s">
        <v>256</v>
      </c>
      <c r="AB46" s="1208" t="s">
        <v>256</v>
      </c>
      <c r="AC46" s="1271"/>
      <c r="AD46" s="81"/>
      <c r="AE46" s="44"/>
      <c r="AF46" s="44"/>
      <c r="AG46" s="44"/>
    </row>
    <row r="47" spans="1:33" ht="17.399999999999999">
      <c r="A47" s="993"/>
      <c r="B47" s="1021"/>
      <c r="C47" s="1021"/>
      <c r="D47" s="1022"/>
      <c r="E47" s="734"/>
      <c r="F47" s="733"/>
      <c r="G47" s="733"/>
      <c r="H47" s="739"/>
      <c r="I47" s="734"/>
      <c r="J47" s="733"/>
      <c r="K47" s="733"/>
      <c r="L47" s="733"/>
      <c r="M47" s="734"/>
      <c r="N47" s="1021"/>
      <c r="O47" s="1021"/>
      <c r="P47" s="1022"/>
      <c r="R47" s="1220" t="s">
        <v>443</v>
      </c>
      <c r="S47" s="1217">
        <v>3331563689</v>
      </c>
      <c r="T47" s="1294" t="s">
        <v>441</v>
      </c>
      <c r="U47" s="1190">
        <v>24141834</v>
      </c>
      <c r="V47" s="1190" t="s">
        <v>435</v>
      </c>
      <c r="W47" s="1190" t="s">
        <v>205</v>
      </c>
      <c r="X47" s="1191">
        <v>45328.851000000002</v>
      </c>
      <c r="Y47" s="1190" t="s">
        <v>128</v>
      </c>
      <c r="Z47" s="1190">
        <v>1</v>
      </c>
      <c r="AA47" s="1190">
        <v>1</v>
      </c>
      <c r="AB47" s="1200" t="s">
        <v>207</v>
      </c>
      <c r="AC47" s="1271" t="s">
        <v>422</v>
      </c>
      <c r="AD47" s="81"/>
      <c r="AE47" s="44"/>
      <c r="AF47" s="44"/>
      <c r="AG47" s="44"/>
    </row>
    <row r="48" spans="1:33" ht="17.399999999999999">
      <c r="A48" s="993"/>
      <c r="B48" s="1021"/>
      <c r="C48" s="1021"/>
      <c r="D48" s="1022"/>
      <c r="E48" s="734"/>
      <c r="F48" s="733"/>
      <c r="G48" s="733"/>
      <c r="H48" s="739"/>
      <c r="I48" s="734"/>
      <c r="J48" s="733"/>
      <c r="K48" s="733"/>
      <c r="L48" s="733"/>
      <c r="M48" s="734"/>
      <c r="N48" s="1021"/>
      <c r="O48" s="1021"/>
      <c r="P48" s="1022"/>
      <c r="R48" s="1341" t="s">
        <v>443</v>
      </c>
      <c r="S48" s="1342">
        <v>3331563692</v>
      </c>
      <c r="T48" s="1343" t="s">
        <v>441</v>
      </c>
      <c r="U48" s="1344">
        <v>24141835</v>
      </c>
      <c r="V48" s="1344" t="s">
        <v>435</v>
      </c>
      <c r="W48" s="1344" t="s">
        <v>205</v>
      </c>
      <c r="X48" s="1345">
        <f>29271.476+3010.455+7311.105</f>
        <v>39593.035999999993</v>
      </c>
      <c r="Y48" s="1344" t="s">
        <v>128</v>
      </c>
      <c r="Z48" s="1344">
        <v>1</v>
      </c>
      <c r="AA48" s="1344">
        <v>1</v>
      </c>
      <c r="AB48" s="1346" t="s">
        <v>207</v>
      </c>
      <c r="AC48" s="1271" t="s">
        <v>422</v>
      </c>
      <c r="AD48" s="81"/>
      <c r="AE48" s="44"/>
      <c r="AF48" s="44"/>
      <c r="AG48" s="44"/>
    </row>
    <row r="49" spans="1:33" ht="17.399999999999999">
      <c r="A49" s="993"/>
      <c r="B49" s="1021"/>
      <c r="C49" s="1021"/>
      <c r="D49" s="1022"/>
      <c r="E49" s="734"/>
      <c r="F49" s="733"/>
      <c r="G49" s="733"/>
      <c r="H49" s="739"/>
      <c r="I49" s="734"/>
      <c r="J49" s="733"/>
      <c r="K49" s="733"/>
      <c r="L49" s="733"/>
      <c r="M49" s="734"/>
      <c r="N49" s="1021"/>
      <c r="O49" s="1021"/>
      <c r="P49" s="1022"/>
      <c r="R49" s="1341" t="s">
        <v>443</v>
      </c>
      <c r="S49" s="1342">
        <v>3331563694</v>
      </c>
      <c r="T49" s="1343" t="s">
        <v>256</v>
      </c>
      <c r="U49" s="1344" t="s">
        <v>256</v>
      </c>
      <c r="V49" s="1344" t="s">
        <v>256</v>
      </c>
      <c r="W49" s="1344" t="s">
        <v>256</v>
      </c>
      <c r="X49" s="1345" t="s">
        <v>256</v>
      </c>
      <c r="Y49" s="1344" t="s">
        <v>256</v>
      </c>
      <c r="Z49" s="1344" t="s">
        <v>256</v>
      </c>
      <c r="AA49" s="1344" t="s">
        <v>256</v>
      </c>
      <c r="AB49" s="1346" t="s">
        <v>256</v>
      </c>
      <c r="AC49" s="1271"/>
      <c r="AD49" s="81"/>
      <c r="AE49" s="44"/>
      <c r="AF49" s="44"/>
      <c r="AG49" s="44"/>
    </row>
    <row r="50" spans="1:33" ht="17.399999999999999">
      <c r="A50" s="993"/>
      <c r="B50" s="1021"/>
      <c r="C50" s="1021"/>
      <c r="D50" s="1022"/>
      <c r="E50" s="734"/>
      <c r="F50" s="733"/>
      <c r="G50" s="733"/>
      <c r="H50" s="739"/>
      <c r="I50" s="734"/>
      <c r="J50" s="733"/>
      <c r="K50" s="733"/>
      <c r="L50" s="733"/>
      <c r="M50" s="734"/>
      <c r="N50" s="1021"/>
      <c r="O50" s="1021"/>
      <c r="P50" s="1022"/>
      <c r="R50" s="1341" t="s">
        <v>443</v>
      </c>
      <c r="S50" s="1342">
        <v>3331563698</v>
      </c>
      <c r="T50" s="1343" t="s">
        <v>256</v>
      </c>
      <c r="U50" s="1344" t="s">
        <v>256</v>
      </c>
      <c r="V50" s="1344" t="s">
        <v>256</v>
      </c>
      <c r="W50" s="1344" t="s">
        <v>256</v>
      </c>
      <c r="X50" s="1345" t="s">
        <v>256</v>
      </c>
      <c r="Y50" s="1344" t="s">
        <v>256</v>
      </c>
      <c r="Z50" s="1344" t="s">
        <v>256</v>
      </c>
      <c r="AA50" s="1344" t="s">
        <v>256</v>
      </c>
      <c r="AB50" s="1346" t="s">
        <v>256</v>
      </c>
      <c r="AC50" s="1271"/>
      <c r="AD50" s="81"/>
      <c r="AE50" s="44"/>
      <c r="AF50" s="44"/>
      <c r="AG50" s="44"/>
    </row>
    <row r="51" spans="1:33" ht="17.399999999999999">
      <c r="A51" s="993"/>
      <c r="B51" s="1021"/>
      <c r="C51" s="1021"/>
      <c r="D51" s="1022"/>
      <c r="E51" s="734"/>
      <c r="F51" s="733"/>
      <c r="G51" s="733"/>
      <c r="H51" s="739"/>
      <c r="I51" s="734"/>
      <c r="J51" s="733"/>
      <c r="K51" s="733"/>
      <c r="L51" s="733"/>
      <c r="M51" s="734"/>
      <c r="N51" s="1021"/>
      <c r="O51" s="1021"/>
      <c r="P51" s="1022"/>
      <c r="R51" s="1252" t="s">
        <v>443</v>
      </c>
      <c r="S51" s="1209">
        <v>3331563723</v>
      </c>
      <c r="T51" s="1264" t="s">
        <v>441</v>
      </c>
      <c r="U51" s="1202">
        <v>24141836</v>
      </c>
      <c r="V51" s="1202" t="s">
        <v>444</v>
      </c>
      <c r="W51" s="1202" t="s">
        <v>203</v>
      </c>
      <c r="X51" s="1203">
        <v>41286.239999999998</v>
      </c>
      <c r="Y51" s="1202" t="s">
        <v>128</v>
      </c>
      <c r="Z51" s="1202">
        <v>1</v>
      </c>
      <c r="AA51" s="1202">
        <v>1</v>
      </c>
      <c r="AB51" s="1208" t="s">
        <v>204</v>
      </c>
      <c r="AC51" s="1271" t="s">
        <v>422</v>
      </c>
      <c r="AD51" s="81"/>
      <c r="AE51" s="44"/>
      <c r="AF51" s="44"/>
      <c r="AG51" s="44"/>
    </row>
    <row r="52" spans="1:33" ht="17.399999999999999">
      <c r="A52" s="993"/>
      <c r="B52" s="1021"/>
      <c r="C52" s="1021"/>
      <c r="D52" s="1022"/>
      <c r="E52" s="734"/>
      <c r="F52" s="733"/>
      <c r="G52" s="733"/>
      <c r="H52" s="739"/>
      <c r="I52" s="734"/>
      <c r="J52" s="733"/>
      <c r="K52" s="733"/>
      <c r="L52" s="733"/>
      <c r="M52" s="734"/>
      <c r="N52" s="1021"/>
      <c r="O52" s="1021"/>
      <c r="P52" s="1022"/>
      <c r="R52" s="1252" t="s">
        <v>443</v>
      </c>
      <c r="S52" s="1209">
        <v>3331563726</v>
      </c>
      <c r="T52" s="1264" t="s">
        <v>441</v>
      </c>
      <c r="U52" s="1202">
        <v>24141837</v>
      </c>
      <c r="V52" s="1202" t="s">
        <v>444</v>
      </c>
      <c r="W52" s="1202" t="s">
        <v>203</v>
      </c>
      <c r="X52" s="1203">
        <f>25524.735+9833.65+6063.917</f>
        <v>41422.302000000003</v>
      </c>
      <c r="Y52" s="1202" t="s">
        <v>128</v>
      </c>
      <c r="Z52" s="1202">
        <v>1</v>
      </c>
      <c r="AA52" s="1202">
        <v>1</v>
      </c>
      <c r="AB52" s="1208" t="s">
        <v>204</v>
      </c>
      <c r="AC52" s="1271" t="s">
        <v>422</v>
      </c>
      <c r="AD52" s="81"/>
      <c r="AE52" s="44"/>
      <c r="AF52" s="44"/>
      <c r="AG52" s="44"/>
    </row>
    <row r="53" spans="1:33" ht="17.399999999999999">
      <c r="A53" s="993"/>
      <c r="B53" s="1021"/>
      <c r="C53" s="1021"/>
      <c r="D53" s="1022"/>
      <c r="E53" s="734"/>
      <c r="F53" s="733"/>
      <c r="G53" s="733"/>
      <c r="H53" s="739"/>
      <c r="I53" s="734"/>
      <c r="J53" s="733"/>
      <c r="K53" s="733"/>
      <c r="L53" s="733"/>
      <c r="M53" s="734"/>
      <c r="N53" s="1021"/>
      <c r="O53" s="1021"/>
      <c r="P53" s="1022"/>
      <c r="R53" s="1252" t="s">
        <v>443</v>
      </c>
      <c r="S53" s="1209">
        <v>3331563737</v>
      </c>
      <c r="T53" s="1264" t="s">
        <v>256</v>
      </c>
      <c r="U53" s="1202" t="s">
        <v>256</v>
      </c>
      <c r="V53" s="1202" t="s">
        <v>256</v>
      </c>
      <c r="W53" s="1202" t="s">
        <v>256</v>
      </c>
      <c r="X53" s="1203" t="s">
        <v>256</v>
      </c>
      <c r="Y53" s="1202" t="s">
        <v>256</v>
      </c>
      <c r="Z53" s="1202" t="s">
        <v>256</v>
      </c>
      <c r="AA53" s="1202" t="s">
        <v>256</v>
      </c>
      <c r="AB53" s="1208" t="s">
        <v>256</v>
      </c>
      <c r="AC53" s="1271"/>
      <c r="AD53" s="81"/>
      <c r="AE53" s="44"/>
      <c r="AF53" s="44"/>
      <c r="AG53" s="44"/>
    </row>
    <row r="54" spans="1:33" ht="17.399999999999999">
      <c r="A54" s="993"/>
      <c r="B54" s="1021"/>
      <c r="C54" s="1021"/>
      <c r="D54" s="1022"/>
      <c r="E54" s="734"/>
      <c r="F54" s="733"/>
      <c r="G54" s="733"/>
      <c r="H54" s="739"/>
      <c r="I54" s="734"/>
      <c r="J54" s="733"/>
      <c r="K54" s="733"/>
      <c r="L54" s="733"/>
      <c r="M54" s="734"/>
      <c r="N54" s="1021"/>
      <c r="O54" s="1021"/>
      <c r="P54" s="1022"/>
      <c r="R54" s="1201" t="s">
        <v>443</v>
      </c>
      <c r="S54" s="1264">
        <v>3331563740</v>
      </c>
      <c r="T54" s="1264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  <c r="AE54" s="44"/>
      <c r="AF54" s="44"/>
      <c r="AG54" s="44"/>
    </row>
    <row r="55" spans="1:33" ht="17.399999999999999">
      <c r="A55" s="993"/>
      <c r="B55" s="1021"/>
      <c r="C55" s="1021"/>
      <c r="D55" s="1022"/>
      <c r="E55" s="734"/>
      <c r="F55" s="733"/>
      <c r="G55" s="733"/>
      <c r="H55" s="739"/>
      <c r="I55" s="734"/>
      <c r="J55" s="733"/>
      <c r="K55" s="733"/>
      <c r="L55" s="733"/>
      <c r="M55" s="734"/>
      <c r="N55" s="1021"/>
      <c r="O55" s="1021"/>
      <c r="P55" s="1022"/>
      <c r="R55" s="1201" t="s">
        <v>794</v>
      </c>
      <c r="S55" s="1264">
        <v>3331563730</v>
      </c>
      <c r="T55" s="1264" t="s">
        <v>459</v>
      </c>
      <c r="U55" s="1202">
        <v>24141839</v>
      </c>
      <c r="V55" s="1202" t="s">
        <v>413</v>
      </c>
      <c r="W55" s="1202" t="s">
        <v>205</v>
      </c>
      <c r="X55" s="1203">
        <v>30099.52</v>
      </c>
      <c r="Y55" s="1202" t="s">
        <v>426</v>
      </c>
      <c r="Z55" s="1202">
        <v>1</v>
      </c>
      <c r="AA55" s="1202">
        <v>1</v>
      </c>
      <c r="AB55" s="1208" t="s">
        <v>204</v>
      </c>
      <c r="AC55" s="1271" t="s">
        <v>422</v>
      </c>
      <c r="AD55" s="81"/>
      <c r="AE55" s="44"/>
      <c r="AF55" s="44"/>
      <c r="AG55" s="44"/>
    </row>
    <row r="56" spans="1:33" ht="17.399999999999999">
      <c r="A56" s="993"/>
      <c r="B56" s="1021"/>
      <c r="C56" s="1021"/>
      <c r="D56" s="1022"/>
      <c r="E56" s="734"/>
      <c r="F56" s="733"/>
      <c r="G56" s="733"/>
      <c r="H56" s="739"/>
      <c r="I56" s="734"/>
      <c r="J56" s="733"/>
      <c r="K56" s="733"/>
      <c r="L56" s="733"/>
      <c r="M56" s="734"/>
      <c r="N56" s="1021"/>
      <c r="O56" s="1021"/>
      <c r="P56" s="1022"/>
      <c r="R56" s="1201" t="s">
        <v>794</v>
      </c>
      <c r="S56" s="1264">
        <v>3331563744</v>
      </c>
      <c r="T56" s="1264" t="s">
        <v>459</v>
      </c>
      <c r="U56" s="1202">
        <v>24141841</v>
      </c>
      <c r="V56" s="1202" t="s">
        <v>413</v>
      </c>
      <c r="W56" s="1202" t="s">
        <v>205</v>
      </c>
      <c r="X56" s="1203">
        <v>29954.152999999998</v>
      </c>
      <c r="Y56" s="1202" t="s">
        <v>426</v>
      </c>
      <c r="Z56" s="1202">
        <v>1</v>
      </c>
      <c r="AA56" s="1202">
        <v>1</v>
      </c>
      <c r="AB56" s="1208" t="s">
        <v>204</v>
      </c>
      <c r="AC56" s="1271" t="s">
        <v>422</v>
      </c>
      <c r="AD56" s="81"/>
      <c r="AE56" s="44"/>
      <c r="AF56" s="44"/>
      <c r="AG56" s="44"/>
    </row>
    <row r="57" spans="1:33" ht="17.399999999999999">
      <c r="A57" s="993"/>
      <c r="B57" s="1021"/>
      <c r="C57" s="1021"/>
      <c r="D57" s="1022"/>
      <c r="E57" s="734"/>
      <c r="F57" s="733"/>
      <c r="G57" s="733"/>
      <c r="H57" s="739"/>
      <c r="I57" s="734"/>
      <c r="J57" s="733"/>
      <c r="K57" s="733"/>
      <c r="L57" s="733"/>
      <c r="M57" s="734"/>
      <c r="N57" s="1021"/>
      <c r="O57" s="1021"/>
      <c r="P57" s="1022"/>
      <c r="R57" s="1201" t="s">
        <v>794</v>
      </c>
      <c r="S57" s="1264">
        <v>3331563778</v>
      </c>
      <c r="T57" s="1264" t="s">
        <v>459</v>
      </c>
      <c r="U57" s="1202">
        <v>24141852</v>
      </c>
      <c r="V57" s="1202" t="s">
        <v>413</v>
      </c>
      <c r="W57" s="1202" t="s">
        <v>205</v>
      </c>
      <c r="X57" s="1203">
        <v>29543.705000000002</v>
      </c>
      <c r="Y57" s="1202" t="s">
        <v>426</v>
      </c>
      <c r="Z57" s="1202">
        <v>1</v>
      </c>
      <c r="AA57" s="1202">
        <v>1</v>
      </c>
      <c r="AB57" s="1208" t="s">
        <v>204</v>
      </c>
      <c r="AC57" s="1308" t="s">
        <v>422</v>
      </c>
      <c r="AD57" s="81"/>
      <c r="AE57" s="44"/>
      <c r="AF57" s="44"/>
      <c r="AG57" s="44"/>
    </row>
    <row r="58" spans="1:33" ht="17.399999999999999">
      <c r="A58" s="993"/>
      <c r="B58" s="1021"/>
      <c r="C58" s="1021"/>
      <c r="D58" s="1022"/>
      <c r="E58" s="734"/>
      <c r="F58" s="733"/>
      <c r="G58" s="733"/>
      <c r="H58" s="739"/>
      <c r="I58" s="734"/>
      <c r="J58" s="733"/>
      <c r="K58" s="733"/>
      <c r="L58" s="733"/>
      <c r="M58" s="734"/>
      <c r="N58" s="1021"/>
      <c r="O58" s="1021"/>
      <c r="P58" s="1022"/>
      <c r="R58" s="1201" t="s">
        <v>794</v>
      </c>
      <c r="S58" s="1264">
        <v>3331563780</v>
      </c>
      <c r="T58" s="1264" t="s">
        <v>459</v>
      </c>
      <c r="U58" s="1202">
        <v>24141853</v>
      </c>
      <c r="V58" s="1202" t="s">
        <v>413</v>
      </c>
      <c r="W58" s="1202" t="s">
        <v>205</v>
      </c>
      <c r="X58" s="1203">
        <v>29543.705000000002</v>
      </c>
      <c r="Y58" s="1202" t="s">
        <v>426</v>
      </c>
      <c r="Z58" s="1202">
        <v>1</v>
      </c>
      <c r="AA58" s="1202">
        <v>1</v>
      </c>
      <c r="AB58" s="1208" t="s">
        <v>204</v>
      </c>
      <c r="AC58" s="1308" t="s">
        <v>422</v>
      </c>
      <c r="AD58" s="81"/>
      <c r="AE58" s="44"/>
      <c r="AF58" s="44"/>
      <c r="AG58" s="44"/>
    </row>
    <row r="59" spans="1:33" ht="17.399999999999999">
      <c r="A59" s="993"/>
      <c r="B59" s="1021"/>
      <c r="C59" s="1021"/>
      <c r="D59" s="1022"/>
      <c r="E59" s="734"/>
      <c r="F59" s="733"/>
      <c r="G59" s="733"/>
      <c r="H59" s="739"/>
      <c r="I59" s="734"/>
      <c r="J59" s="733"/>
      <c r="K59" s="733"/>
      <c r="L59" s="733"/>
      <c r="M59" s="734"/>
      <c r="N59" s="1021"/>
      <c r="O59" s="1021"/>
      <c r="P59" s="1022"/>
      <c r="R59" s="1201" t="s">
        <v>794</v>
      </c>
      <c r="S59" s="1264">
        <v>3331563784</v>
      </c>
      <c r="T59" s="1264" t="s">
        <v>459</v>
      </c>
      <c r="U59" s="1202">
        <v>24141854</v>
      </c>
      <c r="V59" s="1202" t="s">
        <v>413</v>
      </c>
      <c r="W59" s="1202" t="s">
        <v>205</v>
      </c>
      <c r="X59" s="1203">
        <v>30014.01</v>
      </c>
      <c r="Y59" s="1202" t="s">
        <v>426</v>
      </c>
      <c r="Z59" s="1202">
        <v>1</v>
      </c>
      <c r="AA59" s="1202">
        <v>1</v>
      </c>
      <c r="AB59" s="1208" t="s">
        <v>204</v>
      </c>
      <c r="AC59" s="1308" t="s">
        <v>422</v>
      </c>
      <c r="AD59" s="81"/>
      <c r="AE59" s="44"/>
      <c r="AF59" s="44"/>
      <c r="AG59" s="44"/>
    </row>
    <row r="60" spans="1:33" ht="15.6">
      <c r="R60" s="1201" t="s">
        <v>794</v>
      </c>
      <c r="S60" s="1264">
        <v>3331563791</v>
      </c>
      <c r="T60" s="1264" t="s">
        <v>459</v>
      </c>
      <c r="U60" s="1202">
        <v>24141857</v>
      </c>
      <c r="V60" s="1202" t="s">
        <v>413</v>
      </c>
      <c r="W60" s="1202" t="s">
        <v>205</v>
      </c>
      <c r="X60" s="1203">
        <v>28829.445</v>
      </c>
      <c r="Y60" s="1202" t="s">
        <v>426</v>
      </c>
      <c r="Z60" s="1202">
        <v>1</v>
      </c>
      <c r="AA60" s="1202">
        <v>1</v>
      </c>
      <c r="AB60" s="1208" t="s">
        <v>204</v>
      </c>
      <c r="AC60" s="1308" t="s">
        <v>422</v>
      </c>
      <c r="AD60" s="81"/>
      <c r="AE60" s="44"/>
      <c r="AF60" s="44"/>
      <c r="AG60" s="44"/>
    </row>
    <row r="61" spans="1:33" ht="15.6">
      <c r="R61" s="1286" t="s">
        <v>428</v>
      </c>
      <c r="S61" s="1227">
        <v>3331562099</v>
      </c>
      <c r="T61" s="1317" t="s">
        <v>424</v>
      </c>
      <c r="U61" s="1227">
        <v>24141677</v>
      </c>
      <c r="V61" s="1227" t="s">
        <v>429</v>
      </c>
      <c r="W61" s="1284" t="s">
        <v>362</v>
      </c>
      <c r="X61" s="1229">
        <v>25373.834999999999</v>
      </c>
      <c r="Y61" s="1202" t="s">
        <v>426</v>
      </c>
      <c r="Z61" s="1202">
        <v>1</v>
      </c>
      <c r="AA61" s="1202">
        <v>1</v>
      </c>
      <c r="AB61" s="1291" t="s">
        <v>204</v>
      </c>
      <c r="AC61" s="1271"/>
      <c r="AD61" s="81"/>
      <c r="AE61" s="44"/>
      <c r="AF61" s="44"/>
      <c r="AG61" s="44"/>
    </row>
    <row r="62" spans="1:33" ht="15.6">
      <c r="R62" s="1286" t="s">
        <v>428</v>
      </c>
      <c r="S62" s="1227">
        <v>3331562100</v>
      </c>
      <c r="T62" s="1317" t="s">
        <v>424</v>
      </c>
      <c r="U62" s="1227">
        <v>24141678</v>
      </c>
      <c r="V62" s="1227" t="s">
        <v>429</v>
      </c>
      <c r="W62" s="1284" t="s">
        <v>362</v>
      </c>
      <c r="X62" s="1229">
        <v>23997.627</v>
      </c>
      <c r="Y62" s="1202" t="s">
        <v>426</v>
      </c>
      <c r="Z62" s="1202">
        <v>1</v>
      </c>
      <c r="AA62" s="1202">
        <v>1</v>
      </c>
      <c r="AB62" s="1291" t="s">
        <v>204</v>
      </c>
      <c r="AC62" s="1271"/>
      <c r="AD62" s="81"/>
      <c r="AE62" s="44"/>
      <c r="AF62" s="44"/>
      <c r="AG62" s="44"/>
    </row>
    <row r="63" spans="1:33" ht="15.6">
      <c r="R63" s="1286" t="s">
        <v>428</v>
      </c>
      <c r="S63" s="1227">
        <v>3331562101</v>
      </c>
      <c r="T63" s="1317" t="s">
        <v>424</v>
      </c>
      <c r="U63" s="1227">
        <v>24141680</v>
      </c>
      <c r="V63" s="1227" t="s">
        <v>429</v>
      </c>
      <c r="W63" s="1284" t="s">
        <v>362</v>
      </c>
      <c r="X63" s="1229">
        <v>24771.743999999999</v>
      </c>
      <c r="Y63" s="1202" t="s">
        <v>426</v>
      </c>
      <c r="Z63" s="1202">
        <v>1</v>
      </c>
      <c r="AA63" s="1202">
        <v>1</v>
      </c>
      <c r="AB63" s="1291" t="s">
        <v>204</v>
      </c>
      <c r="AC63" s="1271"/>
      <c r="AD63" s="81"/>
      <c r="AE63" s="44"/>
      <c r="AF63" s="44"/>
      <c r="AG63" s="44"/>
    </row>
    <row r="64" spans="1:33" ht="15.6">
      <c r="R64" s="1286" t="s">
        <v>428</v>
      </c>
      <c r="S64" s="1227">
        <v>3331562102</v>
      </c>
      <c r="T64" s="1317" t="s">
        <v>424</v>
      </c>
      <c r="U64" s="1227">
        <v>24141681</v>
      </c>
      <c r="V64" s="1227" t="s">
        <v>429</v>
      </c>
      <c r="W64" s="1284" t="s">
        <v>362</v>
      </c>
      <c r="X64" s="1229">
        <v>25072.79</v>
      </c>
      <c r="Y64" s="1202" t="s">
        <v>426</v>
      </c>
      <c r="Z64" s="1202">
        <v>1</v>
      </c>
      <c r="AA64" s="1202">
        <v>1</v>
      </c>
      <c r="AB64" s="1291" t="s">
        <v>204</v>
      </c>
      <c r="AC64" s="1271"/>
      <c r="AD64" s="81"/>
      <c r="AE64" s="44"/>
      <c r="AF64" s="44"/>
      <c r="AG64" s="44"/>
    </row>
    <row r="65" spans="18:33" ht="15.6">
      <c r="R65" s="1286" t="s">
        <v>428</v>
      </c>
      <c r="S65" s="1227">
        <v>3331562104</v>
      </c>
      <c r="T65" s="1317" t="s">
        <v>424</v>
      </c>
      <c r="U65" s="1227">
        <v>24141682</v>
      </c>
      <c r="V65" s="1227" t="s">
        <v>429</v>
      </c>
      <c r="W65" s="1284" t="s">
        <v>362</v>
      </c>
      <c r="X65" s="1229">
        <v>25416.842000000001</v>
      </c>
      <c r="Y65" s="1202" t="s">
        <v>426</v>
      </c>
      <c r="Z65" s="1202">
        <v>1</v>
      </c>
      <c r="AA65" s="1202">
        <v>1</v>
      </c>
      <c r="AB65" s="1291" t="s">
        <v>204</v>
      </c>
      <c r="AC65" s="1271"/>
      <c r="AD65" s="81"/>
      <c r="AE65" s="44"/>
      <c r="AF65" s="44"/>
      <c r="AG65" s="44"/>
    </row>
    <row r="66" spans="18:33" ht="15.6">
      <c r="R66" s="1286" t="s">
        <v>428</v>
      </c>
      <c r="S66" s="1227">
        <v>3331562105</v>
      </c>
      <c r="T66" s="1317" t="s">
        <v>424</v>
      </c>
      <c r="U66" s="1227">
        <v>24141683</v>
      </c>
      <c r="V66" s="1227" t="s">
        <v>429</v>
      </c>
      <c r="W66" s="1284" t="s">
        <v>362</v>
      </c>
      <c r="X66" s="1229">
        <v>25244.815999999999</v>
      </c>
      <c r="Y66" s="1202" t="s">
        <v>426</v>
      </c>
      <c r="Z66" s="1202">
        <v>1</v>
      </c>
      <c r="AA66" s="1202">
        <v>1</v>
      </c>
      <c r="AB66" s="1291" t="s">
        <v>204</v>
      </c>
      <c r="AC66" s="1271"/>
      <c r="AD66" s="81"/>
      <c r="AE66" s="44"/>
      <c r="AF66" s="44"/>
      <c r="AG66" s="44"/>
    </row>
    <row r="67" spans="18:33" ht="15.6">
      <c r="R67" s="1286" t="s">
        <v>428</v>
      </c>
      <c r="S67" s="1227">
        <v>3331562106</v>
      </c>
      <c r="T67" s="1317" t="s">
        <v>424</v>
      </c>
      <c r="U67" s="1227">
        <v>24141684</v>
      </c>
      <c r="V67" s="1227" t="s">
        <v>429</v>
      </c>
      <c r="W67" s="1284" t="s">
        <v>362</v>
      </c>
      <c r="X67" s="1229">
        <v>24728.738000000001</v>
      </c>
      <c r="Y67" s="1202" t="s">
        <v>426</v>
      </c>
      <c r="Z67" s="1202">
        <v>1</v>
      </c>
      <c r="AA67" s="1202">
        <v>1</v>
      </c>
      <c r="AB67" s="1291" t="s">
        <v>204</v>
      </c>
      <c r="AC67" s="1271"/>
      <c r="AD67" s="81"/>
      <c r="AE67" s="44"/>
      <c r="AF67" s="44"/>
      <c r="AG67" s="44"/>
    </row>
    <row r="68" spans="18:33" ht="15.6">
      <c r="R68" s="1286" t="s">
        <v>428</v>
      </c>
      <c r="S68" s="1227">
        <v>3331562107</v>
      </c>
      <c r="T68" s="1317" t="s">
        <v>424</v>
      </c>
      <c r="U68" s="1227">
        <v>24141685</v>
      </c>
      <c r="V68" s="1227" t="s">
        <v>429</v>
      </c>
      <c r="W68" s="1227" t="s">
        <v>362</v>
      </c>
      <c r="X68" s="1229">
        <v>24298.671999999999</v>
      </c>
      <c r="Y68" s="1202" t="s">
        <v>426</v>
      </c>
      <c r="Z68" s="1202">
        <v>1</v>
      </c>
      <c r="AA68" s="1202">
        <v>1</v>
      </c>
      <c r="AB68" s="1291" t="s">
        <v>204</v>
      </c>
      <c r="AC68" s="1271"/>
      <c r="AD68" s="81"/>
      <c r="AE68" s="44"/>
      <c r="AF68" s="44"/>
      <c r="AG68" s="44"/>
    </row>
    <row r="69" spans="18:33" ht="15.6">
      <c r="R69" s="1286" t="s">
        <v>428</v>
      </c>
      <c r="S69" s="1251">
        <v>3331562108</v>
      </c>
      <c r="T69" s="1317" t="s">
        <v>424</v>
      </c>
      <c r="U69" s="1227">
        <v>24141686</v>
      </c>
      <c r="V69" s="1227" t="s">
        <v>429</v>
      </c>
      <c r="W69" s="1227" t="s">
        <v>362</v>
      </c>
      <c r="X69" s="1229">
        <v>25547.59</v>
      </c>
      <c r="Y69" s="1202" t="s">
        <v>426</v>
      </c>
      <c r="Z69" s="1202">
        <v>1</v>
      </c>
      <c r="AA69" s="1202">
        <v>1</v>
      </c>
      <c r="AB69" s="1291" t="s">
        <v>204</v>
      </c>
      <c r="AC69" s="1271"/>
      <c r="AD69" s="81"/>
      <c r="AE69" s="44"/>
      <c r="AF69" s="44"/>
      <c r="AG69" s="44"/>
    </row>
    <row r="70" spans="18:33" ht="15.6">
      <c r="R70" s="1286" t="s">
        <v>452</v>
      </c>
      <c r="S70" s="1251">
        <v>3331562109</v>
      </c>
      <c r="T70" s="1317" t="s">
        <v>424</v>
      </c>
      <c r="U70" s="1227">
        <v>24141687</v>
      </c>
      <c r="V70" s="1227" t="s">
        <v>429</v>
      </c>
      <c r="W70" s="1227" t="s">
        <v>362</v>
      </c>
      <c r="X70" s="1229">
        <v>25201.182000000001</v>
      </c>
      <c r="Y70" s="1202" t="s">
        <v>426</v>
      </c>
      <c r="Z70" s="1202">
        <v>1</v>
      </c>
      <c r="AA70" s="1202">
        <v>1</v>
      </c>
      <c r="AB70" s="1291" t="s">
        <v>204</v>
      </c>
      <c r="AC70" s="1271"/>
      <c r="AD70" s="81"/>
      <c r="AE70" s="44"/>
      <c r="AF70" s="44"/>
      <c r="AG70" s="44"/>
    </row>
    <row r="71" spans="18:33" ht="15.6">
      <c r="R71" s="1286" t="s">
        <v>428</v>
      </c>
      <c r="S71" s="1227">
        <v>3331562110</v>
      </c>
      <c r="T71" s="1317" t="s">
        <v>424</v>
      </c>
      <c r="U71" s="1227">
        <v>24141688</v>
      </c>
      <c r="V71" s="1227" t="s">
        <v>429</v>
      </c>
      <c r="W71" s="1227"/>
      <c r="X71" s="1229">
        <v>24421.763999999999</v>
      </c>
      <c r="Y71" s="1202" t="s">
        <v>426</v>
      </c>
      <c r="Z71" s="1202">
        <v>1</v>
      </c>
      <c r="AA71" s="1202">
        <v>1</v>
      </c>
      <c r="AB71" s="1291" t="s">
        <v>204</v>
      </c>
      <c r="AC71" s="1271"/>
      <c r="AD71" s="81"/>
      <c r="AE71" s="44"/>
      <c r="AF71" s="44"/>
      <c r="AG71" s="44"/>
    </row>
    <row r="72" spans="18:33" ht="15.6">
      <c r="R72" s="1286" t="s">
        <v>428</v>
      </c>
      <c r="S72" s="1227">
        <v>3331562111</v>
      </c>
      <c r="T72" s="1317" t="s">
        <v>424</v>
      </c>
      <c r="U72" s="1227">
        <v>24141689</v>
      </c>
      <c r="V72" s="1227" t="s">
        <v>429</v>
      </c>
      <c r="W72" s="1227"/>
      <c r="X72" s="1229">
        <v>24768.171999999999</v>
      </c>
      <c r="Y72" s="1202" t="s">
        <v>426</v>
      </c>
      <c r="Z72" s="1202">
        <v>1</v>
      </c>
      <c r="AA72" s="1202">
        <v>1</v>
      </c>
      <c r="AB72" s="1291" t="s">
        <v>204</v>
      </c>
      <c r="AC72" s="1271"/>
      <c r="AD72" s="81"/>
      <c r="AE72" s="44"/>
      <c r="AF72" s="44"/>
      <c r="AG72" s="44"/>
    </row>
    <row r="73" spans="18:33" ht="15.6">
      <c r="R73" s="1318" t="s">
        <v>428</v>
      </c>
      <c r="S73" s="1319">
        <v>3331562116</v>
      </c>
      <c r="T73" s="1320" t="s">
        <v>424</v>
      </c>
      <c r="U73" s="1319">
        <v>24141691</v>
      </c>
      <c r="V73" s="1319" t="s">
        <v>429</v>
      </c>
      <c r="W73" s="1319"/>
      <c r="X73" s="1321">
        <v>23209.335999999999</v>
      </c>
      <c r="Y73" s="1322" t="s">
        <v>426</v>
      </c>
      <c r="Z73" s="1322">
        <v>1</v>
      </c>
      <c r="AA73" s="1322">
        <v>1</v>
      </c>
      <c r="AB73" s="1323" t="s">
        <v>207</v>
      </c>
      <c r="AC73" s="1271"/>
      <c r="AD73" s="81"/>
      <c r="AE73" s="44"/>
      <c r="AF73" s="44"/>
      <c r="AG73" s="44"/>
    </row>
    <row r="74" spans="18:33" ht="15.6">
      <c r="R74" s="1318" t="s">
        <v>428</v>
      </c>
      <c r="S74" s="1319">
        <v>3331562125</v>
      </c>
      <c r="T74" s="1320" t="s">
        <v>424</v>
      </c>
      <c r="U74" s="1319">
        <v>24141693</v>
      </c>
      <c r="V74" s="1319" t="s">
        <v>429</v>
      </c>
      <c r="W74" s="1319"/>
      <c r="X74" s="1321">
        <v>22745.66</v>
      </c>
      <c r="Y74" s="1322" t="s">
        <v>426</v>
      </c>
      <c r="Z74" s="1322">
        <v>1</v>
      </c>
      <c r="AA74" s="1322">
        <v>1</v>
      </c>
      <c r="AB74" s="1323" t="s">
        <v>207</v>
      </c>
      <c r="AC74" s="1271"/>
      <c r="AD74" s="81"/>
      <c r="AE74" s="44"/>
      <c r="AF74" s="44"/>
      <c r="AG74" s="44"/>
    </row>
    <row r="75" spans="18:33" ht="15.6">
      <c r="R75" s="1318" t="s">
        <v>428</v>
      </c>
      <c r="S75" s="1319">
        <v>3331562128</v>
      </c>
      <c r="T75" s="1320" t="s">
        <v>424</v>
      </c>
      <c r="U75" s="1319">
        <v>24141694</v>
      </c>
      <c r="V75" s="1319" t="s">
        <v>429</v>
      </c>
      <c r="W75" s="1319"/>
      <c r="X75" s="1321">
        <v>22745.66</v>
      </c>
      <c r="Y75" s="1322" t="s">
        <v>426</v>
      </c>
      <c r="Z75" s="1322">
        <v>1</v>
      </c>
      <c r="AA75" s="1322">
        <v>1</v>
      </c>
      <c r="AB75" s="1323" t="s">
        <v>207</v>
      </c>
      <c r="AC75" s="1271"/>
      <c r="AD75" s="81"/>
      <c r="AE75" s="44"/>
      <c r="AF75" s="44"/>
      <c r="AG75" s="44"/>
    </row>
    <row r="76" spans="18:33" ht="15.6">
      <c r="R76" s="1318" t="s">
        <v>428</v>
      </c>
      <c r="S76" s="1319">
        <v>3331562145</v>
      </c>
      <c r="T76" s="1320" t="s">
        <v>424</v>
      </c>
      <c r="U76" s="1319">
        <v>24141695</v>
      </c>
      <c r="V76" s="1319" t="s">
        <v>429</v>
      </c>
      <c r="W76" s="1319"/>
      <c r="X76" s="1321">
        <v>24797.9</v>
      </c>
      <c r="Y76" s="1322" t="s">
        <v>426</v>
      </c>
      <c r="Z76" s="1322">
        <v>1</v>
      </c>
      <c r="AA76" s="1322">
        <v>1</v>
      </c>
      <c r="AB76" s="1323" t="s">
        <v>207</v>
      </c>
      <c r="AC76" s="1271"/>
      <c r="AD76" s="81"/>
      <c r="AE76" s="44"/>
      <c r="AF76" s="44"/>
      <c r="AG76" s="44"/>
    </row>
    <row r="77" spans="18:33" ht="15.6">
      <c r="R77" s="1318" t="s">
        <v>428</v>
      </c>
      <c r="S77" s="1319">
        <v>3331562146</v>
      </c>
      <c r="T77" s="1320" t="s">
        <v>424</v>
      </c>
      <c r="U77" s="1319">
        <v>24141696</v>
      </c>
      <c r="V77" s="1319" t="s">
        <v>429</v>
      </c>
      <c r="W77" s="1319"/>
      <c r="X77" s="1321">
        <v>23087.7</v>
      </c>
      <c r="Y77" s="1322" t="s">
        <v>426</v>
      </c>
      <c r="Z77" s="1322">
        <v>1</v>
      </c>
      <c r="AA77" s="1322">
        <v>1</v>
      </c>
      <c r="AB77" s="1323" t="s">
        <v>207</v>
      </c>
      <c r="AC77" s="1271"/>
      <c r="AD77" s="81"/>
      <c r="AE77" s="44"/>
      <c r="AF77" s="44"/>
      <c r="AG77" s="44"/>
    </row>
    <row r="78" spans="18:33" ht="15.6">
      <c r="R78" s="1318" t="s">
        <v>428</v>
      </c>
      <c r="S78" s="1319">
        <v>3331562148</v>
      </c>
      <c r="T78" s="1320" t="s">
        <v>424</v>
      </c>
      <c r="U78" s="1319">
        <v>24141698</v>
      </c>
      <c r="V78" s="1319" t="s">
        <v>429</v>
      </c>
      <c r="W78" s="1319"/>
      <c r="X78" s="1321">
        <f>19352.925+5771.925</f>
        <v>25124.85</v>
      </c>
      <c r="Y78" s="1322" t="s">
        <v>426</v>
      </c>
      <c r="Z78" s="1322">
        <v>1</v>
      </c>
      <c r="AA78" s="1322">
        <v>1</v>
      </c>
      <c r="AB78" s="1323" t="s">
        <v>207</v>
      </c>
      <c r="AC78" s="1271"/>
      <c r="AD78" s="81"/>
      <c r="AE78" s="44"/>
      <c r="AF78" s="44"/>
      <c r="AG78" s="44"/>
    </row>
    <row r="79" spans="18:33" ht="15.6">
      <c r="R79" s="1318" t="s">
        <v>428</v>
      </c>
      <c r="S79" s="1319">
        <v>3331562151</v>
      </c>
      <c r="T79" s="1320" t="s">
        <v>256</v>
      </c>
      <c r="U79" s="1319" t="s">
        <v>256</v>
      </c>
      <c r="V79" s="1319" t="s">
        <v>256</v>
      </c>
      <c r="W79" s="1319" t="s">
        <v>256</v>
      </c>
      <c r="X79" s="1321" t="s">
        <v>256</v>
      </c>
      <c r="Y79" s="1322" t="s">
        <v>256</v>
      </c>
      <c r="Z79" s="1322" t="s">
        <v>256</v>
      </c>
      <c r="AA79" s="1322" t="s">
        <v>256</v>
      </c>
      <c r="AB79" s="1323" t="s">
        <v>256</v>
      </c>
      <c r="AC79" s="1271"/>
      <c r="AD79" s="81"/>
      <c r="AE79" s="44"/>
      <c r="AF79" s="44"/>
      <c r="AG79" s="44"/>
    </row>
    <row r="80" spans="18:33" ht="15.6">
      <c r="R80" s="1189" t="s">
        <v>443</v>
      </c>
      <c r="S80" s="1294">
        <v>3331563767</v>
      </c>
      <c r="T80" s="1293" t="s">
        <v>11</v>
      </c>
      <c r="U80" s="1190">
        <v>24141845</v>
      </c>
      <c r="V80" s="1217" t="s">
        <v>435</v>
      </c>
      <c r="W80" s="1190" t="s">
        <v>205</v>
      </c>
      <c r="X80" s="1191">
        <v>44167.677000000003</v>
      </c>
      <c r="Y80" s="1190" t="s">
        <v>128</v>
      </c>
      <c r="Z80" s="1190">
        <v>1</v>
      </c>
      <c r="AA80" s="1190">
        <v>1</v>
      </c>
      <c r="AB80" s="1274" t="s">
        <v>207</v>
      </c>
      <c r="AC80" s="1271"/>
      <c r="AD80" s="81" t="s">
        <v>830</v>
      </c>
      <c r="AE80" s="44"/>
      <c r="AF80" s="44"/>
      <c r="AG80" s="44"/>
    </row>
    <row r="81" spans="18:33" ht="15.6">
      <c r="R81" s="1201" t="s">
        <v>443</v>
      </c>
      <c r="S81" s="1264">
        <v>3331563755</v>
      </c>
      <c r="T81" s="1261" t="s">
        <v>27</v>
      </c>
      <c r="U81" s="1202"/>
      <c r="V81" s="1209" t="s">
        <v>435</v>
      </c>
      <c r="W81" s="1202" t="s">
        <v>205</v>
      </c>
      <c r="X81" s="1203">
        <f>6062.14+19539.035</f>
        <v>25601.174999999999</v>
      </c>
      <c r="Y81" s="1202" t="s">
        <v>128</v>
      </c>
      <c r="Z81" s="1202">
        <v>1</v>
      </c>
      <c r="AA81" s="1202">
        <v>1</v>
      </c>
      <c r="AB81" s="1291" t="s">
        <v>204</v>
      </c>
      <c r="AC81" s="1271"/>
      <c r="AD81" s="81"/>
      <c r="AE81" s="44"/>
      <c r="AF81" s="44"/>
      <c r="AG81" s="44"/>
    </row>
    <row r="82" spans="18:33" ht="15.6">
      <c r="R82" s="1201" t="s">
        <v>443</v>
      </c>
      <c r="S82" s="1264">
        <v>3331563770</v>
      </c>
      <c r="T82" s="1261" t="s">
        <v>256</v>
      </c>
      <c r="U82" s="1202" t="s">
        <v>256</v>
      </c>
      <c r="V82" s="1209" t="s">
        <v>256</v>
      </c>
      <c r="W82" s="1202" t="s">
        <v>256</v>
      </c>
      <c r="X82" s="1203" t="s">
        <v>256</v>
      </c>
      <c r="Y82" s="1202" t="s">
        <v>256</v>
      </c>
      <c r="Z82" s="1202" t="s">
        <v>256</v>
      </c>
      <c r="AA82" s="1202" t="s">
        <v>256</v>
      </c>
      <c r="AB82" s="1208" t="s">
        <v>256</v>
      </c>
      <c r="AC82" s="1271"/>
      <c r="AD82" s="81"/>
      <c r="AE82" s="44"/>
      <c r="AF82" s="44"/>
      <c r="AG82" s="44"/>
    </row>
    <row r="83" spans="18:33" ht="15.6">
      <c r="R83" s="1201" t="s">
        <v>443</v>
      </c>
      <c r="S83" s="1202">
        <v>3331563550</v>
      </c>
      <c r="T83" s="1261" t="s">
        <v>287</v>
      </c>
      <c r="U83" s="1202">
        <v>24141813</v>
      </c>
      <c r="V83" s="1202" t="s">
        <v>464</v>
      </c>
      <c r="W83" s="1202" t="s">
        <v>199</v>
      </c>
      <c r="X83" s="1203">
        <v>24994.704000000002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  <c r="AE83" s="44"/>
      <c r="AF83" s="44"/>
      <c r="AG83" s="44"/>
    </row>
    <row r="84" spans="18:33" ht="15.6">
      <c r="R84" s="1201" t="s">
        <v>443</v>
      </c>
      <c r="S84" s="1202">
        <v>3331563665</v>
      </c>
      <c r="T84" s="1261" t="s">
        <v>11</v>
      </c>
      <c r="U84" s="1202">
        <v>24141827</v>
      </c>
      <c r="V84" s="1202" t="s">
        <v>290</v>
      </c>
      <c r="W84" s="1202" t="s">
        <v>199</v>
      </c>
      <c r="X84" s="1203">
        <f>17760.239+4381.177</f>
        <v>22141.416000000001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  <c r="AE84" s="44"/>
      <c r="AF84" s="44"/>
      <c r="AG84" s="44"/>
    </row>
    <row r="85" spans="18:33" ht="15.6">
      <c r="R85" s="1201" t="s">
        <v>443</v>
      </c>
      <c r="S85" s="1202">
        <v>3331563667</v>
      </c>
      <c r="T85" s="1261" t="s">
        <v>256</v>
      </c>
      <c r="U85" s="1202" t="s">
        <v>256</v>
      </c>
      <c r="V85" s="1202" t="s">
        <v>256</v>
      </c>
      <c r="W85" s="1202" t="s">
        <v>256</v>
      </c>
      <c r="X85" s="1203" t="s">
        <v>256</v>
      </c>
      <c r="Y85" s="1202" t="s">
        <v>256</v>
      </c>
      <c r="Z85" s="1202" t="s">
        <v>256</v>
      </c>
      <c r="AA85" s="1202" t="s">
        <v>256</v>
      </c>
      <c r="AB85" s="1208" t="s">
        <v>256</v>
      </c>
      <c r="AC85" s="1271"/>
      <c r="AD85" s="81"/>
      <c r="AE85" s="44"/>
      <c r="AF85" s="44"/>
      <c r="AG85" s="44"/>
    </row>
    <row r="86" spans="18:33" ht="15.6">
      <c r="R86" s="1201" t="s">
        <v>443</v>
      </c>
      <c r="S86" s="1202">
        <v>3331563696</v>
      </c>
      <c r="T86" s="1261" t="s">
        <v>287</v>
      </c>
      <c r="U86" s="1202">
        <v>24141832</v>
      </c>
      <c r="V86" s="1202" t="s">
        <v>572</v>
      </c>
      <c r="W86" s="1202" t="s">
        <v>199</v>
      </c>
      <c r="X86" s="1203">
        <v>24876.367999999999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 t="s">
        <v>422</v>
      </c>
      <c r="AD86" s="81"/>
      <c r="AE86" s="44"/>
      <c r="AF86" s="44"/>
      <c r="AG86" s="44"/>
    </row>
    <row r="87" spans="18:33" ht="15.6">
      <c r="R87" s="1201" t="s">
        <v>443</v>
      </c>
      <c r="S87" s="1202">
        <v>3331563707</v>
      </c>
      <c r="T87" s="1261" t="s">
        <v>34</v>
      </c>
      <c r="U87" s="1202">
        <v>24141833</v>
      </c>
      <c r="V87" s="1202" t="s">
        <v>572</v>
      </c>
      <c r="W87" s="1202" t="s">
        <v>199</v>
      </c>
      <c r="X87" s="1203">
        <v>26341.114000000001</v>
      </c>
      <c r="Y87" s="1202" t="s">
        <v>200</v>
      </c>
      <c r="Z87" s="1202">
        <v>1</v>
      </c>
      <c r="AA87" s="1202">
        <v>1</v>
      </c>
      <c r="AB87" s="1208" t="s">
        <v>204</v>
      </c>
      <c r="AC87" s="1271" t="s">
        <v>422</v>
      </c>
      <c r="AD87" s="81"/>
      <c r="AE87" s="44"/>
      <c r="AF87" s="44"/>
      <c r="AG87" s="44"/>
    </row>
    <row r="88" spans="18:33" ht="15.6">
      <c r="R88" s="1201" t="s">
        <v>443</v>
      </c>
      <c r="S88" s="1202">
        <v>3331563738</v>
      </c>
      <c r="T88" s="1261" t="s">
        <v>441</v>
      </c>
      <c r="U88" s="1202">
        <v>24141838</v>
      </c>
      <c r="V88" s="1202" t="s">
        <v>838</v>
      </c>
      <c r="W88" s="1202" t="s">
        <v>199</v>
      </c>
      <c r="X88" s="1203">
        <f>27929.145+2022.06</f>
        <v>29951.205000000002</v>
      </c>
      <c r="Y88" s="1202" t="s">
        <v>200</v>
      </c>
      <c r="Z88" s="1202">
        <v>1</v>
      </c>
      <c r="AA88" s="1202">
        <v>1</v>
      </c>
      <c r="AB88" s="1208" t="s">
        <v>204</v>
      </c>
      <c r="AC88" s="1271" t="s">
        <v>422</v>
      </c>
      <c r="AD88" s="81"/>
      <c r="AE88" s="44"/>
      <c r="AF88" s="44"/>
      <c r="AG88" s="44"/>
    </row>
    <row r="89" spans="18:33" ht="15.6">
      <c r="R89" s="1201" t="s">
        <v>443</v>
      </c>
      <c r="S89" s="1202">
        <v>3331563746</v>
      </c>
      <c r="T89" s="1261" t="s">
        <v>256</v>
      </c>
      <c r="U89" s="1202" t="s">
        <v>256</v>
      </c>
      <c r="V89" s="1202" t="s">
        <v>256</v>
      </c>
      <c r="W89" s="1202" t="s">
        <v>256</v>
      </c>
      <c r="X89" s="1203" t="s">
        <v>256</v>
      </c>
      <c r="Y89" s="1202" t="s">
        <v>256</v>
      </c>
      <c r="Z89" s="1202" t="s">
        <v>256</v>
      </c>
      <c r="AA89" s="1202" t="s">
        <v>256</v>
      </c>
      <c r="AB89" s="1208" t="s">
        <v>256</v>
      </c>
      <c r="AC89" s="1271"/>
      <c r="AD89" s="81"/>
      <c r="AE89" s="44"/>
      <c r="AF89" s="44"/>
      <c r="AG89" s="44"/>
    </row>
    <row r="90" spans="18:33" ht="15.6">
      <c r="R90" s="1201" t="s">
        <v>443</v>
      </c>
      <c r="S90" s="1202">
        <v>3331563750</v>
      </c>
      <c r="T90" s="1202" t="s">
        <v>34</v>
      </c>
      <c r="U90" s="1202">
        <v>24141840</v>
      </c>
      <c r="V90" s="1202" t="s">
        <v>150</v>
      </c>
      <c r="W90" s="1202" t="s">
        <v>199</v>
      </c>
      <c r="X90" s="1203">
        <v>25504.289000000001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 t="s">
        <v>422</v>
      </c>
      <c r="AD90" s="81"/>
      <c r="AE90" s="44"/>
      <c r="AF90" s="44"/>
      <c r="AG90" s="44"/>
    </row>
    <row r="91" spans="18:33" ht="15.6">
      <c r="R91" s="1201" t="s">
        <v>443</v>
      </c>
      <c r="S91" s="1202">
        <v>3331563754</v>
      </c>
      <c r="T91" s="1261" t="s">
        <v>287</v>
      </c>
      <c r="U91" s="1202">
        <v>24141842</v>
      </c>
      <c r="V91" s="1202" t="s">
        <v>150</v>
      </c>
      <c r="W91" s="1202" t="s">
        <v>199</v>
      </c>
      <c r="X91" s="1203">
        <f>3676.93+22011.006</f>
        <v>25687.936000000002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 t="s">
        <v>422</v>
      </c>
      <c r="AD91" s="81"/>
      <c r="AE91" s="44"/>
      <c r="AF91" s="44"/>
      <c r="AG91" s="44"/>
    </row>
    <row r="92" spans="18:33" ht="15.6">
      <c r="R92" s="1201" t="s">
        <v>443</v>
      </c>
      <c r="S92" s="1202">
        <v>3331563756</v>
      </c>
      <c r="T92" s="1261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  <c r="AE92" s="44"/>
      <c r="AF92" s="44"/>
      <c r="AG92" s="44"/>
    </row>
    <row r="93" spans="18:33" ht="15.6">
      <c r="R93" s="1201" t="s">
        <v>443</v>
      </c>
      <c r="S93" s="1202">
        <v>3331563761</v>
      </c>
      <c r="T93" s="1261" t="s">
        <v>462</v>
      </c>
      <c r="U93" s="1202">
        <v>24141843</v>
      </c>
      <c r="V93" s="1202" t="s">
        <v>150</v>
      </c>
      <c r="W93" s="1202" t="s">
        <v>199</v>
      </c>
      <c r="X93" s="1203">
        <v>25396.47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 t="s">
        <v>422</v>
      </c>
      <c r="AD93" s="81"/>
      <c r="AE93" s="44"/>
      <c r="AF93" s="44"/>
      <c r="AG93" s="44"/>
    </row>
    <row r="94" spans="18:33">
      <c r="R94" s="1201" t="s">
        <v>443</v>
      </c>
      <c r="S94" s="1202">
        <v>3331563768</v>
      </c>
      <c r="T94" s="1261" t="s">
        <v>11</v>
      </c>
      <c r="U94" s="1202">
        <v>24141847</v>
      </c>
      <c r="V94" s="1202" t="s">
        <v>150</v>
      </c>
      <c r="W94" s="1202" t="s">
        <v>199</v>
      </c>
      <c r="X94" s="1203">
        <f>3593.983+21420.255</f>
        <v>25014.238000000001</v>
      </c>
      <c r="Y94" s="1202" t="s">
        <v>200</v>
      </c>
      <c r="Z94" s="1202">
        <v>1</v>
      </c>
      <c r="AA94" s="1202">
        <v>1</v>
      </c>
      <c r="AB94" s="1202" t="s">
        <v>204</v>
      </c>
      <c r="AC94" s="1271" t="s">
        <v>422</v>
      </c>
      <c r="AD94" s="81"/>
      <c r="AE94" s="44"/>
      <c r="AF94" s="44"/>
      <c r="AG94" s="44"/>
    </row>
    <row r="95" spans="18:33" ht="15.6">
      <c r="R95" s="1201" t="s">
        <v>443</v>
      </c>
      <c r="S95" s="1202">
        <v>3331563769</v>
      </c>
      <c r="T95" s="1227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9" t="s">
        <v>256</v>
      </c>
      <c r="AA95" s="1209" t="s">
        <v>256</v>
      </c>
      <c r="AB95" s="1228" t="s">
        <v>256</v>
      </c>
      <c r="AC95" s="1192"/>
      <c r="AD95" s="81"/>
      <c r="AE95" s="44"/>
      <c r="AF95" s="44"/>
      <c r="AG95" s="44"/>
    </row>
    <row r="96" spans="18:33" ht="15.6">
      <c r="R96" s="1201" t="s">
        <v>443</v>
      </c>
      <c r="S96" s="1202">
        <v>3331563774</v>
      </c>
      <c r="T96" s="1202" t="s">
        <v>27</v>
      </c>
      <c r="U96" s="1202">
        <v>24141848</v>
      </c>
      <c r="V96" s="1202" t="s">
        <v>150</v>
      </c>
      <c r="W96" s="1202" t="s">
        <v>199</v>
      </c>
      <c r="X96" s="1203">
        <f>8915.675+16973.992</f>
        <v>25889.666999999998</v>
      </c>
      <c r="Y96" s="1202" t="s">
        <v>200</v>
      </c>
      <c r="Z96" s="1209">
        <v>1</v>
      </c>
      <c r="AA96" s="1209">
        <v>1</v>
      </c>
      <c r="AB96" s="1228" t="s">
        <v>204</v>
      </c>
      <c r="AC96" s="1192" t="s">
        <v>422</v>
      </c>
      <c r="AD96" s="81"/>
    </row>
    <row r="97" spans="18:30" ht="15.6">
      <c r="R97" s="1201" t="s">
        <v>443</v>
      </c>
      <c r="S97" s="1202">
        <v>3331563777</v>
      </c>
      <c r="T97" s="1202" t="s">
        <v>256</v>
      </c>
      <c r="U97" s="1202" t="s">
        <v>256</v>
      </c>
      <c r="V97" s="1202" t="s">
        <v>256</v>
      </c>
      <c r="W97" s="1202" t="s">
        <v>256</v>
      </c>
      <c r="X97" s="1203" t="s">
        <v>256</v>
      </c>
      <c r="Y97" s="1202" t="s">
        <v>256</v>
      </c>
      <c r="Z97" s="1209" t="s">
        <v>256</v>
      </c>
      <c r="AA97" s="1209" t="s">
        <v>256</v>
      </c>
      <c r="AB97" s="1228" t="s">
        <v>256</v>
      </c>
      <c r="AC97" s="1192"/>
      <c r="AD97" s="81"/>
    </row>
    <row r="98" spans="18:30" ht="15.6">
      <c r="R98" s="1201" t="s">
        <v>794</v>
      </c>
      <c r="S98" s="1202">
        <v>3331563781</v>
      </c>
      <c r="T98" s="1209" t="s">
        <v>34</v>
      </c>
      <c r="U98" s="1202">
        <v>24141850</v>
      </c>
      <c r="V98" s="1202" t="s">
        <v>150</v>
      </c>
      <c r="W98" s="1202" t="s">
        <v>340</v>
      </c>
      <c r="X98" s="1203">
        <f>21120.97+4243.498</f>
        <v>25364.468000000001</v>
      </c>
      <c r="Y98" s="1202" t="s">
        <v>200</v>
      </c>
      <c r="Z98" s="1209">
        <v>1</v>
      </c>
      <c r="AA98" s="1209">
        <v>1</v>
      </c>
      <c r="AB98" s="1228" t="s">
        <v>204</v>
      </c>
      <c r="AC98" s="1192"/>
      <c r="AD98" s="81"/>
    </row>
    <row r="99" spans="18:30" ht="15.6">
      <c r="R99" s="1201" t="s">
        <v>794</v>
      </c>
      <c r="S99" s="1202">
        <v>3331563783</v>
      </c>
      <c r="T99" s="1209" t="s">
        <v>256</v>
      </c>
      <c r="U99" s="1202" t="s">
        <v>256</v>
      </c>
      <c r="V99" s="1202" t="s">
        <v>256</v>
      </c>
      <c r="W99" s="1202" t="s">
        <v>256</v>
      </c>
      <c r="X99" s="1203" t="s">
        <v>256</v>
      </c>
      <c r="Y99" s="1202" t="s">
        <v>256</v>
      </c>
      <c r="Z99" s="1209" t="s">
        <v>256</v>
      </c>
      <c r="AA99" s="1209" t="s">
        <v>256</v>
      </c>
      <c r="AB99" s="1228" t="s">
        <v>256</v>
      </c>
      <c r="AC99" s="1192"/>
      <c r="AD99" s="81"/>
    </row>
    <row r="100" spans="18:30" ht="15.6">
      <c r="R100" s="1201" t="s">
        <v>443</v>
      </c>
      <c r="S100" s="1202">
        <v>3331563785</v>
      </c>
      <c r="T100" s="1209" t="s">
        <v>287</v>
      </c>
      <c r="U100" s="1202">
        <v>24141855</v>
      </c>
      <c r="V100" s="1202" t="s">
        <v>601</v>
      </c>
      <c r="W100" s="1202" t="s">
        <v>199</v>
      </c>
      <c r="X100" s="1203">
        <v>26892.059000000001</v>
      </c>
      <c r="Y100" s="1202" t="s">
        <v>200</v>
      </c>
      <c r="Z100" s="1209">
        <v>1</v>
      </c>
      <c r="AA100" s="1209">
        <v>1</v>
      </c>
      <c r="AB100" s="1228" t="s">
        <v>204</v>
      </c>
      <c r="AC100" s="1192" t="s">
        <v>422</v>
      </c>
      <c r="AD100" s="81"/>
    </row>
    <row r="101" spans="18:30" ht="15.6">
      <c r="R101" s="1201" t="s">
        <v>443</v>
      </c>
      <c r="S101" s="1202">
        <v>3331563779</v>
      </c>
      <c r="T101" s="1209" t="s">
        <v>11</v>
      </c>
      <c r="U101" s="1202">
        <v>24141856</v>
      </c>
      <c r="V101" s="1202" t="s">
        <v>535</v>
      </c>
      <c r="W101" s="1202" t="s">
        <v>199</v>
      </c>
      <c r="X101" s="1203">
        <f>13567.5+10175.625</f>
        <v>23743.125</v>
      </c>
      <c r="Y101" s="1202" t="s">
        <v>200</v>
      </c>
      <c r="Z101" s="1209">
        <v>1</v>
      </c>
      <c r="AA101" s="1209">
        <v>1</v>
      </c>
      <c r="AB101" s="1228" t="s">
        <v>204</v>
      </c>
      <c r="AC101" s="1192" t="s">
        <v>422</v>
      </c>
      <c r="AD101" s="81"/>
    </row>
    <row r="102" spans="18:30" ht="15.6">
      <c r="R102" s="1201" t="s">
        <v>443</v>
      </c>
      <c r="S102" s="1202">
        <v>3331563782</v>
      </c>
      <c r="T102" s="1209" t="s">
        <v>256</v>
      </c>
      <c r="U102" s="1202" t="s">
        <v>256</v>
      </c>
      <c r="V102" s="1202" t="s">
        <v>256</v>
      </c>
      <c r="W102" s="1202" t="s">
        <v>256</v>
      </c>
      <c r="X102" s="1203" t="s">
        <v>256</v>
      </c>
      <c r="Y102" s="1202" t="s">
        <v>256</v>
      </c>
      <c r="Z102" s="1209" t="s">
        <v>256</v>
      </c>
      <c r="AA102" s="1209" t="s">
        <v>256</v>
      </c>
      <c r="AB102" s="1228" t="s">
        <v>256</v>
      </c>
      <c r="AC102" s="1192"/>
      <c r="AD102" s="81"/>
    </row>
    <row r="103" spans="18:30" ht="15.6">
      <c r="R103" s="1174" t="s">
        <v>443</v>
      </c>
      <c r="S103" s="105">
        <v>3331563553</v>
      </c>
      <c r="T103" s="105" t="s">
        <v>34</v>
      </c>
      <c r="U103" s="105">
        <v>24141863</v>
      </c>
      <c r="V103" s="1202" t="s">
        <v>464</v>
      </c>
      <c r="W103" s="1202" t="s">
        <v>199</v>
      </c>
      <c r="X103" s="209">
        <f>3096.468+13991.5+9139.219</f>
        <v>26227.186999999998</v>
      </c>
      <c r="Y103" s="105" t="s">
        <v>200</v>
      </c>
      <c r="Z103" s="1209">
        <v>1</v>
      </c>
      <c r="AA103" s="1209">
        <v>1</v>
      </c>
      <c r="AB103" s="1228" t="s">
        <v>204</v>
      </c>
      <c r="AC103" s="1192" t="s">
        <v>422</v>
      </c>
      <c r="AD103" s="81"/>
    </row>
    <row r="104" spans="18:30" ht="15.6">
      <c r="R104" s="1174" t="s">
        <v>443</v>
      </c>
      <c r="S104" s="105">
        <v>3331563620</v>
      </c>
      <c r="T104" s="105" t="s">
        <v>256</v>
      </c>
      <c r="U104" s="105" t="s">
        <v>256</v>
      </c>
      <c r="V104" s="1202" t="s">
        <v>256</v>
      </c>
      <c r="W104" s="1202" t="s">
        <v>256</v>
      </c>
      <c r="X104" s="1231" t="s">
        <v>256</v>
      </c>
      <c r="Y104" s="1202" t="s">
        <v>256</v>
      </c>
      <c r="Z104" s="1202" t="s">
        <v>256</v>
      </c>
      <c r="AA104" s="1202" t="s">
        <v>256</v>
      </c>
      <c r="AB104" s="1228" t="s">
        <v>256</v>
      </c>
      <c r="AC104" s="1192"/>
      <c r="AD104" s="81"/>
    </row>
    <row r="105" spans="18:30" ht="15.6">
      <c r="R105" s="1201" t="s">
        <v>443</v>
      </c>
      <c r="S105" s="1202">
        <v>3331563808</v>
      </c>
      <c r="T105" s="1209" t="s">
        <v>256</v>
      </c>
      <c r="U105" s="1202" t="s">
        <v>256</v>
      </c>
      <c r="V105" s="1202" t="s">
        <v>256</v>
      </c>
      <c r="W105" s="1202" t="s">
        <v>256</v>
      </c>
      <c r="X105" s="1231" t="s">
        <v>256</v>
      </c>
      <c r="Y105" s="1202" t="s">
        <v>256</v>
      </c>
      <c r="Z105" s="1202" t="s">
        <v>256</v>
      </c>
      <c r="AA105" s="1202" t="s">
        <v>256</v>
      </c>
      <c r="AB105" s="1228" t="s">
        <v>256</v>
      </c>
      <c r="AC105" s="1192"/>
      <c r="AD105" s="81"/>
    </row>
    <row r="106" spans="18:30" ht="15.6">
      <c r="R106" s="1189"/>
      <c r="S106" s="1190"/>
      <c r="T106" s="1190"/>
      <c r="U106" s="1190"/>
      <c r="V106" s="1190"/>
      <c r="W106" s="1190"/>
      <c r="X106" s="1190"/>
      <c r="Y106" s="1190"/>
      <c r="Z106" s="1190"/>
      <c r="AA106" s="1190"/>
      <c r="AB106" s="1218"/>
      <c r="AC106" s="1192"/>
      <c r="AD106" s="81"/>
    </row>
    <row r="107" spans="18:30" ht="15.6">
      <c r="R107" s="1189"/>
      <c r="S107" s="1190"/>
      <c r="T107" s="1217"/>
      <c r="U107" s="1190"/>
      <c r="V107" s="1190"/>
      <c r="W107" s="1190"/>
      <c r="X107" s="1191"/>
      <c r="Y107" s="1190"/>
      <c r="Z107" s="1217"/>
      <c r="AA107" s="1217"/>
      <c r="AB107" s="1218"/>
      <c r="AC107" s="1192"/>
      <c r="AD107" s="81"/>
    </row>
    <row r="108" spans="18:30" ht="15.6">
      <c r="R108" s="1189"/>
      <c r="S108" s="1190"/>
      <c r="T108" s="1217"/>
      <c r="U108" s="1190"/>
      <c r="V108" s="1190"/>
      <c r="W108" s="1190"/>
      <c r="X108" s="1191"/>
      <c r="Y108" s="1190"/>
      <c r="Z108" s="1217"/>
      <c r="AA108" s="1217"/>
      <c r="AB108" s="1218"/>
      <c r="AC108" s="1192"/>
      <c r="AD108" s="81"/>
    </row>
    <row r="109" spans="18:30" ht="15.6">
      <c r="R109" s="1189"/>
      <c r="S109" s="1190"/>
      <c r="T109" s="1217"/>
      <c r="U109" s="1190"/>
      <c r="V109" s="1190"/>
      <c r="W109" s="1190"/>
      <c r="X109" s="1191"/>
      <c r="Y109" s="1190"/>
      <c r="Z109" s="1217"/>
      <c r="AA109" s="1217"/>
      <c r="AB109" s="1218"/>
      <c r="AC109" s="1192"/>
      <c r="AD109" s="81"/>
    </row>
    <row r="110" spans="18:30" ht="15.6">
      <c r="R110" s="1189"/>
      <c r="S110" s="1190"/>
      <c r="T110" s="1217"/>
      <c r="U110" s="1190"/>
      <c r="V110" s="1190"/>
      <c r="W110" s="1190"/>
      <c r="X110" s="1191"/>
      <c r="Y110" s="1190"/>
      <c r="Z110" s="1217"/>
      <c r="AA110" s="1217"/>
      <c r="AB110" s="1218"/>
      <c r="AC110" s="1192"/>
      <c r="AD110" s="81"/>
    </row>
    <row r="111" spans="18:30" ht="15.6">
      <c r="R111" s="1189"/>
      <c r="S111" s="1190"/>
      <c r="T111" s="1190"/>
      <c r="U111" s="1190"/>
      <c r="V111" s="1190"/>
      <c r="W111" s="1190"/>
      <c r="X111" s="1191"/>
      <c r="Y111" s="1190"/>
      <c r="Z111" s="1217"/>
      <c r="AA111" s="1217"/>
      <c r="AB111" s="1218"/>
      <c r="AC111" s="1192"/>
      <c r="AD111" s="81"/>
    </row>
    <row r="112" spans="18:30" ht="15.6">
      <c r="R112" s="1189"/>
      <c r="S112" s="1190"/>
      <c r="T112" s="1217"/>
      <c r="U112" s="1190"/>
      <c r="V112" s="1190"/>
      <c r="W112" s="1190"/>
      <c r="X112" s="1191"/>
      <c r="Y112" s="1190"/>
      <c r="Z112" s="1217"/>
      <c r="AA112" s="1217"/>
      <c r="AB112" s="1218"/>
      <c r="AC112" s="1192"/>
      <c r="AD112" s="81"/>
    </row>
    <row r="113" spans="18:30" ht="15.6">
      <c r="R113" s="1189"/>
      <c r="S113" s="1190"/>
      <c r="T113" s="1217"/>
      <c r="U113" s="1190"/>
      <c r="V113" s="1190"/>
      <c r="W113" s="1190"/>
      <c r="X113" s="1191"/>
      <c r="Y113" s="1190"/>
      <c r="Z113" s="1217"/>
      <c r="AA113" s="1217"/>
      <c r="AB113" s="1218"/>
      <c r="AC113" s="1192"/>
      <c r="AD113" s="81"/>
    </row>
    <row r="114" spans="18:30" ht="15.6">
      <c r="R114" s="1189"/>
      <c r="S114" s="1190"/>
      <c r="T114" s="1190"/>
      <c r="U114" s="1190"/>
      <c r="V114" s="1190"/>
      <c r="W114" s="1190"/>
      <c r="X114" s="1191"/>
      <c r="Y114" s="1190"/>
      <c r="Z114" s="1217"/>
      <c r="AA114" s="1217"/>
      <c r="AB114" s="1218"/>
      <c r="AC114" s="1192"/>
      <c r="AD114" s="81"/>
    </row>
    <row r="115" spans="18:30" ht="15.6">
      <c r="R115" s="1189"/>
      <c r="S115" s="1190"/>
      <c r="T115" s="1217"/>
      <c r="U115" s="1190"/>
      <c r="V115" s="1190"/>
      <c r="W115" s="1190"/>
      <c r="X115" s="1191"/>
      <c r="Y115" s="1190"/>
      <c r="Z115" s="1217"/>
      <c r="AA115" s="1217"/>
      <c r="AB115" s="1218"/>
      <c r="AC115" s="1192"/>
      <c r="AD115" s="81"/>
    </row>
    <row r="116" spans="18:30" ht="15.6">
      <c r="R116" s="1189"/>
      <c r="S116" s="1190"/>
      <c r="T116" s="1217"/>
      <c r="U116" s="1190"/>
      <c r="V116" s="1190"/>
      <c r="W116" s="1190"/>
      <c r="X116" s="1191"/>
      <c r="Y116" s="1190"/>
      <c r="Z116" s="1217"/>
      <c r="AA116" s="1217"/>
      <c r="AB116" s="1218"/>
      <c r="AC116" s="1192"/>
      <c r="AD116" s="81"/>
    </row>
    <row r="117" spans="18:30" ht="15.6">
      <c r="R117" s="1189"/>
      <c r="S117" s="1190"/>
      <c r="T117" s="1217"/>
      <c r="U117" s="1190"/>
      <c r="V117" s="1190"/>
      <c r="W117" s="1190"/>
      <c r="X117" s="1191"/>
      <c r="Y117" s="1190"/>
      <c r="Z117" s="1217"/>
      <c r="AA117" s="1217"/>
      <c r="AB117" s="1218"/>
      <c r="AC117" s="1192"/>
      <c r="AD117" s="81"/>
    </row>
    <row r="118" spans="18:30" ht="15.6">
      <c r="R118" s="1189"/>
      <c r="S118" s="1190"/>
      <c r="T118" s="1217"/>
      <c r="U118" s="1190"/>
      <c r="V118" s="1190"/>
      <c r="W118" s="1190"/>
      <c r="X118" s="1191"/>
      <c r="Y118" s="1190"/>
      <c r="Z118" s="1217"/>
      <c r="AA118" s="1217"/>
      <c r="AB118" s="1218"/>
      <c r="AC118" s="1192"/>
      <c r="AD118" s="81"/>
    </row>
    <row r="119" spans="18:30" ht="15.6">
      <c r="R119" s="1189"/>
      <c r="S119" s="1190"/>
      <c r="T119" s="1190"/>
      <c r="U119" s="1190"/>
      <c r="V119" s="1190"/>
      <c r="W119" s="1190"/>
      <c r="X119" s="1191"/>
      <c r="Y119" s="1190"/>
      <c r="Z119" s="1217"/>
      <c r="AA119" s="1217"/>
      <c r="AB119" s="1218"/>
      <c r="AC119" s="1192"/>
      <c r="AD119" s="81"/>
    </row>
    <row r="120" spans="18:30" ht="15.6">
      <c r="R120" s="1189"/>
      <c r="S120" s="1190"/>
      <c r="T120" s="1190"/>
      <c r="U120" s="1190"/>
      <c r="V120" s="1190"/>
      <c r="W120" s="1190"/>
      <c r="X120" s="1191"/>
      <c r="Y120" s="1190"/>
      <c r="Z120" s="1217"/>
      <c r="AA120" s="1217"/>
      <c r="AB120" s="1218"/>
      <c r="AC120" s="1192"/>
      <c r="AD120" s="81"/>
    </row>
    <row r="121" spans="18:30" s="44" customFormat="1" ht="15.6">
      <c r="R121" s="1189"/>
      <c r="S121" s="1190"/>
      <c r="T121" s="1190"/>
      <c r="U121" s="1190"/>
      <c r="V121" s="1190"/>
      <c r="W121" s="1190"/>
      <c r="X121" s="1191"/>
      <c r="Y121" s="1190"/>
      <c r="Z121" s="1217"/>
      <c r="AA121" s="1217"/>
      <c r="AB121" s="1218"/>
      <c r="AC121" s="1192"/>
      <c r="AD121" s="81"/>
    </row>
    <row r="122" spans="18:30" s="44" customFormat="1" ht="15.6">
      <c r="R122" s="1189"/>
      <c r="S122" s="1190"/>
      <c r="T122" s="1217"/>
      <c r="U122" s="1190"/>
      <c r="V122" s="1190"/>
      <c r="W122" s="1190"/>
      <c r="X122" s="1191"/>
      <c r="Y122" s="1190"/>
      <c r="Z122" s="1217"/>
      <c r="AA122" s="1217"/>
      <c r="AB122" s="1218"/>
      <c r="AC122" s="1192"/>
      <c r="AD122" s="81"/>
    </row>
    <row r="123" spans="18:30" s="44" customFormat="1" ht="15.6">
      <c r="R123" s="1189"/>
      <c r="S123" s="1190"/>
      <c r="T123" s="1217"/>
      <c r="U123" s="1190"/>
      <c r="V123" s="1190"/>
      <c r="W123" s="1190"/>
      <c r="X123" s="1191"/>
      <c r="Y123" s="1190"/>
      <c r="Z123" s="1217"/>
      <c r="AA123" s="1217"/>
      <c r="AB123" s="1218"/>
      <c r="AC123" s="1192"/>
      <c r="AD123" s="81"/>
    </row>
    <row r="124" spans="18:30" s="44" customFormat="1" ht="15.6">
      <c r="R124" s="1189"/>
      <c r="S124" s="1190"/>
      <c r="T124" s="1190"/>
      <c r="U124" s="1190"/>
      <c r="V124" s="1190"/>
      <c r="W124" s="1190"/>
      <c r="X124" s="1191"/>
      <c r="Y124" s="1190"/>
      <c r="Z124" s="1217"/>
      <c r="AA124" s="1217"/>
      <c r="AB124" s="1218"/>
      <c r="AC124" s="1192"/>
      <c r="AD124" s="81"/>
    </row>
    <row r="125" spans="18:30" s="44" customFormat="1" ht="15.6">
      <c r="R125" s="1189"/>
      <c r="S125" s="1190"/>
      <c r="T125" s="1190"/>
      <c r="U125" s="1190"/>
      <c r="V125" s="1190"/>
      <c r="W125" s="1190"/>
      <c r="X125" s="1191"/>
      <c r="Y125" s="1190"/>
      <c r="Z125" s="1217"/>
      <c r="AA125" s="1217"/>
      <c r="AB125" s="1218"/>
      <c r="AC125" s="1192"/>
      <c r="AD125" s="81"/>
    </row>
    <row r="126" spans="18:30" s="44" customFormat="1" ht="15.6">
      <c r="R126" s="1189"/>
      <c r="S126" s="1190"/>
      <c r="T126" s="1111"/>
      <c r="U126" s="1190"/>
      <c r="V126" s="1190"/>
      <c r="W126" s="1190"/>
      <c r="X126" s="1191"/>
      <c r="Y126" s="1190"/>
      <c r="Z126" s="1106"/>
      <c r="AA126" s="1106"/>
      <c r="AB126" s="1110"/>
      <c r="AC126" s="1192"/>
      <c r="AD126" s="81"/>
    </row>
    <row r="127" spans="18:30" s="44" customFormat="1" ht="15.6">
      <c r="R127" s="1189"/>
      <c r="S127" s="1190"/>
      <c r="T127" s="1111"/>
      <c r="U127" s="1190"/>
      <c r="V127" s="1190"/>
      <c r="W127" s="1190"/>
      <c r="X127" s="1191"/>
      <c r="Y127" s="1190"/>
      <c r="Z127" s="1190"/>
      <c r="AA127" s="1190"/>
      <c r="AB127" s="1110"/>
      <c r="AC127" s="1192"/>
      <c r="AD127" s="81"/>
    </row>
    <row r="128" spans="18:30" s="44" customFormat="1">
      <c r="R128" s="1189"/>
      <c r="S128" s="1190"/>
      <c r="T128" s="1106"/>
      <c r="U128" s="1190"/>
      <c r="V128" s="1190"/>
      <c r="W128" s="1190"/>
      <c r="X128" s="1191"/>
      <c r="Y128" s="1190"/>
      <c r="Z128" s="1190"/>
      <c r="AA128" s="1190"/>
      <c r="AB128" s="1190"/>
      <c r="AC128" s="1192"/>
      <c r="AD128" s="81"/>
    </row>
    <row r="129" spans="18:30">
      <c r="R129" s="1189"/>
      <c r="S129" s="1190"/>
      <c r="T129" s="1190"/>
      <c r="U129" s="1190"/>
      <c r="V129" s="1190"/>
      <c r="W129" s="1190"/>
      <c r="X129" s="1191"/>
      <c r="Y129" s="1190"/>
      <c r="Z129" s="1190"/>
      <c r="AA129" s="1190"/>
      <c r="AB129" s="1190"/>
      <c r="AC129" s="1192"/>
      <c r="AD129" s="81"/>
    </row>
    <row r="130" spans="18:30">
      <c r="R130" s="1189"/>
      <c r="S130" s="1190"/>
      <c r="T130" s="1190"/>
      <c r="U130" s="1190"/>
      <c r="V130" s="1190"/>
      <c r="W130" s="1190"/>
      <c r="X130" s="1191"/>
      <c r="Y130" s="1190"/>
      <c r="Z130" s="1190"/>
      <c r="AA130" s="1190"/>
      <c r="AB130" s="1190"/>
      <c r="AC130" s="1192"/>
      <c r="AD130" s="81"/>
    </row>
    <row r="131" spans="18:30">
      <c r="R131" s="1189"/>
      <c r="S131" s="1190"/>
      <c r="T131" s="1106"/>
      <c r="U131" s="1190"/>
      <c r="V131" s="1190"/>
      <c r="W131" s="1190"/>
      <c r="X131" s="1191"/>
      <c r="Y131" s="1190"/>
      <c r="Z131" s="1190"/>
      <c r="AA131" s="1190"/>
      <c r="AB131" s="1190"/>
      <c r="AC131" s="1192"/>
      <c r="AD131" s="81"/>
    </row>
    <row r="132" spans="18:30">
      <c r="R132" s="1189"/>
      <c r="S132" s="1190"/>
      <c r="T132" s="1106"/>
      <c r="U132" s="1190"/>
      <c r="V132" s="1190"/>
      <c r="W132" s="1190"/>
      <c r="X132" s="1191"/>
      <c r="Y132" s="1190"/>
      <c r="Z132" s="1190"/>
      <c r="AA132" s="1190"/>
      <c r="AB132" s="1190"/>
      <c r="AC132" s="1192"/>
      <c r="AD132" s="26"/>
    </row>
    <row r="133" spans="18:30">
      <c r="R133" s="1189"/>
      <c r="S133" s="1190"/>
      <c r="T133" s="1111"/>
      <c r="U133" s="1190"/>
      <c r="V133" s="1190"/>
      <c r="W133" s="1190"/>
      <c r="X133" s="1191"/>
      <c r="Y133" s="1190"/>
      <c r="Z133" s="1190"/>
      <c r="AA133" s="1190"/>
      <c r="AB133" s="1190"/>
      <c r="AC133" s="1192"/>
      <c r="AD133" s="26"/>
    </row>
    <row r="134" spans="18:30">
      <c r="R134" s="1189"/>
      <c r="S134" s="1190"/>
      <c r="T134" s="1106"/>
      <c r="U134" s="1190"/>
      <c r="V134" s="1190"/>
      <c r="W134" s="1190"/>
      <c r="X134" s="1191"/>
      <c r="Y134" s="1190"/>
      <c r="Z134" s="1190"/>
      <c r="AA134" s="1190"/>
      <c r="AB134" s="1190"/>
      <c r="AC134" s="1192"/>
      <c r="AD134" s="26"/>
    </row>
    <row r="135" spans="18:30">
      <c r="R135" s="1189"/>
      <c r="S135" s="1190"/>
      <c r="T135" s="1111"/>
      <c r="U135" s="1190"/>
      <c r="V135" s="1190"/>
      <c r="W135" s="1190"/>
      <c r="X135" s="1191"/>
      <c r="Y135" s="1190"/>
      <c r="Z135" s="1190"/>
      <c r="AA135" s="1190"/>
      <c r="AB135" s="1190"/>
      <c r="AC135" s="1192"/>
      <c r="AD135" s="26"/>
    </row>
    <row r="136" spans="18:30">
      <c r="R136" s="1189"/>
      <c r="S136" s="1190"/>
      <c r="T136" s="1106"/>
      <c r="U136" s="1190"/>
      <c r="V136" s="1190"/>
      <c r="W136" s="1190"/>
      <c r="X136" s="1191"/>
      <c r="Y136" s="1190"/>
      <c r="Z136" s="1190"/>
      <c r="AA136" s="1190"/>
      <c r="AB136" s="1190"/>
      <c r="AC136" s="1192"/>
      <c r="AD136" s="26"/>
    </row>
    <row r="137" spans="18:30">
      <c r="R137" s="1189"/>
      <c r="S137" s="1190"/>
      <c r="T137" s="1106"/>
      <c r="U137" s="1190"/>
      <c r="V137" s="1190"/>
      <c r="W137" s="1190"/>
      <c r="X137" s="1191"/>
      <c r="Y137" s="1190"/>
      <c r="Z137" s="1190"/>
      <c r="AA137" s="1190"/>
      <c r="AB137" s="1190"/>
      <c r="AC137" s="1192"/>
      <c r="AD137" s="26"/>
    </row>
    <row r="138" spans="18:30">
      <c r="R138" s="1189"/>
      <c r="S138" s="1190"/>
      <c r="T138" s="1111"/>
      <c r="U138" s="1190"/>
      <c r="V138" s="1190"/>
      <c r="W138" s="1190"/>
      <c r="X138" s="1191"/>
      <c r="Y138" s="1190"/>
      <c r="Z138" s="1190"/>
      <c r="AA138" s="1190"/>
      <c r="AB138" s="1190"/>
      <c r="AC138" s="1192"/>
      <c r="AD138" s="26"/>
    </row>
    <row r="139" spans="18:30">
      <c r="R139" s="1189"/>
      <c r="S139" s="1190"/>
      <c r="T139" s="1106"/>
      <c r="U139" s="1190"/>
      <c r="V139" s="1190"/>
      <c r="W139" s="1190"/>
      <c r="X139" s="1191"/>
      <c r="Y139" s="1190"/>
      <c r="Z139" s="1190"/>
      <c r="AA139" s="1190"/>
      <c r="AB139" s="1190"/>
      <c r="AC139" s="1192"/>
      <c r="AD139" s="26"/>
    </row>
    <row r="140" spans="18:30">
      <c r="R140" s="1189"/>
      <c r="S140" s="1190"/>
      <c r="T140" s="1190"/>
      <c r="U140" s="1190"/>
      <c r="V140" s="1190"/>
      <c r="W140" s="1190"/>
      <c r="X140" s="1191"/>
      <c r="Y140" s="1190"/>
      <c r="Z140" s="1190"/>
      <c r="AA140" s="1190"/>
      <c r="AB140" s="1190"/>
      <c r="AC140" s="1192"/>
      <c r="AD140" s="26"/>
    </row>
    <row r="141" spans="18:30">
      <c r="R141" s="1189"/>
      <c r="S141" s="1190"/>
      <c r="T141" s="1106"/>
      <c r="U141" s="1190"/>
      <c r="V141" s="1190"/>
      <c r="W141" s="1190"/>
      <c r="X141" s="1191"/>
      <c r="Y141" s="1190"/>
      <c r="Z141" s="1190"/>
      <c r="AA141" s="1190"/>
      <c r="AB141" s="1190"/>
      <c r="AC141" s="1192"/>
      <c r="AD141" s="26"/>
    </row>
    <row r="142" spans="18:30">
      <c r="R142" s="1189"/>
      <c r="S142" s="1190"/>
      <c r="T142" s="1106"/>
      <c r="U142" s="1190"/>
      <c r="V142" s="1190"/>
      <c r="W142" s="1190"/>
      <c r="X142" s="1191"/>
      <c r="Y142" s="1190"/>
      <c r="Z142" s="1190"/>
      <c r="AA142" s="1190"/>
      <c r="AB142" s="1190"/>
      <c r="AC142" s="1192"/>
      <c r="AD142" s="26"/>
    </row>
    <row r="143" spans="18:30">
      <c r="R143" s="1189"/>
      <c r="S143" s="1190"/>
      <c r="T143" s="1106"/>
      <c r="U143" s="1190"/>
      <c r="V143" s="1190"/>
      <c r="W143" s="1190"/>
      <c r="X143" s="1191"/>
      <c r="Y143" s="1190"/>
      <c r="Z143" s="1190"/>
      <c r="AA143" s="1190"/>
      <c r="AB143" s="1190"/>
      <c r="AC143" s="1192"/>
      <c r="AD143" s="26"/>
    </row>
    <row r="144" spans="18:30">
      <c r="R144" s="1189"/>
      <c r="S144" s="1190"/>
      <c r="T144" s="1106"/>
      <c r="U144" s="1190"/>
      <c r="V144" s="1190"/>
      <c r="W144" s="1190"/>
      <c r="X144" s="1193"/>
      <c r="Y144" s="1190"/>
      <c r="Z144" s="1190"/>
      <c r="AA144" s="1190"/>
      <c r="AB144" s="1190"/>
      <c r="AC144" s="1192"/>
      <c r="AD144" s="26"/>
    </row>
    <row r="145" spans="18:30">
      <c r="R145" s="1189"/>
      <c r="S145" s="1190"/>
      <c r="T145" s="1111"/>
      <c r="U145" s="1190"/>
      <c r="V145" s="1190"/>
      <c r="W145" s="1190"/>
      <c r="X145" s="1191"/>
      <c r="Y145" s="1190"/>
      <c r="Z145" s="1190"/>
      <c r="AA145" s="1190"/>
      <c r="AB145" s="1190"/>
      <c r="AC145" s="1192"/>
      <c r="AD145" s="26"/>
    </row>
    <row r="146" spans="18:30">
      <c r="R146" s="1194"/>
      <c r="S146" s="1195"/>
      <c r="T146" s="1111"/>
      <c r="U146" s="1195"/>
      <c r="V146" s="1190"/>
      <c r="W146" s="1190"/>
      <c r="X146" s="1196"/>
      <c r="Y146" s="1195"/>
      <c r="Z146" s="1195"/>
      <c r="AA146" s="1195"/>
      <c r="AB146" s="1195"/>
      <c r="AC146" s="1192"/>
      <c r="AD146" s="26"/>
    </row>
    <row r="147" spans="18:30">
      <c r="R147" s="1194"/>
      <c r="S147" s="1195"/>
      <c r="T147" s="1111"/>
      <c r="U147" s="1195"/>
      <c r="V147" s="1190"/>
      <c r="W147" s="1190"/>
      <c r="X147" s="1196"/>
      <c r="Y147" s="1195"/>
      <c r="Z147" s="1195"/>
      <c r="AA147" s="1195"/>
      <c r="AB147" s="1195"/>
      <c r="AC147" s="1192"/>
      <c r="AD147" s="26"/>
    </row>
    <row r="148" spans="18:30">
      <c r="R148" s="1189"/>
      <c r="S148" s="1190"/>
      <c r="T148" s="1111"/>
      <c r="U148" s="1190"/>
      <c r="V148" s="1190"/>
      <c r="W148" s="1190"/>
      <c r="X148" s="1191"/>
      <c r="Y148" s="1195"/>
      <c r="Z148" s="1190"/>
      <c r="AA148" s="1190"/>
      <c r="AB148" s="1190"/>
      <c r="AC148" s="1192"/>
      <c r="AD148" s="26"/>
    </row>
    <row r="149" spans="18:30">
      <c r="R149" s="1189"/>
      <c r="S149" s="1190"/>
      <c r="T149" s="1111"/>
      <c r="U149" s="1190"/>
      <c r="V149" s="1190"/>
      <c r="W149" s="1190"/>
      <c r="X149" s="1191"/>
      <c r="Y149" s="1195"/>
      <c r="Z149" s="1190"/>
      <c r="AA149" s="1190"/>
      <c r="AB149" s="1190"/>
      <c r="AC149" s="1192"/>
      <c r="AD149" s="26"/>
    </row>
    <row r="150" spans="18:30">
      <c r="R150" s="1194"/>
      <c r="S150" s="1195"/>
      <c r="T150" s="1111"/>
      <c r="U150" s="1195"/>
      <c r="V150" s="1195"/>
      <c r="W150" s="1190"/>
      <c r="X150" s="1196"/>
      <c r="Y150" s="1195"/>
      <c r="Z150" s="1195"/>
      <c r="AA150" s="1195"/>
      <c r="AB150" s="1190"/>
      <c r="AC150" s="1192"/>
      <c r="AD150" s="26"/>
    </row>
    <row r="151" spans="18:30">
      <c r="R151" s="1194"/>
      <c r="S151" s="1195"/>
      <c r="T151" s="1106"/>
      <c r="U151" s="1195"/>
      <c r="V151" s="1195"/>
      <c r="W151" s="1195"/>
      <c r="X151" s="1196"/>
      <c r="Y151" s="1195"/>
      <c r="Z151" s="1195"/>
      <c r="AA151" s="1195"/>
      <c r="AB151" s="1195"/>
      <c r="AC151" s="1197"/>
      <c r="AD151" s="26"/>
    </row>
    <row r="152" spans="18:30">
      <c r="R152" s="1189"/>
      <c r="S152" s="1190"/>
      <c r="T152" s="1190"/>
      <c r="U152" s="1190"/>
      <c r="V152" s="1190"/>
      <c r="W152" s="1190"/>
      <c r="X152" s="1191"/>
      <c r="Y152" s="1190"/>
      <c r="Z152" s="1190"/>
      <c r="AA152" s="1190"/>
      <c r="AB152" s="1190"/>
      <c r="AC152" s="1192"/>
      <c r="AD152" s="26"/>
    </row>
    <row r="153" spans="18:30">
      <c r="R153" s="1189"/>
      <c r="S153" s="1190"/>
      <c r="T153" s="1190"/>
      <c r="U153" s="1190"/>
      <c r="V153" s="1195"/>
      <c r="W153" s="1190"/>
      <c r="X153" s="1191"/>
      <c r="Y153" s="1190"/>
      <c r="Z153" s="1190"/>
      <c r="AA153" s="1190"/>
      <c r="AB153" s="1190"/>
      <c r="AC153" s="1192"/>
      <c r="AD153" s="26"/>
    </row>
    <row r="154" spans="18:30">
      <c r="R154" s="1189"/>
      <c r="S154" s="1190"/>
      <c r="T154" s="1190"/>
      <c r="U154" s="1190"/>
      <c r="V154" s="1195"/>
      <c r="W154" s="1190"/>
      <c r="X154" s="1191"/>
      <c r="Y154" s="1190"/>
      <c r="Z154" s="1190"/>
      <c r="AA154" s="1190"/>
      <c r="AB154" s="1190"/>
      <c r="AC154" s="1192"/>
      <c r="AD154" s="26"/>
    </row>
    <row r="155" spans="18:30">
      <c r="R155" s="1189"/>
      <c r="S155" s="1190"/>
      <c r="T155" s="1190"/>
      <c r="U155" s="1190"/>
      <c r="V155" s="1190"/>
      <c r="W155" s="1190"/>
      <c r="X155" s="1191"/>
      <c r="Y155" s="1190"/>
      <c r="Z155" s="1190"/>
      <c r="AA155" s="1190"/>
      <c r="AB155" s="1190"/>
      <c r="AC155" s="1192"/>
      <c r="AD155" s="26"/>
    </row>
    <row r="156" spans="18:30">
      <c r="R156" s="1189"/>
      <c r="S156" s="1190"/>
      <c r="T156" s="1190"/>
      <c r="U156" s="1190"/>
      <c r="V156" s="1190"/>
      <c r="W156" s="1190"/>
      <c r="X156" s="1191"/>
      <c r="Y156" s="1190"/>
      <c r="Z156" s="1190"/>
      <c r="AA156" s="1190"/>
      <c r="AB156" s="1190"/>
      <c r="AC156" s="1192"/>
      <c r="AD156" s="26"/>
    </row>
    <row r="157" spans="18:30">
      <c r="R157" s="1189"/>
      <c r="S157" s="1190"/>
      <c r="T157" s="1190"/>
      <c r="U157" s="1190"/>
      <c r="V157" s="1195"/>
      <c r="W157" s="1190"/>
      <c r="X157" s="1191"/>
      <c r="Y157" s="1190"/>
      <c r="Z157" s="1190"/>
      <c r="AA157" s="1190"/>
      <c r="AB157" s="1190"/>
      <c r="AC157" s="1192"/>
      <c r="AD157" s="81"/>
    </row>
    <row r="158" spans="18:30">
      <c r="R158" s="1189"/>
      <c r="S158" s="1190"/>
      <c r="T158" s="1190"/>
      <c r="U158" s="1190"/>
      <c r="V158" s="1195"/>
      <c r="W158" s="1190"/>
      <c r="X158" s="1191"/>
      <c r="Y158" s="1190"/>
      <c r="Z158" s="1190"/>
      <c r="AA158" s="1190"/>
      <c r="AB158" s="1190"/>
      <c r="AC158" s="1192"/>
      <c r="AD158" s="203"/>
    </row>
    <row r="159" spans="18:30">
      <c r="R159" s="1190"/>
      <c r="S159" s="1190"/>
      <c r="T159" s="1190"/>
      <c r="U159" s="1190"/>
      <c r="V159" s="1190"/>
      <c r="W159" s="1190"/>
      <c r="X159" s="1190"/>
      <c r="Y159" s="1190"/>
      <c r="Z159" s="1190"/>
      <c r="AA159" s="1190"/>
      <c r="AB159" s="1190"/>
      <c r="AC159" s="1190"/>
      <c r="AD159" s="44"/>
    </row>
    <row r="160" spans="18:30">
      <c r="R160" s="1190"/>
      <c r="S160" s="1190"/>
      <c r="T160" s="1190"/>
      <c r="U160" s="1190"/>
      <c r="V160" s="1190"/>
      <c r="W160" s="1190"/>
      <c r="X160" s="1190"/>
      <c r="Y160" s="1190"/>
      <c r="Z160" s="1190"/>
      <c r="AA160" s="1190"/>
      <c r="AB160" s="1190"/>
      <c r="AC160" s="1190"/>
      <c r="AD160" s="44"/>
    </row>
    <row r="161" spans="18:30">
      <c r="R161" s="1190"/>
      <c r="S161" s="1190"/>
      <c r="T161" s="1190"/>
      <c r="U161" s="1190"/>
      <c r="V161" s="1190"/>
      <c r="W161" s="1190"/>
      <c r="X161" s="1190"/>
      <c r="Y161" s="1190"/>
      <c r="Z161" s="1190"/>
      <c r="AA161" s="1190"/>
      <c r="AB161" s="1190"/>
      <c r="AC161" s="1190"/>
      <c r="AD161" s="44"/>
    </row>
    <row r="162" spans="18:30">
      <c r="R162" s="1190"/>
      <c r="S162" s="1190"/>
      <c r="T162" s="1190"/>
      <c r="U162" s="1190"/>
      <c r="V162" s="1190"/>
      <c r="W162" s="1190"/>
      <c r="X162" s="1190"/>
      <c r="Y162" s="1190"/>
      <c r="Z162" s="1190"/>
      <c r="AA162" s="1190"/>
      <c r="AB162" s="1190"/>
      <c r="AC162" s="1190"/>
      <c r="AD162" s="44"/>
    </row>
    <row r="163" spans="18:30">
      <c r="R163" s="1190"/>
      <c r="S163" s="1190"/>
      <c r="T163" s="1190"/>
      <c r="U163" s="1190"/>
      <c r="V163" s="1190"/>
      <c r="W163" s="1190"/>
      <c r="X163" s="1190"/>
      <c r="Y163" s="1190"/>
      <c r="Z163" s="1190"/>
      <c r="AA163" s="1190"/>
      <c r="AB163" s="1190"/>
      <c r="AC163" s="1190"/>
      <c r="AD163" s="44"/>
    </row>
    <row r="164" spans="18:30">
      <c r="R164" s="1190"/>
      <c r="S164" s="1190"/>
      <c r="T164" s="1190"/>
      <c r="U164" s="1190"/>
      <c r="V164" s="1190"/>
      <c r="W164" s="1190"/>
      <c r="X164" s="1190"/>
      <c r="Y164" s="1190"/>
      <c r="Z164" s="1190"/>
      <c r="AA164" s="1190"/>
      <c r="AB164" s="1190"/>
      <c r="AC164" s="1190"/>
      <c r="AD164" s="44"/>
    </row>
    <row r="165" spans="18:30">
      <c r="R165" s="1190"/>
      <c r="S165" s="1190"/>
      <c r="T165" s="1190"/>
      <c r="U165" s="1190"/>
      <c r="V165" s="1190"/>
      <c r="W165" s="1190"/>
      <c r="X165" s="1190"/>
      <c r="Y165" s="1190"/>
      <c r="Z165" s="1190"/>
      <c r="AA165" s="1190"/>
      <c r="AB165" s="1190"/>
      <c r="AC165" s="1190"/>
    </row>
    <row r="166" spans="18:30">
      <c r="R166" s="1190"/>
      <c r="S166" s="1190"/>
      <c r="T166" s="1190"/>
      <c r="U166" s="1190"/>
      <c r="V166" s="1190"/>
      <c r="W166" s="1190"/>
      <c r="X166" s="1190"/>
      <c r="Y166" s="1190"/>
      <c r="Z166" s="1190"/>
      <c r="AA166" s="1190"/>
      <c r="AB166" s="1190"/>
      <c r="AC166" s="1190"/>
    </row>
    <row r="167" spans="18:30">
      <c r="R167" s="1190"/>
      <c r="S167" s="1190"/>
      <c r="T167" s="1190"/>
      <c r="U167" s="1190"/>
      <c r="V167" s="1190"/>
      <c r="W167" s="1190"/>
      <c r="X167" s="1190"/>
      <c r="Y167" s="1190"/>
      <c r="Z167" s="1190"/>
      <c r="AA167" s="1190"/>
      <c r="AB167" s="1190"/>
      <c r="AC167" s="1190"/>
    </row>
    <row r="168" spans="18:30">
      <c r="R168" s="1190"/>
      <c r="S168" s="1190"/>
      <c r="T168" s="1190"/>
      <c r="U168" s="1190"/>
      <c r="V168" s="1190"/>
      <c r="W168" s="1190"/>
      <c r="X168" s="1190"/>
      <c r="Y168" s="1190"/>
      <c r="Z168" s="1190"/>
      <c r="AA168" s="1190"/>
      <c r="AB168" s="1190"/>
      <c r="AC168" s="1190"/>
    </row>
    <row r="169" spans="18:30">
      <c r="R169" s="1190"/>
      <c r="S169" s="1190"/>
      <c r="T169" s="1190"/>
      <c r="U169" s="1190"/>
      <c r="V169" s="1190"/>
      <c r="W169" s="1190"/>
      <c r="X169" s="1190"/>
      <c r="Y169" s="1190"/>
      <c r="Z169" s="1190"/>
      <c r="AA169" s="1190"/>
      <c r="AB169" s="1190"/>
      <c r="AC169" s="1190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59" name="Range1_65_32_32_30_30_30_30_30_30_30_30_30_30_30_30"/>
    <protectedRange algorithmName="SHA-512" hashValue="XYWjC+iAz2ErgjMh7TSLHlxfTfK0uVcITDFdCCZFdnsWWbUNnsQqu9AM+0WFXQpYcy9ZvQx2KUXfpLhpOROHkg==" saltValue="47TiGLG0rJVTo3iAJH8T4w==" spinCount="100000" sqref="B22:D59" name="Range2_5_2_2_2_2_2_2_2_2_2_2_2_2_2_2"/>
    <protectedRange algorithmName="SHA-512" hashValue="24Yg3M703G5L8OyJWxlkx8c1Gwfrkael5W/l3TUk/Rcz5tR8QOgCx5v0Ebb/UGz+9BDKPJ5wV4hH8uuxvmtGIw==" saltValue="ZSJQ8EEnwGxsiYzxIw6K0Q==" spinCount="100000" sqref="B20:D59" name="Range1_65_32_2_2_2_2_2_2_2_2_2_2_2_2_2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conditionalFormatting sqref="S2">
    <cfRule type="duplicateValues" dxfId="5" priority="1"/>
    <cfRule type="duplicateValues" dxfId="4" priority="2"/>
  </conditionalFormatting>
  <conditionalFormatting sqref="S8:S9">
    <cfRule type="duplicateValues" dxfId="3" priority="4"/>
  </conditionalFormatting>
  <conditionalFormatting sqref="S11:S12">
    <cfRule type="duplicateValues" dxfId="2" priority="34"/>
  </conditionalFormatting>
  <conditionalFormatting sqref="S12">
    <cfRule type="duplicateValues" dxfId="1" priority="38"/>
  </conditionalFormatting>
  <conditionalFormatting sqref="S19:S21 S8:S9">
    <cfRule type="duplicateValues" dxfId="0" priority="36"/>
  </conditionalFormatting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A079-9FDF-4255-A633-BD239C48394D}">
  <dimension ref="A1:H91"/>
  <sheetViews>
    <sheetView workbookViewId="0">
      <selection activeCell="A2" sqref="A2"/>
    </sheetView>
  </sheetViews>
  <sheetFormatPr defaultRowHeight="14.4"/>
  <cols>
    <col min="1" max="1" width="10.88671875" bestFit="1" customWidth="1"/>
    <col min="2" max="2" width="12" bestFit="1" customWidth="1"/>
    <col min="3" max="3" width="2" bestFit="1" customWidth="1"/>
    <col min="4" max="4" width="9.88671875" bestFit="1" customWidth="1"/>
    <col min="5" max="5" width="39.109375" bestFit="1" customWidth="1"/>
    <col min="6" max="6" width="31.44140625" bestFit="1" customWidth="1"/>
    <col min="7" max="7" width="12.5546875" bestFit="1" customWidth="1"/>
    <col min="8" max="8" width="23.109375" bestFit="1" customWidth="1"/>
  </cols>
  <sheetData>
    <row r="1" spans="1:8">
      <c r="A1" s="112" t="s">
        <v>839</v>
      </c>
      <c r="B1" s="112" t="s">
        <v>840</v>
      </c>
      <c r="C1" s="112" t="s">
        <v>841</v>
      </c>
      <c r="D1" s="112" t="s">
        <v>842</v>
      </c>
      <c r="E1" s="112" t="s">
        <v>843</v>
      </c>
      <c r="F1" s="112" t="s">
        <v>844</v>
      </c>
      <c r="G1" s="112" t="s">
        <v>845</v>
      </c>
      <c r="H1" s="112" t="s">
        <v>846</v>
      </c>
    </row>
    <row r="2" spans="1:8">
      <c r="A2" s="112" t="s">
        <v>443</v>
      </c>
      <c r="B2" s="112">
        <v>3331563552</v>
      </c>
      <c r="C2" s="112"/>
      <c r="D2" s="112"/>
      <c r="E2" s="112" t="s">
        <v>121</v>
      </c>
      <c r="F2" s="112" t="s">
        <v>29</v>
      </c>
      <c r="G2" s="1338">
        <v>15904.86</v>
      </c>
      <c r="H2" s="112" t="s">
        <v>847</v>
      </c>
    </row>
    <row r="3" spans="1:8">
      <c r="A3" s="112" t="s">
        <v>794</v>
      </c>
      <c r="B3" s="112">
        <v>3331564129</v>
      </c>
      <c r="C3" s="112"/>
      <c r="D3" s="112">
        <v>24141908</v>
      </c>
      <c r="E3" s="112" t="s">
        <v>121</v>
      </c>
      <c r="F3" s="112" t="s">
        <v>29</v>
      </c>
      <c r="G3" s="1338">
        <v>25545.861000000001</v>
      </c>
      <c r="H3" s="112" t="s">
        <v>848</v>
      </c>
    </row>
    <row r="4" spans="1:8">
      <c r="A4" s="112" t="s">
        <v>794</v>
      </c>
      <c r="B4" s="112">
        <v>3331564215</v>
      </c>
      <c r="C4" s="112"/>
      <c r="D4" s="112">
        <v>24141918</v>
      </c>
      <c r="E4" s="112" t="s">
        <v>849</v>
      </c>
      <c r="F4" s="112" t="s">
        <v>29</v>
      </c>
      <c r="G4" s="1338">
        <v>24345.613000000001</v>
      </c>
      <c r="H4" s="112" t="s">
        <v>850</v>
      </c>
    </row>
    <row r="5" spans="1:8">
      <c r="A5" s="112" t="s">
        <v>822</v>
      </c>
      <c r="B5" s="112">
        <v>3331564391</v>
      </c>
      <c r="C5" s="112"/>
      <c r="D5" s="112"/>
      <c r="E5" s="112" t="s">
        <v>121</v>
      </c>
      <c r="F5" s="112" t="s">
        <v>29</v>
      </c>
      <c r="G5" s="1338">
        <v>26420.075000000001</v>
      </c>
      <c r="H5" s="112" t="s">
        <v>848</v>
      </c>
    </row>
    <row r="6" spans="1:8">
      <c r="A6" s="112"/>
      <c r="B6" s="112"/>
      <c r="C6" s="112"/>
      <c r="D6" s="112"/>
      <c r="E6" s="112"/>
      <c r="F6" s="112" t="s">
        <v>29</v>
      </c>
      <c r="G6" s="1338">
        <v>92216.409</v>
      </c>
      <c r="H6" s="112"/>
    </row>
    <row r="7" spans="1:8">
      <c r="A7" s="112" t="s">
        <v>794</v>
      </c>
      <c r="B7" s="112">
        <v>3331564218</v>
      </c>
      <c r="C7" s="112"/>
      <c r="D7" s="112">
        <v>24141919</v>
      </c>
      <c r="E7" s="112" t="s">
        <v>851</v>
      </c>
      <c r="F7" s="112" t="s">
        <v>68</v>
      </c>
      <c r="G7" s="1338">
        <v>26208.814999999999</v>
      </c>
      <c r="H7" s="112" t="s">
        <v>852</v>
      </c>
    </row>
    <row r="8" spans="1:8">
      <c r="A8" s="112"/>
      <c r="B8" s="112"/>
      <c r="C8" s="112"/>
      <c r="D8" s="112"/>
      <c r="E8" s="112"/>
      <c r="F8" s="112" t="s">
        <v>68</v>
      </c>
      <c r="G8" s="1338">
        <v>26208.814999999999</v>
      </c>
      <c r="H8" s="112"/>
    </row>
    <row r="9" spans="1:8">
      <c r="A9" s="112" t="s">
        <v>443</v>
      </c>
      <c r="B9" s="112">
        <v>3331563654</v>
      </c>
      <c r="C9" s="112"/>
      <c r="D9" s="112">
        <v>24141829</v>
      </c>
      <c r="E9" s="112" t="s">
        <v>565</v>
      </c>
      <c r="F9" s="112" t="s">
        <v>566</v>
      </c>
      <c r="G9" s="1338">
        <v>22617.395</v>
      </c>
      <c r="H9" s="112" t="s">
        <v>853</v>
      </c>
    </row>
    <row r="10" spans="1:8">
      <c r="A10" s="112"/>
      <c r="B10" s="112"/>
      <c r="C10" s="112"/>
      <c r="D10" s="112"/>
      <c r="E10" s="112"/>
      <c r="F10" s="112" t="s">
        <v>566</v>
      </c>
      <c r="G10" s="1338">
        <v>22617.395</v>
      </c>
      <c r="H10" s="112"/>
    </row>
    <row r="11" spans="1:8">
      <c r="A11" s="112" t="s">
        <v>794</v>
      </c>
      <c r="B11" s="112">
        <v>3331564029</v>
      </c>
      <c r="C11" s="112"/>
      <c r="D11" s="112">
        <v>24141889</v>
      </c>
      <c r="E11" s="112" t="s">
        <v>804</v>
      </c>
      <c r="F11" s="112" t="s">
        <v>854</v>
      </c>
      <c r="G11" s="1338">
        <v>40486.434999999998</v>
      </c>
      <c r="H11" s="112" t="s">
        <v>855</v>
      </c>
    </row>
    <row r="12" spans="1:8">
      <c r="A12" s="112" t="s">
        <v>794</v>
      </c>
      <c r="B12" s="112">
        <v>3331564036</v>
      </c>
      <c r="C12" s="112"/>
      <c r="D12" s="112">
        <v>24141890</v>
      </c>
      <c r="E12" s="112" t="s">
        <v>804</v>
      </c>
      <c r="F12" s="112" t="s">
        <v>854</v>
      </c>
      <c r="G12" s="1338">
        <v>17288.614000000001</v>
      </c>
      <c r="H12" s="112" t="s">
        <v>856</v>
      </c>
    </row>
    <row r="13" spans="1:8">
      <c r="A13" s="112" t="s">
        <v>794</v>
      </c>
      <c r="B13" s="112">
        <v>3331564037</v>
      </c>
      <c r="C13" s="112"/>
      <c r="D13" s="112">
        <v>24141890</v>
      </c>
      <c r="E13" s="112" t="s">
        <v>804</v>
      </c>
      <c r="F13" s="112" t="s">
        <v>854</v>
      </c>
      <c r="G13" s="1338">
        <v>13986.223</v>
      </c>
      <c r="H13" s="112" t="s">
        <v>856</v>
      </c>
    </row>
    <row r="14" spans="1:8">
      <c r="A14" s="112" t="s">
        <v>794</v>
      </c>
      <c r="B14" s="112">
        <v>3331564068</v>
      </c>
      <c r="C14" s="112"/>
      <c r="D14" s="112">
        <v>24141890</v>
      </c>
      <c r="E14" s="112" t="s">
        <v>804</v>
      </c>
      <c r="F14" s="112" t="s">
        <v>854</v>
      </c>
      <c r="G14" s="1338">
        <v>9406.1</v>
      </c>
      <c r="H14" s="112" t="s">
        <v>856</v>
      </c>
    </row>
    <row r="15" spans="1:8">
      <c r="A15" s="112"/>
      <c r="B15" s="112"/>
      <c r="C15" s="112"/>
      <c r="D15" s="112"/>
      <c r="E15" s="112"/>
      <c r="F15" s="112" t="s">
        <v>854</v>
      </c>
      <c r="G15" s="1338">
        <v>81167.372000000003</v>
      </c>
      <c r="H15" s="112"/>
    </row>
    <row r="16" spans="1:8">
      <c r="A16" s="112" t="s">
        <v>418</v>
      </c>
      <c r="B16" s="112">
        <v>3331563211</v>
      </c>
      <c r="C16" s="112"/>
      <c r="D16" s="112"/>
      <c r="E16" s="112" t="s">
        <v>628</v>
      </c>
      <c r="F16" s="112" t="s">
        <v>857</v>
      </c>
      <c r="G16" s="1338">
        <v>7962.7420000000002</v>
      </c>
      <c r="H16" s="112" t="s">
        <v>847</v>
      </c>
    </row>
    <row r="17" spans="1:8">
      <c r="A17" s="112" t="s">
        <v>794</v>
      </c>
      <c r="B17" s="112">
        <v>3331564141</v>
      </c>
      <c r="C17" s="112"/>
      <c r="D17" s="112">
        <v>24141911</v>
      </c>
      <c r="E17" s="112" t="s">
        <v>593</v>
      </c>
      <c r="F17" s="112" t="s">
        <v>857</v>
      </c>
      <c r="G17" s="1338">
        <v>9915.9290000000001</v>
      </c>
      <c r="H17" s="112" t="s">
        <v>858</v>
      </c>
    </row>
    <row r="18" spans="1:8">
      <c r="A18" s="112" t="s">
        <v>794</v>
      </c>
      <c r="B18" s="112">
        <v>3331564143</v>
      </c>
      <c r="C18" s="112"/>
      <c r="D18" s="112">
        <v>24141911</v>
      </c>
      <c r="E18" s="112" t="s">
        <v>593</v>
      </c>
      <c r="F18" s="112" t="s">
        <v>857</v>
      </c>
      <c r="G18" s="1338">
        <v>27229.228999999999</v>
      </c>
      <c r="H18" s="112" t="s">
        <v>858</v>
      </c>
    </row>
    <row r="19" spans="1:8">
      <c r="A19" s="112" t="s">
        <v>794</v>
      </c>
      <c r="B19" s="112">
        <v>3331564144</v>
      </c>
      <c r="C19" s="112"/>
      <c r="D19" s="112">
        <v>24141911</v>
      </c>
      <c r="E19" s="112" t="s">
        <v>593</v>
      </c>
      <c r="F19" s="112" t="s">
        <v>857</v>
      </c>
      <c r="G19" s="1338">
        <v>5216.1099999999997</v>
      </c>
      <c r="H19" s="112" t="s">
        <v>858</v>
      </c>
    </row>
    <row r="20" spans="1:8">
      <c r="A20" s="112" t="s">
        <v>794</v>
      </c>
      <c r="B20" s="112">
        <v>3331564145</v>
      </c>
      <c r="C20" s="112"/>
      <c r="D20" s="112">
        <v>24141911</v>
      </c>
      <c r="E20" s="112" t="s">
        <v>593</v>
      </c>
      <c r="F20" s="112" t="s">
        <v>857</v>
      </c>
      <c r="G20" s="1338">
        <v>1333.201</v>
      </c>
      <c r="H20" s="112" t="s">
        <v>858</v>
      </c>
    </row>
    <row r="21" spans="1:8">
      <c r="A21" s="112"/>
      <c r="B21" s="112"/>
      <c r="C21" s="112"/>
      <c r="D21" s="112"/>
      <c r="E21" s="112"/>
      <c r="F21" s="112" t="s">
        <v>857</v>
      </c>
      <c r="G21" s="1338">
        <v>51657.211000000003</v>
      </c>
      <c r="H21" s="112"/>
    </row>
    <row r="22" spans="1:8">
      <c r="A22" s="112" t="s">
        <v>794</v>
      </c>
      <c r="B22" s="112">
        <v>3331564206</v>
      </c>
      <c r="C22" s="112"/>
      <c r="D22" s="112">
        <v>24141917</v>
      </c>
      <c r="E22" s="112" t="s">
        <v>815</v>
      </c>
      <c r="F22" s="112" t="s">
        <v>803</v>
      </c>
      <c r="G22" s="1338">
        <v>37107.819000000003</v>
      </c>
      <c r="H22" s="112" t="s">
        <v>859</v>
      </c>
    </row>
    <row r="23" spans="1:8">
      <c r="A23" s="112" t="s">
        <v>794</v>
      </c>
      <c r="B23" s="112">
        <v>3331564210</v>
      </c>
      <c r="C23" s="112"/>
      <c r="D23" s="112">
        <v>24141916</v>
      </c>
      <c r="E23" s="112" t="s">
        <v>815</v>
      </c>
      <c r="F23" s="112" t="s">
        <v>803</v>
      </c>
      <c r="G23" s="1338">
        <v>9235.08</v>
      </c>
      <c r="H23" s="112" t="s">
        <v>858</v>
      </c>
    </row>
    <row r="24" spans="1:8">
      <c r="A24" s="112" t="s">
        <v>794</v>
      </c>
      <c r="B24" s="112">
        <v>3331564212</v>
      </c>
      <c r="C24" s="112"/>
      <c r="D24" s="112">
        <v>24141916</v>
      </c>
      <c r="E24" s="112" t="s">
        <v>815</v>
      </c>
      <c r="F24" s="112" t="s">
        <v>803</v>
      </c>
      <c r="G24" s="1338">
        <v>32798.542000000001</v>
      </c>
      <c r="H24" s="112" t="s">
        <v>858</v>
      </c>
    </row>
    <row r="25" spans="1:8">
      <c r="A25" s="112"/>
      <c r="B25" s="112"/>
      <c r="C25" s="112"/>
      <c r="D25" s="112"/>
      <c r="E25" s="112"/>
      <c r="F25" s="112" t="s">
        <v>803</v>
      </c>
      <c r="G25" s="1338">
        <v>79141.441000000006</v>
      </c>
      <c r="H25" s="112"/>
    </row>
    <row r="26" spans="1:8">
      <c r="A26" s="112" t="s">
        <v>443</v>
      </c>
      <c r="B26" s="112">
        <v>3331563977</v>
      </c>
      <c r="C26" s="112"/>
      <c r="D26" s="112">
        <v>24141870</v>
      </c>
      <c r="E26" s="112" t="s">
        <v>119</v>
      </c>
      <c r="F26" s="112" t="s">
        <v>860</v>
      </c>
      <c r="G26" s="1338">
        <v>25139.94</v>
      </c>
      <c r="H26" s="112" t="s">
        <v>848</v>
      </c>
    </row>
    <row r="27" spans="1:8">
      <c r="A27" s="112"/>
      <c r="B27" s="112"/>
      <c r="C27" s="112"/>
      <c r="D27" s="112"/>
      <c r="E27" s="112"/>
      <c r="F27" s="112" t="s">
        <v>860</v>
      </c>
      <c r="G27" s="1338">
        <v>25139.94</v>
      </c>
      <c r="H27" s="112"/>
    </row>
    <row r="28" spans="1:8">
      <c r="A28" s="112" t="s">
        <v>794</v>
      </c>
      <c r="B28" s="112">
        <v>3331564007</v>
      </c>
      <c r="C28" s="112"/>
      <c r="D28" s="112">
        <v>24141886</v>
      </c>
      <c r="E28" s="112" t="s">
        <v>134</v>
      </c>
      <c r="F28" s="112" t="s">
        <v>560</v>
      </c>
      <c r="G28" s="1338">
        <v>29329.93</v>
      </c>
      <c r="H28" s="112" t="s">
        <v>861</v>
      </c>
    </row>
    <row r="29" spans="1:8">
      <c r="A29" s="112"/>
      <c r="B29" s="112"/>
      <c r="C29" s="112"/>
      <c r="D29" s="112"/>
      <c r="E29" s="112"/>
      <c r="F29" s="112" t="s">
        <v>560</v>
      </c>
      <c r="G29" s="1338">
        <v>29329.93</v>
      </c>
      <c r="H29" s="112"/>
    </row>
    <row r="30" spans="1:8">
      <c r="A30" s="112" t="s">
        <v>412</v>
      </c>
      <c r="B30" s="112">
        <v>3331562047</v>
      </c>
      <c r="C30" s="112"/>
      <c r="D30" s="112">
        <v>24141656</v>
      </c>
      <c r="E30" s="112" t="s">
        <v>134</v>
      </c>
      <c r="F30" s="112" t="s">
        <v>862</v>
      </c>
      <c r="G30" s="1338">
        <v>2009.9880000000001</v>
      </c>
      <c r="H30" s="112" t="s">
        <v>863</v>
      </c>
    </row>
    <row r="31" spans="1:8">
      <c r="A31" s="112" t="s">
        <v>412</v>
      </c>
      <c r="B31" s="112">
        <v>3331562374</v>
      </c>
      <c r="C31" s="112"/>
      <c r="D31" s="112"/>
      <c r="E31" s="112" t="s">
        <v>134</v>
      </c>
      <c r="F31" s="112" t="s">
        <v>862</v>
      </c>
      <c r="G31" s="1338">
        <v>17615.060000000001</v>
      </c>
      <c r="H31" s="112" t="s">
        <v>94</v>
      </c>
    </row>
    <row r="32" spans="1:8">
      <c r="A32" s="112" t="s">
        <v>412</v>
      </c>
      <c r="B32" s="112">
        <v>3331562376</v>
      </c>
      <c r="C32" s="112"/>
      <c r="D32" s="112"/>
      <c r="E32" s="112" t="s">
        <v>134</v>
      </c>
      <c r="F32" s="112" t="s">
        <v>862</v>
      </c>
      <c r="G32" s="1338">
        <v>6020.91</v>
      </c>
      <c r="H32" s="112" t="s">
        <v>94</v>
      </c>
    </row>
    <row r="33" spans="1:8">
      <c r="A33" s="112" t="s">
        <v>864</v>
      </c>
      <c r="B33" s="112">
        <v>3331562383</v>
      </c>
      <c r="C33" s="112"/>
      <c r="D33" s="112"/>
      <c r="E33" s="112" t="s">
        <v>134</v>
      </c>
      <c r="F33" s="112" t="s">
        <v>862</v>
      </c>
      <c r="G33" s="1338">
        <v>26197.105</v>
      </c>
      <c r="H33" s="112" t="s">
        <v>865</v>
      </c>
    </row>
    <row r="34" spans="1:8">
      <c r="A34" s="112"/>
      <c r="B34" s="112"/>
      <c r="C34" s="112"/>
      <c r="D34" s="112"/>
      <c r="E34" s="112"/>
      <c r="F34" s="112" t="s">
        <v>862</v>
      </c>
      <c r="G34" s="1338">
        <v>51843.063000000002</v>
      </c>
      <c r="H34" s="112"/>
    </row>
    <row r="35" spans="1:8">
      <c r="A35" s="112" t="s">
        <v>412</v>
      </c>
      <c r="B35" s="112">
        <v>3331562482</v>
      </c>
      <c r="C35" s="112"/>
      <c r="D35" s="112">
        <v>24141898</v>
      </c>
      <c r="E35" s="112" t="s">
        <v>95</v>
      </c>
      <c r="F35" s="112" t="s">
        <v>866</v>
      </c>
      <c r="G35" s="1338">
        <v>11543.904</v>
      </c>
      <c r="H35" s="112" t="s">
        <v>867</v>
      </c>
    </row>
    <row r="36" spans="1:8">
      <c r="A36" s="112" t="s">
        <v>443</v>
      </c>
      <c r="B36" s="112">
        <v>3331563793</v>
      </c>
      <c r="C36" s="112"/>
      <c r="D36" s="112">
        <v>24141898</v>
      </c>
      <c r="E36" s="112" t="s">
        <v>95</v>
      </c>
      <c r="F36" s="112" t="s">
        <v>866</v>
      </c>
      <c r="G36" s="1338">
        <v>1028.115</v>
      </c>
      <c r="H36" s="112" t="s">
        <v>867</v>
      </c>
    </row>
    <row r="37" spans="1:8">
      <c r="A37" s="112" t="s">
        <v>794</v>
      </c>
      <c r="B37" s="112">
        <v>3331564059</v>
      </c>
      <c r="C37" s="112"/>
      <c r="D37" s="112">
        <v>24141898</v>
      </c>
      <c r="E37" s="112" t="s">
        <v>95</v>
      </c>
      <c r="F37" s="112" t="s">
        <v>866</v>
      </c>
      <c r="G37" s="1338">
        <v>5704.02</v>
      </c>
      <c r="H37" s="112" t="s">
        <v>867</v>
      </c>
    </row>
    <row r="38" spans="1:8">
      <c r="A38" s="112" t="s">
        <v>794</v>
      </c>
      <c r="B38" s="112">
        <v>3331564060</v>
      </c>
      <c r="C38" s="112"/>
      <c r="D38" s="112">
        <v>24141898</v>
      </c>
      <c r="E38" s="112" t="s">
        <v>95</v>
      </c>
      <c r="F38" s="112" t="s">
        <v>866</v>
      </c>
      <c r="G38" s="1338">
        <v>4436.4610000000002</v>
      </c>
      <c r="H38" s="112" t="s">
        <v>867</v>
      </c>
    </row>
    <row r="39" spans="1:8">
      <c r="A39" s="112"/>
      <c r="B39" s="112"/>
      <c r="C39" s="112"/>
      <c r="D39" s="112"/>
      <c r="E39" s="112"/>
      <c r="F39" s="112" t="s">
        <v>866</v>
      </c>
      <c r="G39" s="1338">
        <v>22712.5</v>
      </c>
      <c r="H39" s="112"/>
    </row>
    <row r="40" spans="1:8">
      <c r="A40" s="112" t="s">
        <v>794</v>
      </c>
      <c r="B40" s="112">
        <v>3331564012</v>
      </c>
      <c r="C40" s="112"/>
      <c r="D40" s="112">
        <v>24141884</v>
      </c>
      <c r="E40" s="112" t="s">
        <v>134</v>
      </c>
      <c r="F40" s="112" t="s">
        <v>868</v>
      </c>
      <c r="G40" s="1338">
        <v>29800.235000000001</v>
      </c>
      <c r="H40" s="112" t="s">
        <v>861</v>
      </c>
    </row>
    <row r="41" spans="1:8">
      <c r="A41" s="112" t="s">
        <v>794</v>
      </c>
      <c r="B41" s="112">
        <v>3331564014</v>
      </c>
      <c r="C41" s="112"/>
      <c r="D41" s="112">
        <v>24141885</v>
      </c>
      <c r="E41" s="112" t="s">
        <v>134</v>
      </c>
      <c r="F41" s="112" t="s">
        <v>868</v>
      </c>
      <c r="G41" s="1338">
        <v>29800.235000000001</v>
      </c>
      <c r="H41" s="112" t="s">
        <v>861</v>
      </c>
    </row>
    <row r="42" spans="1:8">
      <c r="A42" s="112" t="s">
        <v>794</v>
      </c>
      <c r="B42" s="112">
        <v>3331564109</v>
      </c>
      <c r="C42" s="112"/>
      <c r="D42" s="112">
        <v>24141901</v>
      </c>
      <c r="E42" s="112" t="s">
        <v>134</v>
      </c>
      <c r="F42" s="112" t="s">
        <v>868</v>
      </c>
      <c r="G42" s="1338">
        <v>25525.238000000001</v>
      </c>
      <c r="H42" s="112" t="s">
        <v>869</v>
      </c>
    </row>
    <row r="43" spans="1:8">
      <c r="A43" s="112" t="s">
        <v>794</v>
      </c>
      <c r="B43" s="112">
        <v>3331564112</v>
      </c>
      <c r="C43" s="112"/>
      <c r="D43" s="112">
        <v>24141901</v>
      </c>
      <c r="E43" s="112" t="s">
        <v>134</v>
      </c>
      <c r="F43" s="112" t="s">
        <v>868</v>
      </c>
      <c r="G43" s="1338">
        <v>3593.9830000000002</v>
      </c>
      <c r="H43" s="112" t="s">
        <v>869</v>
      </c>
    </row>
    <row r="44" spans="1:8">
      <c r="A44" s="112" t="s">
        <v>794</v>
      </c>
      <c r="B44" s="112">
        <v>3331564118</v>
      </c>
      <c r="C44" s="112"/>
      <c r="D44" s="112">
        <v>24141902</v>
      </c>
      <c r="E44" s="112" t="s">
        <v>134</v>
      </c>
      <c r="F44" s="112" t="s">
        <v>868</v>
      </c>
      <c r="G44" s="1338">
        <v>30057.268</v>
      </c>
      <c r="H44" s="112" t="s">
        <v>853</v>
      </c>
    </row>
    <row r="45" spans="1:8">
      <c r="A45" s="112" t="s">
        <v>794</v>
      </c>
      <c r="B45" s="112">
        <v>3331564130</v>
      </c>
      <c r="C45" s="112"/>
      <c r="D45" s="112">
        <v>24141904</v>
      </c>
      <c r="E45" s="112" t="s">
        <v>134</v>
      </c>
      <c r="F45" s="112" t="s">
        <v>868</v>
      </c>
      <c r="G45" s="1338">
        <v>27577.477999999999</v>
      </c>
      <c r="H45" s="112" t="s">
        <v>853</v>
      </c>
    </row>
    <row r="46" spans="1:8">
      <c r="A46" s="112"/>
      <c r="B46" s="112"/>
      <c r="C46" s="112"/>
      <c r="D46" s="112"/>
      <c r="E46" s="112"/>
      <c r="F46" s="112" t="s">
        <v>868</v>
      </c>
      <c r="G46" s="1338">
        <v>146354.43700000001</v>
      </c>
      <c r="H46" s="112"/>
    </row>
    <row r="47" spans="1:8">
      <c r="A47" s="112" t="s">
        <v>443</v>
      </c>
      <c r="B47" s="112">
        <v>3331563747</v>
      </c>
      <c r="C47" s="112"/>
      <c r="D47" s="112">
        <v>24141844</v>
      </c>
      <c r="E47" s="112" t="s">
        <v>356</v>
      </c>
      <c r="F47" s="112" t="s">
        <v>870</v>
      </c>
      <c r="G47" s="1338">
        <v>24712.39</v>
      </c>
      <c r="H47" s="112" t="s">
        <v>853</v>
      </c>
    </row>
    <row r="48" spans="1:8">
      <c r="A48" s="112"/>
      <c r="B48" s="112"/>
      <c r="C48" s="112"/>
      <c r="D48" s="112"/>
      <c r="E48" s="112"/>
      <c r="F48" s="112" t="s">
        <v>870</v>
      </c>
      <c r="G48" s="1338">
        <v>24712.39</v>
      </c>
      <c r="H48" s="112"/>
    </row>
    <row r="49" spans="1:8">
      <c r="A49" s="112" t="s">
        <v>443</v>
      </c>
      <c r="B49" s="112">
        <v>3331563568</v>
      </c>
      <c r="C49" s="112"/>
      <c r="D49" s="112">
        <v>24141818</v>
      </c>
      <c r="E49" s="112" t="s">
        <v>185</v>
      </c>
      <c r="F49" s="112" t="s">
        <v>871</v>
      </c>
      <c r="G49" s="1338">
        <v>38711.093999999997</v>
      </c>
      <c r="H49" s="112" t="s">
        <v>855</v>
      </c>
    </row>
    <row r="50" spans="1:8">
      <c r="A50" s="112" t="s">
        <v>822</v>
      </c>
      <c r="B50" s="112">
        <v>3331563569</v>
      </c>
      <c r="C50" s="112"/>
      <c r="D50" s="112">
        <v>24141819</v>
      </c>
      <c r="E50" s="112" t="s">
        <v>185</v>
      </c>
      <c r="F50" s="112" t="s">
        <v>871</v>
      </c>
      <c r="G50" s="1338">
        <v>23122.734</v>
      </c>
      <c r="H50" s="112" t="s">
        <v>872</v>
      </c>
    </row>
    <row r="51" spans="1:8">
      <c r="A51" s="112" t="s">
        <v>822</v>
      </c>
      <c r="B51" s="112">
        <v>3331563575</v>
      </c>
      <c r="C51" s="112"/>
      <c r="D51" s="112">
        <v>24141819</v>
      </c>
      <c r="E51" s="112" t="s">
        <v>185</v>
      </c>
      <c r="F51" s="112" t="s">
        <v>871</v>
      </c>
      <c r="G51" s="1338">
        <v>18186.419999999998</v>
      </c>
      <c r="H51" s="112" t="s">
        <v>872</v>
      </c>
    </row>
    <row r="52" spans="1:8">
      <c r="A52" s="112" t="s">
        <v>822</v>
      </c>
      <c r="B52" s="112">
        <v>3331563576</v>
      </c>
      <c r="C52" s="112"/>
      <c r="D52" s="112">
        <v>24141820</v>
      </c>
      <c r="E52" s="112" t="s">
        <v>185</v>
      </c>
      <c r="F52" s="112" t="s">
        <v>871</v>
      </c>
      <c r="G52" s="1338">
        <v>23815.55</v>
      </c>
      <c r="H52" s="112" t="s">
        <v>873</v>
      </c>
    </row>
    <row r="53" spans="1:8">
      <c r="A53" s="112" t="s">
        <v>443</v>
      </c>
      <c r="B53" s="112">
        <v>3331563580</v>
      </c>
      <c r="C53" s="112"/>
      <c r="D53" s="112">
        <v>24141820</v>
      </c>
      <c r="E53" s="112" t="s">
        <v>185</v>
      </c>
      <c r="F53" s="112" t="s">
        <v>871</v>
      </c>
      <c r="G53" s="1338">
        <v>20944.166000000001</v>
      </c>
      <c r="H53" s="112" t="s">
        <v>874</v>
      </c>
    </row>
    <row r="54" spans="1:8">
      <c r="A54" s="112" t="s">
        <v>443</v>
      </c>
      <c r="B54" s="112">
        <v>3331563591</v>
      </c>
      <c r="C54" s="112"/>
      <c r="D54" s="112">
        <v>24141821</v>
      </c>
      <c r="E54" s="112" t="s">
        <v>185</v>
      </c>
      <c r="F54" s="112" t="s">
        <v>871</v>
      </c>
      <c r="G54" s="1338">
        <v>24341.679</v>
      </c>
      <c r="H54" s="112" t="s">
        <v>875</v>
      </c>
    </row>
    <row r="55" spans="1:8">
      <c r="A55" s="112" t="s">
        <v>443</v>
      </c>
      <c r="B55" s="112">
        <v>3331563594</v>
      </c>
      <c r="C55" s="112"/>
      <c r="D55" s="112">
        <v>24141821</v>
      </c>
      <c r="E55" s="112" t="s">
        <v>185</v>
      </c>
      <c r="F55" s="112" t="s">
        <v>871</v>
      </c>
      <c r="G55" s="1338">
        <v>10106.528</v>
      </c>
      <c r="H55" s="112" t="s">
        <v>875</v>
      </c>
    </row>
    <row r="56" spans="1:8">
      <c r="A56" s="112" t="s">
        <v>443</v>
      </c>
      <c r="B56" s="112">
        <v>3331563596</v>
      </c>
      <c r="C56" s="112"/>
      <c r="D56" s="112">
        <v>24141821</v>
      </c>
      <c r="E56" s="112" t="s">
        <v>185</v>
      </c>
      <c r="F56" s="112" t="s">
        <v>871</v>
      </c>
      <c r="G56" s="1338">
        <v>4214.6369999999997</v>
      </c>
      <c r="H56" s="112" t="s">
        <v>875</v>
      </c>
    </row>
    <row r="57" spans="1:8">
      <c r="A57" s="112" t="s">
        <v>822</v>
      </c>
      <c r="B57" s="112">
        <v>3331563601</v>
      </c>
      <c r="C57" s="112"/>
      <c r="D57" s="112">
        <v>24141822</v>
      </c>
      <c r="E57" s="112" t="s">
        <v>185</v>
      </c>
      <c r="F57" s="112" t="s">
        <v>871</v>
      </c>
      <c r="G57" s="1338">
        <v>24986.776000000002</v>
      </c>
      <c r="H57" s="112" t="s">
        <v>876</v>
      </c>
    </row>
    <row r="58" spans="1:8">
      <c r="A58" s="112" t="s">
        <v>822</v>
      </c>
      <c r="B58" s="112">
        <v>3331563602</v>
      </c>
      <c r="C58" s="112"/>
      <c r="D58" s="112">
        <v>24141822</v>
      </c>
      <c r="E58" s="112" t="s">
        <v>185</v>
      </c>
      <c r="F58" s="112" t="s">
        <v>871</v>
      </c>
      <c r="G58" s="1338">
        <v>4147.2349999999997</v>
      </c>
      <c r="H58" s="112" t="s">
        <v>876</v>
      </c>
    </row>
    <row r="59" spans="1:8">
      <c r="A59" s="112" t="s">
        <v>822</v>
      </c>
      <c r="B59" s="112">
        <v>3331563605</v>
      </c>
      <c r="C59" s="112"/>
      <c r="D59" s="112">
        <v>24141822</v>
      </c>
      <c r="E59" s="112" t="s">
        <v>185</v>
      </c>
      <c r="F59" s="112" t="s">
        <v>871</v>
      </c>
      <c r="G59" s="1338">
        <v>4156.8959999999997</v>
      </c>
      <c r="H59" s="112" t="s">
        <v>876</v>
      </c>
    </row>
    <row r="60" spans="1:8">
      <c r="A60" s="112" t="s">
        <v>443</v>
      </c>
      <c r="B60" s="112">
        <v>3331563610</v>
      </c>
      <c r="C60" s="112"/>
      <c r="D60" s="112">
        <v>24141822</v>
      </c>
      <c r="E60" s="112" t="s">
        <v>185</v>
      </c>
      <c r="F60" s="112" t="s">
        <v>871</v>
      </c>
      <c r="G60" s="1338">
        <v>7620.9759999999997</v>
      </c>
      <c r="H60" s="112" t="s">
        <v>877</v>
      </c>
    </row>
    <row r="61" spans="1:8">
      <c r="A61" s="112" t="s">
        <v>794</v>
      </c>
      <c r="B61" s="112">
        <v>3331564035</v>
      </c>
      <c r="C61" s="112"/>
      <c r="D61" s="112">
        <v>24141821</v>
      </c>
      <c r="E61" s="112" t="s">
        <v>185</v>
      </c>
      <c r="F61" s="112" t="s">
        <v>871</v>
      </c>
      <c r="G61" s="1338">
        <v>3117.672</v>
      </c>
      <c r="H61" s="112" t="s">
        <v>875</v>
      </c>
    </row>
    <row r="62" spans="1:8">
      <c r="A62" s="112"/>
      <c r="B62" s="112"/>
      <c r="C62" s="112"/>
      <c r="D62" s="112"/>
      <c r="E62" s="112"/>
      <c r="F62" s="112" t="s">
        <v>871</v>
      </c>
      <c r="G62" s="1338">
        <v>207472.36300000001</v>
      </c>
      <c r="H62" s="112"/>
    </row>
    <row r="63" spans="1:8">
      <c r="A63" s="112" t="s">
        <v>606</v>
      </c>
      <c r="B63" s="112">
        <v>3470018379</v>
      </c>
      <c r="C63" s="112"/>
      <c r="D63" s="112"/>
      <c r="E63" s="112" t="s">
        <v>878</v>
      </c>
      <c r="F63" s="112" t="s">
        <v>879</v>
      </c>
      <c r="G63" s="1338">
        <v>1625.6959999999999</v>
      </c>
      <c r="H63" s="112" t="s">
        <v>880</v>
      </c>
    </row>
    <row r="64" spans="1:8">
      <c r="A64" s="112"/>
      <c r="B64" s="112"/>
      <c r="C64" s="112"/>
      <c r="D64" s="112"/>
      <c r="E64" s="112"/>
      <c r="F64" s="112" t="s">
        <v>879</v>
      </c>
      <c r="G64" s="1338">
        <v>1625.6959999999999</v>
      </c>
      <c r="H64" s="112"/>
    </row>
    <row r="65" spans="1:8">
      <c r="A65" s="112" t="s">
        <v>794</v>
      </c>
      <c r="B65" s="112">
        <v>3331564002</v>
      </c>
      <c r="C65" s="112"/>
      <c r="D65" s="112">
        <v>24141880</v>
      </c>
      <c r="E65" s="112" t="s">
        <v>590</v>
      </c>
      <c r="F65" s="112" t="s">
        <v>881</v>
      </c>
      <c r="G65" s="1338">
        <v>24455.86</v>
      </c>
      <c r="H65" s="112" t="s">
        <v>882</v>
      </c>
    </row>
    <row r="66" spans="1:8">
      <c r="A66" s="112" t="s">
        <v>794</v>
      </c>
      <c r="B66" s="112">
        <v>3331564004</v>
      </c>
      <c r="C66" s="112"/>
      <c r="D66" s="112">
        <v>24141881</v>
      </c>
      <c r="E66" s="112" t="s">
        <v>590</v>
      </c>
      <c r="F66" s="112" t="s">
        <v>881</v>
      </c>
      <c r="G66" s="1338">
        <v>26337.08</v>
      </c>
      <c r="H66" s="112" t="s">
        <v>882</v>
      </c>
    </row>
    <row r="67" spans="1:8">
      <c r="A67" s="112"/>
      <c r="B67" s="112"/>
      <c r="C67" s="112"/>
      <c r="D67" s="112"/>
      <c r="E67" s="112"/>
      <c r="F67" s="112" t="s">
        <v>881</v>
      </c>
      <c r="G67" s="1338">
        <v>50792.94</v>
      </c>
      <c r="H67" s="112"/>
    </row>
    <row r="68" spans="1:8">
      <c r="A68" s="112" t="s">
        <v>428</v>
      </c>
      <c r="B68" s="112">
        <v>3331562116</v>
      </c>
      <c r="C68" s="112"/>
      <c r="D68" s="112">
        <v>24141691</v>
      </c>
      <c r="E68" s="112" t="s">
        <v>747</v>
      </c>
      <c r="F68" s="112" t="s">
        <v>748</v>
      </c>
      <c r="G68" s="1338">
        <v>23209.335999999999</v>
      </c>
      <c r="H68" s="112" t="s">
        <v>853</v>
      </c>
    </row>
    <row r="69" spans="1:8">
      <c r="A69" s="112" t="s">
        <v>822</v>
      </c>
      <c r="B69" s="112">
        <v>3331562146</v>
      </c>
      <c r="C69" s="112"/>
      <c r="D69" s="112">
        <v>24141696</v>
      </c>
      <c r="E69" s="112" t="s">
        <v>747</v>
      </c>
      <c r="F69" s="112" t="s">
        <v>748</v>
      </c>
      <c r="G69" s="1338">
        <v>23087.7</v>
      </c>
      <c r="H69" s="112" t="s">
        <v>883</v>
      </c>
    </row>
    <row r="70" spans="1:8">
      <c r="A70" s="112"/>
      <c r="B70" s="112"/>
      <c r="C70" s="112"/>
      <c r="D70" s="112"/>
      <c r="E70" s="112"/>
      <c r="F70" s="112" t="s">
        <v>748</v>
      </c>
      <c r="G70" s="1338">
        <v>46297.036</v>
      </c>
      <c r="H70" s="112"/>
    </row>
    <row r="71" spans="1:8">
      <c r="A71" s="112" t="s">
        <v>443</v>
      </c>
      <c r="B71" s="112">
        <v>3331563689</v>
      </c>
      <c r="C71" s="112"/>
      <c r="D71" s="112">
        <v>24141834</v>
      </c>
      <c r="E71" s="112" t="s">
        <v>476</v>
      </c>
      <c r="F71" s="112" t="s">
        <v>884</v>
      </c>
      <c r="G71" s="1338">
        <v>39479.966999999997</v>
      </c>
      <c r="H71" s="112" t="s">
        <v>885</v>
      </c>
    </row>
    <row r="72" spans="1:8">
      <c r="A72" s="112" t="s">
        <v>443</v>
      </c>
      <c r="B72" s="112">
        <v>3331563692</v>
      </c>
      <c r="C72" s="112"/>
      <c r="D72" s="112">
        <v>24141835</v>
      </c>
      <c r="E72" s="112" t="s">
        <v>476</v>
      </c>
      <c r="F72" s="112" t="s">
        <v>884</v>
      </c>
      <c r="G72" s="1338">
        <v>3010.4549999999999</v>
      </c>
      <c r="H72" s="112" t="s">
        <v>886</v>
      </c>
    </row>
    <row r="73" spans="1:8">
      <c r="A73" s="112" t="s">
        <v>443</v>
      </c>
      <c r="B73" s="112">
        <v>3331563694</v>
      </c>
      <c r="C73" s="112"/>
      <c r="D73" s="112">
        <v>24141835</v>
      </c>
      <c r="E73" s="112" t="s">
        <v>476</v>
      </c>
      <c r="F73" s="112" t="s">
        <v>884</v>
      </c>
      <c r="G73" s="1338">
        <v>7311.1049999999996</v>
      </c>
      <c r="H73" s="112" t="s">
        <v>886</v>
      </c>
    </row>
    <row r="74" spans="1:8">
      <c r="A74" s="112" t="s">
        <v>443</v>
      </c>
      <c r="B74" s="112">
        <v>3331563698</v>
      </c>
      <c r="C74" s="112"/>
      <c r="D74" s="112">
        <v>24141835</v>
      </c>
      <c r="E74" s="112" t="s">
        <v>476</v>
      </c>
      <c r="F74" s="112" t="s">
        <v>884</v>
      </c>
      <c r="G74" s="1338">
        <v>11085.056</v>
      </c>
      <c r="H74" s="112" t="s">
        <v>886</v>
      </c>
    </row>
    <row r="75" spans="1:8">
      <c r="A75" s="112" t="s">
        <v>452</v>
      </c>
      <c r="B75" s="112">
        <v>3331564174</v>
      </c>
      <c r="C75" s="112"/>
      <c r="D75" s="112">
        <v>24141835</v>
      </c>
      <c r="E75" s="112" t="s">
        <v>476</v>
      </c>
      <c r="F75" s="112" t="s">
        <v>884</v>
      </c>
      <c r="G75" s="1338">
        <v>5643.66</v>
      </c>
      <c r="H75" s="112" t="s">
        <v>887</v>
      </c>
    </row>
    <row r="76" spans="1:8">
      <c r="A76" s="112"/>
      <c r="B76" s="112"/>
      <c r="C76" s="112"/>
      <c r="D76" s="112"/>
      <c r="E76" s="112"/>
      <c r="F76" s="112" t="s">
        <v>884</v>
      </c>
      <c r="G76" s="1338">
        <v>66530.243000000002</v>
      </c>
      <c r="H76" s="112"/>
    </row>
    <row r="77" spans="1:8">
      <c r="A77" s="112" t="s">
        <v>822</v>
      </c>
      <c r="B77" s="112">
        <v>3331564389</v>
      </c>
      <c r="C77" s="112"/>
      <c r="D77" s="112"/>
      <c r="E77" s="112" t="s">
        <v>303</v>
      </c>
      <c r="F77" s="112" t="s">
        <v>592</v>
      </c>
      <c r="G77" s="1338">
        <v>41215.82</v>
      </c>
      <c r="H77" s="112" t="s">
        <v>859</v>
      </c>
    </row>
    <row r="78" spans="1:8">
      <c r="A78" s="112" t="s">
        <v>822</v>
      </c>
      <c r="B78" s="112">
        <v>3331564390</v>
      </c>
      <c r="C78" s="112"/>
      <c r="D78" s="112"/>
      <c r="E78" s="112" t="s">
        <v>303</v>
      </c>
      <c r="F78" s="112" t="s">
        <v>592</v>
      </c>
      <c r="G78" s="1338">
        <v>16417.919999999998</v>
      </c>
      <c r="H78" s="112" t="s">
        <v>888</v>
      </c>
    </row>
    <row r="79" spans="1:8">
      <c r="A79" s="112"/>
      <c r="B79" s="112"/>
      <c r="C79" s="112"/>
      <c r="D79" s="112"/>
      <c r="E79" s="112"/>
      <c r="F79" s="112" t="s">
        <v>592</v>
      </c>
      <c r="G79" s="1338">
        <v>57633.74</v>
      </c>
      <c r="H79" s="112"/>
    </row>
    <row r="80" spans="1:8">
      <c r="A80" s="112" t="s">
        <v>443</v>
      </c>
      <c r="B80" s="112">
        <v>3331563799</v>
      </c>
      <c r="C80" s="112"/>
      <c r="D80" s="112">
        <v>24141898</v>
      </c>
      <c r="E80" s="112" t="s">
        <v>95</v>
      </c>
      <c r="F80" s="112" t="s">
        <v>889</v>
      </c>
      <c r="G80" s="1338">
        <v>5822.8590000000004</v>
      </c>
      <c r="H80" s="112" t="s">
        <v>867</v>
      </c>
    </row>
    <row r="81" spans="1:8">
      <c r="A81" s="112"/>
      <c r="B81" s="112"/>
      <c r="C81" s="112"/>
      <c r="D81" s="112"/>
      <c r="E81" s="112"/>
      <c r="F81" s="112" t="s">
        <v>889</v>
      </c>
      <c r="G81" s="1338">
        <v>5822.8590000000004</v>
      </c>
      <c r="H81" s="112"/>
    </row>
    <row r="82" spans="1:8">
      <c r="A82" s="112" t="s">
        <v>443</v>
      </c>
      <c r="B82" s="112">
        <v>3331563546</v>
      </c>
      <c r="C82" s="112"/>
      <c r="D82" s="112">
        <v>24141811</v>
      </c>
      <c r="E82" s="112" t="s">
        <v>121</v>
      </c>
      <c r="F82" s="112" t="s">
        <v>37</v>
      </c>
      <c r="G82" s="1338">
        <v>25503.106</v>
      </c>
      <c r="H82" s="112" t="s">
        <v>890</v>
      </c>
    </row>
    <row r="83" spans="1:8">
      <c r="A83" s="112" t="s">
        <v>443</v>
      </c>
      <c r="B83" s="112">
        <v>3331563547</v>
      </c>
      <c r="C83" s="112"/>
      <c r="D83" s="112">
        <v>24141812</v>
      </c>
      <c r="E83" s="112" t="s">
        <v>121</v>
      </c>
      <c r="F83" s="112" t="s">
        <v>37</v>
      </c>
      <c r="G83" s="1338">
        <v>18555.669999999998</v>
      </c>
      <c r="H83" s="112" t="s">
        <v>891</v>
      </c>
    </row>
    <row r="84" spans="1:8">
      <c r="A84" s="112" t="s">
        <v>443</v>
      </c>
      <c r="B84" s="112">
        <v>3331563548</v>
      </c>
      <c r="C84" s="112"/>
      <c r="D84" s="112">
        <v>24141812</v>
      </c>
      <c r="E84" s="112" t="s">
        <v>121</v>
      </c>
      <c r="F84" s="112" t="s">
        <v>37</v>
      </c>
      <c r="G84" s="1338">
        <v>6020.91</v>
      </c>
      <c r="H84" s="112" t="s">
        <v>891</v>
      </c>
    </row>
    <row r="85" spans="1:8">
      <c r="A85" s="112" t="s">
        <v>794</v>
      </c>
      <c r="B85" s="112">
        <v>3331563971</v>
      </c>
      <c r="C85" s="112"/>
      <c r="D85" s="112">
        <v>24141864</v>
      </c>
      <c r="E85" s="112" t="s">
        <v>121</v>
      </c>
      <c r="F85" s="112" t="s">
        <v>37</v>
      </c>
      <c r="G85" s="1338">
        <v>24599.718000000001</v>
      </c>
      <c r="H85" s="112" t="s">
        <v>892</v>
      </c>
    </row>
    <row r="86" spans="1:8">
      <c r="A86" s="112" t="s">
        <v>794</v>
      </c>
      <c r="B86" s="112">
        <v>3331563982</v>
      </c>
      <c r="C86" s="112"/>
      <c r="D86" s="112">
        <v>24141872</v>
      </c>
      <c r="E86" s="112" t="s">
        <v>121</v>
      </c>
      <c r="F86" s="112" t="s">
        <v>37</v>
      </c>
      <c r="G86" s="1338">
        <v>25803.9</v>
      </c>
      <c r="H86" s="112" t="s">
        <v>892</v>
      </c>
    </row>
    <row r="87" spans="1:8">
      <c r="A87" s="112" t="s">
        <v>794</v>
      </c>
      <c r="B87" s="112">
        <v>3331564187</v>
      </c>
      <c r="C87" s="112"/>
      <c r="D87" s="112">
        <v>24141913</v>
      </c>
      <c r="E87" s="112" t="s">
        <v>36</v>
      </c>
      <c r="F87" s="112" t="s">
        <v>37</v>
      </c>
      <c r="G87" s="1338">
        <v>8865.3420000000006</v>
      </c>
      <c r="H87" s="112" t="s">
        <v>893</v>
      </c>
    </row>
    <row r="88" spans="1:8">
      <c r="A88" s="112" t="s">
        <v>794</v>
      </c>
      <c r="B88" s="112">
        <v>3331564192</v>
      </c>
      <c r="C88" s="112"/>
      <c r="D88" s="112">
        <v>24141913</v>
      </c>
      <c r="E88" s="112" t="s">
        <v>36</v>
      </c>
      <c r="F88" s="112" t="s">
        <v>37</v>
      </c>
      <c r="G88" s="1338">
        <v>8318.3619999999992</v>
      </c>
      <c r="H88" s="112" t="s">
        <v>893</v>
      </c>
    </row>
    <row r="89" spans="1:8">
      <c r="A89" s="112" t="s">
        <v>452</v>
      </c>
      <c r="B89" s="112">
        <v>3331564197</v>
      </c>
      <c r="C89" s="112"/>
      <c r="D89" s="112">
        <v>24141913</v>
      </c>
      <c r="E89" s="112" t="s">
        <v>36</v>
      </c>
      <c r="F89" s="112" t="s">
        <v>37</v>
      </c>
      <c r="G89" s="1338">
        <v>9392.0159999999996</v>
      </c>
      <c r="H89" s="112" t="s">
        <v>893</v>
      </c>
    </row>
    <row r="90" spans="1:8">
      <c r="A90" s="112"/>
      <c r="B90" s="112"/>
      <c r="C90" s="112"/>
      <c r="D90" s="112"/>
      <c r="E90" s="112"/>
      <c r="F90" s="112" t="s">
        <v>37</v>
      </c>
      <c r="G90" s="1338">
        <v>127059.024</v>
      </c>
      <c r="H90" s="112"/>
    </row>
    <row r="91" spans="1:8">
      <c r="A91" s="112"/>
      <c r="B91" s="112"/>
      <c r="C91" s="112"/>
      <c r="D91" s="112"/>
      <c r="E91" s="112"/>
      <c r="F91" s="112"/>
      <c r="G91" s="1338">
        <v>1216334.804</v>
      </c>
      <c r="H91" s="11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5946-31EC-439E-B191-BE2D6830A8CC}">
  <dimension ref="A1:AG300"/>
  <sheetViews>
    <sheetView showGridLines="0" topLeftCell="P83" zoomScale="55" zoomScaleNormal="55" workbookViewId="0"/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10.44140625" customWidth="1"/>
    <col min="22" max="22" width="55.88671875" bestFit="1" customWidth="1"/>
    <col min="23" max="23" width="29.109375" bestFit="1" customWidth="1"/>
    <col min="24" max="24" width="18.33203125" bestFit="1" customWidth="1"/>
    <col min="25" max="25" width="23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35.44140625" bestFit="1" customWidth="1"/>
    <col min="31" max="31" width="9.109375" bestFit="1" customWidth="1"/>
  </cols>
  <sheetData>
    <row r="1" spans="1:33" ht="17.399999999999999">
      <c r="A1" s="1211" t="s">
        <v>894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895</v>
      </c>
      <c r="B2" s="733"/>
      <c r="C2" s="733"/>
      <c r="D2" s="733"/>
      <c r="E2" s="735"/>
      <c r="F2" s="1536" t="s">
        <v>808</v>
      </c>
      <c r="G2" s="1536"/>
      <c r="H2" s="1536"/>
      <c r="I2" s="742"/>
      <c r="J2" s="1525" t="s">
        <v>809</v>
      </c>
      <c r="K2" s="1525"/>
      <c r="L2" s="1525"/>
      <c r="M2" s="735"/>
      <c r="N2" s="1535"/>
      <c r="O2" s="1535"/>
      <c r="P2" s="1535"/>
      <c r="R2" s="1217" t="s">
        <v>810</v>
      </c>
      <c r="S2" s="1217">
        <v>3331564719</v>
      </c>
      <c r="T2" s="1294" t="s">
        <v>424</v>
      </c>
      <c r="U2" s="1294">
        <v>24141985</v>
      </c>
      <c r="V2" s="1190" t="s">
        <v>425</v>
      </c>
      <c r="W2" s="1190" t="s">
        <v>362</v>
      </c>
      <c r="X2" s="1191">
        <v>23942.799999999999</v>
      </c>
      <c r="Y2" s="1294" t="s">
        <v>426</v>
      </c>
      <c r="Z2" s="1294">
        <v>1</v>
      </c>
      <c r="AA2" s="1294">
        <v>1</v>
      </c>
      <c r="AB2" s="1294" t="s">
        <v>207</v>
      </c>
      <c r="AC2" s="1217"/>
      <c r="AD2" s="1326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63" t="s">
        <v>770</v>
      </c>
      <c r="S3" s="1264">
        <v>3331565603</v>
      </c>
      <c r="T3" s="1264" t="s">
        <v>27</v>
      </c>
      <c r="U3" s="1261">
        <v>24142060</v>
      </c>
      <c r="V3" s="1261" t="s">
        <v>654</v>
      </c>
      <c r="W3" s="1261" t="s">
        <v>205</v>
      </c>
      <c r="X3" s="1267">
        <f>15241.956+9994.871</f>
        <v>25236.826999999997</v>
      </c>
      <c r="Y3" s="1261" t="s">
        <v>200</v>
      </c>
      <c r="Z3" s="1261">
        <v>1</v>
      </c>
      <c r="AA3" s="1261">
        <v>1</v>
      </c>
      <c r="AB3" s="1264" t="s">
        <v>204</v>
      </c>
      <c r="AC3" s="1271"/>
      <c r="AD3" s="81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63" t="s">
        <v>770</v>
      </c>
      <c r="S4" s="1264">
        <v>3331565025</v>
      </c>
      <c r="T4" s="1264" t="s">
        <v>256</v>
      </c>
      <c r="U4" s="1261" t="s">
        <v>256</v>
      </c>
      <c r="V4" s="1261" t="s">
        <v>256</v>
      </c>
      <c r="W4" s="1261" t="s">
        <v>256</v>
      </c>
      <c r="X4" s="1267" t="s">
        <v>256</v>
      </c>
      <c r="Y4" s="1261" t="s">
        <v>256</v>
      </c>
      <c r="Z4" s="1261" t="s">
        <v>256</v>
      </c>
      <c r="AA4" s="1261" t="s">
        <v>256</v>
      </c>
      <c r="AB4" s="1268" t="s">
        <v>256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SUMPRODUCT(--ISNUMBER(MATCH(TRIM(W1:W452), {"JABODETABEK","JAWA TENGAH","JAWA TIMUR","LUAR PULAU"}, 0)), --(AC1:AC452=""))</f>
        <v>69</v>
      </c>
      <c r="C5" s="1303" cm="1">
        <f t="array" ref="C5">SUMPRODUCT(--(LOWER(TRIM(AB1:AB478))="masuk"), --(ISNUMBER(MATCH(TRIM(W1:W478), {"JABODETABEK","JAWA TENGAH","JAWA TIMUR","LUAR PULAU"}, 0))), --(LOWER(AC1:AC478)&lt;&gt;"add"))</f>
        <v>44</v>
      </c>
      <c r="D5" s="1304">
        <f>C5+-B5</f>
        <v>-25</v>
      </c>
      <c r="E5" s="734"/>
      <c r="F5" s="1306" cm="1">
        <f t="array" ref="F5">SUMPRODUCT(--(LOWER(AC1:AC478)="add"), --(ISNUMBER(MATCH(W1:W478, {"JABODETABEK","JAWA TENGAH","JAWA TIMUR","LUAR PULAU"}, 0))))</f>
        <v>4</v>
      </c>
      <c r="G5" s="1303" cm="1">
        <f t="array" ref="G5">SUMPRODUCT(--(LOWER(AB1:AB478)="masuk"), --(LOWER(AC1:AC478)="add"))</f>
        <v>4</v>
      </c>
      <c r="H5" s="1304">
        <f>G5+-F5</f>
        <v>0</v>
      </c>
      <c r="I5" s="734"/>
      <c r="J5" s="1306" cm="1">
        <f t="array" ref="J5">SUMPRODUCT(--(ISNUMBER(SEARCH("next day",LOWER(W1:W478)))+ISNUMBER(SEARCH("nextday",LOWER(W1:W478)))&gt; 0))</f>
        <v>6</v>
      </c>
      <c r="K5" s="1303" cm="1">
        <f t="array" ref="K5">SUMPRODUCT(--(LOWER(AB1:AB478)="masuk"), --ISNUMBER(SEARCH("next day", LOWER(W1:W478))))</f>
        <v>4</v>
      </c>
      <c r="L5" s="1304">
        <f>K5+-J5</f>
        <v>-2</v>
      </c>
      <c r="M5" s="734"/>
      <c r="N5" s="1306">
        <f>B5+F5+J5</f>
        <v>79</v>
      </c>
      <c r="O5" s="1303">
        <f>C5+G5+K5</f>
        <v>52</v>
      </c>
      <c r="P5" s="1304">
        <f>D5+H5+L5</f>
        <v>-27</v>
      </c>
      <c r="R5" s="1252" t="s">
        <v>770</v>
      </c>
      <c r="S5" s="1209">
        <v>3331565606</v>
      </c>
      <c r="T5" s="1264" t="s">
        <v>27</v>
      </c>
      <c r="U5" s="1264">
        <v>24142061</v>
      </c>
      <c r="V5" s="1209" t="s">
        <v>654</v>
      </c>
      <c r="W5" s="1264" t="s">
        <v>205</v>
      </c>
      <c r="X5" s="1203">
        <v>24755.044000000002</v>
      </c>
      <c r="Y5" s="1261" t="s">
        <v>200</v>
      </c>
      <c r="Z5" s="1261">
        <v>1</v>
      </c>
      <c r="AA5" s="1261">
        <v>1</v>
      </c>
      <c r="AB5" s="1264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69</v>
      </c>
      <c r="C6" s="733">
        <f>SUM(C5)</f>
        <v>44</v>
      </c>
      <c r="D6" s="739">
        <f>SUM(D5)</f>
        <v>-25</v>
      </c>
      <c r="E6" s="734"/>
      <c r="F6" s="733">
        <f>SUM(F5)</f>
        <v>4</v>
      </c>
      <c r="G6" s="733">
        <f>SUM(G5)</f>
        <v>4</v>
      </c>
      <c r="H6" s="739">
        <f>SUM(H5)</f>
        <v>0</v>
      </c>
      <c r="I6" s="733"/>
      <c r="J6" s="733">
        <f>SUM(J5)</f>
        <v>6</v>
      </c>
      <c r="K6" s="733">
        <f>SUM(K5)</f>
        <v>4</v>
      </c>
      <c r="L6" s="739">
        <f>SUM(L5)</f>
        <v>-2</v>
      </c>
      <c r="M6" s="733"/>
      <c r="N6" s="760">
        <f>SUM(N5:N5)</f>
        <v>79</v>
      </c>
      <c r="O6" s="760">
        <f>SUM(O5:O5)</f>
        <v>52</v>
      </c>
      <c r="P6" s="761">
        <f>SUM(P5:P5)</f>
        <v>-27</v>
      </c>
      <c r="R6" s="1252" t="s">
        <v>770</v>
      </c>
      <c r="S6" s="1209">
        <v>3331565607</v>
      </c>
      <c r="T6" s="1264" t="s">
        <v>27</v>
      </c>
      <c r="U6" s="1264">
        <v>24142062</v>
      </c>
      <c r="V6" s="1209" t="s">
        <v>654</v>
      </c>
      <c r="W6" s="1264" t="s">
        <v>205</v>
      </c>
      <c r="X6" s="1203">
        <v>21417.579000000002</v>
      </c>
      <c r="Y6" s="1261" t="s">
        <v>200</v>
      </c>
      <c r="Z6" s="1261">
        <v>1</v>
      </c>
      <c r="AA6" s="1261">
        <v>1</v>
      </c>
      <c r="AB6" s="1264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770</v>
      </c>
      <c r="S7" s="1209">
        <v>3331565608</v>
      </c>
      <c r="T7" s="1264" t="s">
        <v>27</v>
      </c>
      <c r="U7" s="1264">
        <v>24142065</v>
      </c>
      <c r="V7" s="1209" t="s">
        <v>654</v>
      </c>
      <c r="W7" s="1264" t="s">
        <v>205</v>
      </c>
      <c r="X7" s="1203">
        <v>21417.579000000002</v>
      </c>
      <c r="Y7" s="1261" t="s">
        <v>200</v>
      </c>
      <c r="Z7" s="1261">
        <v>1</v>
      </c>
      <c r="AA7" s="1261">
        <v>1</v>
      </c>
      <c r="AB7" s="1264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27 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52" t="s">
        <v>770</v>
      </c>
      <c r="S8" s="1209">
        <v>3331565616</v>
      </c>
      <c r="T8" s="1264" t="s">
        <v>27</v>
      </c>
      <c r="U8" s="1264">
        <v>24142066</v>
      </c>
      <c r="V8" s="1209" t="s">
        <v>654</v>
      </c>
      <c r="W8" s="1264" t="s">
        <v>205</v>
      </c>
      <c r="X8" s="1203">
        <v>23660.114000000001</v>
      </c>
      <c r="Y8" s="1261" t="s">
        <v>200</v>
      </c>
      <c r="Z8" s="1261">
        <v>1</v>
      </c>
      <c r="AA8" s="1261">
        <v>1</v>
      </c>
      <c r="AB8" s="1264" t="s">
        <v>204</v>
      </c>
      <c r="AC8" s="1271"/>
      <c r="AD8" s="81"/>
      <c r="AE8" s="44"/>
      <c r="AF8" s="44"/>
      <c r="AG8" s="44"/>
    </row>
    <row r="9" spans="1:33" ht="18">
      <c r="A9" s="763" t="str">
        <f>A2</f>
        <v>Realz update 28 OKT’25 jam 07.00</v>
      </c>
      <c r="B9" s="825"/>
      <c r="C9" s="825"/>
      <c r="D9" s="825"/>
      <c r="E9" s="734"/>
      <c r="F9" s="1525" t="str">
        <f>F2</f>
        <v>Tgl 28 OKT’25 diatas jam 15.00</v>
      </c>
      <c r="G9" s="1525"/>
      <c r="H9" s="1525"/>
      <c r="I9" s="826"/>
      <c r="J9" s="1525" t="str">
        <f>J2</f>
        <v>Tgl 28 OKT’25</v>
      </c>
      <c r="K9" s="1525"/>
      <c r="L9" s="1525"/>
      <c r="M9" s="734"/>
      <c r="N9" s="1526"/>
      <c r="O9" s="1526"/>
      <c r="P9" s="1526"/>
      <c r="R9" s="1252" t="s">
        <v>770</v>
      </c>
      <c r="S9" s="1209">
        <v>3331565622</v>
      </c>
      <c r="T9" s="1264" t="s">
        <v>27</v>
      </c>
      <c r="U9" s="1264">
        <v>24142067</v>
      </c>
      <c r="V9" s="1209" t="s">
        <v>654</v>
      </c>
      <c r="W9" s="1264" t="s">
        <v>205</v>
      </c>
      <c r="X9" s="1203">
        <v>21180.324000000001</v>
      </c>
      <c r="Y9" s="1261" t="s">
        <v>200</v>
      </c>
      <c r="Z9" s="1261">
        <v>1</v>
      </c>
      <c r="AA9" s="1261">
        <v>1</v>
      </c>
      <c r="AB9" s="1264" t="s">
        <v>204</v>
      </c>
      <c r="AC9" s="1271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209" t="s">
        <v>770</v>
      </c>
      <c r="S10" s="1209">
        <v>3331565628</v>
      </c>
      <c r="T10" s="1264" t="s">
        <v>27</v>
      </c>
      <c r="U10" s="1202">
        <v>24142068</v>
      </c>
      <c r="V10" s="1209" t="s">
        <v>654</v>
      </c>
      <c r="W10" s="1264" t="s">
        <v>205</v>
      </c>
      <c r="X10" s="1281">
        <v>22687.312000000002</v>
      </c>
      <c r="Y10" s="1261" t="s">
        <v>200</v>
      </c>
      <c r="Z10" s="1261">
        <v>1</v>
      </c>
      <c r="AA10" s="1261">
        <v>1</v>
      </c>
      <c r="AB10" s="1264" t="s">
        <v>204</v>
      </c>
      <c r="AC10" s="1217"/>
      <c r="AD10" s="1326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770</v>
      </c>
      <c r="S11" s="1209">
        <v>3331565629</v>
      </c>
      <c r="T11" s="1264" t="s">
        <v>27</v>
      </c>
      <c r="U11" s="1264">
        <v>24142069</v>
      </c>
      <c r="V11" s="1209" t="s">
        <v>654</v>
      </c>
      <c r="W11" s="1264" t="s">
        <v>205</v>
      </c>
      <c r="X11" s="1203">
        <v>22889.519</v>
      </c>
      <c r="Y11" s="1261" t="s">
        <v>200</v>
      </c>
      <c r="Z11" s="1261">
        <v>1</v>
      </c>
      <c r="AA11" s="1261">
        <v>1</v>
      </c>
      <c r="AB11" s="1264" t="s">
        <v>204</v>
      </c>
      <c r="AC11" s="1217"/>
      <c r="AD11" s="1326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SUMPRODUCT(--(TRIM(LOWER(W1:W478))="jabodetabek"), --(LOWER(AC1:AC478)&lt;&gt;"add"))</f>
        <v>24</v>
      </c>
      <c r="C12" s="748" cm="1">
        <f t="array" ref="C12">SUMPRODUCT(--(LOWER(AB1:AB478)="masuk"), --(TRIM(LOWER(W1:W478))="jabodetabek"), --(LOWER(AC1:AC478)&lt;&gt;"add"))</f>
        <v>24</v>
      </c>
      <c r="D12" s="973">
        <f>C12+-B12</f>
        <v>0</v>
      </c>
      <c r="E12" s="734"/>
      <c r="F12" s="748" cm="1">
        <f t="array" ref="F12">SUMPRODUCT(--(LOWER(AC1:AC478)="add"), --(TRIM(LOWER(W1:W478))="jabodetabek"))</f>
        <v>4</v>
      </c>
      <c r="G12" s="747" cm="1">
        <f t="array" ref="G12">SUMPRODUCT(--(LOWER(AB1:AB478)="masuk"), --(LOWER(AC1:AC478)="add"), --(TRIM(LOWER(W1:W478))="jabodetabek"))</f>
        <v>4</v>
      </c>
      <c r="H12" s="740">
        <f>G12+-F12</f>
        <v>0</v>
      </c>
      <c r="I12" s="734"/>
      <c r="J12" s="748" cm="1">
        <f t="array" ref="J12">SUMPRODUCT(--(ISNUMBER(SEARCH("jabodetabek next day",LOWER(W1:W478)))+ISNUMBER(SEARCH("jabodetabek nextday",LOWER(W1:W478)))&gt; 0))</f>
        <v>6</v>
      </c>
      <c r="K12" s="747" cm="1">
        <f t="array" ref="K12">SUMPRODUCT(--(LOWER(AB1:AB478)="masuk"), --(LOWER(TRIM(W1:W478))="jabodetabek next day"))</f>
        <v>4</v>
      </c>
      <c r="L12" s="740">
        <f>K12+-J12</f>
        <v>-2</v>
      </c>
      <c r="M12" s="734"/>
      <c r="N12" s="748">
        <f t="shared" ref="N12:P16" si="0">B12+F12+J12</f>
        <v>34</v>
      </c>
      <c r="O12" s="747">
        <f t="shared" si="0"/>
        <v>32</v>
      </c>
      <c r="P12" s="740">
        <f t="shared" si="0"/>
        <v>-2</v>
      </c>
      <c r="R12" s="1209" t="s">
        <v>770</v>
      </c>
      <c r="S12" s="1209">
        <v>3331565639</v>
      </c>
      <c r="T12" s="1264" t="s">
        <v>799</v>
      </c>
      <c r="U12" s="1264">
        <v>24142073</v>
      </c>
      <c r="V12" s="1202" t="s">
        <v>811</v>
      </c>
      <c r="W12" s="1264" t="s">
        <v>205</v>
      </c>
      <c r="X12" s="1203">
        <v>29623.925999999999</v>
      </c>
      <c r="Y12" s="1264" t="s">
        <v>812</v>
      </c>
      <c r="Z12" s="1264">
        <v>1</v>
      </c>
      <c r="AA12" s="1264">
        <v>1</v>
      </c>
      <c r="AB12" s="1264" t="s">
        <v>204</v>
      </c>
      <c r="AC12" s="1217"/>
      <c r="AD12" s="1326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SUMPRODUCT(--(TRIM(LOWER(W1:W478))="jawa tengah"), --(LOWER(AC1:AC478)&lt;&gt;"add"))</f>
        <v>17</v>
      </c>
      <c r="C13" s="750" cm="1">
        <f t="array" ref="C13">SUMPRODUCT(--(LOWER(AB1:AB478)="masuk"), --(TRIM(LOWER(W1:W478))="jawa tengah"), --(LOWER(AC1:AC478)&lt;&gt;"add"))</f>
        <v>4</v>
      </c>
      <c r="D13" s="846">
        <f>C13+-B13</f>
        <v>-13</v>
      </c>
      <c r="E13" s="734"/>
      <c r="F13" s="751" cm="1">
        <f t="array" ref="F13">SUMPRODUCT(--(LOWER(AC1:AC478)="add"), --(TRIM(LOWER(W1:W478))="jawa tengah"))</f>
        <v>0</v>
      </c>
      <c r="G13" s="747" cm="1">
        <f t="array" ref="G13">SUMPRODUCT(--(LOWER(AB1:AB478)="masuk"), --(LOWER(AC1:AC478)="add"), --(TRIM(LOWER(W1:W478))="jawa tengah"))</f>
        <v>0</v>
      </c>
      <c r="H13" s="740">
        <f>G13+-F13</f>
        <v>0</v>
      </c>
      <c r="I13" s="734"/>
      <c r="J13" s="748" cm="1">
        <f t="array" ref="J13">SUMPRODUCT(--((LOWER(TRIM(W1:W478))="jawa tengah next day")+(LOWER(TRIM(W1:W478))="jawa tengah nextday")))</f>
        <v>0</v>
      </c>
      <c r="K13" s="747" cm="1">
        <f t="array" ref="K13">SUMPRODUCT(--(LOWER(AB1:AB478)="masuk"), --(LOWER(TRIM(W1:W478))="jawa tengah next day"))</f>
        <v>0</v>
      </c>
      <c r="L13" s="740">
        <f>K13+-J13</f>
        <v>0</v>
      </c>
      <c r="M13" s="734"/>
      <c r="N13" s="748">
        <f t="shared" si="0"/>
        <v>17</v>
      </c>
      <c r="O13" s="747">
        <f t="shared" si="0"/>
        <v>4</v>
      </c>
      <c r="P13" s="740">
        <f t="shared" si="0"/>
        <v>-13</v>
      </c>
      <c r="R13" s="1209" t="s">
        <v>770</v>
      </c>
      <c r="S13" s="1209">
        <v>3331565643</v>
      </c>
      <c r="T13" s="1264" t="s">
        <v>799</v>
      </c>
      <c r="U13" s="1264">
        <v>24142074</v>
      </c>
      <c r="V13" s="1202" t="s">
        <v>811</v>
      </c>
      <c r="W13" s="1264" t="s">
        <v>205</v>
      </c>
      <c r="X13" s="1203">
        <v>29623.925999999999</v>
      </c>
      <c r="Y13" s="1264" t="s">
        <v>812</v>
      </c>
      <c r="Z13" s="1264">
        <v>1</v>
      </c>
      <c r="AA13" s="1264">
        <v>1</v>
      </c>
      <c r="AB13" s="1264" t="s">
        <v>204</v>
      </c>
      <c r="AC13" s="1217"/>
      <c r="AD13" s="1326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SUMPRODUCT(--(TRIM(LOWER(W1:W478))="jawa timur"), --(LOWER(AC1:AC478)&lt;&gt;"add"))</f>
        <v>20</v>
      </c>
      <c r="C14" s="750" cm="1">
        <f t="array" ref="C14">SUMPRODUCT(--(LOWER(AB1:AB478)="masuk"), --(TRIM(LOWER(W1:W478))="jawa timur"), --(LOWER(AC1:AC478)&lt;&gt;"add"))</f>
        <v>15</v>
      </c>
      <c r="D14" s="846">
        <f>C14+-B14</f>
        <v>-5</v>
      </c>
      <c r="E14" s="734"/>
      <c r="F14" s="750" cm="1">
        <f t="array" ref="F14">SUMPRODUCT(--(LOWER(AC1:AC478)="add"), --(TRIM(LOWER(W1:W478))="jawa timur"))</f>
        <v>0</v>
      </c>
      <c r="G14" s="747" cm="1">
        <f t="array" ref="G14">SUMPRODUCT(--(LOWER(AB1:AB478)="masuk"), --(LOWER(AC1:AC478)="add"), --(TRIM(LOWER(W1:W478))="jawa timur"))</f>
        <v>0</v>
      </c>
      <c r="H14" s="740">
        <f>G14+-F14</f>
        <v>0</v>
      </c>
      <c r="I14" s="734"/>
      <c r="J14" s="748" cm="1">
        <f t="array" ref="J14">SUMPRODUCT(--((LOWER(TRIM(W1:W478))="jawa timur next day")+(LOWER(TRIM(W1:W478))="jawa timur nextday")))</f>
        <v>0</v>
      </c>
      <c r="K14" s="747" cm="1">
        <f t="array" ref="K14">SUMPRODUCT(--(LOWER(AB1:AB478)="masuk"), --(LOWER(TRIM(W1:W478))="jawa timur next day"))</f>
        <v>0</v>
      </c>
      <c r="L14" s="740">
        <f>K14+-J14</f>
        <v>0</v>
      </c>
      <c r="M14" s="734"/>
      <c r="N14" s="748">
        <f t="shared" si="0"/>
        <v>20</v>
      </c>
      <c r="O14" s="747">
        <f t="shared" si="0"/>
        <v>15</v>
      </c>
      <c r="P14" s="740">
        <f t="shared" si="0"/>
        <v>-5</v>
      </c>
      <c r="R14" s="1217" t="s">
        <v>770</v>
      </c>
      <c r="S14" s="1217">
        <v>3331565654</v>
      </c>
      <c r="T14" s="1294" t="s">
        <v>799</v>
      </c>
      <c r="U14" s="1294">
        <v>24142078</v>
      </c>
      <c r="V14" s="1190" t="s">
        <v>811</v>
      </c>
      <c r="W14" s="1294" t="s">
        <v>205</v>
      </c>
      <c r="X14" s="1191">
        <f>8430.28+20442.1</f>
        <v>28872.379999999997</v>
      </c>
      <c r="Y14" s="1294" t="s">
        <v>812</v>
      </c>
      <c r="Z14" s="1294">
        <v>1</v>
      </c>
      <c r="AA14" s="1294">
        <v>1</v>
      </c>
      <c r="AB14" s="1294" t="s">
        <v>207</v>
      </c>
      <c r="AC14" s="1217"/>
      <c r="AD14" s="1326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SUMPRODUCT(--(TRIM(LOWER(W1:W478))="luar pulau"), --(LOWER(AC1:AC478)&lt;&gt;"add"))</f>
        <v>8</v>
      </c>
      <c r="C15" s="750" cm="1">
        <f t="array" ref="C15">SUMPRODUCT(--(LOWER(AB1:AB478)="masuk"), --(TRIM(LOWER(W1:W478))="luar pulau"), --(LOWER(AC1:AC478)&lt;&gt;"add"))</f>
        <v>0</v>
      </c>
      <c r="D15" s="846">
        <f>C15+-B15</f>
        <v>-8</v>
      </c>
      <c r="E15" s="734"/>
      <c r="F15" s="748" cm="1">
        <f t="array" ref="F15">SUMPRODUCT(--(LOWER(AC1:AC478)="add"), --(TRIM(LOWER(W1:W478))="luar pulau"))</f>
        <v>0</v>
      </c>
      <c r="G15" s="747" cm="1">
        <f t="array" ref="G15">SUMPRODUCT(--(LOWER(AB1:AB478)="masuk"), --(LOWER(AC1:AC478)="add"), --(TRIM(LOWER(W1:W478))="luar pulau"))</f>
        <v>0</v>
      </c>
      <c r="H15" s="740">
        <f>G15+-F15</f>
        <v>0</v>
      </c>
      <c r="I15" s="734"/>
      <c r="J15" s="748" cm="1">
        <f t="array" ref="J15">SUMPRODUCT(--((LOWER(TRIM(W1:W478))="luar pulau next day")+(LOWER(TRIM(W1:W478))="luar pulau nextday")))</f>
        <v>0</v>
      </c>
      <c r="K15" s="747" cm="1">
        <f t="array" ref="K15">SUMPRODUCT(--(LOWER(AB1:AB478)="masuk"), --(LOWER(TRIM(W1:W478))="luar pulau next day"))</f>
        <v>0</v>
      </c>
      <c r="L15" s="740">
        <f>K15+-J15</f>
        <v>0</v>
      </c>
      <c r="M15" s="734"/>
      <c r="N15" s="748">
        <f t="shared" si="0"/>
        <v>8</v>
      </c>
      <c r="O15" s="747">
        <f t="shared" si="0"/>
        <v>0</v>
      </c>
      <c r="P15" s="740">
        <f t="shared" si="0"/>
        <v>-8</v>
      </c>
      <c r="R15" s="1217" t="s">
        <v>770</v>
      </c>
      <c r="S15" s="1217">
        <v>3331565655</v>
      </c>
      <c r="T15" s="1294" t="s">
        <v>256</v>
      </c>
      <c r="U15" s="1294" t="s">
        <v>256</v>
      </c>
      <c r="V15" s="1294" t="s">
        <v>256</v>
      </c>
      <c r="W15" s="1190" t="s">
        <v>256</v>
      </c>
      <c r="X15" s="1191" t="s">
        <v>256</v>
      </c>
      <c r="Y15" s="1294" t="s">
        <v>256</v>
      </c>
      <c r="Z15" s="1294" t="s">
        <v>256</v>
      </c>
      <c r="AA15" s="1294" t="s">
        <v>256</v>
      </c>
      <c r="AB15" s="1294" t="s">
        <v>256</v>
      </c>
      <c r="AC15" s="1217"/>
      <c r="AD15" s="1326"/>
      <c r="AE15" s="44"/>
      <c r="AF15" s="44"/>
      <c r="AG15" s="44"/>
    </row>
    <row r="16" spans="1:33" ht="17.399999999999999">
      <c r="A16" s="827"/>
      <c r="B16" s="733">
        <f>SUM(B12:B15)</f>
        <v>69</v>
      </c>
      <c r="C16" s="733">
        <f>SUM(C12:C15)</f>
        <v>43</v>
      </c>
      <c r="D16" s="739">
        <f>SUM(D12:D15)</f>
        <v>-26</v>
      </c>
      <c r="E16" s="734"/>
      <c r="F16" s="733">
        <f>SUM(F12:F15)</f>
        <v>4</v>
      </c>
      <c r="G16" s="733">
        <f>SUM(G12:G15)</f>
        <v>4</v>
      </c>
      <c r="H16" s="739">
        <f>SUM(H12:H15)</f>
        <v>0</v>
      </c>
      <c r="I16" s="734"/>
      <c r="J16" s="733">
        <f>SUM(J12:J15)</f>
        <v>6</v>
      </c>
      <c r="K16" s="733">
        <f>SUM(K12:K15)</f>
        <v>4</v>
      </c>
      <c r="L16" s="739">
        <f>SUM(L12:L15)</f>
        <v>-2</v>
      </c>
      <c r="M16" s="734"/>
      <c r="N16" s="760">
        <f t="shared" si="0"/>
        <v>79</v>
      </c>
      <c r="O16" s="760">
        <f t="shared" si="0"/>
        <v>51</v>
      </c>
      <c r="P16" s="761">
        <f t="shared" si="0"/>
        <v>-28</v>
      </c>
      <c r="R16" s="1217" t="s">
        <v>770</v>
      </c>
      <c r="S16" s="1217">
        <v>3331565702</v>
      </c>
      <c r="T16" s="1294" t="s">
        <v>799</v>
      </c>
      <c r="U16" s="1294">
        <v>24142086</v>
      </c>
      <c r="V16" s="1294" t="s">
        <v>811</v>
      </c>
      <c r="W16" s="1294" t="s">
        <v>205</v>
      </c>
      <c r="X16" s="1191">
        <v>29981.816999999999</v>
      </c>
      <c r="Y16" s="1294" t="s">
        <v>812</v>
      </c>
      <c r="Z16" s="1294">
        <v>1</v>
      </c>
      <c r="AA16" s="1294">
        <v>1</v>
      </c>
      <c r="AB16" s="1294" t="s">
        <v>207</v>
      </c>
      <c r="AC16" s="1217"/>
      <c r="AD16" s="1326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17" t="s">
        <v>770</v>
      </c>
      <c r="S17" s="1217">
        <v>3331565710</v>
      </c>
      <c r="T17" s="1294" t="s">
        <v>799</v>
      </c>
      <c r="U17" s="1294">
        <v>24142093</v>
      </c>
      <c r="V17" s="1294" t="s">
        <v>811</v>
      </c>
      <c r="W17" s="1294" t="s">
        <v>205</v>
      </c>
      <c r="X17" s="1191">
        <v>29938.560000000001</v>
      </c>
      <c r="Y17" s="1294" t="s">
        <v>812</v>
      </c>
      <c r="Z17" s="1294">
        <v>1</v>
      </c>
      <c r="AA17" s="1294">
        <v>1</v>
      </c>
      <c r="AB17" s="1294" t="s">
        <v>207</v>
      </c>
      <c r="AC17" s="1217"/>
      <c r="AD17" s="1326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189" t="s">
        <v>770</v>
      </c>
      <c r="S18" s="1224">
        <v>3331565712</v>
      </c>
      <c r="T18" s="1294" t="s">
        <v>799</v>
      </c>
      <c r="U18" s="1224">
        <v>24142095</v>
      </c>
      <c r="V18" s="1224" t="s">
        <v>729</v>
      </c>
      <c r="W18" s="1224" t="s">
        <v>203</v>
      </c>
      <c r="X18" s="1225">
        <v>30180.796999999999</v>
      </c>
      <c r="Y18" s="1294" t="s">
        <v>812</v>
      </c>
      <c r="Z18" s="1294">
        <v>1</v>
      </c>
      <c r="AA18" s="1294">
        <v>1</v>
      </c>
      <c r="AB18" s="1294" t="s">
        <v>207</v>
      </c>
      <c r="AC18" s="1217"/>
      <c r="AD18" s="1326"/>
    </row>
    <row r="19" spans="1:30" s="44" customFormat="1" ht="17.399999999999999">
      <c r="A19" s="967" t="s">
        <v>434</v>
      </c>
      <c r="B19" s="1522" t="s">
        <v>415</v>
      </c>
      <c r="C19" s="1523"/>
      <c r="D19" s="1524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189" t="s">
        <v>770</v>
      </c>
      <c r="S19" s="1224">
        <v>3331565715</v>
      </c>
      <c r="T19" s="1294" t="s">
        <v>799</v>
      </c>
      <c r="U19" s="1224">
        <v>24142097</v>
      </c>
      <c r="V19" s="1294" t="s">
        <v>811</v>
      </c>
      <c r="W19" s="1294" t="s">
        <v>205</v>
      </c>
      <c r="X19" s="1225">
        <v>30108.574000000001</v>
      </c>
      <c r="Y19" s="1294" t="s">
        <v>812</v>
      </c>
      <c r="Z19" s="1294">
        <v>1</v>
      </c>
      <c r="AA19" s="1294">
        <v>1</v>
      </c>
      <c r="AB19" s="1294" t="s">
        <v>207</v>
      </c>
      <c r="AC19" s="1217"/>
      <c r="AD19" s="81"/>
    </row>
    <row r="20" spans="1:30" s="44" customFormat="1" ht="17.399999999999999">
      <c r="A20" s="1354"/>
      <c r="B20" s="966" t="s">
        <v>419</v>
      </c>
      <c r="C20" s="966" t="s">
        <v>420</v>
      </c>
      <c r="D20" s="967" t="s">
        <v>421</v>
      </c>
      <c r="E20" s="1023"/>
      <c r="F20" s="1021"/>
      <c r="G20" s="1021"/>
      <c r="H20" s="1022"/>
      <c r="I20" s="1023"/>
      <c r="J20" s="1021"/>
      <c r="K20" s="1021"/>
      <c r="L20" s="1021"/>
      <c r="M20" s="1023"/>
      <c r="O20" s="1021"/>
      <c r="P20" s="1022"/>
      <c r="R20" s="1189" t="s">
        <v>770</v>
      </c>
      <c r="S20" s="1224">
        <v>3331565718</v>
      </c>
      <c r="T20" s="1294" t="s">
        <v>799</v>
      </c>
      <c r="U20" s="1224">
        <v>24142100</v>
      </c>
      <c r="V20" s="1224" t="s">
        <v>729</v>
      </c>
      <c r="W20" s="1224" t="s">
        <v>203</v>
      </c>
      <c r="X20" s="1225">
        <v>28943.625</v>
      </c>
      <c r="Y20" s="1294" t="s">
        <v>812</v>
      </c>
      <c r="Z20" s="1294">
        <v>1</v>
      </c>
      <c r="AA20" s="1294">
        <v>1</v>
      </c>
      <c r="AB20" s="1294" t="s">
        <v>207</v>
      </c>
      <c r="AC20" s="1271"/>
      <c r="AD20" s="81"/>
    </row>
    <row r="21" spans="1:30" s="44" customFormat="1" ht="18">
      <c r="A21" s="968" t="s">
        <v>427</v>
      </c>
      <c r="B21" s="970" cm="1">
        <f t="array" ref="B21">SUMPRODUCT(--((LOWER(TRIM($W$2:$W$255))="ambil sendiri")+(LOWER(TRIM($W$2:$W$255))="cokot sorangan")))</f>
        <v>0</v>
      </c>
      <c r="C21" s="969" cm="1">
        <f t="array" ref="C21">SUMPRODUCT(--(LOWER(AB6:AB285)="masuk"), --((LOWER(TRIM($W$2:$W$281))="cokot sorangan") + (LOWER(TRIM(W6:W285))="ambil sendiri")))</f>
        <v>0</v>
      </c>
      <c r="D21" s="741">
        <f>C21+-B21</f>
        <v>0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O21" s="1021"/>
      <c r="P21" s="1022"/>
      <c r="R21" s="1189" t="s">
        <v>770</v>
      </c>
      <c r="S21" s="1224">
        <v>3331565720</v>
      </c>
      <c r="T21" s="1294" t="s">
        <v>799</v>
      </c>
      <c r="U21" s="1224">
        <v>24142101</v>
      </c>
      <c r="V21" s="1224" t="s">
        <v>729</v>
      </c>
      <c r="W21" s="1224" t="s">
        <v>203</v>
      </c>
      <c r="X21" s="1225">
        <v>28943.625</v>
      </c>
      <c r="Y21" s="1294" t="s">
        <v>812</v>
      </c>
      <c r="Z21" s="1294">
        <v>1</v>
      </c>
      <c r="AA21" s="1294">
        <v>1</v>
      </c>
      <c r="AB21" s="1294" t="s">
        <v>207</v>
      </c>
      <c r="AC21" s="1271"/>
      <c r="AD21" s="81"/>
    </row>
    <row r="22" spans="1:30" s="44" customFormat="1" ht="17.399999999999999">
      <c r="A22" s="993"/>
      <c r="B22" s="760">
        <f>SUM(B107:B110)</f>
        <v>0</v>
      </c>
      <c r="C22" s="760">
        <f>SUM(C107:C110)</f>
        <v>0</v>
      </c>
      <c r="D22" s="761">
        <f>SUM(D107:D110)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189" t="s">
        <v>770</v>
      </c>
      <c r="S22" s="1224">
        <v>3331565727</v>
      </c>
      <c r="T22" s="1294" t="s">
        <v>799</v>
      </c>
      <c r="U22" s="1224">
        <v>24142102</v>
      </c>
      <c r="V22" s="1224" t="s">
        <v>729</v>
      </c>
      <c r="W22" s="1224" t="s">
        <v>203</v>
      </c>
      <c r="X22" s="1225">
        <v>28943.625</v>
      </c>
      <c r="Y22" s="1294" t="s">
        <v>812</v>
      </c>
      <c r="Z22" s="1294">
        <v>1</v>
      </c>
      <c r="AA22" s="1294">
        <v>1</v>
      </c>
      <c r="AB22" s="1294" t="s">
        <v>207</v>
      </c>
      <c r="AC22" s="1271"/>
      <c r="AD22" s="81"/>
    </row>
    <row r="23" spans="1:30" s="44" customFormat="1" ht="17.399999999999999"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189" t="s">
        <v>770</v>
      </c>
      <c r="S23" s="1224">
        <v>3331565726</v>
      </c>
      <c r="T23" s="1294" t="s">
        <v>799</v>
      </c>
      <c r="U23" s="1224">
        <v>24142103</v>
      </c>
      <c r="V23" s="1224" t="s">
        <v>224</v>
      </c>
      <c r="W23" s="1224" t="s">
        <v>203</v>
      </c>
      <c r="X23" s="1225">
        <v>27149.726999999999</v>
      </c>
      <c r="Y23" s="1294" t="s">
        <v>812</v>
      </c>
      <c r="Z23" s="1294">
        <v>1</v>
      </c>
      <c r="AA23" s="1294">
        <v>1</v>
      </c>
      <c r="AB23" s="1294" t="s">
        <v>207</v>
      </c>
      <c r="AC23" s="1271"/>
      <c r="AD23" s="81"/>
    </row>
    <row r="24" spans="1:30" s="44" customFormat="1" ht="17.399999999999999"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189" t="s">
        <v>770</v>
      </c>
      <c r="S24" s="1224">
        <v>3331565732</v>
      </c>
      <c r="T24" s="1294" t="s">
        <v>799</v>
      </c>
      <c r="U24" s="1224">
        <v>24142105</v>
      </c>
      <c r="V24" s="1224" t="s">
        <v>729</v>
      </c>
      <c r="W24" s="1224" t="s">
        <v>203</v>
      </c>
      <c r="X24" s="1225">
        <v>29975.782999999999</v>
      </c>
      <c r="Y24" s="1294" t="s">
        <v>812</v>
      </c>
      <c r="Z24" s="1294">
        <v>1</v>
      </c>
      <c r="AA24" s="1294">
        <v>1</v>
      </c>
      <c r="AB24" s="1294" t="s">
        <v>207</v>
      </c>
      <c r="AC24" s="1271"/>
      <c r="AD24" s="81"/>
    </row>
    <row r="25" spans="1:30" s="44" customFormat="1" ht="17.399999999999999"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189" t="s">
        <v>770</v>
      </c>
      <c r="S25" s="1224">
        <v>3331565737</v>
      </c>
      <c r="T25" s="1294" t="s">
        <v>799</v>
      </c>
      <c r="U25" s="1224">
        <v>24142107</v>
      </c>
      <c r="V25" s="1224" t="s">
        <v>224</v>
      </c>
      <c r="W25" s="1224" t="s">
        <v>203</v>
      </c>
      <c r="X25" s="1225">
        <v>28513.309000000001</v>
      </c>
      <c r="Y25" s="1294" t="s">
        <v>812</v>
      </c>
      <c r="Z25" s="1294">
        <v>1</v>
      </c>
      <c r="AA25" s="1294">
        <v>1</v>
      </c>
      <c r="AB25" s="1294" t="s">
        <v>207</v>
      </c>
      <c r="AC25" s="1271"/>
      <c r="AD25" s="81"/>
    </row>
    <row r="26" spans="1:30" s="44" customFormat="1" ht="17.399999999999999">
      <c r="A26" s="1021"/>
      <c r="B26" s="1021"/>
      <c r="C26" s="1021"/>
      <c r="D26" s="1021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189" t="s">
        <v>770</v>
      </c>
      <c r="S26" s="1224">
        <v>3331565741</v>
      </c>
      <c r="T26" s="1294" t="s">
        <v>799</v>
      </c>
      <c r="U26" s="1224">
        <v>24142111</v>
      </c>
      <c r="V26" s="1224" t="s">
        <v>729</v>
      </c>
      <c r="W26" s="1224" t="s">
        <v>203</v>
      </c>
      <c r="X26" s="1225">
        <v>28384.792000000001</v>
      </c>
      <c r="Y26" s="1294" t="s">
        <v>812</v>
      </c>
      <c r="Z26" s="1294">
        <v>1</v>
      </c>
      <c r="AA26" s="1294">
        <v>1</v>
      </c>
      <c r="AB26" s="1294" t="s">
        <v>207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189" t="s">
        <v>770</v>
      </c>
      <c r="S27" s="1224">
        <v>3331565742</v>
      </c>
      <c r="T27" s="1294" t="s">
        <v>799</v>
      </c>
      <c r="U27" s="1224">
        <v>24142110</v>
      </c>
      <c r="V27" s="1224" t="s">
        <v>224</v>
      </c>
      <c r="W27" s="1224" t="s">
        <v>203</v>
      </c>
      <c r="X27" s="1225">
        <v>28040.238000000001</v>
      </c>
      <c r="Y27" s="1294" t="s">
        <v>812</v>
      </c>
      <c r="Z27" s="1294">
        <v>1</v>
      </c>
      <c r="AA27" s="1294">
        <v>1</v>
      </c>
      <c r="AB27" s="1294" t="s">
        <v>207</v>
      </c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189" t="s">
        <v>770</v>
      </c>
      <c r="S28" s="1224">
        <v>3331565748</v>
      </c>
      <c r="T28" s="1294" t="s">
        <v>799</v>
      </c>
      <c r="U28" s="1224">
        <v>24142112</v>
      </c>
      <c r="V28" s="1224" t="s">
        <v>224</v>
      </c>
      <c r="W28" s="1224" t="s">
        <v>203</v>
      </c>
      <c r="X28" s="1225">
        <v>27524.16</v>
      </c>
      <c r="Y28" s="1294" t="s">
        <v>812</v>
      </c>
      <c r="Z28" s="1294">
        <v>1</v>
      </c>
      <c r="AA28" s="1294">
        <v>1</v>
      </c>
      <c r="AB28" s="1294" t="s">
        <v>207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189" t="s">
        <v>770</v>
      </c>
      <c r="S29" s="1224">
        <v>3331565751</v>
      </c>
      <c r="T29" s="1294" t="s">
        <v>799</v>
      </c>
      <c r="U29" s="1224">
        <v>24142113</v>
      </c>
      <c r="V29" s="1224" t="s">
        <v>729</v>
      </c>
      <c r="W29" s="1224" t="s">
        <v>203</v>
      </c>
      <c r="X29" s="1225">
        <v>29588.472000000002</v>
      </c>
      <c r="Y29" s="1294" t="s">
        <v>812</v>
      </c>
      <c r="Z29" s="1294">
        <v>1</v>
      </c>
      <c r="AA29" s="1294">
        <v>1</v>
      </c>
      <c r="AB29" s="1294" t="s">
        <v>207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189" t="s">
        <v>770</v>
      </c>
      <c r="S30" s="1224">
        <v>3331565754</v>
      </c>
      <c r="T30" s="1294" t="s">
        <v>799</v>
      </c>
      <c r="U30" s="1224">
        <v>24142116</v>
      </c>
      <c r="V30" s="1224" t="s">
        <v>224</v>
      </c>
      <c r="W30" s="1224" t="s">
        <v>203</v>
      </c>
      <c r="X30" s="1225">
        <v>28384.29</v>
      </c>
      <c r="Y30" s="1294" t="s">
        <v>812</v>
      </c>
      <c r="Z30" s="1294">
        <v>1</v>
      </c>
      <c r="AA30" s="1294">
        <v>1</v>
      </c>
      <c r="AB30" s="1294" t="s">
        <v>207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189" t="s">
        <v>770</v>
      </c>
      <c r="S31" s="1224">
        <v>3331565760</v>
      </c>
      <c r="T31" s="1294" t="s">
        <v>799</v>
      </c>
      <c r="U31" s="1224">
        <v>24142120</v>
      </c>
      <c r="V31" s="1224" t="s">
        <v>729</v>
      </c>
      <c r="W31" s="1224" t="s">
        <v>203</v>
      </c>
      <c r="X31" s="1225">
        <v>28428.555</v>
      </c>
      <c r="Y31" s="1294" t="s">
        <v>812</v>
      </c>
      <c r="Z31" s="1294">
        <v>1</v>
      </c>
      <c r="AA31" s="1294">
        <v>1</v>
      </c>
      <c r="AB31" s="1294" t="s">
        <v>207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1" t="s">
        <v>770</v>
      </c>
      <c r="S32" s="1227">
        <v>3331565762</v>
      </c>
      <c r="T32" s="1264" t="s">
        <v>457</v>
      </c>
      <c r="U32" s="1227">
        <v>24142122</v>
      </c>
      <c r="V32" s="1227" t="s">
        <v>811</v>
      </c>
      <c r="W32" s="1227" t="s">
        <v>205</v>
      </c>
      <c r="X32" s="1229">
        <v>39406.930999999997</v>
      </c>
      <c r="Y32" s="1264" t="s">
        <v>128</v>
      </c>
      <c r="Z32" s="1264">
        <v>1</v>
      </c>
      <c r="AA32" s="1264">
        <v>1</v>
      </c>
      <c r="AB32" s="1264" t="s">
        <v>204</v>
      </c>
      <c r="AC32" s="1271"/>
      <c r="AD32" s="81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1" t="s">
        <v>770</v>
      </c>
      <c r="S33" s="1227">
        <v>3331565739</v>
      </c>
      <c r="T33" s="1264" t="s">
        <v>336</v>
      </c>
      <c r="U33" s="1227">
        <v>24142118</v>
      </c>
      <c r="V33" s="1227" t="s">
        <v>811</v>
      </c>
      <c r="W33" s="1227" t="s">
        <v>205</v>
      </c>
      <c r="X33" s="1229">
        <f>16196.588+22082.706</f>
        <v>38279.293999999994</v>
      </c>
      <c r="Y33" s="1264" t="s">
        <v>128</v>
      </c>
      <c r="Z33" s="1264">
        <v>1</v>
      </c>
      <c r="AA33" s="1264">
        <v>1</v>
      </c>
      <c r="AB33" s="1264" t="s">
        <v>204</v>
      </c>
      <c r="AC33" s="1271"/>
      <c r="AD33" s="81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01" t="s">
        <v>770</v>
      </c>
      <c r="S34" s="1227">
        <v>3331565756</v>
      </c>
      <c r="T34" s="1264" t="s">
        <v>256</v>
      </c>
      <c r="U34" s="1227" t="s">
        <v>256</v>
      </c>
      <c r="V34" s="1227" t="s">
        <v>256</v>
      </c>
      <c r="W34" s="1227" t="s">
        <v>256</v>
      </c>
      <c r="X34" s="1229" t="s">
        <v>256</v>
      </c>
      <c r="Y34" s="1264" t="s">
        <v>256</v>
      </c>
      <c r="Z34" s="1264" t="s">
        <v>256</v>
      </c>
      <c r="AA34" s="1264" t="s">
        <v>256</v>
      </c>
      <c r="AB34" s="1264" t="s">
        <v>256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01" t="s">
        <v>770</v>
      </c>
      <c r="S35" s="1227">
        <v>3331565774</v>
      </c>
      <c r="T35" s="1264" t="s">
        <v>27</v>
      </c>
      <c r="U35" s="1227"/>
      <c r="V35" s="1227" t="s">
        <v>745</v>
      </c>
      <c r="W35" s="1227" t="s">
        <v>203</v>
      </c>
      <c r="X35" s="1229">
        <f>15761.564+11525.742</f>
        <v>27287.306</v>
      </c>
      <c r="Y35" s="1264" t="s">
        <v>200</v>
      </c>
      <c r="Z35" s="1264">
        <v>1</v>
      </c>
      <c r="AA35" s="1264">
        <v>1</v>
      </c>
      <c r="AB35" s="1264" t="s">
        <v>204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01" t="s">
        <v>770</v>
      </c>
      <c r="S36" s="1227">
        <v>3331565775</v>
      </c>
      <c r="T36" s="1264" t="s">
        <v>256</v>
      </c>
      <c r="U36" s="1227" t="s">
        <v>256</v>
      </c>
      <c r="V36" s="1227" t="s">
        <v>256</v>
      </c>
      <c r="W36" s="1227" t="s">
        <v>256</v>
      </c>
      <c r="X36" s="1229" t="s">
        <v>256</v>
      </c>
      <c r="Y36" s="1264" t="s">
        <v>256</v>
      </c>
      <c r="Z36" s="1264" t="s">
        <v>256</v>
      </c>
      <c r="AA36" s="1264" t="s">
        <v>256</v>
      </c>
      <c r="AB36" s="1264" t="s">
        <v>256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01" t="s">
        <v>770</v>
      </c>
      <c r="S37" s="1227">
        <v>3331565777</v>
      </c>
      <c r="T37" s="1264" t="s">
        <v>27</v>
      </c>
      <c r="U37" s="1227">
        <v>24142128</v>
      </c>
      <c r="V37" s="1227" t="s">
        <v>655</v>
      </c>
      <c r="W37" s="1227" t="s">
        <v>592</v>
      </c>
      <c r="X37" s="1229">
        <v>25807.396000000001</v>
      </c>
      <c r="Y37" s="1264" t="s">
        <v>200</v>
      </c>
      <c r="Z37" s="1264">
        <v>1</v>
      </c>
      <c r="AA37" s="1264">
        <v>1</v>
      </c>
      <c r="AB37" s="1264" t="s">
        <v>204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189" t="s">
        <v>770</v>
      </c>
      <c r="S38" s="1224">
        <v>3331565778</v>
      </c>
      <c r="T38" s="1294" t="s">
        <v>424</v>
      </c>
      <c r="U38" s="1224">
        <v>24142129</v>
      </c>
      <c r="V38" s="1224" t="s">
        <v>429</v>
      </c>
      <c r="W38" s="1224" t="s">
        <v>362</v>
      </c>
      <c r="X38" s="1225">
        <v>25937.298999999999</v>
      </c>
      <c r="Y38" s="1294" t="s">
        <v>426</v>
      </c>
      <c r="Z38" s="1294">
        <v>1</v>
      </c>
      <c r="AA38" s="1294">
        <v>1</v>
      </c>
      <c r="AB38" s="1294" t="s">
        <v>207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189" t="s">
        <v>770</v>
      </c>
      <c r="S39" s="1224">
        <v>3331565717</v>
      </c>
      <c r="T39" s="1356" t="s">
        <v>564</v>
      </c>
      <c r="U39" s="1224">
        <v>24142098</v>
      </c>
      <c r="V39" s="1224" t="s">
        <v>772</v>
      </c>
      <c r="W39" s="1224" t="s">
        <v>362</v>
      </c>
      <c r="X39" s="1225">
        <v>25847.157999999999</v>
      </c>
      <c r="Y39" s="1190" t="s">
        <v>200</v>
      </c>
      <c r="Z39" s="1294">
        <v>1</v>
      </c>
      <c r="AA39" s="1294">
        <v>1</v>
      </c>
      <c r="AB39" s="1294" t="s">
        <v>207</v>
      </c>
      <c r="AC39" s="1357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190" t="s">
        <v>770</v>
      </c>
      <c r="S40" s="1294">
        <v>3331565735</v>
      </c>
      <c r="T40" s="1356" t="s">
        <v>564</v>
      </c>
      <c r="U40" s="1190">
        <v>24142106</v>
      </c>
      <c r="V40" s="1224" t="s">
        <v>772</v>
      </c>
      <c r="W40" s="1224" t="s">
        <v>362</v>
      </c>
      <c r="X40" s="1191">
        <v>25975.925999999999</v>
      </c>
      <c r="Y40" s="1190" t="s">
        <v>200</v>
      </c>
      <c r="Z40" s="1294">
        <v>1</v>
      </c>
      <c r="AA40" s="1294">
        <v>1</v>
      </c>
      <c r="AB40" s="1270" t="s">
        <v>207</v>
      </c>
      <c r="AC40" s="1217"/>
      <c r="AD40" s="1326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17" t="s">
        <v>770</v>
      </c>
      <c r="S41" s="1217">
        <v>3331565740</v>
      </c>
      <c r="T41" s="1356" t="s">
        <v>564</v>
      </c>
      <c r="U41" s="1294">
        <v>24142108</v>
      </c>
      <c r="V41" s="1224" t="s">
        <v>772</v>
      </c>
      <c r="W41" s="1224" t="s">
        <v>362</v>
      </c>
      <c r="X41" s="1191">
        <v>24599.718000000001</v>
      </c>
      <c r="Y41" s="1190" t="s">
        <v>200</v>
      </c>
      <c r="Z41" s="1294">
        <v>1</v>
      </c>
      <c r="AA41" s="1294">
        <v>1</v>
      </c>
      <c r="AB41" s="1270" t="s">
        <v>207</v>
      </c>
      <c r="AC41" s="1217"/>
      <c r="AD41" s="1326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20" t="s">
        <v>770</v>
      </c>
      <c r="S42" s="1217">
        <v>3331565755</v>
      </c>
      <c r="T42" s="1356" t="s">
        <v>564</v>
      </c>
      <c r="U42" s="1294">
        <v>24142117</v>
      </c>
      <c r="V42" s="1224" t="s">
        <v>772</v>
      </c>
      <c r="W42" s="1224" t="s">
        <v>362</v>
      </c>
      <c r="X42" s="1191">
        <v>25547.59</v>
      </c>
      <c r="Y42" s="1190" t="s">
        <v>200</v>
      </c>
      <c r="Z42" s="1294">
        <v>1</v>
      </c>
      <c r="AA42" s="1294">
        <v>1</v>
      </c>
      <c r="AB42" s="1270" t="s">
        <v>207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20" t="s">
        <v>770</v>
      </c>
      <c r="S43" s="1217">
        <v>3331565761</v>
      </c>
      <c r="T43" s="1356" t="s">
        <v>564</v>
      </c>
      <c r="U43" s="1294">
        <v>24142121</v>
      </c>
      <c r="V43" s="1224" t="s">
        <v>772</v>
      </c>
      <c r="W43" s="1224" t="s">
        <v>362</v>
      </c>
      <c r="X43" s="1191">
        <v>26023.901000000002</v>
      </c>
      <c r="Y43" s="1190" t="s">
        <v>200</v>
      </c>
      <c r="Z43" s="1294">
        <v>1</v>
      </c>
      <c r="AA43" s="1294">
        <v>1</v>
      </c>
      <c r="AB43" s="1270" t="s">
        <v>207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20" t="s">
        <v>770</v>
      </c>
      <c r="S44" s="1217">
        <v>3331565763</v>
      </c>
      <c r="T44" s="1356" t="s">
        <v>564</v>
      </c>
      <c r="U44" s="1294">
        <v>24142123</v>
      </c>
      <c r="V44" s="1224" t="s">
        <v>772</v>
      </c>
      <c r="W44" s="1224" t="s">
        <v>362</v>
      </c>
      <c r="X44" s="1191">
        <v>25374.385999999999</v>
      </c>
      <c r="Y44" s="1190" t="s">
        <v>200</v>
      </c>
      <c r="Z44" s="1294">
        <v>1</v>
      </c>
      <c r="AA44" s="1294">
        <v>1</v>
      </c>
      <c r="AB44" s="1270" t="s">
        <v>207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52" t="s">
        <v>773</v>
      </c>
      <c r="S45" s="1209">
        <v>3331565780</v>
      </c>
      <c r="T45" s="1264" t="s">
        <v>27</v>
      </c>
      <c r="U45" s="1264">
        <v>24142130</v>
      </c>
      <c r="V45" s="1209" t="s">
        <v>654</v>
      </c>
      <c r="W45" s="1264" t="s">
        <v>205</v>
      </c>
      <c r="X45" s="1203">
        <v>23872.38</v>
      </c>
      <c r="Y45" s="1202" t="s">
        <v>200</v>
      </c>
      <c r="Z45" s="1264">
        <v>1</v>
      </c>
      <c r="AA45" s="1264">
        <v>1</v>
      </c>
      <c r="AB45" s="1358" t="s">
        <v>204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2" t="s">
        <v>773</v>
      </c>
      <c r="S46" s="1209">
        <v>3331565781</v>
      </c>
      <c r="T46" s="1264" t="s">
        <v>152</v>
      </c>
      <c r="U46" s="1264">
        <v>24142131</v>
      </c>
      <c r="V46" s="1209" t="s">
        <v>654</v>
      </c>
      <c r="W46" s="1264" t="s">
        <v>205</v>
      </c>
      <c r="X46" s="1203">
        <v>23872.38</v>
      </c>
      <c r="Y46" s="1202" t="s">
        <v>200</v>
      </c>
      <c r="Z46" s="1264">
        <v>1</v>
      </c>
      <c r="AA46" s="1264">
        <v>1</v>
      </c>
      <c r="AB46" s="1358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2" t="s">
        <v>773</v>
      </c>
      <c r="S47" s="1209">
        <v>3331565786</v>
      </c>
      <c r="T47" s="1264" t="s">
        <v>206</v>
      </c>
      <c r="U47" s="1264">
        <v>24142132</v>
      </c>
      <c r="V47" s="1209" t="s">
        <v>654</v>
      </c>
      <c r="W47" s="1264" t="s">
        <v>205</v>
      </c>
      <c r="X47" s="1203">
        <f>29145.833+9548.952</f>
        <v>38694.784999999996</v>
      </c>
      <c r="Y47" s="1264" t="s">
        <v>128</v>
      </c>
      <c r="Z47" s="1264">
        <v>1</v>
      </c>
      <c r="AA47" s="1264">
        <v>1</v>
      </c>
      <c r="AB47" s="1358" t="s">
        <v>280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773</v>
      </c>
      <c r="S48" s="1209">
        <v>3331565788</v>
      </c>
      <c r="T48" s="1264" t="s">
        <v>256</v>
      </c>
      <c r="U48" s="1264" t="s">
        <v>256</v>
      </c>
      <c r="V48" s="1209" t="s">
        <v>256</v>
      </c>
      <c r="W48" s="1264" t="s">
        <v>256</v>
      </c>
      <c r="X48" s="1203" t="s">
        <v>256</v>
      </c>
      <c r="Y48" s="1264" t="s">
        <v>256</v>
      </c>
      <c r="Z48" s="1202" t="s">
        <v>256</v>
      </c>
      <c r="AA48" s="1202" t="s">
        <v>256</v>
      </c>
      <c r="AB48" s="1208" t="s">
        <v>256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773</v>
      </c>
      <c r="S49" s="1209">
        <v>3331565796</v>
      </c>
      <c r="T49" s="1264" t="s">
        <v>206</v>
      </c>
      <c r="U49" s="1264">
        <v>24142135</v>
      </c>
      <c r="V49" s="1209" t="s">
        <v>593</v>
      </c>
      <c r="W49" s="1264" t="s">
        <v>857</v>
      </c>
      <c r="X49" s="1203">
        <f>27279.702+12728.918</f>
        <v>40008.620000000003</v>
      </c>
      <c r="Y49" s="1264" t="s">
        <v>128</v>
      </c>
      <c r="Z49" s="1264">
        <v>1</v>
      </c>
      <c r="AA49" s="1264">
        <v>1</v>
      </c>
      <c r="AB49" s="1358" t="s">
        <v>280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773</v>
      </c>
      <c r="S50" s="1209">
        <v>3331565799</v>
      </c>
      <c r="T50" s="1264" t="s">
        <v>256</v>
      </c>
      <c r="U50" s="1264" t="s">
        <v>256</v>
      </c>
      <c r="V50" s="1209" t="s">
        <v>256</v>
      </c>
      <c r="W50" s="1264" t="s">
        <v>256</v>
      </c>
      <c r="X50" s="1203" t="s">
        <v>256</v>
      </c>
      <c r="Y50" s="1264" t="s">
        <v>256</v>
      </c>
      <c r="Z50" s="1202" t="s">
        <v>256</v>
      </c>
      <c r="AA50" s="1202" t="s">
        <v>256</v>
      </c>
      <c r="AB50" s="1208" t="s">
        <v>256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770</v>
      </c>
      <c r="S51" s="1209">
        <v>3331565766</v>
      </c>
      <c r="T51" s="1264" t="s">
        <v>458</v>
      </c>
      <c r="U51" s="1264">
        <v>24142124</v>
      </c>
      <c r="V51" s="1209" t="s">
        <v>729</v>
      </c>
      <c r="W51" s="1264" t="s">
        <v>203</v>
      </c>
      <c r="X51" s="1203">
        <f>12427.387+29890.271</f>
        <v>42317.658000000003</v>
      </c>
      <c r="Y51" s="1264" t="s">
        <v>128</v>
      </c>
      <c r="Z51" s="1264">
        <v>1</v>
      </c>
      <c r="AA51" s="1264">
        <v>1</v>
      </c>
      <c r="AB51" s="1358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770</v>
      </c>
      <c r="S52" s="1209">
        <v>3331565773</v>
      </c>
      <c r="T52" s="1264" t="s">
        <v>256</v>
      </c>
      <c r="U52" s="1264" t="s">
        <v>256</v>
      </c>
      <c r="V52" s="1209" t="s">
        <v>256</v>
      </c>
      <c r="W52" s="1264" t="s">
        <v>256</v>
      </c>
      <c r="X52" s="1203" t="s">
        <v>256</v>
      </c>
      <c r="Y52" s="1264" t="s">
        <v>256</v>
      </c>
      <c r="Z52" s="1202" t="s">
        <v>256</v>
      </c>
      <c r="AA52" s="1202" t="s">
        <v>256</v>
      </c>
      <c r="AB52" s="1208" t="s">
        <v>256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770</v>
      </c>
      <c r="S53" s="1209">
        <v>3331565771</v>
      </c>
      <c r="T53" s="1264" t="s">
        <v>458</v>
      </c>
      <c r="U53" s="1264">
        <v>24142125</v>
      </c>
      <c r="V53" s="1209" t="s">
        <v>729</v>
      </c>
      <c r="W53" s="1264" t="s">
        <v>203</v>
      </c>
      <c r="X53" s="1203">
        <f>15138.288+28384.29</f>
        <v>43522.578000000001</v>
      </c>
      <c r="Y53" s="1264" t="s">
        <v>128</v>
      </c>
      <c r="Z53" s="1264">
        <v>1</v>
      </c>
      <c r="AA53" s="1264">
        <v>1</v>
      </c>
      <c r="AB53" s="1358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770</v>
      </c>
      <c r="S54" s="1209">
        <v>3331565772</v>
      </c>
      <c r="T54" s="1264" t="s">
        <v>256</v>
      </c>
      <c r="U54" s="1264" t="s">
        <v>256</v>
      </c>
      <c r="V54" s="1209" t="s">
        <v>256</v>
      </c>
      <c r="W54" s="1264" t="s">
        <v>256</v>
      </c>
      <c r="X54" s="1203" t="s">
        <v>256</v>
      </c>
      <c r="Y54" s="1264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770</v>
      </c>
      <c r="S55" s="1209">
        <v>3331564603</v>
      </c>
      <c r="T55" s="1264" t="s">
        <v>27</v>
      </c>
      <c r="U55" s="1264">
        <v>24142136</v>
      </c>
      <c r="V55" s="1209" t="s">
        <v>486</v>
      </c>
      <c r="W55" s="1264" t="s">
        <v>203</v>
      </c>
      <c r="X55" s="1203">
        <f>13852.62+5985.7+17282.358</f>
        <v>37120.678</v>
      </c>
      <c r="Y55" s="1264" t="s">
        <v>128</v>
      </c>
      <c r="Z55" s="1264">
        <v>1</v>
      </c>
      <c r="AA55" s="1264">
        <v>1</v>
      </c>
      <c r="AB55" s="1358" t="s">
        <v>204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770</v>
      </c>
      <c r="S56" s="1209">
        <v>3331565826</v>
      </c>
      <c r="T56" s="1264" t="s">
        <v>256</v>
      </c>
      <c r="U56" s="1264" t="s">
        <v>256</v>
      </c>
      <c r="V56" s="1209" t="s">
        <v>256</v>
      </c>
      <c r="W56" s="1264" t="s">
        <v>256</v>
      </c>
      <c r="X56" s="1203" t="s">
        <v>256</v>
      </c>
      <c r="Y56" s="1264" t="s">
        <v>256</v>
      </c>
      <c r="Z56" s="1202" t="s">
        <v>256</v>
      </c>
      <c r="AA56" s="1264" t="s">
        <v>256</v>
      </c>
      <c r="AB56" s="1202" t="s">
        <v>256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770</v>
      </c>
      <c r="S57" s="1209">
        <v>3331565806</v>
      </c>
      <c r="T57" s="1264" t="s">
        <v>256</v>
      </c>
      <c r="U57" s="1264" t="s">
        <v>256</v>
      </c>
      <c r="V57" s="1209" t="s">
        <v>256</v>
      </c>
      <c r="W57" s="1264" t="s">
        <v>256</v>
      </c>
      <c r="X57" s="1203" t="s">
        <v>256</v>
      </c>
      <c r="Y57" s="1264" t="s">
        <v>256</v>
      </c>
      <c r="Z57" s="1202" t="s">
        <v>256</v>
      </c>
      <c r="AA57" s="1264" t="s">
        <v>256</v>
      </c>
      <c r="AB57" s="1202" t="s">
        <v>256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770</v>
      </c>
      <c r="S58" s="1209">
        <v>3331565825</v>
      </c>
      <c r="T58" s="1264" t="s">
        <v>152</v>
      </c>
      <c r="U58" s="1264">
        <v>24142137</v>
      </c>
      <c r="V58" s="1209" t="s">
        <v>446</v>
      </c>
      <c r="W58" s="1264" t="s">
        <v>205</v>
      </c>
      <c r="X58" s="1203">
        <v>26298.600999999999</v>
      </c>
      <c r="Y58" s="1264" t="s">
        <v>200</v>
      </c>
      <c r="Z58" s="1264">
        <v>1</v>
      </c>
      <c r="AA58" s="1264">
        <v>1</v>
      </c>
      <c r="AB58" s="1358" t="s">
        <v>204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770</v>
      </c>
      <c r="S59" s="1209">
        <v>3331565565</v>
      </c>
      <c r="T59" s="1264" t="s">
        <v>34</v>
      </c>
      <c r="U59" s="1264">
        <v>24142056</v>
      </c>
      <c r="V59" s="1209" t="s">
        <v>219</v>
      </c>
      <c r="W59" s="1264" t="s">
        <v>199</v>
      </c>
      <c r="X59" s="1203">
        <v>25348.646000000001</v>
      </c>
      <c r="Y59" s="1264" t="s">
        <v>200</v>
      </c>
      <c r="Z59" s="1202">
        <v>1</v>
      </c>
      <c r="AA59" s="1202">
        <v>1</v>
      </c>
      <c r="AB59" s="1208" t="s">
        <v>204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770</v>
      </c>
      <c r="S60" s="1209">
        <v>3331565573</v>
      </c>
      <c r="T60" s="1264" t="s">
        <v>11</v>
      </c>
      <c r="U60" s="1264">
        <v>24142057</v>
      </c>
      <c r="V60" s="1209" t="s">
        <v>219</v>
      </c>
      <c r="W60" s="1264" t="s">
        <v>199</v>
      </c>
      <c r="X60" s="1203">
        <v>24565.766</v>
      </c>
      <c r="Y60" s="1264" t="s">
        <v>200</v>
      </c>
      <c r="Z60" s="1202">
        <v>1</v>
      </c>
      <c r="AA60" s="1202">
        <v>1</v>
      </c>
      <c r="AB60" s="1208" t="s">
        <v>204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17" t="s">
        <v>770</v>
      </c>
      <c r="S61" s="1217">
        <v>3331565584</v>
      </c>
      <c r="T61" s="1183" t="s">
        <v>189</v>
      </c>
      <c r="U61" s="1190">
        <v>24142058</v>
      </c>
      <c r="V61" s="1190" t="s">
        <v>219</v>
      </c>
      <c r="W61" s="1294" t="s">
        <v>340</v>
      </c>
      <c r="X61" s="1191">
        <v>25139.863000000001</v>
      </c>
      <c r="Y61" s="1294" t="s">
        <v>200</v>
      </c>
      <c r="Z61" s="1190">
        <v>1</v>
      </c>
      <c r="AA61" s="1190">
        <v>1</v>
      </c>
      <c r="AB61" s="1200" t="s">
        <v>207</v>
      </c>
      <c r="AC61" s="1217"/>
      <c r="AD61" s="1326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17" t="s">
        <v>770</v>
      </c>
      <c r="S62" s="1217">
        <v>3331565592</v>
      </c>
      <c r="T62" s="1183" t="s">
        <v>189</v>
      </c>
      <c r="U62" s="1190">
        <v>24142059</v>
      </c>
      <c r="V62" s="1190" t="s">
        <v>219</v>
      </c>
      <c r="W62" s="1294" t="s">
        <v>340</v>
      </c>
      <c r="X62" s="1191">
        <v>26032.573</v>
      </c>
      <c r="Y62" s="1294" t="s">
        <v>200</v>
      </c>
      <c r="Z62" s="1190">
        <v>1</v>
      </c>
      <c r="AA62" s="1190">
        <v>1</v>
      </c>
      <c r="AB62" s="1099" t="s">
        <v>207</v>
      </c>
      <c r="AC62" s="1217"/>
      <c r="AD62" s="1326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02" t="s">
        <v>443</v>
      </c>
      <c r="S63" s="1247">
        <v>3331563546</v>
      </c>
      <c r="T63" s="1261" t="s">
        <v>34</v>
      </c>
      <c r="U63" s="1202">
        <v>24141811</v>
      </c>
      <c r="V63" s="1247" t="s">
        <v>366</v>
      </c>
      <c r="W63" s="1261" t="s">
        <v>340</v>
      </c>
      <c r="X63" s="1203">
        <v>25503.106</v>
      </c>
      <c r="Y63" s="1202" t="s">
        <v>200</v>
      </c>
      <c r="Z63" s="1202">
        <v>1</v>
      </c>
      <c r="AA63" s="1202">
        <v>1</v>
      </c>
      <c r="AB63" s="1355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770</v>
      </c>
      <c r="S64" s="1209">
        <v>3331565635</v>
      </c>
      <c r="T64" s="1264" t="s">
        <v>11</v>
      </c>
      <c r="U64" s="1202">
        <v>24142071</v>
      </c>
      <c r="V64" s="1202" t="s">
        <v>779</v>
      </c>
      <c r="W64" s="1264" t="s">
        <v>199</v>
      </c>
      <c r="X64" s="1203">
        <v>25564.472000000002</v>
      </c>
      <c r="Y64" s="1202" t="s">
        <v>200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770</v>
      </c>
      <c r="S65" s="1209">
        <v>3331565637</v>
      </c>
      <c r="T65" s="1264" t="s">
        <v>287</v>
      </c>
      <c r="U65" s="1202">
        <v>24142072</v>
      </c>
      <c r="V65" s="1202" t="s">
        <v>779</v>
      </c>
      <c r="W65" s="1264" t="s">
        <v>199</v>
      </c>
      <c r="X65" s="1203">
        <v>24952.826000000001</v>
      </c>
      <c r="Y65" s="1202" t="s">
        <v>200</v>
      </c>
      <c r="Z65" s="1202">
        <v>1</v>
      </c>
      <c r="AA65" s="1202">
        <v>1</v>
      </c>
      <c r="AB65" s="1067" t="s">
        <v>204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770</v>
      </c>
      <c r="S66" s="1209">
        <v>3331565642</v>
      </c>
      <c r="T66" s="1209" t="s">
        <v>34</v>
      </c>
      <c r="U66" s="1202">
        <v>24142079</v>
      </c>
      <c r="V66" s="1202" t="s">
        <v>779</v>
      </c>
      <c r="W66" s="1264" t="s">
        <v>199</v>
      </c>
      <c r="X66" s="1203">
        <f>3609.528+21497.095</f>
        <v>25106.623</v>
      </c>
      <c r="Y66" s="1202" t="s">
        <v>200</v>
      </c>
      <c r="Z66" s="1202">
        <v>1</v>
      </c>
      <c r="AA66" s="1202">
        <v>1</v>
      </c>
      <c r="AB66" s="1067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770</v>
      </c>
      <c r="S67" s="1209">
        <v>3331565664</v>
      </c>
      <c r="T67" s="1264" t="s">
        <v>256</v>
      </c>
      <c r="U67" s="1202" t="s">
        <v>256</v>
      </c>
      <c r="V67" s="1202" t="s">
        <v>256</v>
      </c>
      <c r="W67" s="1264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770</v>
      </c>
      <c r="S68" s="1209">
        <v>3331565647</v>
      </c>
      <c r="T68" s="1264" t="s">
        <v>287</v>
      </c>
      <c r="U68" s="1202">
        <v>24142077</v>
      </c>
      <c r="V68" s="1202" t="s">
        <v>779</v>
      </c>
      <c r="W68" s="1264" t="s">
        <v>199</v>
      </c>
      <c r="X68" s="1203">
        <v>22657.634999999998</v>
      </c>
      <c r="Y68" s="1202" t="s">
        <v>200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2" t="s">
        <v>770</v>
      </c>
      <c r="S69" s="1209">
        <v>3331565652</v>
      </c>
      <c r="T69" s="1209" t="s">
        <v>11</v>
      </c>
      <c r="U69" s="1202">
        <v>24142075</v>
      </c>
      <c r="V69" s="1202" t="s">
        <v>158</v>
      </c>
      <c r="W69" s="1264" t="s">
        <v>199</v>
      </c>
      <c r="X69" s="1203">
        <v>24681.57</v>
      </c>
      <c r="Y69" s="1202" t="s">
        <v>200</v>
      </c>
      <c r="Z69" s="1202">
        <v>1</v>
      </c>
      <c r="AA69" s="1202">
        <v>1</v>
      </c>
      <c r="AB69" s="1208" t="s">
        <v>204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770</v>
      </c>
      <c r="S70" s="1209">
        <v>3331565656</v>
      </c>
      <c r="T70" s="1209" t="s">
        <v>34</v>
      </c>
      <c r="U70" s="1202">
        <v>24142076</v>
      </c>
      <c r="V70" s="1202" t="s">
        <v>158</v>
      </c>
      <c r="W70" s="1264" t="s">
        <v>199</v>
      </c>
      <c r="X70" s="1203">
        <v>24421.763999999999</v>
      </c>
      <c r="Y70" s="1202" t="s">
        <v>200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770</v>
      </c>
      <c r="S71" s="1209">
        <v>3331565673</v>
      </c>
      <c r="T71" s="1264" t="s">
        <v>11</v>
      </c>
      <c r="U71" s="1202">
        <v>24142080</v>
      </c>
      <c r="V71" s="1202" t="s">
        <v>779</v>
      </c>
      <c r="W71" s="1264" t="s">
        <v>199</v>
      </c>
      <c r="X71" s="1203">
        <v>24996.081999999999</v>
      </c>
      <c r="Y71" s="1202" t="s">
        <v>200</v>
      </c>
      <c r="Z71" s="1202">
        <v>1</v>
      </c>
      <c r="AA71" s="1202">
        <v>1</v>
      </c>
      <c r="AB71" s="1208" t="s">
        <v>204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770</v>
      </c>
      <c r="S72" s="1209">
        <v>3331565665</v>
      </c>
      <c r="T72" s="1209" t="s">
        <v>287</v>
      </c>
      <c r="U72" s="1202">
        <v>24142081</v>
      </c>
      <c r="V72" s="1202" t="s">
        <v>158</v>
      </c>
      <c r="W72" s="1264" t="s">
        <v>199</v>
      </c>
      <c r="X72" s="1203">
        <f>3182.984+21674.668</f>
        <v>24857.652000000002</v>
      </c>
      <c r="Y72" s="1202" t="s">
        <v>200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770</v>
      </c>
      <c r="S73" s="1209">
        <v>3331565669</v>
      </c>
      <c r="T73" s="1264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8" t="s">
        <v>256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52" t="s">
        <v>770</v>
      </c>
      <c r="S74" s="1209">
        <v>3331565681</v>
      </c>
      <c r="T74" s="1209" t="s">
        <v>11</v>
      </c>
      <c r="U74" s="1202">
        <v>24142082</v>
      </c>
      <c r="V74" s="1202" t="s">
        <v>158</v>
      </c>
      <c r="W74" s="1264" t="s">
        <v>199</v>
      </c>
      <c r="X74" s="1203">
        <v>26147.952000000001</v>
      </c>
      <c r="Y74" s="1202" t="s">
        <v>200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351" t="s">
        <v>770</v>
      </c>
      <c r="S75" s="1340">
        <v>3331565678</v>
      </c>
      <c r="T75" s="1209" t="s">
        <v>441</v>
      </c>
      <c r="U75" s="1202">
        <v>24142083</v>
      </c>
      <c r="V75" s="1202" t="s">
        <v>150</v>
      </c>
      <c r="W75" s="1264" t="s">
        <v>199</v>
      </c>
      <c r="X75" s="1203">
        <v>26067.202000000001</v>
      </c>
      <c r="Y75" s="1202" t="s">
        <v>200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52" t="s">
        <v>770</v>
      </c>
      <c r="S76" s="1209">
        <v>3331565683</v>
      </c>
      <c r="T76" s="1209" t="s">
        <v>287</v>
      </c>
      <c r="U76" s="1202">
        <v>24142084</v>
      </c>
      <c r="V76" s="1202" t="s">
        <v>150</v>
      </c>
      <c r="W76" s="1264" t="s">
        <v>199</v>
      </c>
      <c r="X76" s="1203">
        <v>26067.202000000001</v>
      </c>
      <c r="Y76" s="1202" t="s">
        <v>200</v>
      </c>
      <c r="Z76" s="1202">
        <v>1</v>
      </c>
      <c r="AA76" s="1202">
        <v>1</v>
      </c>
      <c r="AB76" s="1208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52" t="s">
        <v>770</v>
      </c>
      <c r="S77" s="1209">
        <v>3331565689</v>
      </c>
      <c r="T77" s="1209" t="s">
        <v>34</v>
      </c>
      <c r="U77" s="1202">
        <v>24142085</v>
      </c>
      <c r="V77" s="1202" t="s">
        <v>368</v>
      </c>
      <c r="W77" s="1264" t="s">
        <v>199</v>
      </c>
      <c r="X77" s="1203">
        <v>24771.743999999999</v>
      </c>
      <c r="Y77" s="1202" t="s">
        <v>200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52" t="s">
        <v>770</v>
      </c>
      <c r="S78" s="1209">
        <v>3331565682</v>
      </c>
      <c r="T78" s="1209" t="s">
        <v>34</v>
      </c>
      <c r="U78" s="1202">
        <v>24142087</v>
      </c>
      <c r="V78" s="1202" t="s">
        <v>779</v>
      </c>
      <c r="W78" s="1264" t="s">
        <v>199</v>
      </c>
      <c r="X78" s="1203">
        <v>22767.792000000001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52" t="s">
        <v>770</v>
      </c>
      <c r="S79" s="1209">
        <v>3331565696</v>
      </c>
      <c r="T79" s="1209" t="s">
        <v>11</v>
      </c>
      <c r="U79" s="1202">
        <v>24142088</v>
      </c>
      <c r="V79" s="1202" t="s">
        <v>368</v>
      </c>
      <c r="W79" s="1264" t="s">
        <v>199</v>
      </c>
      <c r="X79" s="1203">
        <v>25159.054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770</v>
      </c>
      <c r="S80" s="1209">
        <v>3331565700</v>
      </c>
      <c r="T80" s="1209" t="s">
        <v>34</v>
      </c>
      <c r="U80" s="1202">
        <v>24142089</v>
      </c>
      <c r="V80" s="1202" t="s">
        <v>368</v>
      </c>
      <c r="W80" s="1264" t="s">
        <v>199</v>
      </c>
      <c r="X80" s="1203">
        <v>25159.054</v>
      </c>
      <c r="Y80" s="1202" t="s">
        <v>200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770</v>
      </c>
      <c r="S81" s="1209">
        <v>3331565691</v>
      </c>
      <c r="T81" s="1209" t="s">
        <v>11</v>
      </c>
      <c r="U81" s="1202">
        <v>24142090</v>
      </c>
      <c r="V81" s="1202" t="s">
        <v>150</v>
      </c>
      <c r="W81" s="1264" t="s">
        <v>199</v>
      </c>
      <c r="X81" s="1203">
        <v>23653.575000000001</v>
      </c>
      <c r="Y81" s="1202" t="s">
        <v>200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52" t="s">
        <v>770</v>
      </c>
      <c r="S82" s="1209">
        <v>3331565698</v>
      </c>
      <c r="T82" s="1209" t="s">
        <v>11</v>
      </c>
      <c r="U82" s="1202">
        <v>24142091</v>
      </c>
      <c r="V82" s="1202" t="s">
        <v>150</v>
      </c>
      <c r="W82" s="1264" t="s">
        <v>199</v>
      </c>
      <c r="X82" s="1203">
        <v>24556.712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52" t="s">
        <v>770</v>
      </c>
      <c r="S83" s="1209">
        <v>3331565707</v>
      </c>
      <c r="T83" s="1209" t="s">
        <v>287</v>
      </c>
      <c r="U83" s="1202">
        <v>24142092</v>
      </c>
      <c r="V83" s="1202" t="s">
        <v>150</v>
      </c>
      <c r="W83" s="1264" t="s">
        <v>199</v>
      </c>
      <c r="X83" s="1203">
        <v>25287.822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351" t="s">
        <v>770</v>
      </c>
      <c r="S84" s="1340">
        <v>3331565714</v>
      </c>
      <c r="T84" s="1209" t="s">
        <v>27</v>
      </c>
      <c r="U84" s="1202">
        <v>24142099</v>
      </c>
      <c r="V84" s="1202" t="s">
        <v>150</v>
      </c>
      <c r="W84" s="1264" t="s">
        <v>199</v>
      </c>
      <c r="X84" s="1203">
        <v>24771.743999999999</v>
      </c>
      <c r="Y84" s="1202" t="s">
        <v>200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52" t="s">
        <v>770</v>
      </c>
      <c r="S85" s="1209">
        <v>3331565580</v>
      </c>
      <c r="T85" s="1264" t="s">
        <v>287</v>
      </c>
      <c r="U85" s="1202">
        <v>24142104</v>
      </c>
      <c r="V85" s="1202" t="s">
        <v>368</v>
      </c>
      <c r="W85" s="1264" t="s">
        <v>199</v>
      </c>
      <c r="X85" s="1203">
        <f>4989.76+7897.126+3250.386+8386.016</f>
        <v>24523.288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52" t="s">
        <v>770</v>
      </c>
      <c r="S86" s="1209">
        <v>3331565581</v>
      </c>
      <c r="T86" s="1264" t="s">
        <v>256</v>
      </c>
      <c r="U86" s="1202" t="s">
        <v>256</v>
      </c>
      <c r="V86" s="1202" t="s">
        <v>256</v>
      </c>
      <c r="W86" s="1202" t="s">
        <v>256</v>
      </c>
      <c r="X86" s="1203" t="s">
        <v>256</v>
      </c>
      <c r="Y86" s="1202" t="s">
        <v>256</v>
      </c>
      <c r="Z86" s="1202" t="s">
        <v>256</v>
      </c>
      <c r="AA86" s="1202" t="s">
        <v>256</v>
      </c>
      <c r="AB86" s="1208" t="s">
        <v>256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52" t="s">
        <v>770</v>
      </c>
      <c r="S87" s="1209">
        <v>3331565586</v>
      </c>
      <c r="T87" s="1264" t="s">
        <v>256</v>
      </c>
      <c r="U87" s="1202" t="s">
        <v>256</v>
      </c>
      <c r="V87" s="1202" t="s">
        <v>256</v>
      </c>
      <c r="W87" s="1202" t="s">
        <v>256</v>
      </c>
      <c r="X87" s="1203" t="s">
        <v>256</v>
      </c>
      <c r="Y87" s="1202" t="s">
        <v>256</v>
      </c>
      <c r="Z87" s="1202" t="s">
        <v>256</v>
      </c>
      <c r="AA87" s="1202" t="s">
        <v>256</v>
      </c>
      <c r="AB87" s="1208" t="s">
        <v>256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52" t="s">
        <v>770</v>
      </c>
      <c r="S88" s="1209">
        <v>3331565701</v>
      </c>
      <c r="T88" s="1264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8" t="s">
        <v>256</v>
      </c>
      <c r="AC88" s="127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52" t="s">
        <v>770</v>
      </c>
      <c r="S89" s="1209">
        <v>3331565750</v>
      </c>
      <c r="T89" s="1209" t="s">
        <v>462</v>
      </c>
      <c r="U89" s="1202">
        <v>24142114</v>
      </c>
      <c r="V89" s="1202" t="s">
        <v>368</v>
      </c>
      <c r="W89" s="1264" t="s">
        <v>199</v>
      </c>
      <c r="X89" s="1203">
        <v>25159.054</v>
      </c>
      <c r="Y89" s="1202" t="s">
        <v>200</v>
      </c>
      <c r="Z89" s="1202">
        <v>1</v>
      </c>
      <c r="AA89" s="1202">
        <v>1</v>
      </c>
      <c r="AB89" s="1208" t="s">
        <v>204</v>
      </c>
      <c r="AC89" s="127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52" t="s">
        <v>770</v>
      </c>
      <c r="S90" s="1209">
        <v>3331565752</v>
      </c>
      <c r="T90" s="1209" t="s">
        <v>287</v>
      </c>
      <c r="U90" s="1202">
        <v>24142115</v>
      </c>
      <c r="V90" s="1202" t="s">
        <v>368</v>
      </c>
      <c r="W90" s="1264" t="s">
        <v>199</v>
      </c>
      <c r="X90" s="1203">
        <v>25159.054</v>
      </c>
      <c r="Y90" s="1202" t="s">
        <v>200</v>
      </c>
      <c r="Z90" s="1202">
        <v>1</v>
      </c>
      <c r="AA90" s="1202">
        <v>1</v>
      </c>
      <c r="AB90" s="1208" t="s">
        <v>204</v>
      </c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52" t="s">
        <v>770</v>
      </c>
      <c r="S91" s="1209">
        <v>3331565787</v>
      </c>
      <c r="T91" s="1264" t="s">
        <v>27</v>
      </c>
      <c r="U91" s="1202">
        <v>24142133</v>
      </c>
      <c r="V91" s="1202" t="s">
        <v>290</v>
      </c>
      <c r="W91" s="1264" t="s">
        <v>199</v>
      </c>
      <c r="X91" s="1203">
        <f>6386.088+19456.177</f>
        <v>25842.264999999999</v>
      </c>
      <c r="Y91" s="1202" t="s">
        <v>200</v>
      </c>
      <c r="Z91" s="1202">
        <v>1</v>
      </c>
      <c r="AA91" s="1202">
        <v>1</v>
      </c>
      <c r="AB91" s="1208" t="s">
        <v>204</v>
      </c>
      <c r="AC91" s="1271" t="s">
        <v>422</v>
      </c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52" t="s">
        <v>770</v>
      </c>
      <c r="S92" s="1209">
        <v>3331565789</v>
      </c>
      <c r="T92" s="1264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52" t="s">
        <v>770</v>
      </c>
      <c r="S93" s="1209">
        <v>3331565797</v>
      </c>
      <c r="T93" s="1247" t="s">
        <v>11</v>
      </c>
      <c r="U93" s="1202">
        <v>24142134</v>
      </c>
      <c r="V93" s="1202" t="s">
        <v>466</v>
      </c>
      <c r="W93" s="1261" t="s">
        <v>340</v>
      </c>
      <c r="X93" s="1203">
        <v>23942.799999999999</v>
      </c>
      <c r="Y93" s="1202" t="s">
        <v>200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770</v>
      </c>
      <c r="S94" s="1209">
        <v>3331565832</v>
      </c>
      <c r="T94" s="1264" t="s">
        <v>27</v>
      </c>
      <c r="U94" s="1202">
        <v>24142138</v>
      </c>
      <c r="V94" s="1202" t="s">
        <v>896</v>
      </c>
      <c r="W94" s="1264" t="s">
        <v>199</v>
      </c>
      <c r="X94" s="1203">
        <v>25779.143</v>
      </c>
      <c r="Y94" s="1202" t="s">
        <v>200</v>
      </c>
      <c r="Z94" s="1202">
        <v>1</v>
      </c>
      <c r="AA94" s="1202">
        <v>1</v>
      </c>
      <c r="AB94" s="1208" t="s">
        <v>204</v>
      </c>
      <c r="AC94" s="1271" t="s">
        <v>422</v>
      </c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770</v>
      </c>
      <c r="S95" s="1209">
        <v>3331565833</v>
      </c>
      <c r="T95" s="1264" t="s">
        <v>27</v>
      </c>
      <c r="U95" s="1202">
        <v>24142139</v>
      </c>
      <c r="V95" s="1202" t="s">
        <v>817</v>
      </c>
      <c r="W95" s="1264" t="s">
        <v>199</v>
      </c>
      <c r="X95" s="1203">
        <v>25408.982</v>
      </c>
      <c r="Y95" s="1202" t="s">
        <v>200</v>
      </c>
      <c r="Z95" s="1202">
        <v>1</v>
      </c>
      <c r="AA95" s="1202">
        <v>1</v>
      </c>
      <c r="AB95" s="1208" t="s">
        <v>204</v>
      </c>
      <c r="AC95" s="1271" t="s">
        <v>422</v>
      </c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52" t="s">
        <v>770</v>
      </c>
      <c r="S96" s="1209">
        <v>3331565836</v>
      </c>
      <c r="T96" s="1264" t="s">
        <v>27</v>
      </c>
      <c r="U96" s="1202">
        <v>24142140</v>
      </c>
      <c r="V96" s="1202" t="s">
        <v>817</v>
      </c>
      <c r="W96" s="1264" t="s">
        <v>199</v>
      </c>
      <c r="X96" s="1203">
        <v>25664.773000000001</v>
      </c>
      <c r="Y96" s="1202" t="s">
        <v>200</v>
      </c>
      <c r="Z96" s="1202">
        <v>1</v>
      </c>
      <c r="AA96" s="1202">
        <v>1</v>
      </c>
      <c r="AB96" s="1208" t="s">
        <v>204</v>
      </c>
      <c r="AC96" s="1271" t="s">
        <v>422</v>
      </c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52" t="s">
        <v>773</v>
      </c>
      <c r="S97" s="1209">
        <v>3331565835</v>
      </c>
      <c r="T97" s="1247" t="s">
        <v>287</v>
      </c>
      <c r="U97" s="1202">
        <v>24142141</v>
      </c>
      <c r="V97" s="1202" t="s">
        <v>243</v>
      </c>
      <c r="W97" s="1261" t="s">
        <v>340</v>
      </c>
      <c r="X97" s="1203">
        <v>24262.708999999999</v>
      </c>
      <c r="Y97" s="1202" t="s">
        <v>200</v>
      </c>
      <c r="Z97" s="1202">
        <v>1</v>
      </c>
      <c r="AA97" s="1202">
        <v>1</v>
      </c>
      <c r="AB97" s="1208" t="s">
        <v>204</v>
      </c>
      <c r="AC97" s="1271"/>
      <c r="AD97" s="81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52" t="s">
        <v>773</v>
      </c>
      <c r="S98" s="1209">
        <v>3331565837</v>
      </c>
      <c r="T98" s="1247" t="s">
        <v>287</v>
      </c>
      <c r="U98" s="1202">
        <v>24142142</v>
      </c>
      <c r="V98" s="1202" t="s">
        <v>243</v>
      </c>
      <c r="W98" s="1261" t="s">
        <v>340</v>
      </c>
      <c r="X98" s="1203">
        <v>24408.434000000001</v>
      </c>
      <c r="Y98" s="1202" t="s">
        <v>200</v>
      </c>
      <c r="Z98" s="1202">
        <v>1</v>
      </c>
      <c r="AA98" s="1202">
        <v>1</v>
      </c>
      <c r="AB98" s="1208" t="s">
        <v>204</v>
      </c>
      <c r="AC98" s="1271"/>
      <c r="AD98" s="81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20"/>
      <c r="S99" s="1217"/>
      <c r="T99" s="1294"/>
      <c r="U99" s="1190"/>
      <c r="V99" s="1190"/>
      <c r="W99" s="1190"/>
      <c r="X99" s="1191"/>
      <c r="Y99" s="1190"/>
      <c r="Z99" s="1190"/>
      <c r="AA99" s="1190"/>
      <c r="AB99" s="1200"/>
      <c r="AC99" s="1271"/>
      <c r="AD99" s="81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20"/>
      <c r="S100" s="1217"/>
      <c r="T100" s="1183"/>
      <c r="U100" s="1190"/>
      <c r="V100" s="1190"/>
      <c r="W100" s="1190"/>
      <c r="X100" s="1191"/>
      <c r="Y100" s="1190"/>
      <c r="Z100" s="1190"/>
      <c r="AA100" s="1190"/>
      <c r="AB100" s="1200"/>
      <c r="AC100" s="1271"/>
      <c r="AD100" s="81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20"/>
      <c r="S101" s="1217"/>
      <c r="T101" s="1294"/>
      <c r="U101" s="1190"/>
      <c r="V101" s="1190"/>
      <c r="W101" s="1190"/>
      <c r="X101" s="1191"/>
      <c r="Y101" s="1190"/>
      <c r="Z101" s="1190"/>
      <c r="AA101" s="1190"/>
      <c r="AB101" s="1200"/>
      <c r="AC101" s="1271"/>
      <c r="AD101" s="81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20"/>
      <c r="S102" s="1217"/>
      <c r="T102" s="1183"/>
      <c r="U102" s="1190"/>
      <c r="V102" s="1190"/>
      <c r="W102" s="1190"/>
      <c r="X102" s="1191"/>
      <c r="Y102" s="1190"/>
      <c r="Z102" s="1190"/>
      <c r="AA102" s="1190"/>
      <c r="AB102" s="1200"/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20"/>
      <c r="S103" s="1217"/>
      <c r="T103" s="1217"/>
      <c r="U103" s="1190"/>
      <c r="V103" s="1190"/>
      <c r="W103" s="1190"/>
      <c r="X103" s="1191"/>
      <c r="Y103" s="1190"/>
      <c r="Z103" s="1190"/>
      <c r="AA103" s="1190"/>
      <c r="AB103" s="1200"/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20"/>
      <c r="S104" s="1217"/>
      <c r="T104" s="1217"/>
      <c r="U104" s="1190"/>
      <c r="V104" s="1190"/>
      <c r="W104" s="1190"/>
      <c r="X104" s="1191"/>
      <c r="Y104" s="1190"/>
      <c r="Z104" s="1190"/>
      <c r="AA104" s="1190"/>
      <c r="AB104" s="1200"/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20"/>
      <c r="S105" s="1217"/>
      <c r="T105" s="1217"/>
      <c r="U105" s="1190"/>
      <c r="V105" s="1190"/>
      <c r="W105" s="1190"/>
      <c r="X105" s="1191"/>
      <c r="Y105" s="1190"/>
      <c r="Z105" s="1190"/>
      <c r="AA105" s="1190"/>
      <c r="AB105" s="1200"/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20"/>
      <c r="S106" s="1217"/>
      <c r="T106" s="1217"/>
      <c r="U106" s="1190"/>
      <c r="V106" s="1190"/>
      <c r="W106" s="1190"/>
      <c r="X106" s="1191"/>
      <c r="Y106" s="1190"/>
      <c r="Z106" s="1190"/>
      <c r="AA106" s="1190"/>
      <c r="AB106" s="1200"/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20"/>
      <c r="S107" s="1217"/>
      <c r="T107" s="1217"/>
      <c r="U107" s="1190"/>
      <c r="V107" s="1190"/>
      <c r="W107" s="1190"/>
      <c r="X107" s="1191"/>
      <c r="Y107" s="1190"/>
      <c r="Z107" s="1190"/>
      <c r="AA107" s="1190"/>
      <c r="AB107" s="1200"/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20"/>
      <c r="S108" s="1217"/>
      <c r="T108" s="1217"/>
      <c r="U108" s="1190"/>
      <c r="V108" s="1190"/>
      <c r="W108" s="1190"/>
      <c r="X108" s="1191"/>
      <c r="Y108" s="1190"/>
      <c r="Z108" s="1190"/>
      <c r="AA108" s="1190"/>
      <c r="AB108" s="1200"/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20"/>
      <c r="S109" s="1217"/>
      <c r="T109" s="1217"/>
      <c r="U109" s="1190"/>
      <c r="V109" s="1190"/>
      <c r="W109" s="1190"/>
      <c r="X109" s="1191"/>
      <c r="Y109" s="1190"/>
      <c r="Z109" s="1190"/>
      <c r="AA109" s="1190"/>
      <c r="AB109" s="1200"/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20"/>
      <c r="S110" s="1217"/>
      <c r="T110" s="1217"/>
      <c r="U110" s="1190"/>
      <c r="V110" s="1190"/>
      <c r="W110" s="1190"/>
      <c r="X110" s="1191"/>
      <c r="Y110" s="1190"/>
      <c r="Z110" s="1190"/>
      <c r="AA110" s="1190"/>
      <c r="AB110" s="1200"/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20"/>
      <c r="S111" s="1183"/>
      <c r="T111" s="1217"/>
      <c r="U111" s="1190"/>
      <c r="V111" s="1190"/>
      <c r="W111" s="1190"/>
      <c r="X111" s="1191"/>
      <c r="Y111" s="1190"/>
      <c r="Z111" s="1190"/>
      <c r="AA111" s="1190"/>
      <c r="AB111" s="1200"/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20"/>
      <c r="S112" s="1217"/>
      <c r="T112" s="1217"/>
      <c r="U112" s="1190"/>
      <c r="V112" s="1190"/>
      <c r="W112" s="1190"/>
      <c r="X112" s="1191"/>
      <c r="Y112" s="1190"/>
      <c r="Z112" s="1190"/>
      <c r="AA112" s="1190"/>
      <c r="AB112" s="1200"/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20"/>
      <c r="S113" s="1217"/>
      <c r="T113" s="1217"/>
      <c r="U113" s="1190"/>
      <c r="V113" s="1190"/>
      <c r="W113" s="1190"/>
      <c r="X113" s="1191"/>
      <c r="Y113" s="1190"/>
      <c r="Z113" s="1190"/>
      <c r="AA113" s="1190"/>
      <c r="AB113" s="1200"/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20"/>
      <c r="S114" s="1217"/>
      <c r="T114" s="1217"/>
      <c r="U114" s="1190"/>
      <c r="V114" s="1190"/>
      <c r="W114" s="1190"/>
      <c r="X114" s="1191"/>
      <c r="Y114" s="1190"/>
      <c r="Z114" s="1190"/>
      <c r="AA114" s="1190"/>
      <c r="AB114" s="1200"/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20"/>
      <c r="S115" s="1217"/>
      <c r="T115" s="1217"/>
      <c r="U115" s="1190"/>
      <c r="V115" s="1190"/>
      <c r="W115" s="1190"/>
      <c r="X115" s="1191"/>
      <c r="Y115" s="1190"/>
      <c r="Z115" s="1190"/>
      <c r="AA115" s="1190"/>
      <c r="AB115" s="1200"/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20"/>
      <c r="S116" s="1217"/>
      <c r="T116" s="1217"/>
      <c r="U116" s="1190"/>
      <c r="V116" s="1190"/>
      <c r="W116" s="1190"/>
      <c r="X116" s="1191"/>
      <c r="Y116" s="1190"/>
      <c r="Z116" s="1190"/>
      <c r="AA116" s="1190"/>
      <c r="AB116" s="1200"/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20"/>
      <c r="S117" s="1217"/>
      <c r="T117" s="1217"/>
      <c r="U117" s="1190"/>
      <c r="V117" s="1190"/>
      <c r="W117" s="1190"/>
      <c r="X117" s="1191"/>
      <c r="Y117" s="1190"/>
      <c r="Z117" s="1190"/>
      <c r="AA117" s="1190"/>
      <c r="AB117" s="1200"/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20"/>
      <c r="S118" s="1217"/>
      <c r="T118" s="1217"/>
      <c r="U118" s="1190"/>
      <c r="V118" s="1190"/>
      <c r="W118" s="1190"/>
      <c r="X118" s="1191"/>
      <c r="Y118" s="1190"/>
      <c r="Z118" s="1190"/>
      <c r="AA118" s="1190"/>
      <c r="AB118" s="1200"/>
      <c r="AC118" s="1271"/>
      <c r="AD118" s="81"/>
    </row>
    <row r="119" spans="1:30" s="44" customFormat="1" ht="17.399999999999999">
      <c r="A119" s="1324"/>
      <c r="B119" s="1021"/>
      <c r="C119" s="1021"/>
      <c r="D119" s="1022"/>
      <c r="E119" s="1023"/>
      <c r="F119" s="1021"/>
      <c r="G119" s="1021"/>
      <c r="H119" s="1022"/>
      <c r="I119" s="1023"/>
      <c r="J119" s="1021"/>
      <c r="K119" s="1021"/>
      <c r="L119" s="1021"/>
      <c r="M119" s="1023"/>
      <c r="N119" s="1021"/>
      <c r="O119" s="1021"/>
      <c r="P119" s="1022"/>
      <c r="R119" s="1220"/>
      <c r="S119" s="1217"/>
      <c r="T119" s="1217"/>
      <c r="U119" s="1190"/>
      <c r="V119" s="1190"/>
      <c r="W119" s="1190"/>
      <c r="X119" s="1191"/>
      <c r="Y119" s="1190"/>
      <c r="Z119" s="1190"/>
      <c r="AA119" s="1190"/>
      <c r="AB119" s="1200"/>
      <c r="AC119" s="1271"/>
      <c r="AD119" s="81"/>
    </row>
    <row r="120" spans="1:30" s="44" customFormat="1" ht="17.399999999999999">
      <c r="A120" s="1324"/>
      <c r="B120" s="1021"/>
      <c r="C120" s="1021"/>
      <c r="D120" s="1022"/>
      <c r="E120" s="1023"/>
      <c r="F120" s="1021"/>
      <c r="G120" s="1021"/>
      <c r="H120" s="1022"/>
      <c r="I120" s="1023"/>
      <c r="J120" s="1021"/>
      <c r="K120" s="1021"/>
      <c r="L120" s="1021"/>
      <c r="M120" s="1023"/>
      <c r="N120" s="1021"/>
      <c r="O120" s="1021"/>
      <c r="P120" s="1022"/>
      <c r="R120" s="1220"/>
      <c r="S120" s="1217"/>
      <c r="T120" s="1183"/>
      <c r="U120" s="1190"/>
      <c r="V120" s="1190"/>
      <c r="W120" s="1190"/>
      <c r="X120" s="1191"/>
      <c r="Y120" s="1190"/>
      <c r="Z120" s="1190"/>
      <c r="AA120" s="1190"/>
      <c r="AB120" s="1200"/>
      <c r="AC120" s="1271"/>
      <c r="AD120" s="81"/>
    </row>
    <row r="121" spans="1:30" s="44" customFormat="1" ht="17.399999999999999">
      <c r="A121" s="1324"/>
      <c r="B121" s="1021"/>
      <c r="C121" s="1021"/>
      <c r="D121" s="1022"/>
      <c r="E121" s="1023"/>
      <c r="F121" s="1021"/>
      <c r="G121" s="1021"/>
      <c r="H121" s="1022"/>
      <c r="I121" s="1023"/>
      <c r="J121" s="1021"/>
      <c r="K121" s="1021"/>
      <c r="L121" s="1021"/>
      <c r="M121" s="1023"/>
      <c r="N121" s="1021"/>
      <c r="O121" s="1021"/>
      <c r="P121" s="1022"/>
      <c r="R121" s="1220"/>
      <c r="S121" s="1217"/>
      <c r="T121" s="1183"/>
      <c r="U121" s="1190"/>
      <c r="V121" s="1190"/>
      <c r="W121" s="1190"/>
      <c r="X121" s="1191"/>
      <c r="Y121" s="1190"/>
      <c r="Z121" s="1190"/>
      <c r="AA121" s="1190"/>
      <c r="AB121" s="1200"/>
      <c r="AC121" s="1271"/>
      <c r="AD121" s="81"/>
    </row>
    <row r="122" spans="1:30" s="44" customFormat="1" ht="17.399999999999999">
      <c r="A122" s="1324"/>
      <c r="B122" s="1021"/>
      <c r="C122" s="1021"/>
      <c r="D122" s="1022"/>
      <c r="E122" s="1023"/>
      <c r="F122" s="1021"/>
      <c r="G122" s="1021"/>
      <c r="H122" s="1022"/>
      <c r="I122" s="1023"/>
      <c r="J122" s="1021"/>
      <c r="K122" s="1021"/>
      <c r="L122" s="1021"/>
      <c r="M122" s="1023"/>
      <c r="N122" s="1021"/>
      <c r="O122" s="1021"/>
      <c r="P122" s="1022"/>
      <c r="R122" s="1220"/>
      <c r="S122" s="1217"/>
      <c r="T122" s="1183"/>
      <c r="U122" s="1190"/>
      <c r="V122" s="1190"/>
      <c r="W122" s="1190"/>
      <c r="X122" s="1191"/>
      <c r="Y122" s="1190"/>
      <c r="Z122" s="1190"/>
      <c r="AA122" s="1190"/>
      <c r="AB122" s="1200"/>
      <c r="AC122" s="1271"/>
      <c r="AD122" s="81"/>
    </row>
    <row r="123" spans="1:30" s="44" customFormat="1" ht="17.399999999999999">
      <c r="A123" s="1324"/>
      <c r="B123" s="1021"/>
      <c r="C123" s="1021"/>
      <c r="D123" s="1022"/>
      <c r="E123" s="1023"/>
      <c r="F123" s="1021"/>
      <c r="G123" s="1021"/>
      <c r="H123" s="1022"/>
      <c r="I123" s="1023"/>
      <c r="J123" s="1021"/>
      <c r="K123" s="1021"/>
      <c r="L123" s="1021"/>
      <c r="M123" s="1023"/>
      <c r="N123" s="1021"/>
      <c r="O123" s="1021"/>
      <c r="P123" s="1022"/>
      <c r="R123" s="1220"/>
      <c r="S123" s="1217"/>
      <c r="T123" s="1183"/>
      <c r="U123" s="1190"/>
      <c r="V123" s="1190"/>
      <c r="W123" s="1190"/>
      <c r="X123" s="1191"/>
      <c r="Y123" s="1190"/>
      <c r="Z123" s="1190"/>
      <c r="AA123" s="1190"/>
      <c r="AB123" s="1200"/>
      <c r="AC123" s="1271"/>
      <c r="AD123" s="81"/>
    </row>
    <row r="124" spans="1:30" s="44" customFormat="1" ht="17.399999999999999">
      <c r="A124" s="1324"/>
      <c r="B124" s="1021"/>
      <c r="C124" s="1021"/>
      <c r="D124" s="1022"/>
      <c r="E124" s="1023"/>
      <c r="F124" s="1021"/>
      <c r="G124" s="1021"/>
      <c r="H124" s="1022"/>
      <c r="I124" s="1023"/>
      <c r="J124" s="1021"/>
      <c r="K124" s="1021"/>
      <c r="L124" s="1021"/>
      <c r="M124" s="1023"/>
      <c r="N124" s="1021"/>
      <c r="O124" s="1021"/>
      <c r="P124" s="1022"/>
      <c r="R124" s="1220"/>
      <c r="S124" s="1217"/>
      <c r="T124" s="1217"/>
      <c r="U124" s="1190"/>
      <c r="V124" s="1190"/>
      <c r="W124" s="1190"/>
      <c r="X124" s="1191"/>
      <c r="Y124" s="1190"/>
      <c r="Z124" s="1190"/>
      <c r="AA124" s="1190"/>
      <c r="AB124" s="1200"/>
      <c r="AC124" s="1271"/>
      <c r="AD124" s="81"/>
    </row>
    <row r="125" spans="1:30" s="44" customFormat="1" ht="17.399999999999999">
      <c r="A125" s="1324"/>
      <c r="B125" s="1021"/>
      <c r="C125" s="1021"/>
      <c r="D125" s="1022"/>
      <c r="E125" s="1023"/>
      <c r="F125" s="1021"/>
      <c r="G125" s="1021"/>
      <c r="H125" s="1022"/>
      <c r="I125" s="1023"/>
      <c r="J125" s="1021"/>
      <c r="K125" s="1021"/>
      <c r="L125" s="1021"/>
      <c r="M125" s="1023"/>
      <c r="N125" s="1021"/>
      <c r="O125" s="1021"/>
      <c r="P125" s="1022"/>
      <c r="R125" s="1220"/>
      <c r="S125" s="1217"/>
      <c r="T125" s="1217"/>
      <c r="U125" s="1190"/>
      <c r="V125" s="1190"/>
      <c r="W125" s="1190"/>
      <c r="X125" s="1191"/>
      <c r="Y125" s="1190"/>
      <c r="Z125" s="1190"/>
      <c r="AA125" s="1190"/>
      <c r="AB125" s="1200"/>
      <c r="AC125" s="1271"/>
      <c r="AD125" s="81"/>
    </row>
    <row r="126" spans="1:30" s="44" customFormat="1" ht="17.399999999999999">
      <c r="A126" s="1324"/>
      <c r="B126" s="1021"/>
      <c r="C126" s="1021"/>
      <c r="D126" s="1022"/>
      <c r="E126" s="1023"/>
      <c r="F126" s="1021"/>
      <c r="G126" s="1021"/>
      <c r="H126" s="1022"/>
      <c r="I126" s="1023"/>
      <c r="J126" s="1021"/>
      <c r="K126" s="1021"/>
      <c r="L126" s="1021"/>
      <c r="M126" s="1023"/>
      <c r="N126" s="1021"/>
      <c r="O126" s="1021"/>
      <c r="P126" s="1022"/>
      <c r="R126" s="1220"/>
      <c r="S126" s="1217"/>
      <c r="T126" s="1217"/>
      <c r="U126" s="1190"/>
      <c r="V126" s="1190"/>
      <c r="W126" s="1190"/>
      <c r="X126" s="1191"/>
      <c r="Y126" s="1190"/>
      <c r="Z126" s="1190"/>
      <c r="AA126" s="1190"/>
      <c r="AB126" s="1200"/>
      <c r="AC126" s="1271"/>
      <c r="AD126" s="81"/>
    </row>
    <row r="127" spans="1:30" s="44" customFormat="1" ht="17.399999999999999">
      <c r="A127" s="1324"/>
      <c r="B127" s="1021"/>
      <c r="C127" s="1021"/>
      <c r="D127" s="1022"/>
      <c r="E127" s="1023"/>
      <c r="F127" s="1021"/>
      <c r="G127" s="1021"/>
      <c r="H127" s="1022"/>
      <c r="I127" s="1023"/>
      <c r="J127" s="1021"/>
      <c r="K127" s="1021"/>
      <c r="L127" s="1021"/>
      <c r="M127" s="1023"/>
      <c r="N127" s="1021"/>
      <c r="O127" s="1021"/>
      <c r="P127" s="1022"/>
      <c r="R127" s="1190"/>
      <c r="S127" s="1190"/>
      <c r="T127" s="1217"/>
      <c r="U127" s="1190"/>
      <c r="V127" s="1224"/>
      <c r="W127" s="1293"/>
      <c r="X127" s="1191"/>
      <c r="Y127" s="1190"/>
      <c r="Z127" s="1217"/>
      <c r="AA127" s="1217"/>
      <c r="AB127" s="1218"/>
      <c r="AC127" s="1217"/>
      <c r="AD127" s="1326"/>
    </row>
    <row r="128" spans="1:30" s="44" customFormat="1" ht="17.399999999999999">
      <c r="A128" s="1324"/>
      <c r="B128" s="1021"/>
      <c r="C128" s="1021"/>
      <c r="D128" s="1022"/>
      <c r="E128" s="1023"/>
      <c r="F128" s="1021"/>
      <c r="G128" s="1021"/>
      <c r="H128" s="1022"/>
      <c r="I128" s="1023"/>
      <c r="J128" s="1021"/>
      <c r="K128" s="1021"/>
      <c r="L128" s="1021"/>
      <c r="M128" s="1023"/>
      <c r="N128" s="1021"/>
      <c r="O128" s="1021"/>
      <c r="P128" s="1022"/>
      <c r="R128" s="1217"/>
      <c r="S128" s="1217"/>
      <c r="T128" s="1217"/>
      <c r="U128" s="1294"/>
      <c r="V128" s="1224"/>
      <c r="W128" s="1293"/>
      <c r="X128" s="1191"/>
      <c r="Y128" s="1294"/>
      <c r="Z128" s="1294"/>
      <c r="AA128" s="1294"/>
      <c r="AB128" s="1294"/>
      <c r="AC128" s="1217"/>
      <c r="AD128" s="1326"/>
    </row>
    <row r="129" spans="1:30" s="44" customFormat="1" ht="17.399999999999999">
      <c r="A129" s="1324"/>
      <c r="B129" s="1021"/>
      <c r="C129" s="1021"/>
      <c r="D129" s="1022"/>
      <c r="E129" s="1023"/>
      <c r="F129" s="1021"/>
      <c r="G129" s="1021"/>
      <c r="H129" s="1022"/>
      <c r="I129" s="1023"/>
      <c r="J129" s="1021"/>
      <c r="K129" s="1021"/>
      <c r="L129" s="1021"/>
      <c r="M129" s="1023"/>
      <c r="N129" s="1021"/>
      <c r="O129" s="1021"/>
      <c r="P129" s="1022"/>
      <c r="R129" s="1217"/>
      <c r="S129" s="1217"/>
      <c r="T129" s="1217"/>
      <c r="U129" s="1294"/>
      <c r="V129" s="1224"/>
      <c r="W129" s="1293"/>
      <c r="X129" s="1191"/>
      <c r="Y129" s="1294"/>
      <c r="Z129" s="1294"/>
      <c r="AA129" s="1294"/>
      <c r="AB129" s="1294"/>
      <c r="AC129" s="1270"/>
      <c r="AD129" s="1293"/>
    </row>
    <row r="130" spans="1:30" s="44" customFormat="1" ht="17.399999999999999">
      <c r="A130" s="1324"/>
      <c r="B130" s="1021"/>
      <c r="C130" s="1021"/>
      <c r="D130" s="1022"/>
      <c r="E130" s="1023"/>
      <c r="F130" s="1021"/>
      <c r="G130" s="1021"/>
      <c r="H130" s="1022"/>
      <c r="I130" s="1023"/>
      <c r="J130" s="1021"/>
      <c r="K130" s="1021"/>
      <c r="L130" s="1021"/>
      <c r="M130" s="1023"/>
      <c r="N130" s="1021"/>
      <c r="O130" s="1021"/>
      <c r="P130" s="1022"/>
      <c r="R130" s="1220"/>
      <c r="S130" s="1217"/>
      <c r="T130" s="1217"/>
      <c r="U130" s="1294"/>
      <c r="V130" s="1294"/>
      <c r="W130" s="1294"/>
      <c r="X130" s="1295"/>
      <c r="Y130" s="1294"/>
      <c r="Z130" s="1294"/>
      <c r="AA130" s="1294"/>
      <c r="AB130" s="1294"/>
      <c r="AC130" s="1270"/>
      <c r="AD130" s="1293"/>
    </row>
    <row r="131" spans="1:30" s="44" customFormat="1" ht="17.399999999999999">
      <c r="A131" s="1324"/>
      <c r="B131" s="1021"/>
      <c r="C131" s="1021"/>
      <c r="D131" s="1022"/>
      <c r="E131" s="1023"/>
      <c r="F131" s="1021"/>
      <c r="G131" s="1021"/>
      <c r="H131" s="1022"/>
      <c r="I131" s="1023"/>
      <c r="J131" s="1021"/>
      <c r="K131" s="1021"/>
      <c r="L131" s="1021"/>
      <c r="M131" s="1023"/>
      <c r="N131" s="1021"/>
      <c r="O131" s="1021"/>
      <c r="P131" s="1022"/>
      <c r="R131" s="1220"/>
      <c r="S131" s="1217"/>
      <c r="T131" s="1217"/>
      <c r="U131" s="1294"/>
      <c r="V131" s="1294"/>
      <c r="W131" s="1294"/>
      <c r="X131" s="1295"/>
      <c r="Y131" s="1294"/>
      <c r="Z131" s="1293"/>
      <c r="AA131" s="1293"/>
      <c r="AB131" s="1352"/>
      <c r="AC131" s="1270"/>
      <c r="AD131" s="1293"/>
    </row>
    <row r="132" spans="1:30" s="44" customFormat="1" ht="17.399999999999999">
      <c r="A132" s="1324"/>
      <c r="B132" s="1021"/>
      <c r="C132" s="1021"/>
      <c r="D132" s="1022"/>
      <c r="E132" s="1023"/>
      <c r="F132" s="1021"/>
      <c r="G132" s="1021"/>
      <c r="H132" s="1022"/>
      <c r="I132" s="1023"/>
      <c r="J132" s="1021"/>
      <c r="K132" s="1021"/>
      <c r="L132" s="1021"/>
      <c r="M132" s="1023"/>
      <c r="N132" s="1021"/>
      <c r="O132" s="1021"/>
      <c r="P132" s="1022"/>
      <c r="R132" s="1220"/>
      <c r="S132" s="1217"/>
      <c r="T132" s="1217"/>
      <c r="U132" s="1294"/>
      <c r="V132" s="1294"/>
      <c r="W132" s="1293"/>
      <c r="X132" s="1191"/>
      <c r="Y132" s="1294"/>
      <c r="Z132" s="1190"/>
      <c r="AA132" s="1190"/>
      <c r="AB132" s="1200"/>
      <c r="AC132" s="1271"/>
      <c r="AD132" s="81"/>
    </row>
    <row r="133" spans="1:30" s="44" customFormat="1" ht="17.399999999999999">
      <c r="A133" s="1324"/>
      <c r="B133" s="1021"/>
      <c r="C133" s="1021"/>
      <c r="D133" s="1022"/>
      <c r="E133" s="1023"/>
      <c r="F133" s="1021"/>
      <c r="G133" s="1021"/>
      <c r="H133" s="1022"/>
      <c r="I133" s="1023"/>
      <c r="J133" s="1021"/>
      <c r="K133" s="1021"/>
      <c r="L133" s="1021"/>
      <c r="M133" s="1023"/>
      <c r="N133" s="1021"/>
      <c r="O133" s="1021"/>
      <c r="P133" s="1022"/>
      <c r="R133" s="1220"/>
      <c r="S133" s="1217"/>
      <c r="T133" s="1217"/>
      <c r="U133" s="1294"/>
      <c r="V133" s="1294"/>
      <c r="W133" s="1293"/>
      <c r="X133" s="1191"/>
      <c r="Y133" s="1294"/>
      <c r="Z133" s="1190"/>
      <c r="AA133" s="1190"/>
      <c r="AB133" s="1200"/>
      <c r="AC133" s="1271"/>
      <c r="AD133" s="81"/>
    </row>
    <row r="134" spans="1:30" s="44" customFormat="1" ht="17.399999999999999">
      <c r="A134" s="1324"/>
      <c r="B134" s="1021"/>
      <c r="C134" s="1021"/>
      <c r="D134" s="1022"/>
      <c r="E134" s="1023"/>
      <c r="F134" s="1021"/>
      <c r="G134" s="1021"/>
      <c r="H134" s="1022"/>
      <c r="I134" s="1023"/>
      <c r="J134" s="1021"/>
      <c r="K134" s="1021"/>
      <c r="L134" s="1021"/>
      <c r="M134" s="1023"/>
      <c r="N134" s="1021"/>
      <c r="O134" s="1021"/>
      <c r="P134" s="1022"/>
      <c r="R134" s="1220"/>
      <c r="S134" s="1217"/>
      <c r="T134" s="1217"/>
      <c r="U134" s="1294"/>
      <c r="V134" s="1217"/>
      <c r="W134" s="1294"/>
      <c r="X134" s="1191"/>
      <c r="Y134" s="1294"/>
      <c r="Z134" s="1190"/>
      <c r="AA134" s="1190"/>
      <c r="AB134" s="1200"/>
      <c r="AC134" s="1271"/>
      <c r="AD134" s="81"/>
    </row>
    <row r="135" spans="1:30" s="44" customFormat="1" ht="17.399999999999999">
      <c r="A135" s="1324"/>
      <c r="B135" s="1021"/>
      <c r="C135" s="1021"/>
      <c r="D135" s="1022"/>
      <c r="E135" s="1023"/>
      <c r="F135" s="1021"/>
      <c r="G135" s="1021"/>
      <c r="H135" s="1022"/>
      <c r="I135" s="1023"/>
      <c r="J135" s="1021"/>
      <c r="K135" s="1021"/>
      <c r="L135" s="1021"/>
      <c r="M135" s="1023"/>
      <c r="N135" s="1021"/>
      <c r="O135" s="1021"/>
      <c r="P135" s="1022"/>
      <c r="R135" s="1220"/>
      <c r="S135" s="1217"/>
      <c r="T135" s="1217"/>
      <c r="U135" s="1294"/>
      <c r="V135" s="1217"/>
      <c r="W135" s="1294"/>
      <c r="X135" s="1191"/>
      <c r="Y135" s="1294"/>
      <c r="Z135" s="1190"/>
      <c r="AA135" s="1190"/>
      <c r="AB135" s="1200"/>
      <c r="AC135" s="1271"/>
      <c r="AD135" s="81"/>
    </row>
    <row r="136" spans="1:30" s="44" customFormat="1" ht="15.6">
      <c r="R136" s="1220"/>
      <c r="S136" s="1217"/>
      <c r="T136" s="1217"/>
      <c r="U136" s="1294"/>
      <c r="V136" s="1217"/>
      <c r="W136" s="1294"/>
      <c r="X136" s="1191"/>
      <c r="Y136" s="1294"/>
      <c r="Z136" s="1190"/>
      <c r="AA136" s="1190"/>
      <c r="AB136" s="1200"/>
      <c r="AC136" s="1271"/>
      <c r="AD136" s="81"/>
    </row>
    <row r="137" spans="1:30" s="44" customFormat="1" ht="15.6">
      <c r="R137" s="1220"/>
      <c r="S137" s="1217"/>
      <c r="T137" s="1217"/>
      <c r="U137" s="1294"/>
      <c r="V137" s="1217"/>
      <c r="W137" s="1294"/>
      <c r="X137" s="1191"/>
      <c r="Y137" s="1294"/>
      <c r="Z137" s="1190"/>
      <c r="AA137" s="1190"/>
      <c r="AB137" s="1200"/>
      <c r="AC137" s="1271"/>
      <c r="AD137" s="81"/>
    </row>
    <row r="138" spans="1:30" s="44" customFormat="1" ht="15.6">
      <c r="R138" s="1220"/>
      <c r="S138" s="1217"/>
      <c r="T138" s="1217"/>
      <c r="U138" s="1294"/>
      <c r="V138" s="1217"/>
      <c r="W138" s="1294"/>
      <c r="X138" s="1191"/>
      <c r="Y138" s="1294"/>
      <c r="Z138" s="1190"/>
      <c r="AA138" s="1190"/>
      <c r="AB138" s="1200"/>
      <c r="AC138" s="1271"/>
      <c r="AD138" s="81"/>
    </row>
    <row r="139" spans="1:30" s="44" customFormat="1" ht="15.6">
      <c r="R139" s="1220"/>
      <c r="S139" s="1217"/>
      <c r="T139" s="1217"/>
      <c r="U139" s="1294"/>
      <c r="V139" s="1217"/>
      <c r="W139" s="1294"/>
      <c r="X139" s="1191"/>
      <c r="Y139" s="1294"/>
      <c r="Z139" s="1190"/>
      <c r="AA139" s="1190"/>
      <c r="AB139" s="1200"/>
      <c r="AC139" s="1271"/>
      <c r="AD139" s="81"/>
    </row>
    <row r="140" spans="1:30" s="44" customFormat="1">
      <c r="R140" s="1220"/>
      <c r="S140" s="1217"/>
      <c r="T140" s="1217"/>
      <c r="U140" s="1294"/>
      <c r="V140" s="1217"/>
      <c r="W140" s="1294"/>
      <c r="X140" s="1191"/>
      <c r="Y140" s="1294"/>
      <c r="Z140" s="1294"/>
      <c r="AA140" s="1294"/>
      <c r="AB140" s="1294"/>
      <c r="AC140" s="1271"/>
      <c r="AD140" s="81"/>
    </row>
    <row r="141" spans="1:30" s="44" customFormat="1">
      <c r="R141" s="1220"/>
      <c r="S141" s="1217"/>
      <c r="T141" s="1217"/>
      <c r="U141" s="1294"/>
      <c r="V141" s="1217"/>
      <c r="W141" s="1294"/>
      <c r="X141" s="1191"/>
      <c r="Y141" s="1294"/>
      <c r="Z141" s="1294"/>
      <c r="AA141" s="1294"/>
      <c r="AB141" s="1294"/>
      <c r="AC141" s="1271"/>
      <c r="AD141" s="81"/>
    </row>
    <row r="142" spans="1:30" s="44" customFormat="1" ht="15.6">
      <c r="R142" s="1220"/>
      <c r="S142" s="1217"/>
      <c r="T142" s="1217"/>
      <c r="U142" s="1294"/>
      <c r="V142" s="1217"/>
      <c r="W142" s="1294"/>
      <c r="X142" s="1191"/>
      <c r="Y142" s="1294"/>
      <c r="Z142" s="1190"/>
      <c r="AA142" s="1190"/>
      <c r="AB142" s="1200"/>
      <c r="AC142" s="1271"/>
      <c r="AD142" s="81"/>
    </row>
    <row r="143" spans="1:30" s="44" customFormat="1" ht="15.6">
      <c r="R143" s="1220"/>
      <c r="S143" s="1217"/>
      <c r="T143" s="1217"/>
      <c r="U143" s="1294"/>
      <c r="V143" s="1217"/>
      <c r="W143" s="1293"/>
      <c r="X143" s="1191"/>
      <c r="Y143" s="1294"/>
      <c r="Z143" s="1190"/>
      <c r="AA143" s="1190"/>
      <c r="AB143" s="1200"/>
      <c r="AC143" s="1271"/>
      <c r="AD143" s="81"/>
    </row>
    <row r="144" spans="1:30" s="44" customFormat="1">
      <c r="R144" s="1220"/>
      <c r="S144" s="1217"/>
      <c r="T144" s="1217"/>
      <c r="U144" s="1294"/>
      <c r="V144" s="1217"/>
      <c r="W144" s="1293"/>
      <c r="X144" s="1191"/>
      <c r="Y144" s="1294"/>
      <c r="Z144" s="1294"/>
      <c r="AA144" s="1294"/>
      <c r="AB144" s="1294"/>
      <c r="AC144" s="1271"/>
      <c r="AD144" s="81"/>
    </row>
    <row r="145" spans="18:30" s="44" customFormat="1" ht="15.6">
      <c r="R145" s="1220"/>
      <c r="S145" s="1217"/>
      <c r="T145" s="1217"/>
      <c r="U145" s="1294"/>
      <c r="V145" s="1217"/>
      <c r="W145" s="1293"/>
      <c r="X145" s="1191"/>
      <c r="Y145" s="1294"/>
      <c r="Z145" s="1190"/>
      <c r="AA145" s="1190"/>
      <c r="AB145" s="1200"/>
      <c r="AC145" s="1271"/>
      <c r="AD145" s="81"/>
    </row>
    <row r="146" spans="18:30" s="44" customFormat="1">
      <c r="R146" s="1220"/>
      <c r="S146" s="1217"/>
      <c r="T146" s="1217"/>
      <c r="U146" s="1294"/>
      <c r="V146" s="1217"/>
      <c r="W146" s="1293"/>
      <c r="X146" s="1191"/>
      <c r="Y146" s="1294"/>
      <c r="Z146" s="1294"/>
      <c r="AA146" s="1294"/>
      <c r="AB146" s="1294"/>
      <c r="AC146" s="1271"/>
      <c r="AD146" s="81"/>
    </row>
    <row r="147" spans="18:30" s="44" customFormat="1">
      <c r="R147" s="1220"/>
      <c r="S147" s="1217"/>
      <c r="T147" s="1217"/>
      <c r="U147" s="1294"/>
      <c r="V147" s="1217"/>
      <c r="W147" s="1293"/>
      <c r="X147" s="1191"/>
      <c r="Y147" s="1294"/>
      <c r="Z147" s="1294"/>
      <c r="AA147" s="1294"/>
      <c r="AB147" s="1294"/>
      <c r="AC147" s="1271"/>
      <c r="AD147" s="81"/>
    </row>
    <row r="148" spans="18:30" s="44" customFormat="1">
      <c r="R148" s="1220"/>
      <c r="S148" s="1217"/>
      <c r="T148" s="1217"/>
      <c r="U148" s="1294"/>
      <c r="V148" s="1217"/>
      <c r="W148" s="1293"/>
      <c r="X148" s="1191"/>
      <c r="Y148" s="1294"/>
      <c r="Z148" s="1294"/>
      <c r="AA148" s="1294"/>
      <c r="AB148" s="1294"/>
      <c r="AC148" s="1271"/>
      <c r="AD148" s="81"/>
    </row>
    <row r="149" spans="18:30" s="44" customFormat="1">
      <c r="R149" s="1220"/>
      <c r="S149" s="1217"/>
      <c r="T149" s="1217"/>
      <c r="U149" s="1294"/>
      <c r="V149" s="1217"/>
      <c r="W149" s="1293"/>
      <c r="X149" s="1191"/>
      <c r="Y149" s="1294"/>
      <c r="Z149" s="1294"/>
      <c r="AA149" s="1294"/>
      <c r="AB149" s="1294"/>
      <c r="AC149" s="1271"/>
      <c r="AD149" s="81"/>
    </row>
    <row r="150" spans="18:30" s="44" customFormat="1">
      <c r="R150" s="1220"/>
      <c r="S150" s="1217"/>
      <c r="T150" s="1217"/>
      <c r="U150" s="1294"/>
      <c r="V150" s="1217"/>
      <c r="W150" s="1293"/>
      <c r="X150" s="1191"/>
      <c r="Y150" s="1294"/>
      <c r="Z150" s="1294"/>
      <c r="AA150" s="1294"/>
      <c r="AB150" s="1294"/>
      <c r="AC150" s="1271"/>
      <c r="AD150" s="81"/>
    </row>
    <row r="151" spans="18:30" s="44" customFormat="1" ht="15.6">
      <c r="R151" s="1220"/>
      <c r="S151" s="1217"/>
      <c r="T151" s="1217"/>
      <c r="U151" s="1217"/>
      <c r="V151" s="1217"/>
      <c r="W151" s="1293"/>
      <c r="X151" s="1296"/>
      <c r="Y151" s="1294"/>
      <c r="Z151" s="1294"/>
      <c r="AA151" s="1294"/>
      <c r="AB151" s="1099"/>
      <c r="AC151" s="1217"/>
      <c r="AD151" s="1326"/>
    </row>
    <row r="152" spans="18:30" s="44" customFormat="1">
      <c r="R152" s="1189"/>
      <c r="S152" s="1190"/>
      <c r="T152" s="1217"/>
      <c r="U152" s="1190"/>
      <c r="V152" s="1217"/>
      <c r="W152" s="1293"/>
      <c r="X152" s="1325"/>
      <c r="Y152" s="1294"/>
      <c r="Z152" s="1190"/>
      <c r="AA152" s="1190"/>
      <c r="AB152" s="1190"/>
      <c r="AC152" s="1217"/>
      <c r="AD152" s="1326"/>
    </row>
    <row r="153" spans="18:30" s="44" customFormat="1">
      <c r="R153" s="1220"/>
      <c r="S153" s="1217"/>
      <c r="T153" s="1217"/>
      <c r="U153" s="1190"/>
      <c r="V153" s="1190"/>
      <c r="W153" s="1190"/>
      <c r="X153" s="1325"/>
      <c r="Y153" s="1190"/>
      <c r="Z153" s="1190"/>
      <c r="AA153" s="1190"/>
      <c r="AB153" s="1190"/>
      <c r="AC153" s="1217"/>
      <c r="AD153" s="1326"/>
    </row>
    <row r="154" spans="18:30" s="44" customFormat="1">
      <c r="R154" s="1220"/>
      <c r="S154" s="1217"/>
      <c r="T154" s="1217"/>
      <c r="U154" s="1190"/>
      <c r="V154" s="1190"/>
      <c r="W154" s="1293"/>
      <c r="X154" s="1325"/>
      <c r="Y154" s="1294"/>
      <c r="Z154" s="1190"/>
      <c r="AA154" s="1190"/>
      <c r="AB154" s="1190"/>
      <c r="AC154" s="1217"/>
      <c r="AD154" s="1326"/>
    </row>
    <row r="155" spans="18:30" s="44" customFormat="1">
      <c r="R155" s="1190"/>
      <c r="S155" s="1190"/>
      <c r="T155" s="1217"/>
      <c r="U155" s="1293"/>
      <c r="V155" s="1190"/>
      <c r="W155" s="1293"/>
      <c r="X155" s="1191"/>
      <c r="Y155" s="1294"/>
      <c r="Z155" s="1190"/>
      <c r="AA155" s="1190"/>
      <c r="AB155" s="1190"/>
      <c r="AC155" s="1217"/>
      <c r="AD155" s="1326"/>
    </row>
    <row r="156" spans="18:30" s="44" customFormat="1">
      <c r="R156" s="1190"/>
      <c r="S156" s="1190"/>
      <c r="T156" s="1217"/>
      <c r="U156" s="1293"/>
      <c r="V156" s="1190"/>
      <c r="W156" s="1293"/>
      <c r="X156" s="1191"/>
      <c r="Y156" s="1294"/>
      <c r="Z156" s="1190"/>
      <c r="AA156" s="1190"/>
      <c r="AB156" s="1190"/>
      <c r="AC156" s="1217"/>
      <c r="AD156" s="1326"/>
    </row>
    <row r="157" spans="18:30" s="44" customFormat="1">
      <c r="R157" s="1190"/>
      <c r="S157" s="1293"/>
      <c r="T157" s="1217"/>
      <c r="U157" s="1190"/>
      <c r="V157" s="1190"/>
      <c r="W157" s="1293"/>
      <c r="X157" s="1191"/>
      <c r="Y157" s="1294"/>
      <c r="Z157" s="1190"/>
      <c r="AA157" s="1190"/>
      <c r="AB157" s="1190"/>
      <c r="AC157" s="1217"/>
      <c r="AD157" s="1326"/>
    </row>
    <row r="158" spans="18:30" s="44" customFormat="1">
      <c r="R158" s="1190"/>
      <c r="S158" s="1190"/>
      <c r="T158" s="1217"/>
      <c r="U158" s="1293"/>
      <c r="V158" s="1190"/>
      <c r="W158" s="1293"/>
      <c r="X158" s="1191"/>
      <c r="Y158" s="1294"/>
      <c r="Z158" s="1190"/>
      <c r="AA158" s="1190"/>
      <c r="AB158" s="1190"/>
      <c r="AC158" s="1217"/>
      <c r="AD158" s="1326"/>
    </row>
    <row r="159" spans="18:30" s="44" customFormat="1">
      <c r="R159" s="1189"/>
      <c r="S159" s="1224"/>
      <c r="T159" s="1217"/>
      <c r="U159" s="1224"/>
      <c r="V159" s="1190"/>
      <c r="W159" s="1293"/>
      <c r="X159" s="1225"/>
      <c r="Y159" s="1294"/>
      <c r="Z159" s="1190"/>
      <c r="AA159" s="1190"/>
      <c r="AB159" s="1190"/>
      <c r="AC159" s="1217"/>
      <c r="AD159" s="1326"/>
    </row>
    <row r="160" spans="18:30" s="44" customFormat="1" ht="15.6">
      <c r="R160" s="1189"/>
      <c r="S160" s="898"/>
      <c r="T160" s="1217"/>
      <c r="U160" s="1224"/>
      <c r="V160" s="1217"/>
      <c r="W160" s="1224"/>
      <c r="X160" s="1225"/>
      <c r="Y160" s="1190"/>
      <c r="Z160" s="1190"/>
      <c r="AA160" s="1190"/>
      <c r="AB160" s="1241"/>
      <c r="AC160" s="1270"/>
      <c r="AD160" s="81"/>
    </row>
    <row r="161" spans="18:30" s="44" customFormat="1" ht="15.6">
      <c r="R161" s="1190"/>
      <c r="S161" s="1190"/>
      <c r="T161" s="1293"/>
      <c r="U161" s="1293"/>
      <c r="V161" s="1190"/>
      <c r="W161" s="1293"/>
      <c r="X161" s="1191"/>
      <c r="Y161" s="1190"/>
      <c r="Z161" s="1190"/>
      <c r="AA161" s="1190"/>
      <c r="AB161" s="1241"/>
      <c r="AC161" s="1217"/>
      <c r="AD161" s="1326"/>
    </row>
    <row r="162" spans="18:30" s="44" customFormat="1" ht="15.6">
      <c r="R162" s="1189"/>
      <c r="S162" s="1190"/>
      <c r="T162" s="1293"/>
      <c r="U162" s="1293"/>
      <c r="V162" s="1190"/>
      <c r="W162" s="1293"/>
      <c r="X162" s="1191"/>
      <c r="Y162" s="1190"/>
      <c r="Z162" s="1190"/>
      <c r="AA162" s="1190"/>
      <c r="AB162" s="1241"/>
      <c r="AC162" s="1271"/>
      <c r="AD162" s="81"/>
    </row>
    <row r="163" spans="18:30" s="44" customFormat="1" ht="15.6">
      <c r="R163" s="1339"/>
      <c r="S163" s="1339"/>
      <c r="T163" s="1190"/>
      <c r="U163" s="1293"/>
      <c r="V163" s="1190"/>
      <c r="W163" s="1293"/>
      <c r="X163" s="1191"/>
      <c r="Y163" s="1190"/>
      <c r="Z163" s="1190"/>
      <c r="AA163" s="1190"/>
      <c r="AB163" s="1110"/>
      <c r="AC163" s="1271"/>
      <c r="AD163" s="81"/>
    </row>
    <row r="164" spans="18:30" s="44" customFormat="1" ht="15.6">
      <c r="R164" s="1190"/>
      <c r="S164" s="1190"/>
      <c r="T164" s="1190"/>
      <c r="U164" s="1190"/>
      <c r="V164" s="1190"/>
      <c r="W164" s="1293"/>
      <c r="X164" s="1191"/>
      <c r="Y164" s="1190"/>
      <c r="Z164" s="1190"/>
      <c r="AA164" s="1190"/>
      <c r="AB164" s="1241"/>
      <c r="AC164" s="1271"/>
      <c r="AD164" s="81"/>
    </row>
    <row r="165" spans="18:30" s="44" customFormat="1" ht="15.6">
      <c r="R165" s="1189"/>
      <c r="S165" s="1190"/>
      <c r="T165" s="1190"/>
      <c r="U165" s="1190"/>
      <c r="V165" s="1190"/>
      <c r="W165" s="1293"/>
      <c r="X165" s="1191"/>
      <c r="Y165" s="1190"/>
      <c r="Z165" s="1190"/>
      <c r="AA165" s="1190"/>
      <c r="AB165" s="1241"/>
      <c r="AC165" s="1271"/>
      <c r="AD165" s="81"/>
    </row>
    <row r="166" spans="18:30" s="44" customFormat="1" ht="15.6">
      <c r="R166" s="1353"/>
      <c r="S166" s="1339"/>
      <c r="T166" s="1190"/>
      <c r="U166" s="1190"/>
      <c r="V166" s="1190"/>
      <c r="W166" s="1293"/>
      <c r="X166" s="1191"/>
      <c r="Y166" s="1190"/>
      <c r="Z166" s="1190"/>
      <c r="AA166" s="1190"/>
      <c r="AB166" s="1241"/>
      <c r="AC166" s="1217"/>
      <c r="AD166" s="81"/>
    </row>
    <row r="167" spans="18:30" s="44" customFormat="1" ht="15.6">
      <c r="R167" s="1190"/>
      <c r="S167" s="1224"/>
      <c r="T167" s="1190"/>
      <c r="U167" s="1224"/>
      <c r="V167" s="1224"/>
      <c r="W167" s="1293"/>
      <c r="X167" s="1225"/>
      <c r="Y167" s="1190"/>
      <c r="Z167" s="1190"/>
      <c r="AA167" s="1190"/>
      <c r="AB167" s="1241"/>
      <c r="AC167" s="1217"/>
      <c r="AD167" s="1326"/>
    </row>
    <row r="168" spans="18:30" s="44" customFormat="1" ht="15.6">
      <c r="R168" s="1189"/>
      <c r="S168" s="1224"/>
      <c r="T168" s="1294"/>
      <c r="U168" s="1224"/>
      <c r="V168" s="1224"/>
      <c r="W168" s="1293"/>
      <c r="X168" s="1225"/>
      <c r="Y168" s="1190"/>
      <c r="Z168" s="1190"/>
      <c r="AA168" s="1190"/>
      <c r="AB168" s="1241"/>
      <c r="AC168" s="1271"/>
      <c r="AD168" s="81"/>
    </row>
    <row r="169" spans="18:30" s="44" customFormat="1" ht="15.6">
      <c r="R169" s="1189"/>
      <c r="S169" s="1224"/>
      <c r="T169" s="1294"/>
      <c r="U169" s="1224"/>
      <c r="V169" s="1224"/>
      <c r="W169" s="1293"/>
      <c r="X169" s="1225"/>
      <c r="Y169" s="1190"/>
      <c r="Z169" s="1190"/>
      <c r="AA169" s="1190"/>
      <c r="AB169" s="1241"/>
      <c r="AC169" s="1271"/>
      <c r="AD169" s="81"/>
    </row>
    <row r="170" spans="18:30" s="44" customFormat="1" ht="15.6">
      <c r="R170" s="1189"/>
      <c r="S170" s="1224"/>
      <c r="T170" s="1279"/>
      <c r="U170" s="1224"/>
      <c r="V170" s="1224"/>
      <c r="W170" s="1293"/>
      <c r="X170" s="1225"/>
      <c r="Y170" s="1190"/>
      <c r="Z170" s="1190"/>
      <c r="AA170" s="1190"/>
      <c r="AB170" s="1241"/>
      <c r="AC170" s="1271"/>
      <c r="AD170" s="81"/>
    </row>
    <row r="171" spans="18:30" s="44" customFormat="1" ht="15.6">
      <c r="R171" s="1190"/>
      <c r="S171" s="1190"/>
      <c r="T171" s="1217"/>
      <c r="U171" s="1190"/>
      <c r="V171" s="1224"/>
      <c r="W171" s="1293"/>
      <c r="X171" s="1191"/>
      <c r="Y171" s="1190"/>
      <c r="Z171" s="1217"/>
      <c r="AA171" s="1217"/>
      <c r="AB171" s="1218"/>
      <c r="AC171" s="1190"/>
      <c r="AD171" s="1329"/>
    </row>
    <row r="172" spans="18:30" s="44" customFormat="1">
      <c r="R172" s="1217"/>
      <c r="S172" s="1217"/>
      <c r="T172" s="1294"/>
      <c r="U172" s="1294"/>
      <c r="V172" s="1224"/>
      <c r="W172" s="1293"/>
      <c r="X172" s="1191"/>
      <c r="Y172" s="1294"/>
      <c r="Z172" s="1294"/>
      <c r="AA172" s="1294"/>
      <c r="AB172" s="1294"/>
      <c r="AC172" s="1217"/>
      <c r="AD172" s="1326"/>
    </row>
    <row r="173" spans="18:30" s="44" customFormat="1">
      <c r="R173" s="1217"/>
      <c r="S173" s="1217"/>
      <c r="T173" s="1294"/>
      <c r="U173" s="1294"/>
      <c r="V173" s="1224"/>
      <c r="W173" s="1293"/>
      <c r="X173" s="1191"/>
      <c r="Y173" s="1294"/>
      <c r="Z173" s="1294"/>
      <c r="AA173" s="1294"/>
      <c r="AB173" s="1294"/>
      <c r="AC173" s="1217"/>
      <c r="AD173" s="1326"/>
    </row>
    <row r="174" spans="18:30" s="44" customFormat="1">
      <c r="R174" s="1217"/>
      <c r="S174" s="1217"/>
      <c r="T174" s="1294"/>
      <c r="U174" s="1190"/>
      <c r="V174" s="1294"/>
      <c r="W174" s="1294"/>
      <c r="X174" s="1191"/>
      <c r="Y174" s="1294"/>
      <c r="Z174" s="1190"/>
      <c r="AA174" s="1190"/>
      <c r="AB174" s="1294"/>
      <c r="AC174" s="1217"/>
      <c r="AD174" s="1326"/>
    </row>
    <row r="175" spans="18:30" s="44" customFormat="1">
      <c r="R175" s="1217"/>
      <c r="S175" s="1217"/>
      <c r="T175" s="1294"/>
      <c r="U175" s="1190"/>
      <c r="V175" s="1294"/>
      <c r="W175" s="1294"/>
      <c r="X175" s="1191"/>
      <c r="Y175" s="1294"/>
      <c r="Z175" s="1190"/>
      <c r="AA175" s="1190"/>
      <c r="AB175" s="1294"/>
      <c r="AC175" s="1217"/>
      <c r="AD175" s="1326"/>
    </row>
    <row r="176" spans="18:30" s="44" customFormat="1">
      <c r="R176" s="1217"/>
      <c r="S176" s="1217"/>
      <c r="T176" s="1217"/>
      <c r="U176" s="1190"/>
      <c r="V176" s="1294"/>
      <c r="W176" s="1294"/>
      <c r="X176" s="1191"/>
      <c r="Y176" s="1294"/>
      <c r="Z176" s="1190"/>
      <c r="AA176" s="1190"/>
      <c r="AB176" s="1294"/>
      <c r="AC176" s="1217"/>
      <c r="AD176" s="1326"/>
    </row>
    <row r="177" spans="18:30" s="44" customFormat="1" ht="15.6">
      <c r="R177" s="1217"/>
      <c r="S177" s="1217"/>
      <c r="T177" s="1217"/>
      <c r="U177" s="1190"/>
      <c r="V177" s="1294"/>
      <c r="W177" s="1294"/>
      <c r="X177" s="1191"/>
      <c r="Y177" s="1294"/>
      <c r="Z177" s="1190"/>
      <c r="AA177" s="1190"/>
      <c r="AB177" s="1200"/>
      <c r="AC177" s="1217"/>
      <c r="AD177" s="1326"/>
    </row>
    <row r="178" spans="18:30" s="44" customFormat="1" ht="15.6">
      <c r="R178" s="1217"/>
      <c r="S178" s="1217"/>
      <c r="T178" s="1217"/>
      <c r="U178" s="1190"/>
      <c r="V178" s="1294"/>
      <c r="W178" s="1294"/>
      <c r="X178" s="1191"/>
      <c r="Y178" s="1190"/>
      <c r="Z178" s="1190"/>
      <c r="AA178" s="1190"/>
      <c r="AB178" s="1200"/>
      <c r="AC178" s="1217"/>
      <c r="AD178" s="1326"/>
    </row>
    <row r="179" spans="18:30" s="44" customFormat="1" ht="15.6">
      <c r="R179" s="1217"/>
      <c r="S179" s="1217"/>
      <c r="T179" s="1294"/>
      <c r="U179" s="1190"/>
      <c r="V179" s="1190"/>
      <c r="W179" s="1190"/>
      <c r="X179" s="1191"/>
      <c r="Y179" s="1190"/>
      <c r="Z179" s="1190"/>
      <c r="AA179" s="1190"/>
      <c r="AB179" s="1200"/>
      <c r="AC179" s="1217"/>
      <c r="AD179" s="1326"/>
    </row>
    <row r="180" spans="18:30" s="44" customFormat="1" ht="15.6">
      <c r="R180" s="1217"/>
      <c r="S180" s="1217"/>
      <c r="T180" s="1294"/>
      <c r="U180" s="1190"/>
      <c r="V180" s="1190"/>
      <c r="W180" s="1190"/>
      <c r="X180" s="1191"/>
      <c r="Y180" s="1190"/>
      <c r="Z180" s="1190"/>
      <c r="AA180" s="1190"/>
      <c r="AB180" s="1200"/>
      <c r="AC180" s="1217"/>
      <c r="AD180" s="1326"/>
    </row>
    <row r="181" spans="18:30" s="44" customFormat="1" ht="15.6">
      <c r="R181" s="1217"/>
      <c r="S181" s="1217"/>
      <c r="T181" s="1294"/>
      <c r="U181" s="1190"/>
      <c r="V181" s="1190"/>
      <c r="W181" s="1190"/>
      <c r="X181" s="1191"/>
      <c r="Y181" s="1190"/>
      <c r="Z181" s="1190"/>
      <c r="AA181" s="1190"/>
      <c r="AB181" s="1200"/>
      <c r="AC181" s="1217"/>
      <c r="AD181" s="1326"/>
    </row>
    <row r="182" spans="18:30" s="44" customFormat="1" ht="15.6">
      <c r="R182" s="1217"/>
      <c r="S182" s="1217"/>
      <c r="T182" s="1217"/>
      <c r="U182" s="1190"/>
      <c r="V182" s="1190"/>
      <c r="W182" s="1294"/>
      <c r="X182" s="1191"/>
      <c r="Y182" s="1190"/>
      <c r="Z182" s="1190"/>
      <c r="AA182" s="1190"/>
      <c r="AB182" s="1200"/>
      <c r="AC182" s="1217"/>
      <c r="AD182" s="1326"/>
    </row>
    <row r="183" spans="18:30" s="44" customFormat="1" ht="15.6">
      <c r="R183" s="1217"/>
      <c r="S183" s="1217"/>
      <c r="T183" s="1217"/>
      <c r="U183" s="1190"/>
      <c r="V183" s="1190"/>
      <c r="W183" s="1294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6">
      <c r="R184" s="1217"/>
      <c r="S184" s="1217"/>
      <c r="T184" s="1294"/>
      <c r="U184" s="1190"/>
      <c r="V184" s="1190"/>
      <c r="W184" s="1190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6">
      <c r="R185" s="1190"/>
      <c r="S185" s="1294"/>
      <c r="T185" s="1217"/>
      <c r="U185" s="1190"/>
      <c r="V185" s="1190"/>
      <c r="W185" s="1294"/>
      <c r="X185" s="1191"/>
      <c r="Y185" s="1190"/>
      <c r="Z185" s="1190"/>
      <c r="AA185" s="1190"/>
      <c r="AB185" s="1200"/>
      <c r="AC185" s="1217"/>
      <c r="AD185" s="1326"/>
    </row>
    <row r="186" spans="18:30" s="44" customFormat="1" ht="15.6">
      <c r="R186" s="1190"/>
      <c r="S186" s="1294"/>
      <c r="T186" s="1294"/>
      <c r="U186" s="1190"/>
      <c r="V186" s="1190"/>
      <c r="W186" s="1294"/>
      <c r="X186" s="1191"/>
      <c r="Y186" s="1190"/>
      <c r="Z186" s="1190"/>
      <c r="AA186" s="1190"/>
      <c r="AB186" s="1200"/>
      <c r="AC186" s="1217"/>
      <c r="AD186" s="1326"/>
    </row>
    <row r="187" spans="18:30" s="44" customFormat="1" ht="15.6">
      <c r="R187" s="1190"/>
      <c r="S187" s="1224"/>
      <c r="T187" s="1279"/>
      <c r="U187" s="1224"/>
      <c r="V187" s="1224"/>
      <c r="W187" s="1294"/>
      <c r="X187" s="1225"/>
      <c r="Y187" s="1190"/>
      <c r="Z187" s="1190"/>
      <c r="AA187" s="1190"/>
      <c r="AB187" s="1241"/>
      <c r="AC187" s="1217"/>
      <c r="AD187" s="1326"/>
    </row>
    <row r="188" spans="18:30" ht="15.6">
      <c r="R188" s="1190"/>
      <c r="S188" s="1224"/>
      <c r="T188" s="1279"/>
      <c r="U188" s="1224"/>
      <c r="V188" s="1224"/>
      <c r="W188" s="1224"/>
      <c r="X188" s="1225"/>
      <c r="Y188" s="1190"/>
      <c r="Z188" s="1190"/>
      <c r="AA188" s="1190"/>
      <c r="AB188" s="1241"/>
      <c r="AC188" s="1217"/>
      <c r="AD188" s="1326"/>
    </row>
    <row r="189" spans="18:30" ht="15.6">
      <c r="R189" s="1190"/>
      <c r="S189" s="1224"/>
      <c r="T189" s="1279"/>
      <c r="U189" s="1224"/>
      <c r="V189" s="1224"/>
      <c r="W189" s="1294"/>
      <c r="X189" s="1225"/>
      <c r="Y189" s="1190"/>
      <c r="Z189" s="1190"/>
      <c r="AA189" s="1190"/>
      <c r="AB189" s="1241"/>
      <c r="AC189" s="1217"/>
      <c r="AD189" s="1326"/>
    </row>
    <row r="190" spans="18:30" ht="15.6">
      <c r="R190" s="1190"/>
      <c r="S190" s="1224"/>
      <c r="T190" s="1279"/>
      <c r="U190" s="1224"/>
      <c r="V190" s="1224"/>
      <c r="W190" s="1224"/>
      <c r="X190" s="1225"/>
      <c r="Y190" s="1190"/>
      <c r="Z190" s="1190"/>
      <c r="AA190" s="1190"/>
      <c r="AB190" s="1241"/>
      <c r="AC190" s="1217"/>
      <c r="AD190" s="1326"/>
    </row>
    <row r="191" spans="18:30" ht="15.6">
      <c r="R191" s="1190"/>
      <c r="S191" s="1224"/>
      <c r="T191" s="1279"/>
      <c r="U191" s="1224"/>
      <c r="V191" s="1224"/>
      <c r="W191" s="1224"/>
      <c r="X191" s="1225"/>
      <c r="Y191" s="1190"/>
      <c r="Z191" s="1190"/>
      <c r="AA191" s="1190"/>
      <c r="AB191" s="1241"/>
      <c r="AC191" s="1217"/>
      <c r="AD191" s="1326"/>
    </row>
    <row r="192" spans="18:30" ht="15.6">
      <c r="R192" s="1190"/>
      <c r="S192" s="1224"/>
      <c r="T192" s="1279"/>
      <c r="U192" s="1224"/>
      <c r="V192" s="1224"/>
      <c r="W192" s="1224"/>
      <c r="X192" s="1225"/>
      <c r="Y192" s="1190"/>
      <c r="Z192" s="1190"/>
      <c r="AA192" s="1190"/>
      <c r="AB192" s="1241"/>
      <c r="AC192" s="1217"/>
      <c r="AD192" s="1326"/>
    </row>
    <row r="193" spans="18:30" ht="15.6">
      <c r="R193" s="1190"/>
      <c r="S193" s="1224"/>
      <c r="T193" s="1279"/>
      <c r="U193" s="1224"/>
      <c r="V193" s="1224"/>
      <c r="W193" s="1224"/>
      <c r="X193" s="1225"/>
      <c r="Y193" s="1190"/>
      <c r="Z193" s="1190"/>
      <c r="AA193" s="1190"/>
      <c r="AB193" s="1241"/>
      <c r="AC193" s="1217"/>
      <c r="AD193" s="1326"/>
    </row>
    <row r="194" spans="18:30" ht="15.6">
      <c r="R194" s="1190"/>
      <c r="S194" s="1224"/>
      <c r="T194" s="1279"/>
      <c r="U194" s="1224"/>
      <c r="V194" s="1224"/>
      <c r="W194" s="1190"/>
      <c r="X194" s="1225"/>
      <c r="Y194" s="1190"/>
      <c r="Z194" s="1190"/>
      <c r="AA194" s="1190"/>
      <c r="AB194" s="1241"/>
      <c r="AC194" s="1217"/>
      <c r="AD194" s="1326"/>
    </row>
    <row r="195" spans="18:30" s="44" customFormat="1" ht="15.6">
      <c r="R195" s="1190"/>
      <c r="S195" s="1224"/>
      <c r="T195" s="1279"/>
      <c r="U195" s="1224"/>
      <c r="V195" s="1224"/>
      <c r="W195" s="1294"/>
      <c r="X195" s="1225"/>
      <c r="Y195" s="1190"/>
      <c r="Z195" s="1190"/>
      <c r="AA195" s="1190"/>
      <c r="AB195" s="1241"/>
      <c r="AC195" s="1217"/>
      <c r="AD195" s="1326"/>
    </row>
    <row r="196" spans="18:30" s="44" customFormat="1" ht="15.6">
      <c r="R196" s="1190"/>
      <c r="S196" s="1224"/>
      <c r="T196" s="1279"/>
      <c r="U196" s="1224"/>
      <c r="V196" s="1224"/>
      <c r="W196" s="1294"/>
      <c r="X196" s="1225"/>
      <c r="Y196" s="1190"/>
      <c r="Z196" s="1190"/>
      <c r="AA196" s="1190"/>
      <c r="AB196" s="1241"/>
      <c r="AC196" s="1217"/>
      <c r="AD196" s="1326"/>
    </row>
    <row r="197" spans="18:30" s="44" customFormat="1" ht="15.6">
      <c r="R197" s="1190"/>
      <c r="S197" s="1224"/>
      <c r="T197" s="1279"/>
      <c r="U197" s="1224"/>
      <c r="V197" s="1224"/>
      <c r="W197" s="1294"/>
      <c r="X197" s="1225"/>
      <c r="Y197" s="1190"/>
      <c r="Z197" s="1190"/>
      <c r="AA197" s="1190"/>
      <c r="AB197" s="1241"/>
      <c r="AC197" s="1217"/>
      <c r="AD197" s="1326"/>
    </row>
    <row r="198" spans="18:30" s="44" customFormat="1" ht="15.6">
      <c r="R198" s="1190"/>
      <c r="S198" s="1224"/>
      <c r="T198" s="1279"/>
      <c r="U198" s="1224"/>
      <c r="V198" s="1224"/>
      <c r="W198" s="1190"/>
      <c r="X198" s="1225"/>
      <c r="Y198" s="1190"/>
      <c r="Z198" s="1190"/>
      <c r="AA198" s="1190"/>
      <c r="AB198" s="1241"/>
      <c r="AC198" s="1217"/>
      <c r="AD198" s="1326"/>
    </row>
    <row r="199" spans="18:30" s="44" customFormat="1" ht="15.6">
      <c r="R199" s="1190"/>
      <c r="S199" s="1224"/>
      <c r="T199" s="1279"/>
      <c r="U199" s="1224"/>
      <c r="V199" s="1224"/>
      <c r="W199" s="1190"/>
      <c r="X199" s="1225"/>
      <c r="Y199" s="1190"/>
      <c r="Z199" s="1190"/>
      <c r="AA199" s="1190"/>
      <c r="AB199" s="1241"/>
      <c r="AC199" s="1217"/>
      <c r="AD199" s="1326"/>
    </row>
    <row r="200" spans="18:30" s="44" customFormat="1" ht="15.6">
      <c r="R200" s="1190"/>
      <c r="S200" s="1224"/>
      <c r="T200" s="1279"/>
      <c r="U200" s="1224"/>
      <c r="V200" s="1224"/>
      <c r="W200" s="1294"/>
      <c r="X200" s="1225"/>
      <c r="Y200" s="1190"/>
      <c r="Z200" s="1190"/>
      <c r="AA200" s="1190"/>
      <c r="AB200" s="1241"/>
      <c r="AC200" s="1217"/>
      <c r="AD200" s="1326"/>
    </row>
    <row r="201" spans="18:30" s="44" customFormat="1" ht="15.6">
      <c r="R201" s="1190"/>
      <c r="S201" s="1224"/>
      <c r="T201" s="1279"/>
      <c r="U201" s="1224"/>
      <c r="V201" s="1224"/>
      <c r="W201" s="1294"/>
      <c r="X201" s="1225"/>
      <c r="Y201" s="1190"/>
      <c r="Z201" s="1190"/>
      <c r="AA201" s="1190"/>
      <c r="AB201" s="1241"/>
      <c r="AC201" s="1217"/>
      <c r="AD201" s="1326"/>
    </row>
    <row r="202" spans="18:30" s="44" customFormat="1" ht="15.6">
      <c r="R202" s="1190"/>
      <c r="S202" s="1224"/>
      <c r="T202" s="1279"/>
      <c r="U202" s="1224"/>
      <c r="V202" s="1224"/>
      <c r="W202" s="1294"/>
      <c r="X202" s="1225"/>
      <c r="Y202" s="1190"/>
      <c r="Z202" s="1190"/>
      <c r="AA202" s="1190"/>
      <c r="AB202" s="1241"/>
      <c r="AC202" s="1217"/>
      <c r="AD202" s="1326"/>
    </row>
    <row r="203" spans="18:30" ht="15.6">
      <c r="R203" s="1190"/>
      <c r="S203" s="1224"/>
      <c r="T203" s="1279"/>
      <c r="U203" s="1224"/>
      <c r="V203" s="1224"/>
      <c r="W203" s="1294"/>
      <c r="X203" s="1225"/>
      <c r="Y203" s="1190"/>
      <c r="Z203" s="1190"/>
      <c r="AA203" s="1190"/>
      <c r="AB203" s="1241"/>
      <c r="AC203" s="1217"/>
      <c r="AD203" s="1326"/>
    </row>
    <row r="204" spans="18:30" ht="15.6">
      <c r="R204" s="1190"/>
      <c r="S204" s="1224"/>
      <c r="T204" s="1279"/>
      <c r="U204" s="1224"/>
      <c r="V204" s="1224"/>
      <c r="W204" s="1294"/>
      <c r="X204" s="1225"/>
      <c r="Y204" s="1190"/>
      <c r="Z204" s="1190"/>
      <c r="AA204" s="1190"/>
      <c r="AB204" s="1241"/>
      <c r="AC204" s="1217"/>
      <c r="AD204" s="1326"/>
    </row>
    <row r="205" spans="18:30" ht="15.6">
      <c r="R205" s="1190"/>
      <c r="S205" s="1224"/>
      <c r="T205" s="1279"/>
      <c r="U205" s="1224"/>
      <c r="V205" s="1224"/>
      <c r="W205" s="1294"/>
      <c r="X205" s="1225"/>
      <c r="Y205" s="1190"/>
      <c r="Z205" s="1190"/>
      <c r="AA205" s="1190"/>
      <c r="AB205" s="1241"/>
      <c r="AC205" s="1217"/>
      <c r="AD205" s="1326"/>
    </row>
    <row r="206" spans="18:30" ht="15.6">
      <c r="R206" s="1190"/>
      <c r="S206" s="1224"/>
      <c r="T206" s="1279"/>
      <c r="U206" s="1224"/>
      <c r="V206" s="1224"/>
      <c r="W206" s="1294"/>
      <c r="X206" s="1225"/>
      <c r="Y206" s="1190"/>
      <c r="Z206" s="1190"/>
      <c r="AA206" s="1190"/>
      <c r="AB206" s="1241"/>
      <c r="AC206" s="1217"/>
      <c r="AD206" s="1326"/>
    </row>
    <row r="207" spans="18:30" ht="15.6">
      <c r="R207" s="1190"/>
      <c r="S207" s="1224"/>
      <c r="T207" s="1279"/>
      <c r="U207" s="1224"/>
      <c r="V207" s="1224"/>
      <c r="W207" s="1294"/>
      <c r="X207" s="1225"/>
      <c r="Y207" s="1190"/>
      <c r="Z207" s="1190"/>
      <c r="AA207" s="1190"/>
      <c r="AB207" s="1241"/>
      <c r="AC207" s="1217"/>
      <c r="AD207" s="1326"/>
    </row>
    <row r="208" spans="18:30" ht="15.6">
      <c r="R208" s="1190"/>
      <c r="S208" s="1224"/>
      <c r="T208" s="1279"/>
      <c r="U208" s="1224"/>
      <c r="V208" s="1224"/>
      <c r="W208" s="1294"/>
      <c r="X208" s="1225"/>
      <c r="Y208" s="1190"/>
      <c r="Z208" s="1190"/>
      <c r="AA208" s="1190"/>
      <c r="AB208" s="1241"/>
      <c r="AC208" s="1217"/>
      <c r="AD208" s="1326"/>
    </row>
    <row r="209" spans="18:30" ht="15.6">
      <c r="R209" s="1190"/>
      <c r="S209" s="1224"/>
      <c r="T209" s="1279"/>
      <c r="U209" s="1224"/>
      <c r="V209" s="1224"/>
      <c r="W209" s="1294"/>
      <c r="X209" s="1225"/>
      <c r="Y209" s="1190"/>
      <c r="Z209" s="1190"/>
      <c r="AA209" s="1190"/>
      <c r="AB209" s="1241"/>
      <c r="AC209" s="1217"/>
      <c r="AD209" s="1326"/>
    </row>
    <row r="210" spans="18:30" ht="15.6">
      <c r="R210" s="1190"/>
      <c r="S210" s="1224"/>
      <c r="T210" s="1279"/>
      <c r="U210" s="1224"/>
      <c r="V210" s="1224"/>
      <c r="W210" s="1294"/>
      <c r="X210" s="1225"/>
      <c r="Y210" s="1190"/>
      <c r="Z210" s="1190"/>
      <c r="AA210" s="1190"/>
      <c r="AB210" s="1241"/>
      <c r="AC210" s="1217"/>
      <c r="AD210" s="1326"/>
    </row>
    <row r="211" spans="18:30" ht="15.6">
      <c r="R211" s="1190"/>
      <c r="S211" s="1294"/>
      <c r="T211" s="1293"/>
      <c r="U211" s="1190"/>
      <c r="V211" s="1217"/>
      <c r="W211" s="1190"/>
      <c r="X211" s="1191"/>
      <c r="Y211" s="1190"/>
      <c r="Z211" s="1190"/>
      <c r="AA211" s="1190"/>
      <c r="AB211" s="1241"/>
      <c r="AC211" s="1217"/>
      <c r="AD211" s="1326"/>
    </row>
    <row r="212" spans="18:30" ht="15.6">
      <c r="R212" s="1190"/>
      <c r="S212" s="1294"/>
      <c r="T212" s="1293"/>
      <c r="U212" s="1190"/>
      <c r="V212" s="1217"/>
      <c r="W212" s="1190"/>
      <c r="X212" s="1191"/>
      <c r="Y212" s="1190"/>
      <c r="Z212" s="1190"/>
      <c r="AA212" s="1190"/>
      <c r="AB212" s="1241"/>
      <c r="AC212" s="1217"/>
      <c r="AD212" s="1326"/>
    </row>
    <row r="213" spans="18:30" ht="15.6">
      <c r="R213" s="1190"/>
      <c r="S213" s="1294"/>
      <c r="T213" s="1293"/>
      <c r="U213" s="1190"/>
      <c r="V213" s="1217"/>
      <c r="W213" s="1190"/>
      <c r="X213" s="1191"/>
      <c r="Y213" s="1190"/>
      <c r="Z213" s="1190"/>
      <c r="AA213" s="1190"/>
      <c r="AB213" s="1200"/>
      <c r="AC213" s="1217"/>
      <c r="AD213" s="1326"/>
    </row>
    <row r="214" spans="18:30" ht="15.6">
      <c r="R214" s="1190"/>
      <c r="S214" s="1190"/>
      <c r="T214" s="1293"/>
      <c r="U214" s="1190"/>
      <c r="V214" s="1190"/>
      <c r="W214" s="1190"/>
      <c r="X214" s="1191"/>
      <c r="Y214" s="1190"/>
      <c r="Z214" s="1190"/>
      <c r="AA214" s="1190"/>
      <c r="AB214" s="1200"/>
      <c r="AC214" s="1217"/>
      <c r="AD214" s="1326"/>
    </row>
    <row r="215" spans="18:30" ht="15.6">
      <c r="R215" s="1190"/>
      <c r="S215" s="1190"/>
      <c r="T215" s="1293"/>
      <c r="U215" s="1190"/>
      <c r="V215" s="1190"/>
      <c r="W215" s="1190"/>
      <c r="X215" s="1191"/>
      <c r="Y215" s="1190"/>
      <c r="Z215" s="1190"/>
      <c r="AA215" s="1190"/>
      <c r="AB215" s="1200"/>
      <c r="AC215" s="1217"/>
      <c r="AD215" s="1326"/>
    </row>
    <row r="216" spans="18:30" ht="15.6">
      <c r="R216" s="1190"/>
      <c r="S216" s="1190"/>
      <c r="T216" s="1293"/>
      <c r="U216" s="1190"/>
      <c r="V216" s="1190"/>
      <c r="W216" s="1190"/>
      <c r="X216" s="1191"/>
      <c r="Y216" s="1190"/>
      <c r="Z216" s="1190"/>
      <c r="AA216" s="1190"/>
      <c r="AB216" s="1200"/>
      <c r="AC216" s="1217"/>
      <c r="AD216" s="1326"/>
    </row>
    <row r="217" spans="18:30" ht="15.6">
      <c r="R217" s="1190"/>
      <c r="S217" s="1190"/>
      <c r="T217" s="1293"/>
      <c r="U217" s="1190"/>
      <c r="V217" s="1190"/>
      <c r="W217" s="1190"/>
      <c r="X217" s="1191"/>
      <c r="Y217" s="1190"/>
      <c r="Z217" s="1190"/>
      <c r="AA217" s="1190"/>
      <c r="AB217" s="1200"/>
      <c r="AC217" s="1217"/>
      <c r="AD217" s="1326"/>
    </row>
    <row r="218" spans="18:30" ht="15.6">
      <c r="R218" s="1190"/>
      <c r="S218" s="1190"/>
      <c r="T218" s="1293"/>
      <c r="U218" s="1190"/>
      <c r="V218" s="1190"/>
      <c r="W218" s="1190"/>
      <c r="X218" s="1191"/>
      <c r="Y218" s="1190"/>
      <c r="Z218" s="1190"/>
      <c r="AA218" s="1190"/>
      <c r="AB218" s="1200"/>
      <c r="AC218" s="1217"/>
      <c r="AD218" s="1326"/>
    </row>
    <row r="219" spans="18:30" ht="15.6">
      <c r="R219" s="1190"/>
      <c r="S219" s="1190"/>
      <c r="T219" s="1293"/>
      <c r="U219" s="1190"/>
      <c r="V219" s="1190"/>
      <c r="W219" s="1190"/>
      <c r="X219" s="1191"/>
      <c r="Y219" s="1190"/>
      <c r="Z219" s="1190"/>
      <c r="AA219" s="1190"/>
      <c r="AB219" s="1200"/>
      <c r="AC219" s="1217"/>
      <c r="AD219" s="1326"/>
    </row>
    <row r="220" spans="18:30" ht="15.6">
      <c r="R220" s="1190"/>
      <c r="S220" s="1190"/>
      <c r="T220" s="1293"/>
      <c r="U220" s="1190"/>
      <c r="V220" s="1190"/>
      <c r="W220" s="1190"/>
      <c r="X220" s="1191"/>
      <c r="Y220" s="1190"/>
      <c r="Z220" s="1190"/>
      <c r="AA220" s="1190"/>
      <c r="AB220" s="1200"/>
      <c r="AC220" s="1217"/>
      <c r="AD220" s="1326"/>
    </row>
    <row r="221" spans="18:30" ht="15.6">
      <c r="R221" s="1190"/>
      <c r="S221" s="1190"/>
      <c r="T221" s="1190"/>
      <c r="U221" s="1190"/>
      <c r="V221" s="1190"/>
      <c r="W221" s="1190"/>
      <c r="X221" s="1191"/>
      <c r="Y221" s="1190"/>
      <c r="Z221" s="1190"/>
      <c r="AA221" s="1190"/>
      <c r="AB221" s="1200"/>
      <c r="AC221" s="1217"/>
      <c r="AD221" s="1326"/>
    </row>
    <row r="222" spans="18:30" ht="15.6">
      <c r="R222" s="1190"/>
      <c r="S222" s="1190"/>
      <c r="T222" s="1293"/>
      <c r="U222" s="1190"/>
      <c r="V222" s="1190"/>
      <c r="W222" s="1190"/>
      <c r="X222" s="1191"/>
      <c r="Y222" s="1190"/>
      <c r="Z222" s="1190"/>
      <c r="AA222" s="1190"/>
      <c r="AB222" s="1200"/>
      <c r="AC222" s="1217"/>
      <c r="AD222" s="1326"/>
    </row>
    <row r="223" spans="18:30" ht="15.6">
      <c r="R223" s="1190"/>
      <c r="S223" s="1190"/>
      <c r="T223" s="1293"/>
      <c r="U223" s="1190"/>
      <c r="V223" s="1190"/>
      <c r="W223" s="1190"/>
      <c r="X223" s="1191"/>
      <c r="Y223" s="1190"/>
      <c r="Z223" s="1190"/>
      <c r="AA223" s="1190"/>
      <c r="AB223" s="1200"/>
      <c r="AC223" s="1217"/>
      <c r="AD223" s="1326"/>
    </row>
    <row r="224" spans="18:30" ht="15.6">
      <c r="R224" s="1190"/>
      <c r="S224" s="1190"/>
      <c r="T224" s="1293"/>
      <c r="U224" s="1190"/>
      <c r="V224" s="1190"/>
      <c r="W224" s="1190"/>
      <c r="X224" s="1191"/>
      <c r="Y224" s="1190"/>
      <c r="Z224" s="1190"/>
      <c r="AA224" s="1190"/>
      <c r="AB224" s="1200"/>
      <c r="AC224" s="1217"/>
      <c r="AD224" s="1326"/>
    </row>
    <row r="225" spans="18:30">
      <c r="R225" s="1190"/>
      <c r="S225" s="1190"/>
      <c r="T225" s="1293"/>
      <c r="U225" s="1190"/>
      <c r="V225" s="1190"/>
      <c r="W225" s="1190"/>
      <c r="X225" s="1191"/>
      <c r="Y225" s="1190"/>
      <c r="Z225" s="1190"/>
      <c r="AA225" s="1190"/>
      <c r="AB225" s="1190"/>
      <c r="AC225" s="1217"/>
      <c r="AD225" s="1326"/>
    </row>
    <row r="226" spans="18:30" ht="15.6">
      <c r="R226" s="1190"/>
      <c r="S226" s="1190"/>
      <c r="T226" s="1224"/>
      <c r="U226" s="1190"/>
      <c r="V226" s="1190"/>
      <c r="W226" s="1190"/>
      <c r="X226" s="1191"/>
      <c r="Y226" s="1190"/>
      <c r="Z226" s="1217"/>
      <c r="AA226" s="1217"/>
      <c r="AB226" s="1218"/>
      <c r="AC226" s="1190"/>
      <c r="AD226" s="1326"/>
    </row>
    <row r="227" spans="18:30" ht="15.6">
      <c r="R227" s="1190"/>
      <c r="S227" s="1190"/>
      <c r="T227" s="1190"/>
      <c r="U227" s="1190"/>
      <c r="V227" s="1190"/>
      <c r="W227" s="1190"/>
      <c r="X227" s="1191"/>
      <c r="Y227" s="1190"/>
      <c r="Z227" s="1217"/>
      <c r="AA227" s="1217"/>
      <c r="AB227" s="1218"/>
      <c r="AC227" s="1190"/>
      <c r="AD227" s="1326"/>
    </row>
    <row r="228" spans="18:30" ht="15.6">
      <c r="R228" s="1190"/>
      <c r="S228" s="1190"/>
      <c r="T228" s="1190"/>
      <c r="U228" s="1190"/>
      <c r="V228" s="1190"/>
      <c r="W228" s="1190"/>
      <c r="X228" s="1191"/>
      <c r="Y228" s="1190"/>
      <c r="Z228" s="1217"/>
      <c r="AA228" s="1217"/>
      <c r="AB228" s="1218"/>
      <c r="AC228" s="1190"/>
      <c r="AD228" s="1326"/>
    </row>
    <row r="229" spans="18:30" ht="15.6">
      <c r="R229" s="1190"/>
      <c r="S229" s="1190"/>
      <c r="T229" s="1217"/>
      <c r="U229" s="1190"/>
      <c r="V229" s="1190"/>
      <c r="W229" s="1190"/>
      <c r="X229" s="1191"/>
      <c r="Y229" s="1190"/>
      <c r="Z229" s="1217"/>
      <c r="AA229" s="1217"/>
      <c r="AB229" s="1218"/>
      <c r="AC229" s="1190"/>
      <c r="AD229" s="1326"/>
    </row>
    <row r="230" spans="18:30" ht="15.6">
      <c r="R230" s="1190"/>
      <c r="S230" s="1190"/>
      <c r="T230" s="1217"/>
      <c r="U230" s="1190"/>
      <c r="V230" s="1190"/>
      <c r="W230" s="1190"/>
      <c r="X230" s="1191"/>
      <c r="Y230" s="1190"/>
      <c r="Z230" s="1217"/>
      <c r="AA230" s="1217"/>
      <c r="AB230" s="1218"/>
      <c r="AC230" s="1190"/>
      <c r="AD230" s="1326"/>
    </row>
    <row r="231" spans="18:30" ht="15.6">
      <c r="R231" s="1190"/>
      <c r="S231" s="1190"/>
      <c r="T231" s="1217"/>
      <c r="U231" s="1190"/>
      <c r="V231" s="1190"/>
      <c r="W231" s="1190"/>
      <c r="X231" s="1191"/>
      <c r="Y231" s="1190"/>
      <c r="Z231" s="1217"/>
      <c r="AA231" s="1217"/>
      <c r="AB231" s="1218"/>
      <c r="AC231" s="1190"/>
      <c r="AD231" s="1326"/>
    </row>
    <row r="232" spans="18:30" ht="15.6">
      <c r="R232" s="1190"/>
      <c r="S232" s="1190"/>
      <c r="T232" s="1217"/>
      <c r="U232" s="1190"/>
      <c r="V232" s="1190"/>
      <c r="W232" s="1190"/>
      <c r="X232" s="1191"/>
      <c r="Y232" s="1190"/>
      <c r="Z232" s="1217"/>
      <c r="AA232" s="1217"/>
      <c r="AB232" s="1218"/>
      <c r="AC232" s="1190"/>
      <c r="AD232" s="1326"/>
    </row>
    <row r="233" spans="18:30" ht="15.6">
      <c r="R233" s="1190"/>
      <c r="S233" s="1190"/>
      <c r="T233" s="1217"/>
      <c r="U233" s="1190"/>
      <c r="V233" s="1190"/>
      <c r="W233" s="1190"/>
      <c r="X233" s="1191"/>
      <c r="Y233" s="1190"/>
      <c r="Z233" s="1217"/>
      <c r="AA233" s="1217"/>
      <c r="AB233" s="1218"/>
      <c r="AC233" s="1190"/>
      <c r="AD233" s="1326"/>
    </row>
    <row r="234" spans="18:30" ht="15.6">
      <c r="R234" s="81"/>
      <c r="S234" s="81"/>
      <c r="T234" s="81"/>
      <c r="U234" s="81"/>
      <c r="V234" s="1190"/>
      <c r="W234" s="1190"/>
      <c r="X234" s="191"/>
      <c r="Y234" s="81"/>
      <c r="Z234" s="1217"/>
      <c r="AA234" s="1217"/>
      <c r="AB234" s="1218"/>
      <c r="AC234" s="1190"/>
      <c r="AD234" s="1326"/>
    </row>
    <row r="235" spans="18:30" ht="15.6">
      <c r="R235" s="81"/>
      <c r="S235" s="81"/>
      <c r="T235" s="81"/>
      <c r="U235" s="81"/>
      <c r="V235" s="1190"/>
      <c r="W235" s="1190"/>
      <c r="X235" s="1325"/>
      <c r="Y235" s="1190"/>
      <c r="Z235" s="1190"/>
      <c r="AA235" s="1190"/>
      <c r="AB235" s="1218"/>
      <c r="AC235" s="1190"/>
      <c r="AD235" s="1326"/>
    </row>
    <row r="236" spans="18:30" ht="15.6">
      <c r="R236" s="1190"/>
      <c r="S236" s="1190"/>
      <c r="T236" s="1217"/>
      <c r="U236" s="1190"/>
      <c r="V236" s="1190"/>
      <c r="W236" s="1190"/>
      <c r="X236" s="1325"/>
      <c r="Y236" s="1190"/>
      <c r="Z236" s="1190"/>
      <c r="AA236" s="1190"/>
      <c r="AB236" s="1218"/>
      <c r="AC236" s="1190"/>
      <c r="AD236" s="1326"/>
    </row>
    <row r="237" spans="18:30" ht="15.6">
      <c r="R237" s="1190"/>
      <c r="S237" s="1190"/>
      <c r="T237" s="1190"/>
      <c r="U237" s="1190"/>
      <c r="V237" s="1190"/>
      <c r="W237" s="1190"/>
      <c r="X237" s="1190"/>
      <c r="Y237" s="1190"/>
      <c r="Z237" s="1190"/>
      <c r="AA237" s="1190"/>
      <c r="AB237" s="1218"/>
      <c r="AC237" s="1190"/>
      <c r="AD237" s="1326"/>
    </row>
    <row r="238" spans="18:30" ht="15.6">
      <c r="R238" s="1190"/>
      <c r="S238" s="1190"/>
      <c r="T238" s="1217"/>
      <c r="U238" s="1190"/>
      <c r="V238" s="1190"/>
      <c r="W238" s="1190"/>
      <c r="X238" s="1191"/>
      <c r="Y238" s="1190"/>
      <c r="Z238" s="1217"/>
      <c r="AA238" s="1217"/>
      <c r="AB238" s="1218"/>
      <c r="AC238" s="1190"/>
      <c r="AD238" s="1326"/>
    </row>
    <row r="239" spans="18:30" ht="15.6">
      <c r="R239" s="1330"/>
      <c r="S239" s="1331"/>
      <c r="T239" s="1332"/>
      <c r="U239" s="1331"/>
      <c r="V239" s="1331"/>
      <c r="W239" s="1331"/>
      <c r="X239" s="1333"/>
      <c r="Y239" s="1331"/>
      <c r="Z239" s="1332"/>
      <c r="AA239" s="1332"/>
      <c r="AB239" s="1334"/>
      <c r="AC239" s="1335"/>
      <c r="AD239" s="81"/>
    </row>
    <row r="240" spans="18:30" ht="15.6">
      <c r="R240" s="1189"/>
      <c r="S240" s="1190"/>
      <c r="T240" s="1217"/>
      <c r="U240" s="1190"/>
      <c r="V240" s="1190"/>
      <c r="W240" s="1190"/>
      <c r="X240" s="1191"/>
      <c r="Y240" s="1190"/>
      <c r="Z240" s="1217"/>
      <c r="AA240" s="1217"/>
      <c r="AB240" s="1218"/>
      <c r="AC240" s="1192"/>
      <c r="AD240" s="81"/>
    </row>
    <row r="241" spans="18:30" ht="15.6">
      <c r="R241" s="1189"/>
      <c r="S241" s="1190"/>
      <c r="T241" s="1217"/>
      <c r="U241" s="1190"/>
      <c r="V241" s="1190"/>
      <c r="W241" s="1190"/>
      <c r="X241" s="1191"/>
      <c r="Y241" s="1190"/>
      <c r="Z241" s="1217"/>
      <c r="AA241" s="1217"/>
      <c r="AB241" s="1218"/>
      <c r="AC241" s="1192"/>
      <c r="AD241" s="81"/>
    </row>
    <row r="242" spans="18:30" ht="15.6">
      <c r="R242" s="1189"/>
      <c r="S242" s="1190"/>
      <c r="T242" s="1190"/>
      <c r="U242" s="1190"/>
      <c r="V242" s="1190"/>
      <c r="W242" s="1190"/>
      <c r="X242" s="1191"/>
      <c r="Y242" s="1190"/>
      <c r="Z242" s="1217"/>
      <c r="AA242" s="1217"/>
      <c r="AB242" s="1218"/>
      <c r="AC242" s="1192"/>
      <c r="AD242" s="81"/>
    </row>
    <row r="243" spans="18:30" ht="15.6">
      <c r="R243" s="1189"/>
      <c r="S243" s="1190"/>
      <c r="T243" s="1217"/>
      <c r="U243" s="1190"/>
      <c r="V243" s="1190"/>
      <c r="W243" s="1190"/>
      <c r="X243" s="1191"/>
      <c r="Y243" s="1190"/>
      <c r="Z243" s="1217"/>
      <c r="AA243" s="1217"/>
      <c r="AB243" s="1218"/>
      <c r="AC243" s="1192"/>
      <c r="AD243" s="81"/>
    </row>
    <row r="244" spans="18:30" ht="15.6">
      <c r="R244" s="1189"/>
      <c r="S244" s="1190"/>
      <c r="T244" s="1217"/>
      <c r="U244" s="1190"/>
      <c r="V244" s="1190"/>
      <c r="W244" s="1190"/>
      <c r="X244" s="1191"/>
      <c r="Y244" s="1190"/>
      <c r="Z244" s="1217"/>
      <c r="AA244" s="1217"/>
      <c r="AB244" s="1218"/>
      <c r="AC244" s="1192"/>
      <c r="AD244" s="81"/>
    </row>
    <row r="245" spans="18:30" ht="15.6">
      <c r="R245" s="1189"/>
      <c r="S245" s="1190"/>
      <c r="T245" s="1190"/>
      <c r="U245" s="1190"/>
      <c r="V245" s="1190"/>
      <c r="W245" s="1190"/>
      <c r="X245" s="1191"/>
      <c r="Y245" s="1190"/>
      <c r="Z245" s="1217"/>
      <c r="AA245" s="1217"/>
      <c r="AB245" s="1218"/>
      <c r="AC245" s="1192"/>
      <c r="AD245" s="81"/>
    </row>
    <row r="246" spans="18:30" ht="15.6">
      <c r="R246" s="1189"/>
      <c r="S246" s="1190"/>
      <c r="T246" s="1217"/>
      <c r="U246" s="1190"/>
      <c r="V246" s="1190"/>
      <c r="W246" s="1190"/>
      <c r="X246" s="1191"/>
      <c r="Y246" s="1190"/>
      <c r="Z246" s="1217"/>
      <c r="AA246" s="1217"/>
      <c r="AB246" s="1218"/>
      <c r="AC246" s="1192"/>
      <c r="AD246" s="81"/>
    </row>
    <row r="247" spans="18:30" ht="15.6">
      <c r="R247" s="1189"/>
      <c r="S247" s="1190"/>
      <c r="T247" s="1217"/>
      <c r="U247" s="1190"/>
      <c r="V247" s="1190"/>
      <c r="W247" s="1190"/>
      <c r="X247" s="1191"/>
      <c r="Y247" s="1190"/>
      <c r="Z247" s="1217"/>
      <c r="AA247" s="1217"/>
      <c r="AB247" s="1218"/>
      <c r="AC247" s="1192"/>
      <c r="AD247" s="81"/>
    </row>
    <row r="248" spans="18:30" ht="15.6">
      <c r="R248" s="1189"/>
      <c r="S248" s="1190"/>
      <c r="T248" s="1217"/>
      <c r="U248" s="1190"/>
      <c r="V248" s="1190"/>
      <c r="W248" s="1190"/>
      <c r="X248" s="1191"/>
      <c r="Y248" s="1190"/>
      <c r="Z248" s="1217"/>
      <c r="AA248" s="1217"/>
      <c r="AB248" s="1218"/>
      <c r="AC248" s="1192"/>
      <c r="AD248" s="81"/>
    </row>
    <row r="249" spans="18:30" ht="15.6">
      <c r="R249" s="1189"/>
      <c r="S249" s="1190"/>
      <c r="T249" s="1217"/>
      <c r="U249" s="1190"/>
      <c r="V249" s="1190"/>
      <c r="W249" s="1190"/>
      <c r="X249" s="1191"/>
      <c r="Y249" s="1190"/>
      <c r="Z249" s="1217"/>
      <c r="AA249" s="1217"/>
      <c r="AB249" s="1218"/>
      <c r="AC249" s="1192"/>
      <c r="AD249" s="81"/>
    </row>
    <row r="250" spans="18:30" ht="15.6">
      <c r="R250" s="1189"/>
      <c r="S250" s="1190"/>
      <c r="T250" s="1190"/>
      <c r="U250" s="1190"/>
      <c r="V250" s="1190"/>
      <c r="W250" s="1190"/>
      <c r="X250" s="1191"/>
      <c r="Y250" s="1190"/>
      <c r="Z250" s="1217"/>
      <c r="AA250" s="1217"/>
      <c r="AB250" s="1218"/>
      <c r="AC250" s="1192"/>
      <c r="AD250" s="81"/>
    </row>
    <row r="251" spans="18:30" ht="15.6">
      <c r="R251" s="1189"/>
      <c r="S251" s="1190"/>
      <c r="T251" s="1190"/>
      <c r="U251" s="1190"/>
      <c r="V251" s="1190"/>
      <c r="W251" s="1190"/>
      <c r="X251" s="1191"/>
      <c r="Y251" s="1190"/>
      <c r="Z251" s="1217"/>
      <c r="AA251" s="1217"/>
      <c r="AB251" s="1218"/>
      <c r="AC251" s="1192"/>
      <c r="AD251" s="81"/>
    </row>
    <row r="252" spans="18:30" ht="15.6">
      <c r="R252" s="1189"/>
      <c r="S252" s="1190"/>
      <c r="T252" s="1190"/>
      <c r="U252" s="1190"/>
      <c r="V252" s="1190"/>
      <c r="W252" s="1190"/>
      <c r="X252" s="1191"/>
      <c r="Y252" s="1190"/>
      <c r="Z252" s="1217"/>
      <c r="AA252" s="1217"/>
      <c r="AB252" s="1218"/>
      <c r="AC252" s="1192"/>
      <c r="AD252" s="81"/>
    </row>
    <row r="253" spans="18:30" ht="15.6">
      <c r="R253" s="1189"/>
      <c r="S253" s="1190"/>
      <c r="T253" s="1217"/>
      <c r="U253" s="1190"/>
      <c r="V253" s="1190"/>
      <c r="W253" s="1190"/>
      <c r="X253" s="1191"/>
      <c r="Y253" s="1190"/>
      <c r="Z253" s="1217"/>
      <c r="AA253" s="1217"/>
      <c r="AB253" s="1218"/>
      <c r="AC253" s="1192"/>
      <c r="AD253" s="81"/>
    </row>
    <row r="254" spans="18:30" ht="15.6">
      <c r="R254" s="1189"/>
      <c r="S254" s="1190"/>
      <c r="T254" s="1217"/>
      <c r="U254" s="1190"/>
      <c r="V254" s="1190"/>
      <c r="W254" s="1190"/>
      <c r="X254" s="1191"/>
      <c r="Y254" s="1190"/>
      <c r="Z254" s="1217"/>
      <c r="AA254" s="1217"/>
      <c r="AB254" s="1218"/>
      <c r="AC254" s="1192"/>
      <c r="AD254" s="81"/>
    </row>
    <row r="255" spans="18:30" ht="15.6">
      <c r="R255" s="1189"/>
      <c r="S255" s="1190"/>
      <c r="T255" s="1190"/>
      <c r="U255" s="1190"/>
      <c r="V255" s="1190"/>
      <c r="W255" s="1190"/>
      <c r="X255" s="1191"/>
      <c r="Y255" s="1190"/>
      <c r="Z255" s="1217"/>
      <c r="AA255" s="1217"/>
      <c r="AB255" s="1218"/>
      <c r="AC255" s="1192"/>
      <c r="AD255" s="81"/>
    </row>
    <row r="256" spans="18:30" ht="15.6">
      <c r="R256" s="1189"/>
      <c r="S256" s="1190"/>
      <c r="T256" s="1190"/>
      <c r="U256" s="1190"/>
      <c r="V256" s="1190"/>
      <c r="W256" s="1190"/>
      <c r="X256" s="1191"/>
      <c r="Y256" s="1190"/>
      <c r="Z256" s="1217"/>
      <c r="AA256" s="1217"/>
      <c r="AB256" s="1218"/>
      <c r="AC256" s="1192"/>
      <c r="AD256" s="81"/>
    </row>
    <row r="257" spans="18:30" ht="15.6">
      <c r="R257" s="1189"/>
      <c r="S257" s="1190"/>
      <c r="T257" s="1111"/>
      <c r="U257" s="1190"/>
      <c r="V257" s="1190"/>
      <c r="W257" s="1190"/>
      <c r="X257" s="1191"/>
      <c r="Y257" s="1190"/>
      <c r="Z257" s="1106"/>
      <c r="AA257" s="1106"/>
      <c r="AB257" s="1110"/>
      <c r="AC257" s="1192"/>
      <c r="AD257" s="81"/>
    </row>
    <row r="258" spans="18:30" ht="15.6">
      <c r="R258" s="1189"/>
      <c r="S258" s="1190"/>
      <c r="T258" s="1111"/>
      <c r="U258" s="1190"/>
      <c r="V258" s="1190"/>
      <c r="W258" s="1190"/>
      <c r="X258" s="1191"/>
      <c r="Y258" s="1190"/>
      <c r="Z258" s="1190"/>
      <c r="AA258" s="1190"/>
      <c r="AB258" s="1110"/>
      <c r="AC258" s="1192"/>
      <c r="AD258" s="81"/>
    </row>
    <row r="259" spans="18:30">
      <c r="R259" s="1189"/>
      <c r="S259" s="1190"/>
      <c r="T259" s="1106"/>
      <c r="U259" s="1190"/>
      <c r="V259" s="1190"/>
      <c r="W259" s="1190"/>
      <c r="X259" s="1191"/>
      <c r="Y259" s="1190"/>
      <c r="Z259" s="1190"/>
      <c r="AA259" s="1190"/>
      <c r="AB259" s="1190"/>
      <c r="AC259" s="1192"/>
      <c r="AD259" s="81"/>
    </row>
    <row r="260" spans="18:30">
      <c r="R260" s="1189"/>
      <c r="S260" s="1190"/>
      <c r="T260" s="1190"/>
      <c r="U260" s="1190"/>
      <c r="V260" s="1190"/>
      <c r="W260" s="1190"/>
      <c r="X260" s="1191"/>
      <c r="Y260" s="1190"/>
      <c r="Z260" s="1190"/>
      <c r="AA260" s="1190"/>
      <c r="AB260" s="1190"/>
      <c r="AC260" s="1192"/>
      <c r="AD260" s="81"/>
    </row>
    <row r="261" spans="18:30">
      <c r="R261" s="1189"/>
      <c r="S261" s="1190"/>
      <c r="T261" s="1190"/>
      <c r="U261" s="1190"/>
      <c r="V261" s="1190"/>
      <c r="W261" s="1190"/>
      <c r="X261" s="1191"/>
      <c r="Y261" s="1190"/>
      <c r="Z261" s="1190"/>
      <c r="AA261" s="1190"/>
      <c r="AB261" s="1190"/>
      <c r="AC261" s="1192"/>
      <c r="AD261" s="81"/>
    </row>
    <row r="262" spans="18:30">
      <c r="R262" s="1189"/>
      <c r="S262" s="1190"/>
      <c r="T262" s="1106"/>
      <c r="U262" s="1190"/>
      <c r="V262" s="1190"/>
      <c r="W262" s="1190"/>
      <c r="X262" s="1191"/>
      <c r="Y262" s="1190"/>
      <c r="Z262" s="1190"/>
      <c r="AA262" s="1190"/>
      <c r="AB262" s="1190"/>
      <c r="AC262" s="1192"/>
      <c r="AD262" s="81"/>
    </row>
    <row r="263" spans="18:30">
      <c r="R263" s="1189"/>
      <c r="S263" s="1190"/>
      <c r="T263" s="1106"/>
      <c r="U263" s="1190"/>
      <c r="V263" s="1190"/>
      <c r="W263" s="1190"/>
      <c r="X263" s="1191"/>
      <c r="Y263" s="1190"/>
      <c r="Z263" s="1190"/>
      <c r="AA263" s="1190"/>
      <c r="AB263" s="1190"/>
      <c r="AC263" s="1192"/>
      <c r="AD263" s="26"/>
    </row>
    <row r="264" spans="18:30">
      <c r="R264" s="1189"/>
      <c r="S264" s="1190"/>
      <c r="T264" s="1111"/>
      <c r="U264" s="1190"/>
      <c r="V264" s="1190"/>
      <c r="W264" s="1190"/>
      <c r="X264" s="1191"/>
      <c r="Y264" s="1190"/>
      <c r="Z264" s="1190"/>
      <c r="AA264" s="1190"/>
      <c r="AB264" s="1190"/>
      <c r="AC264" s="1192"/>
      <c r="AD264" s="26"/>
    </row>
    <row r="265" spans="18:30">
      <c r="R265" s="1189"/>
      <c r="S265" s="1190"/>
      <c r="T265" s="1106"/>
      <c r="U265" s="1190"/>
      <c r="V265" s="1190"/>
      <c r="W265" s="1190"/>
      <c r="X265" s="1191"/>
      <c r="Y265" s="1190"/>
      <c r="Z265" s="1190"/>
      <c r="AA265" s="1190"/>
      <c r="AB265" s="1190"/>
      <c r="AC265" s="1192"/>
      <c r="AD265" s="26"/>
    </row>
    <row r="266" spans="18:30">
      <c r="R266" s="1189"/>
      <c r="S266" s="1190"/>
      <c r="T266" s="1111"/>
      <c r="U266" s="1190"/>
      <c r="V266" s="1190"/>
      <c r="W266" s="1190"/>
      <c r="X266" s="1191"/>
      <c r="Y266" s="1190"/>
      <c r="Z266" s="1190"/>
      <c r="AA266" s="1190"/>
      <c r="AB266" s="1190"/>
      <c r="AC266" s="1192"/>
      <c r="AD266" s="26"/>
    </row>
    <row r="267" spans="18:30">
      <c r="R267" s="1189"/>
      <c r="S267" s="1190"/>
      <c r="T267" s="1106"/>
      <c r="U267" s="1190"/>
      <c r="V267" s="1190"/>
      <c r="W267" s="1190"/>
      <c r="X267" s="1191"/>
      <c r="Y267" s="1190"/>
      <c r="Z267" s="1190"/>
      <c r="AA267" s="1190"/>
      <c r="AB267" s="1190"/>
      <c r="AC267" s="1192"/>
      <c r="AD267" s="26"/>
    </row>
    <row r="268" spans="18:30">
      <c r="R268" s="1189"/>
      <c r="S268" s="1190"/>
      <c r="T268" s="1106"/>
      <c r="U268" s="1190"/>
      <c r="V268" s="1190"/>
      <c r="W268" s="1190"/>
      <c r="X268" s="1191"/>
      <c r="Y268" s="1190"/>
      <c r="Z268" s="1190"/>
      <c r="AA268" s="1190"/>
      <c r="AB268" s="1190"/>
      <c r="AC268" s="1192"/>
      <c r="AD268" s="26"/>
    </row>
    <row r="269" spans="18:30">
      <c r="R269" s="1189"/>
      <c r="S269" s="1190"/>
      <c r="T269" s="1111"/>
      <c r="U269" s="1190"/>
      <c r="V269" s="1190"/>
      <c r="W269" s="1190"/>
      <c r="X269" s="1191"/>
      <c r="Y269" s="1190"/>
      <c r="Z269" s="1190"/>
      <c r="AA269" s="1190"/>
      <c r="AB269" s="1190"/>
      <c r="AC269" s="1192"/>
      <c r="AD269" s="26"/>
    </row>
    <row r="270" spans="18:30">
      <c r="R270" s="1189"/>
      <c r="S270" s="1190"/>
      <c r="T270" s="1106"/>
      <c r="U270" s="1190"/>
      <c r="V270" s="1190"/>
      <c r="W270" s="1190"/>
      <c r="X270" s="1191"/>
      <c r="Y270" s="1190"/>
      <c r="Z270" s="1190"/>
      <c r="AA270" s="1190"/>
      <c r="AB270" s="1190"/>
      <c r="AC270" s="1192"/>
      <c r="AD270" s="26"/>
    </row>
    <row r="271" spans="18:30">
      <c r="R271" s="1189"/>
      <c r="S271" s="1190"/>
      <c r="T271" s="1190"/>
      <c r="U271" s="1190"/>
      <c r="V271" s="1190"/>
      <c r="W271" s="1190"/>
      <c r="X271" s="1191"/>
      <c r="Y271" s="1190"/>
      <c r="Z271" s="1190"/>
      <c r="AA271" s="1190"/>
      <c r="AB271" s="1190"/>
      <c r="AC271" s="1192"/>
      <c r="AD271" s="26"/>
    </row>
    <row r="272" spans="18:30">
      <c r="R272" s="1189"/>
      <c r="S272" s="1190"/>
      <c r="T272" s="1106"/>
      <c r="U272" s="1190"/>
      <c r="V272" s="1190"/>
      <c r="W272" s="1190"/>
      <c r="X272" s="1191"/>
      <c r="Y272" s="1190"/>
      <c r="Z272" s="1190"/>
      <c r="AA272" s="1190"/>
      <c r="AB272" s="1190"/>
      <c r="AC272" s="1192"/>
      <c r="AD272" s="26"/>
    </row>
    <row r="273" spans="18:30">
      <c r="R273" s="1189"/>
      <c r="S273" s="1190"/>
      <c r="T273" s="1106"/>
      <c r="U273" s="1190"/>
      <c r="V273" s="1190"/>
      <c r="W273" s="1190"/>
      <c r="X273" s="1191"/>
      <c r="Y273" s="1190"/>
      <c r="Z273" s="1190"/>
      <c r="AA273" s="1190"/>
      <c r="AB273" s="1190"/>
      <c r="AC273" s="1192"/>
      <c r="AD273" s="26"/>
    </row>
    <row r="274" spans="18:30">
      <c r="R274" s="1189"/>
      <c r="S274" s="1190"/>
      <c r="T274" s="1106"/>
      <c r="U274" s="1190"/>
      <c r="V274" s="1190"/>
      <c r="W274" s="1190"/>
      <c r="X274" s="1191"/>
      <c r="Y274" s="1190"/>
      <c r="Z274" s="1190"/>
      <c r="AA274" s="1190"/>
      <c r="AB274" s="1190"/>
      <c r="AC274" s="1192"/>
      <c r="AD274" s="26"/>
    </row>
    <row r="275" spans="18:30">
      <c r="R275" s="1189"/>
      <c r="S275" s="1190"/>
      <c r="T275" s="1106"/>
      <c r="U275" s="1190"/>
      <c r="V275" s="1190"/>
      <c r="W275" s="1190"/>
      <c r="X275" s="1193"/>
      <c r="Y275" s="1190"/>
      <c r="Z275" s="1190"/>
      <c r="AA275" s="1190"/>
      <c r="AB275" s="1190"/>
      <c r="AC275" s="1192"/>
      <c r="AD275" s="26"/>
    </row>
    <row r="276" spans="18:30">
      <c r="R276" s="1189"/>
      <c r="S276" s="1190"/>
      <c r="T276" s="1111"/>
      <c r="U276" s="1190"/>
      <c r="V276" s="1190"/>
      <c r="W276" s="1190"/>
      <c r="X276" s="1191"/>
      <c r="Y276" s="1190"/>
      <c r="Z276" s="1190"/>
      <c r="AA276" s="1190"/>
      <c r="AB276" s="1190"/>
      <c r="AC276" s="1192"/>
      <c r="AD276" s="26"/>
    </row>
    <row r="277" spans="18:30">
      <c r="R277" s="1194"/>
      <c r="S277" s="1195"/>
      <c r="T277" s="1111"/>
      <c r="U277" s="1195"/>
      <c r="V277" s="1190"/>
      <c r="W277" s="1190"/>
      <c r="X277" s="1196"/>
      <c r="Y277" s="1195"/>
      <c r="Z277" s="1195"/>
      <c r="AA277" s="1195"/>
      <c r="AB277" s="1195"/>
      <c r="AC277" s="1192"/>
      <c r="AD277" s="26"/>
    </row>
    <row r="278" spans="18:30">
      <c r="R278" s="1194"/>
      <c r="S278" s="1195"/>
      <c r="T278" s="1111"/>
      <c r="U278" s="1195"/>
      <c r="V278" s="1190"/>
      <c r="W278" s="1190"/>
      <c r="X278" s="1196"/>
      <c r="Y278" s="1195"/>
      <c r="Z278" s="1195"/>
      <c r="AA278" s="1195"/>
      <c r="AB278" s="1195"/>
      <c r="AC278" s="1192"/>
      <c r="AD278" s="26"/>
    </row>
    <row r="279" spans="18:30">
      <c r="R279" s="1189"/>
      <c r="S279" s="1190"/>
      <c r="T279" s="1111"/>
      <c r="U279" s="1190"/>
      <c r="V279" s="1190"/>
      <c r="W279" s="1190"/>
      <c r="X279" s="1191"/>
      <c r="Y279" s="1195"/>
      <c r="Z279" s="1190"/>
      <c r="AA279" s="1190"/>
      <c r="AB279" s="1190"/>
      <c r="AC279" s="1192"/>
      <c r="AD279" s="26"/>
    </row>
    <row r="280" spans="18:30">
      <c r="R280" s="1189"/>
      <c r="S280" s="1190"/>
      <c r="T280" s="1111"/>
      <c r="U280" s="1190"/>
      <c r="V280" s="1190"/>
      <c r="W280" s="1190"/>
      <c r="X280" s="1191"/>
      <c r="Y280" s="1195"/>
      <c r="Z280" s="1190"/>
      <c r="AA280" s="1190"/>
      <c r="AB280" s="1190"/>
      <c r="AC280" s="1192"/>
      <c r="AD280" s="26"/>
    </row>
    <row r="281" spans="18:30">
      <c r="R281" s="1194"/>
      <c r="S281" s="1195"/>
      <c r="T281" s="1111"/>
      <c r="U281" s="1195"/>
      <c r="V281" s="1195"/>
      <c r="W281" s="1190"/>
      <c r="X281" s="1196"/>
      <c r="Y281" s="1195"/>
      <c r="Z281" s="1195"/>
      <c r="AA281" s="1195"/>
      <c r="AB281" s="1190"/>
      <c r="AC281" s="1192"/>
      <c r="AD281" s="26"/>
    </row>
    <row r="282" spans="18:30">
      <c r="R282" s="1194"/>
      <c r="S282" s="1195"/>
      <c r="T282" s="1106"/>
      <c r="U282" s="1195"/>
      <c r="V282" s="1195"/>
      <c r="W282" s="1195"/>
      <c r="X282" s="1196"/>
      <c r="Y282" s="1195"/>
      <c r="Z282" s="1195"/>
      <c r="AA282" s="1195"/>
      <c r="AB282" s="1195"/>
      <c r="AC282" s="1197"/>
      <c r="AD282" s="26"/>
    </row>
    <row r="283" spans="18:30">
      <c r="R283" s="1189"/>
      <c r="S283" s="1190"/>
      <c r="T283" s="1190"/>
      <c r="U283" s="1190"/>
      <c r="V283" s="1190"/>
      <c r="W283" s="1190"/>
      <c r="X283" s="1191"/>
      <c r="Y283" s="1190"/>
      <c r="Z283" s="1190"/>
      <c r="AA283" s="1190"/>
      <c r="AB283" s="1190"/>
      <c r="AC283" s="1192"/>
      <c r="AD283" s="26"/>
    </row>
    <row r="284" spans="18:30">
      <c r="R284" s="1189"/>
      <c r="S284" s="1190"/>
      <c r="T284" s="1190"/>
      <c r="U284" s="1190"/>
      <c r="V284" s="1195"/>
      <c r="W284" s="1190"/>
      <c r="X284" s="1191"/>
      <c r="Y284" s="1190"/>
      <c r="Z284" s="1190"/>
      <c r="AA284" s="1190"/>
      <c r="AB284" s="1190"/>
      <c r="AC284" s="1192"/>
      <c r="AD284" s="26"/>
    </row>
    <row r="285" spans="18:30">
      <c r="R285" s="1189"/>
      <c r="S285" s="1190"/>
      <c r="T285" s="1190"/>
      <c r="U285" s="1190"/>
      <c r="V285" s="1195"/>
      <c r="W285" s="1190"/>
      <c r="X285" s="1191"/>
      <c r="Y285" s="1190"/>
      <c r="Z285" s="1190"/>
      <c r="AA285" s="1190"/>
      <c r="AB285" s="1190"/>
      <c r="AC285" s="1192"/>
      <c r="AD285" s="26"/>
    </row>
    <row r="286" spans="18:30">
      <c r="R286" s="1189"/>
      <c r="S286" s="1190"/>
      <c r="T286" s="1190"/>
      <c r="U286" s="1190"/>
      <c r="V286" s="1190"/>
      <c r="W286" s="1190"/>
      <c r="X286" s="1191"/>
      <c r="Y286" s="1190"/>
      <c r="Z286" s="1190"/>
      <c r="AA286" s="1190"/>
      <c r="AB286" s="1190"/>
      <c r="AC286" s="1192"/>
      <c r="AD286" s="26"/>
    </row>
    <row r="287" spans="18:30">
      <c r="R287" s="1189"/>
      <c r="S287" s="1190"/>
      <c r="T287" s="1190"/>
      <c r="U287" s="1190"/>
      <c r="V287" s="1190"/>
      <c r="W287" s="1190"/>
      <c r="X287" s="1191"/>
      <c r="Y287" s="1190"/>
      <c r="Z287" s="1190"/>
      <c r="AA287" s="1190"/>
      <c r="AB287" s="1190"/>
      <c r="AC287" s="1192"/>
      <c r="AD287" s="26"/>
    </row>
    <row r="288" spans="18:30">
      <c r="R288" s="1189"/>
      <c r="S288" s="1190"/>
      <c r="T288" s="1190"/>
      <c r="U288" s="1190"/>
      <c r="V288" s="1195"/>
      <c r="W288" s="1190"/>
      <c r="X288" s="1191"/>
      <c r="Y288" s="1190"/>
      <c r="Z288" s="1190"/>
      <c r="AA288" s="1190"/>
      <c r="AB288" s="1190"/>
      <c r="AC288" s="1192"/>
      <c r="AD288" s="81"/>
    </row>
    <row r="289" spans="18:30">
      <c r="R289" s="1189"/>
      <c r="S289" s="1190"/>
      <c r="T289" s="1190"/>
      <c r="U289" s="1190"/>
      <c r="V289" s="1195"/>
      <c r="W289" s="1190"/>
      <c r="X289" s="1191"/>
      <c r="Y289" s="1190"/>
      <c r="Z289" s="1190"/>
      <c r="AA289" s="1190"/>
      <c r="AB289" s="1190"/>
      <c r="AC289" s="1192"/>
      <c r="AD289" s="203"/>
    </row>
    <row r="290" spans="18:30">
      <c r="R290" s="1194"/>
      <c r="S290" s="1195"/>
      <c r="T290" s="1195"/>
      <c r="U290" s="1195"/>
      <c r="V290" s="1195"/>
      <c r="W290" s="1195"/>
      <c r="X290" s="1196"/>
      <c r="Y290" s="1195"/>
      <c r="Z290" s="1195"/>
      <c r="AA290" s="1195"/>
      <c r="AB290" s="1195"/>
      <c r="AC290" s="1197"/>
      <c r="AD290" s="203"/>
    </row>
    <row r="291" spans="18:30">
      <c r="R291" s="1190"/>
      <c r="S291" s="1190"/>
      <c r="T291" s="1190"/>
      <c r="U291" s="1190"/>
      <c r="V291" s="1190"/>
      <c r="W291" s="1190"/>
      <c r="X291" s="1190"/>
      <c r="Y291" s="1190"/>
      <c r="Z291" s="1190"/>
      <c r="AA291" s="1190"/>
      <c r="AB291" s="1190"/>
      <c r="AC291" s="1190"/>
      <c r="AD291" s="44"/>
    </row>
    <row r="292" spans="18:30">
      <c r="R292" s="1190"/>
      <c r="S292" s="1190"/>
      <c r="T292" s="1190"/>
      <c r="U292" s="1190"/>
      <c r="V292" s="1190"/>
      <c r="W292" s="1190"/>
      <c r="X292" s="1190"/>
      <c r="Y292" s="1190"/>
      <c r="Z292" s="1190"/>
      <c r="AA292" s="1190"/>
      <c r="AB292" s="1190"/>
      <c r="AC292" s="1190"/>
      <c r="AD292" s="44"/>
    </row>
    <row r="293" spans="18:30">
      <c r="R293" s="1190"/>
      <c r="S293" s="1190"/>
      <c r="T293" s="1190"/>
      <c r="U293" s="1190"/>
      <c r="V293" s="1190"/>
      <c r="W293" s="1190"/>
      <c r="X293" s="1190"/>
      <c r="Y293" s="1190"/>
      <c r="Z293" s="1190"/>
      <c r="AA293" s="1190"/>
      <c r="AB293" s="1190"/>
      <c r="AC293" s="1190"/>
      <c r="AD293" s="44"/>
    </row>
    <row r="294" spans="18:30">
      <c r="R294" s="1190"/>
      <c r="S294" s="1190"/>
      <c r="T294" s="1190"/>
      <c r="U294" s="1190"/>
      <c r="V294" s="1190"/>
      <c r="W294" s="1190"/>
      <c r="X294" s="1190"/>
      <c r="Y294" s="1190"/>
      <c r="Z294" s="1190"/>
      <c r="AA294" s="1190"/>
      <c r="AB294" s="1190"/>
      <c r="AC294" s="1190"/>
      <c r="AD294" s="44"/>
    </row>
    <row r="295" spans="18:30">
      <c r="R295" s="1190"/>
      <c r="S295" s="1190"/>
      <c r="T295" s="1190"/>
      <c r="U295" s="1190"/>
      <c r="V295" s="1190"/>
      <c r="W295" s="1190"/>
      <c r="X295" s="1190"/>
      <c r="Y295" s="1190"/>
      <c r="Z295" s="1190"/>
      <c r="AA295" s="1190"/>
      <c r="AB295" s="1190"/>
      <c r="AC295" s="1190"/>
      <c r="AD295" s="44"/>
    </row>
    <row r="296" spans="18:30">
      <c r="R296" s="1190"/>
      <c r="S296" s="1190"/>
      <c r="T296" s="1190"/>
      <c r="U296" s="1190"/>
      <c r="V296" s="1190"/>
      <c r="W296" s="1190"/>
      <c r="X296" s="1190"/>
      <c r="Y296" s="1190"/>
      <c r="Z296" s="1190"/>
      <c r="AA296" s="1190"/>
      <c r="AB296" s="1190"/>
      <c r="AC296" s="1190"/>
    </row>
    <row r="297" spans="18:30">
      <c r="R297" s="1190"/>
      <c r="S297" s="1190"/>
      <c r="T297" s="1190"/>
      <c r="U297" s="1190"/>
      <c r="V297" s="1190"/>
      <c r="W297" s="1190"/>
      <c r="X297" s="1190"/>
      <c r="Y297" s="1190"/>
      <c r="Z297" s="1190"/>
      <c r="AA297" s="1190"/>
      <c r="AB297" s="1190"/>
      <c r="AC297" s="1190"/>
    </row>
    <row r="298" spans="18:30">
      <c r="R298" s="1190"/>
      <c r="S298" s="1190"/>
      <c r="T298" s="1190"/>
      <c r="U298" s="1190"/>
      <c r="V298" s="1190"/>
      <c r="W298" s="1190"/>
      <c r="X298" s="1190"/>
      <c r="Y298" s="1190"/>
      <c r="Z298" s="1190"/>
      <c r="AA298" s="1190"/>
      <c r="AB298" s="1190"/>
      <c r="AC298" s="1190"/>
    </row>
    <row r="299" spans="18:30">
      <c r="R299" s="1190"/>
      <c r="S299" s="1190"/>
      <c r="T299" s="1190"/>
      <c r="U299" s="1190"/>
      <c r="V299" s="1190"/>
      <c r="W299" s="1190"/>
      <c r="X299" s="1190"/>
      <c r="Y299" s="1190"/>
      <c r="Z299" s="1190"/>
      <c r="AA299" s="1190"/>
      <c r="AB299" s="1190"/>
      <c r="AC299" s="1190"/>
    </row>
    <row r="300" spans="18:30">
      <c r="R300" s="1190"/>
      <c r="S300" s="1190"/>
      <c r="T300" s="1190"/>
      <c r="U300" s="1190"/>
      <c r="V300" s="1190"/>
      <c r="W300" s="1190"/>
      <c r="X300" s="1190"/>
      <c r="Y300" s="1190"/>
      <c r="Z300" s="1190"/>
      <c r="AA300" s="1190"/>
      <c r="AB300" s="1190"/>
      <c r="AC300" s="1190"/>
    </row>
  </sheetData>
  <protectedRanges>
    <protectedRange algorithmName="SHA-512" hashValue="24Yg3M703G5L8OyJWxlkx8c1Gwfrkael5W/l3TUk/Rcz5tR8QOgCx5v0Ebb/UGz+9BDKPJ5wV4hH8uuxvmtGIw==" saltValue="ZSJQ8EEnwGxsiYzxIw6K0Q==" spinCount="100000" sqref="N4:N8 A26:D26 N10:N18 N22:N26 E4:M26 O4:P26 B4:D18 E27:P135" name="Range1_65_32_32_30_30_30_30_30_30_30_30_30_30_30_30_30_30_30_30"/>
    <protectedRange algorithmName="SHA-512" hashValue="XYWjC+iAz2ErgjMh7TSLHlxfTfK0uVcITDFdCCZFdnsWWbUNnsQqu9AM+0WFXQpYcy9ZvQx2KUXfpLhpOROHkg==" saltValue="47TiGLG0rJVTo3iAJH8T4w==" spinCount="100000" sqref="B27:D135" name="Range2_5_2_2_2_2_2_2_2_2_2_2_2_2_2_2_2"/>
    <protectedRange algorithmName="SHA-512" hashValue="24Yg3M703G5L8OyJWxlkx8c1Gwfrkael5W/l3TUk/Rcz5tR8QOgCx5v0Ebb/UGz+9BDKPJ5wV4hH8uuxvmtGIw==" saltValue="ZSJQ8EEnwGxsiYzxIw6K0Q==" spinCount="100000" sqref="B27:D135" name="Range1_65_32_2_2_2_2_2_2_2_2_2_2_2_2_2_2"/>
    <protectedRange algorithmName="SHA-512" hashValue="XYWjC+iAz2ErgjMh7TSLHlxfTfK0uVcITDFdCCZFdnsWWbUNnsQqu9AM+0WFXQpYcy9ZvQx2KUXfpLhpOROHkg==" saltValue="47TiGLG0rJVTo3iAJH8T4w==" spinCount="100000" sqref="B21:D22" name="Range2_5_2_2_2_2_2_2_2"/>
    <protectedRange algorithmName="SHA-512" hashValue="24Yg3M703G5L8OyJWxlkx8c1Gwfrkael5W/l3TUk/Rcz5tR8QOgCx5v0Ebb/UGz+9BDKPJ5wV4hH8uuxvmtGIw==" saltValue="ZSJQ8EEnwGxsiYzxIw6K0Q==" spinCount="100000" sqref="B19:D22" name="Range1_65_32_2_2_2_2_2_2"/>
  </protectedRanges>
  <mergeCells count="21">
    <mergeCell ref="B19:D19"/>
    <mergeCell ref="A10:A11"/>
    <mergeCell ref="B10:D10"/>
    <mergeCell ref="F10:H10"/>
    <mergeCell ref="J10:L10"/>
    <mergeCell ref="N10:P10"/>
    <mergeCell ref="F8:H8"/>
    <mergeCell ref="J8:L8"/>
    <mergeCell ref="N8:P9"/>
    <mergeCell ref="F9:H9"/>
    <mergeCell ref="J9:L9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8816-7024-45CF-B9C7-B5B113920800}">
  <dimension ref="A1:AC75"/>
  <sheetViews>
    <sheetView showGridLines="0" topLeftCell="Q1" workbookViewId="0">
      <selection activeCell="T14" sqref="T14"/>
    </sheetView>
  </sheetViews>
  <sheetFormatPr defaultRowHeight="14.4"/>
  <cols>
    <col min="1" max="1" width="25" customWidth="1"/>
    <col min="2" max="4" width="15.88671875" customWidth="1"/>
    <col min="6" max="8" width="13.44140625" customWidth="1"/>
    <col min="10" max="12" width="16.88671875" customWidth="1"/>
    <col min="14" max="16" width="26.6640625" customWidth="1"/>
    <col min="18" max="18" width="11" bestFit="1" customWidth="1"/>
    <col min="19" max="19" width="13.88671875" bestFit="1" customWidth="1"/>
    <col min="20" max="20" width="16.88671875" bestFit="1" customWidth="1"/>
    <col min="21" max="21" width="9.88671875" bestFit="1" customWidth="1"/>
    <col min="22" max="22" width="46.44140625" bestFit="1" customWidth="1"/>
    <col min="23" max="23" width="24.33203125" bestFit="1" customWidth="1"/>
    <col min="24" max="24" width="17.109375" bestFit="1" customWidth="1"/>
    <col min="25" max="25" width="14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7" bestFit="1" customWidth="1"/>
  </cols>
  <sheetData>
    <row r="1" spans="1:29" ht="17.399999999999999">
      <c r="A1" s="762" t="s">
        <v>897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179" t="s">
        <v>1</v>
      </c>
      <c r="S1" s="1180" t="s">
        <v>2</v>
      </c>
      <c r="T1" s="1180" t="s">
        <v>3</v>
      </c>
      <c r="U1" s="1180" t="s">
        <v>211</v>
      </c>
      <c r="V1" s="1180" t="s">
        <v>5</v>
      </c>
      <c r="W1" s="1180" t="s">
        <v>194</v>
      </c>
      <c r="X1" s="1180" t="s">
        <v>212</v>
      </c>
      <c r="Y1" s="1180" t="s">
        <v>213</v>
      </c>
      <c r="Z1" s="1180" t="s">
        <v>406</v>
      </c>
      <c r="AA1" s="1180" t="s">
        <v>215</v>
      </c>
      <c r="AB1" s="1180" t="s">
        <v>216</v>
      </c>
      <c r="AC1" s="1181" t="s">
        <v>407</v>
      </c>
    </row>
    <row r="2" spans="1:29" ht="17.399999999999999">
      <c r="A2" s="762" t="s">
        <v>898</v>
      </c>
      <c r="B2" s="733"/>
      <c r="C2" s="733"/>
      <c r="D2" s="733"/>
      <c r="E2" s="734"/>
      <c r="F2" s="1536" t="s">
        <v>899</v>
      </c>
      <c r="G2" s="1536"/>
      <c r="H2" s="1536"/>
      <c r="I2" s="742"/>
      <c r="J2" s="1525" t="s">
        <v>900</v>
      </c>
      <c r="K2" s="1525"/>
      <c r="L2" s="1525"/>
      <c r="M2" s="734"/>
      <c r="N2" s="1535"/>
      <c r="O2" s="1535"/>
      <c r="P2" s="1535"/>
      <c r="R2" s="1093" t="s">
        <v>600</v>
      </c>
      <c r="S2" s="1068">
        <v>3331559582</v>
      </c>
      <c r="T2" s="1068" t="s">
        <v>445</v>
      </c>
      <c r="U2" s="1068">
        <v>24141385</v>
      </c>
      <c r="V2" s="1068" t="s">
        <v>224</v>
      </c>
      <c r="W2" s="1140" t="s">
        <v>344</v>
      </c>
      <c r="X2" s="1094">
        <v>26283.706999999999</v>
      </c>
      <c r="Y2" s="1068" t="s">
        <v>200</v>
      </c>
      <c r="Z2" s="1068">
        <v>1</v>
      </c>
      <c r="AA2" s="1139">
        <v>1</v>
      </c>
      <c r="AB2" s="1142" t="s">
        <v>204</v>
      </c>
      <c r="AC2" s="1185"/>
    </row>
    <row r="3" spans="1:29" ht="17.399999999999999">
      <c r="A3" s="1537" t="s">
        <v>414</v>
      </c>
      <c r="B3" s="1544" t="s">
        <v>415</v>
      </c>
      <c r="C3" s="1544"/>
      <c r="D3" s="1545"/>
      <c r="E3" s="734"/>
      <c r="F3" s="1546" t="s">
        <v>416</v>
      </c>
      <c r="G3" s="1544"/>
      <c r="H3" s="1545"/>
      <c r="I3" s="734"/>
      <c r="J3" s="1541" t="s">
        <v>416</v>
      </c>
      <c r="K3" s="1544"/>
      <c r="L3" s="1547"/>
      <c r="M3" s="734"/>
      <c r="N3" s="1546" t="s">
        <v>417</v>
      </c>
      <c r="O3" s="1544"/>
      <c r="P3" s="1545"/>
      <c r="R3" s="1093" t="s">
        <v>600</v>
      </c>
      <c r="S3" s="1068">
        <v>3331559590</v>
      </c>
      <c r="T3" s="1068" t="s">
        <v>445</v>
      </c>
      <c r="U3" s="1068">
        <v>24141388</v>
      </c>
      <c r="V3" s="1068" t="s">
        <v>224</v>
      </c>
      <c r="W3" s="1140" t="s">
        <v>344</v>
      </c>
      <c r="X3" s="1094">
        <v>25547.59</v>
      </c>
      <c r="Y3" s="1068" t="s">
        <v>200</v>
      </c>
      <c r="Z3" s="1068">
        <v>1</v>
      </c>
      <c r="AA3" s="1139">
        <v>1</v>
      </c>
      <c r="AB3" s="1142" t="s">
        <v>204</v>
      </c>
      <c r="AC3" s="1103"/>
    </row>
    <row r="4" spans="1:29" ht="40.5" customHeight="1">
      <c r="A4" s="1543"/>
      <c r="B4" s="743" t="s">
        <v>419</v>
      </c>
      <c r="C4" s="743" t="s">
        <v>420</v>
      </c>
      <c r="D4" s="743" t="s">
        <v>421</v>
      </c>
      <c r="E4" s="734"/>
      <c r="F4" s="744" t="s">
        <v>422</v>
      </c>
      <c r="G4" s="743" t="s">
        <v>420</v>
      </c>
      <c r="H4" s="743" t="s">
        <v>421</v>
      </c>
      <c r="I4" s="734"/>
      <c r="J4" s="830" t="s">
        <v>310</v>
      </c>
      <c r="K4" s="743" t="s">
        <v>420</v>
      </c>
      <c r="L4" s="743" t="s">
        <v>421</v>
      </c>
      <c r="M4" s="734"/>
      <c r="N4" s="745" t="s">
        <v>423</v>
      </c>
      <c r="O4" s="743" t="s">
        <v>420</v>
      </c>
      <c r="P4" s="743" t="s">
        <v>421</v>
      </c>
      <c r="R4" s="1093" t="s">
        <v>600</v>
      </c>
      <c r="S4" s="1068">
        <v>3331559616</v>
      </c>
      <c r="T4" s="1068" t="s">
        <v>445</v>
      </c>
      <c r="U4" s="1068">
        <v>24141390</v>
      </c>
      <c r="V4" s="1068" t="s">
        <v>224</v>
      </c>
      <c r="W4" s="1140" t="s">
        <v>344</v>
      </c>
      <c r="X4" s="1094">
        <v>24284.84</v>
      </c>
      <c r="Y4" s="1068" t="s">
        <v>200</v>
      </c>
      <c r="Z4" s="1068">
        <v>1</v>
      </c>
      <c r="AA4" s="1139">
        <v>1</v>
      </c>
      <c r="AB4" s="1142" t="s">
        <v>204</v>
      </c>
      <c r="AC4" s="1103"/>
    </row>
    <row r="5" spans="1:29" ht="18">
      <c r="A5" s="746" t="s">
        <v>427</v>
      </c>
      <c r="B5" s="747" cm="1">
        <f t="array" ref="B5">SUMPRODUCT(--ISNUMBER(MATCH(TRIM(W1:W227), {"JABODETABEK","JAWA TENGAH","JAWA TIMUR","LUAR PULAU"}, 0)))</f>
        <v>45</v>
      </c>
      <c r="C5" s="747" cm="1">
        <f t="array" ref="C5">SUMPRODUCT(--(LOWER(TRIM(AB1:AB253))="masuk"), --(ISNUMBER(MATCH(TRIM(W1:W253), {"JABODETABEK","JAWA TENGAH","JAWA TIMUR","LUAR PULAU"}, 0))))</f>
        <v>41</v>
      </c>
      <c r="D5" s="740">
        <f>C5+-B5</f>
        <v>-4</v>
      </c>
      <c r="E5" s="734"/>
      <c r="F5" s="748" cm="1">
        <f t="array" ref="F5">SUMPRODUCT(--(LOWER(AC1:AC253)="add"), --(ISNUMBER(MATCH(W1:W253, {"JABODETABEK","JAWA TENGAH","JAWA TIMUR","LUAR PULAU"}, 0))))</f>
        <v>0</v>
      </c>
      <c r="G5" s="747" cm="1">
        <f t="array" ref="G5">SUMPRODUCT(--(LOWER(AB1:AB253)="masuk"), --(LOWER(AC1:AC253)="add"))</f>
        <v>0</v>
      </c>
      <c r="H5" s="740">
        <f>G5+-F5</f>
        <v>0</v>
      </c>
      <c r="I5" s="734"/>
      <c r="J5" s="748" cm="1">
        <f t="array" ref="J5">SUMPRODUCT(--(ISNUMBER(SEARCH("next day",LOWER(W1:W253)))+ISNUMBER(SEARCH("nextday",LOWER(W1:W253)))&gt; 0))</f>
        <v>3</v>
      </c>
      <c r="K5" s="747" cm="1">
        <f t="array" ref="K5">SUMPRODUCT(--(LOWER(AB1:AB253)="masuk"), --ISNUMBER(SEARCH("next day", LOWER(W1:W253))))</f>
        <v>3</v>
      </c>
      <c r="L5" s="740">
        <f>K5+-J5</f>
        <v>0</v>
      </c>
      <c r="M5" s="734"/>
      <c r="N5" s="748">
        <f>B5+F5+J5</f>
        <v>48</v>
      </c>
      <c r="O5" s="747">
        <f>C5+G5+K5</f>
        <v>44</v>
      </c>
      <c r="P5" s="740">
        <f>D5+H5+L5</f>
        <v>-4</v>
      </c>
      <c r="R5" s="1170" t="s">
        <v>600</v>
      </c>
      <c r="S5" s="1166">
        <v>3331559669</v>
      </c>
      <c r="T5" s="1068" t="s">
        <v>445</v>
      </c>
      <c r="U5" s="1068">
        <v>24141396</v>
      </c>
      <c r="V5" s="1068" t="s">
        <v>435</v>
      </c>
      <c r="W5" s="1086" t="s">
        <v>205</v>
      </c>
      <c r="X5" s="1094">
        <v>22104.334999999999</v>
      </c>
      <c r="Y5" s="1068" t="s">
        <v>200</v>
      </c>
      <c r="Z5" s="1068">
        <v>1</v>
      </c>
      <c r="AA5" s="1068">
        <v>1</v>
      </c>
      <c r="AB5" s="1067" t="s">
        <v>204</v>
      </c>
      <c r="AC5" s="1175"/>
    </row>
    <row r="6" spans="1:29" ht="17.399999999999999">
      <c r="A6" s="733"/>
      <c r="B6" s="733">
        <f>SUM(B5)</f>
        <v>45</v>
      </c>
      <c r="C6" s="733">
        <f>SUM(C5)</f>
        <v>41</v>
      </c>
      <c r="D6" s="739">
        <f>SUM(D5)</f>
        <v>-4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3</v>
      </c>
      <c r="K6" s="733">
        <f>SUM(K5)</f>
        <v>3</v>
      </c>
      <c r="L6" s="739">
        <f>SUM(L5)</f>
        <v>0</v>
      </c>
      <c r="M6" s="733"/>
      <c r="N6" s="760">
        <f>SUM(N5:N5)</f>
        <v>48</v>
      </c>
      <c r="O6" s="760">
        <f>SUM(O5:O5)</f>
        <v>44</v>
      </c>
      <c r="P6" s="761">
        <f>SUM(P5:P5)</f>
        <v>-4</v>
      </c>
      <c r="R6" s="1093" t="s">
        <v>600</v>
      </c>
      <c r="S6" s="1068">
        <v>3331559672</v>
      </c>
      <c r="T6" s="1068" t="s">
        <v>445</v>
      </c>
      <c r="U6" s="1068">
        <v>24141397</v>
      </c>
      <c r="V6" s="1068" t="s">
        <v>435</v>
      </c>
      <c r="W6" s="1086" t="s">
        <v>205</v>
      </c>
      <c r="X6" s="1094">
        <v>22446.375</v>
      </c>
      <c r="Y6" s="1068" t="s">
        <v>200</v>
      </c>
      <c r="Z6" s="1068">
        <v>1</v>
      </c>
      <c r="AA6" s="1068">
        <v>1</v>
      </c>
      <c r="AB6" s="1067" t="s">
        <v>204</v>
      </c>
      <c r="AC6" s="1175"/>
    </row>
    <row r="7" spans="1:29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093" t="s">
        <v>600</v>
      </c>
      <c r="S7" s="1068">
        <v>3331559695</v>
      </c>
      <c r="T7" s="1068" t="s">
        <v>682</v>
      </c>
      <c r="U7" s="1068">
        <v>24141398</v>
      </c>
      <c r="V7" s="1068" t="s">
        <v>435</v>
      </c>
      <c r="W7" s="1086" t="s">
        <v>205</v>
      </c>
      <c r="X7" s="1094">
        <v>23223.51</v>
      </c>
      <c r="Y7" s="1068" t="s">
        <v>200</v>
      </c>
      <c r="Z7" s="1068">
        <v>1</v>
      </c>
      <c r="AA7" s="1068">
        <v>1</v>
      </c>
      <c r="AB7" s="1067" t="s">
        <v>204</v>
      </c>
      <c r="AC7" s="1175"/>
    </row>
    <row r="8" spans="1:29" ht="17.399999999999999">
      <c r="A8" s="763" t="str">
        <f>A1</f>
        <v>Plan tgl 09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093" t="s">
        <v>600</v>
      </c>
      <c r="S8" s="1068">
        <v>3331559482</v>
      </c>
      <c r="T8" s="1068" t="s">
        <v>682</v>
      </c>
      <c r="U8" s="1068">
        <v>24141394</v>
      </c>
      <c r="V8" s="1068" t="s">
        <v>223</v>
      </c>
      <c r="W8" s="1086" t="s">
        <v>481</v>
      </c>
      <c r="X8" s="1094">
        <f>5109.474+15924.981</f>
        <v>21034.455000000002</v>
      </c>
      <c r="Y8" s="1068" t="s">
        <v>200</v>
      </c>
      <c r="Z8" s="1068">
        <v>1</v>
      </c>
      <c r="AA8" s="1068">
        <v>1</v>
      </c>
      <c r="AB8" s="1157" t="s">
        <v>204</v>
      </c>
      <c r="AC8" s="1100"/>
    </row>
    <row r="9" spans="1:29" ht="18">
      <c r="A9" s="763" t="str">
        <f>A2</f>
        <v>Realz update 10 OKT’25 jam 07.00</v>
      </c>
      <c r="B9" s="825"/>
      <c r="C9" s="825"/>
      <c r="D9" s="825"/>
      <c r="E9" s="734"/>
      <c r="F9" s="1525" t="str">
        <f>F2</f>
        <v>Tgl 09 OKT’25 diatas jam 15.00</v>
      </c>
      <c r="G9" s="1525"/>
      <c r="H9" s="1525"/>
      <c r="I9" s="826"/>
      <c r="J9" s="1525" t="str">
        <f>J2</f>
        <v>Tgl 09 OKT’25</v>
      </c>
      <c r="K9" s="1525"/>
      <c r="L9" s="1525"/>
      <c r="M9" s="734"/>
      <c r="N9" s="1526"/>
      <c r="O9" s="1526"/>
      <c r="P9" s="1526"/>
      <c r="R9" s="1171" t="s">
        <v>600</v>
      </c>
      <c r="S9" s="1158">
        <v>3331559534</v>
      </c>
      <c r="T9" s="1164" t="s">
        <v>256</v>
      </c>
      <c r="U9" s="1158" t="s">
        <v>256</v>
      </c>
      <c r="V9" s="1158" t="s">
        <v>256</v>
      </c>
      <c r="W9" s="1165" t="s">
        <v>256</v>
      </c>
      <c r="X9" s="1164" t="s">
        <v>256</v>
      </c>
      <c r="Y9" s="1158" t="s">
        <v>256</v>
      </c>
      <c r="Z9" s="1158" t="s">
        <v>256</v>
      </c>
      <c r="AA9" s="1158" t="s">
        <v>256</v>
      </c>
      <c r="AB9" s="1159" t="s">
        <v>256</v>
      </c>
      <c r="AC9" s="1118"/>
    </row>
    <row r="10" spans="1:29" ht="17.399999999999999">
      <c r="A10" s="1541" t="s">
        <v>194</v>
      </c>
      <c r="B10" s="1559" t="s">
        <v>415</v>
      </c>
      <c r="C10" s="1560"/>
      <c r="D10" s="1561"/>
      <c r="E10" s="734"/>
      <c r="F10" s="1559" t="s">
        <v>416</v>
      </c>
      <c r="G10" s="1560"/>
      <c r="H10" s="1561"/>
      <c r="I10" s="734"/>
      <c r="J10" s="1541" t="s">
        <v>416</v>
      </c>
      <c r="K10" s="1539"/>
      <c r="L10" s="1542"/>
      <c r="M10" s="734"/>
      <c r="N10" s="1562" t="s">
        <v>417</v>
      </c>
      <c r="O10" s="1563"/>
      <c r="P10" s="1564"/>
      <c r="R10" s="1171" t="s">
        <v>606</v>
      </c>
      <c r="S10" s="787">
        <v>3331558025</v>
      </c>
      <c r="T10" s="1155" t="s">
        <v>351</v>
      </c>
      <c r="U10" s="787">
        <v>24141192</v>
      </c>
      <c r="V10" s="787" t="s">
        <v>354</v>
      </c>
      <c r="W10" s="1156" t="s">
        <v>362</v>
      </c>
      <c r="X10" s="1155">
        <v>25115.795999999998</v>
      </c>
      <c r="Y10" s="1149" t="s">
        <v>426</v>
      </c>
      <c r="Z10" s="1149">
        <v>1</v>
      </c>
      <c r="AA10" s="1149">
        <v>1</v>
      </c>
      <c r="AB10" s="1157" t="s">
        <v>204</v>
      </c>
      <c r="AC10" s="1176"/>
    </row>
    <row r="11" spans="1:29" ht="17.399999999999999">
      <c r="A11" s="155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171" t="s">
        <v>606</v>
      </c>
      <c r="S11" s="1160">
        <v>3331558026</v>
      </c>
      <c r="T11" s="1161" t="s">
        <v>351</v>
      </c>
      <c r="U11" s="1160">
        <v>24141193</v>
      </c>
      <c r="V11" s="1160" t="s">
        <v>354</v>
      </c>
      <c r="W11" s="1162" t="s">
        <v>362</v>
      </c>
      <c r="X11" s="1161">
        <v>25115.795999999998</v>
      </c>
      <c r="Y11" s="1068" t="s">
        <v>426</v>
      </c>
      <c r="Z11" s="1068">
        <v>1</v>
      </c>
      <c r="AA11" s="1068">
        <v>1</v>
      </c>
      <c r="AB11" s="1067" t="s">
        <v>204</v>
      </c>
      <c r="AC11" s="1176"/>
    </row>
    <row r="12" spans="1:29" ht="18">
      <c r="A12" s="845" t="s">
        <v>199</v>
      </c>
      <c r="B12" s="748" cm="1">
        <f t="array" ref="B12">SUMPRODUCT(--(TRIM(LOWER(W1:W253))="jabodetabek"))</f>
        <v>16</v>
      </c>
      <c r="C12" s="748" cm="1">
        <f t="array" ref="C12">SUMPRODUCT(--(LOWER(AB1:AB253)="masuk"), --(TRIM(LOWER(W1:W253))="jabodetabek"))</f>
        <v>16</v>
      </c>
      <c r="D12" s="973">
        <f>C12+-B12</f>
        <v>0</v>
      </c>
      <c r="E12" s="734"/>
      <c r="F12" s="748" cm="1">
        <f t="array" ref="F12">SUMPRODUCT(--(LOWER(AC1:AC253)="add"), --(TRIM(LOWER(W1:W253))="jabodetabek"))</f>
        <v>0</v>
      </c>
      <c r="G12" s="747" cm="1">
        <f t="array" ref="G12">SUMPRODUCT(--(LOWER(AB1:AB253)="masuk"), --(LOWER(AC1:AC253)="add"), --(TRIM(LOWER(W1:W253))="jabodetabek"))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day",LOWER(W1:W253)))+ISNUMBER(SEARCH("jabodetabek nextday",LOWER(W1:W253)))&gt; 0))</f>
        <v>0</v>
      </c>
      <c r="K12" s="747" cm="1">
        <f t="array" ref="K12">SUMPRODUCT(--(LOWER(AB1:AB253)="masuk"), --(LOWER(TRIM(W1:W253))="jabodetabek next day"))</f>
        <v>0</v>
      </c>
      <c r="L12" s="740">
        <f>K12+-J12</f>
        <v>0</v>
      </c>
      <c r="M12" s="734"/>
      <c r="N12" s="748">
        <f t="shared" ref="N12:P16" si="0">B12+F12+J12</f>
        <v>16</v>
      </c>
      <c r="O12" s="747">
        <f t="shared" si="0"/>
        <v>16</v>
      </c>
      <c r="P12" s="740">
        <f t="shared" si="0"/>
        <v>0</v>
      </c>
      <c r="R12" s="1171" t="s">
        <v>606</v>
      </c>
      <c r="S12" s="787">
        <v>3331558027</v>
      </c>
      <c r="T12" s="1155" t="s">
        <v>351</v>
      </c>
      <c r="U12" s="787">
        <v>24141194</v>
      </c>
      <c r="V12" s="787" t="s">
        <v>354</v>
      </c>
      <c r="W12" s="1156" t="s">
        <v>362</v>
      </c>
      <c r="X12" s="1155">
        <v>25115.795999999998</v>
      </c>
      <c r="Y12" s="1068" t="s">
        <v>426</v>
      </c>
      <c r="Z12" s="1068">
        <v>1</v>
      </c>
      <c r="AA12" s="1068">
        <v>1</v>
      </c>
      <c r="AB12" s="1067" t="s">
        <v>204</v>
      </c>
      <c r="AC12" s="1176"/>
    </row>
    <row r="13" spans="1:29" ht="18">
      <c r="A13" s="845" t="s">
        <v>203</v>
      </c>
      <c r="B13" s="750" cm="1">
        <f t="array" ref="B13">SUMPRODUCT(--(TRIM(LOWER(W1:W253))="jawa tengah"))</f>
        <v>5</v>
      </c>
      <c r="C13" s="750" cm="1">
        <f t="array" ref="C13">SUMPRODUCT(--(LOWER(AB1:AB253)="masuk"), --(TRIM(LOWER(W1:W253))="jawa tengah"))</f>
        <v>4</v>
      </c>
      <c r="D13" s="846">
        <f>C13+-B13</f>
        <v>-1</v>
      </c>
      <c r="E13" s="734"/>
      <c r="F13" s="751" cm="1">
        <f t="array" ref="F13">SUMPRODUCT(--(LOWER(AC1:AC253)="add"), --(TRIM(LOWER(W1:W253))="jawa tengah"))</f>
        <v>0</v>
      </c>
      <c r="G13" s="747" cm="1">
        <f t="array" ref="G13">SUMPRODUCT(--(LOWER(AB1:AB253)="masuk"), --(LOWER(AC1:AC253)="add"), --(TRIM(LOWER(W1:W253))="jawa tengah"))</f>
        <v>0</v>
      </c>
      <c r="H13" s="740">
        <f>G13+-F13</f>
        <v>0</v>
      </c>
      <c r="I13" s="734"/>
      <c r="J13" s="748" cm="1">
        <f t="array" ref="J13">SUMPRODUCT(--((LOWER(TRIM(W1:W253))="jawa tengah next day")+(LOWER(TRIM(W1:W253))="jawa tengah nextday")))</f>
        <v>3</v>
      </c>
      <c r="K13" s="747" cm="1">
        <f t="array" ref="K13">SUMPRODUCT(--(LOWER(AB1:AB253)="masuk"), --(LOWER(TRIM(W1:W253))="jawa tengah next day"))</f>
        <v>3</v>
      </c>
      <c r="L13" s="740">
        <f>K13+-J13</f>
        <v>0</v>
      </c>
      <c r="M13" s="734"/>
      <c r="N13" s="748">
        <f t="shared" si="0"/>
        <v>8</v>
      </c>
      <c r="O13" s="747">
        <f t="shared" si="0"/>
        <v>7</v>
      </c>
      <c r="P13" s="740">
        <f t="shared" si="0"/>
        <v>-1</v>
      </c>
      <c r="R13" s="1171" t="s">
        <v>606</v>
      </c>
      <c r="S13" s="787">
        <v>3331558028</v>
      </c>
      <c r="T13" s="1155" t="s">
        <v>351</v>
      </c>
      <c r="U13" s="787">
        <v>24141195</v>
      </c>
      <c r="V13" s="787" t="s">
        <v>354</v>
      </c>
      <c r="W13" s="1156" t="s">
        <v>362</v>
      </c>
      <c r="X13" s="1155">
        <v>25115.794999999998</v>
      </c>
      <c r="Y13" s="1068" t="s">
        <v>426</v>
      </c>
      <c r="Z13" s="1068">
        <v>1</v>
      </c>
      <c r="AA13" s="1068">
        <v>1</v>
      </c>
      <c r="AB13" s="1067" t="s">
        <v>204</v>
      </c>
      <c r="AC13" s="1177"/>
    </row>
    <row r="14" spans="1:29" ht="18">
      <c r="A14" s="845" t="s">
        <v>205</v>
      </c>
      <c r="B14" s="750" cm="1">
        <f t="array" ref="B14">SUMPRODUCT(--(TRIM(LOWER(W1:W253))="jawa timur"))</f>
        <v>9</v>
      </c>
      <c r="C14" s="750" cm="1">
        <f t="array" ref="C14">SUMPRODUCT(--(LOWER(AB1:AB253)="masuk"), --(TRIM(LOWER(W1:W253))="jawa timur"))</f>
        <v>6</v>
      </c>
      <c r="D14" s="846">
        <f>C14+-B14</f>
        <v>-3</v>
      </c>
      <c r="E14" s="734"/>
      <c r="F14" s="750" cm="1">
        <f t="array" ref="F14">SUMPRODUCT(--(LOWER(AC1:AC253)="add"), --(TRIM(LOWER(W1:W253))="jawa timur"))</f>
        <v>0</v>
      </c>
      <c r="G14" s="747" cm="1">
        <f t="array" ref="G14">SUMPRODUCT(--(LOWER(AB1:AB253)="masuk"), --(LOWER(AC1:AC253)="add"), --(TRIM(LOWER(W1:W253))="jawa timur"))</f>
        <v>0</v>
      </c>
      <c r="H14" s="740">
        <f>G14+-F14</f>
        <v>0</v>
      </c>
      <c r="I14" s="734"/>
      <c r="J14" s="748" cm="1">
        <f t="array" ref="J14">SUMPRODUCT(--((LOWER(TRIM(W1:W253))="jawa timur next day")+(LOWER(TRIM(W1:W253))="jawa timur nextday")))</f>
        <v>0</v>
      </c>
      <c r="K14" s="747" cm="1">
        <f t="array" ref="K14">SUMPRODUCT(--(LOWER(AB1:AB253)="masuk"), --(LOWER(TRIM(W1:W253))="jawa timur next day"))</f>
        <v>0</v>
      </c>
      <c r="L14" s="740">
        <f>K14+-J14</f>
        <v>0</v>
      </c>
      <c r="M14" s="734"/>
      <c r="N14" s="748">
        <f t="shared" si="0"/>
        <v>9</v>
      </c>
      <c r="O14" s="747">
        <f t="shared" si="0"/>
        <v>6</v>
      </c>
      <c r="P14" s="740">
        <f t="shared" si="0"/>
        <v>-3</v>
      </c>
      <c r="R14" s="1171" t="s">
        <v>606</v>
      </c>
      <c r="S14" s="787">
        <v>3331558037</v>
      </c>
      <c r="T14" s="1155" t="s">
        <v>351</v>
      </c>
      <c r="U14" s="787">
        <v>24141196</v>
      </c>
      <c r="V14" s="787" t="s">
        <v>354</v>
      </c>
      <c r="W14" s="1156" t="s">
        <v>362</v>
      </c>
      <c r="X14" s="1155">
        <f>20299.069+3078.36</f>
        <v>23377.429</v>
      </c>
      <c r="Y14" s="1068" t="s">
        <v>426</v>
      </c>
      <c r="Z14" s="1068">
        <v>1</v>
      </c>
      <c r="AA14" s="1068">
        <v>1</v>
      </c>
      <c r="AB14" s="1067" t="s">
        <v>204</v>
      </c>
      <c r="AC14" s="1176"/>
    </row>
    <row r="15" spans="1:29" ht="18">
      <c r="A15" s="845" t="s">
        <v>362</v>
      </c>
      <c r="B15" s="750" cm="1">
        <f t="array" ref="B15">SUMPRODUCT(--(TRIM(LOWER(W1:W253))="luar pulau"))</f>
        <v>15</v>
      </c>
      <c r="C15" s="750" cm="1">
        <f t="array" ref="C15">SUMPRODUCT(--(LOWER(AB1:AB253)="masuk"), --(TRIM(LOWER(W1:W253))="luar pulau"))</f>
        <v>15</v>
      </c>
      <c r="D15" s="846">
        <f>C15+-B15</f>
        <v>0</v>
      </c>
      <c r="E15" s="734"/>
      <c r="F15" s="748" cm="1">
        <f t="array" ref="F15">SUMPRODUCT(--(LOWER(AC1:AC253)="add"), --(TRIM(LOWER(W1:W253))="luar pulau"))</f>
        <v>0</v>
      </c>
      <c r="G15" s="747" cm="1">
        <f t="array" ref="G15">SUMPRODUCT(--(LOWER(AB1:AB253)="masuk"), --(LOWER(AC1:AC253)="add"), --(TRIM(LOWER(W1:W253))="luar pulau"))</f>
        <v>0</v>
      </c>
      <c r="H15" s="740">
        <f>G15+-F15</f>
        <v>0</v>
      </c>
      <c r="I15" s="734"/>
      <c r="J15" s="748" cm="1">
        <f t="array" ref="J15">SUMPRODUCT(--((LOWER(TRIM(W1:W253))="luar pulau next day")+(LOWER(TRIM(W1:W253))="luar pulau nextday")))</f>
        <v>0</v>
      </c>
      <c r="K15" s="747" cm="1">
        <f t="array" ref="K15">SUMPRODUCT(--(LOWER(AB1:AB253)="masuk"), --(LOWER(TRIM(W1:W253))="luar pulau next day"))</f>
        <v>0</v>
      </c>
      <c r="L15" s="740">
        <f>K15+-J15</f>
        <v>0</v>
      </c>
      <c r="M15" s="734"/>
      <c r="N15" s="748">
        <f t="shared" si="0"/>
        <v>15</v>
      </c>
      <c r="O15" s="747">
        <f t="shared" si="0"/>
        <v>15</v>
      </c>
      <c r="P15" s="740">
        <f t="shared" si="0"/>
        <v>0</v>
      </c>
      <c r="R15" s="1171" t="s">
        <v>606</v>
      </c>
      <c r="S15" s="787">
        <v>3331558038</v>
      </c>
      <c r="T15" s="1155" t="s">
        <v>256</v>
      </c>
      <c r="U15" s="787" t="s">
        <v>256</v>
      </c>
      <c r="V15" s="787" t="s">
        <v>256</v>
      </c>
      <c r="W15" s="1156" t="s">
        <v>256</v>
      </c>
      <c r="X15" s="1155" t="s">
        <v>256</v>
      </c>
      <c r="Y15" s="1158" t="s">
        <v>256</v>
      </c>
      <c r="Z15" s="1158" t="s">
        <v>256</v>
      </c>
      <c r="AA15" s="1158" t="s">
        <v>256</v>
      </c>
      <c r="AB15" s="1159" t="s">
        <v>256</v>
      </c>
      <c r="AC15" s="1176"/>
    </row>
    <row r="16" spans="1:29" ht="17.399999999999999">
      <c r="A16" s="827"/>
      <c r="B16" s="733">
        <f>SUM(B12:B15)</f>
        <v>45</v>
      </c>
      <c r="C16" s="733">
        <f>SUM(C12:C15)</f>
        <v>41</v>
      </c>
      <c r="D16" s="739">
        <f>SUM(D12:D15)</f>
        <v>-4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3</v>
      </c>
      <c r="K16" s="733">
        <f>SUM(K12:K15)</f>
        <v>3</v>
      </c>
      <c r="L16" s="739">
        <f>SUM(L12:L15)</f>
        <v>0</v>
      </c>
      <c r="M16" s="734"/>
      <c r="N16" s="760">
        <f t="shared" si="0"/>
        <v>48</v>
      </c>
      <c r="O16" s="760">
        <f t="shared" si="0"/>
        <v>44</v>
      </c>
      <c r="P16" s="761">
        <f t="shared" si="0"/>
        <v>-4</v>
      </c>
      <c r="R16" s="1171" t="s">
        <v>606</v>
      </c>
      <c r="S16" s="787">
        <v>3331558066</v>
      </c>
      <c r="T16" s="1155" t="s">
        <v>351</v>
      </c>
      <c r="U16" s="787">
        <v>24141202</v>
      </c>
      <c r="V16" s="787" t="s">
        <v>354</v>
      </c>
      <c r="W16" s="1156" t="s">
        <v>362</v>
      </c>
      <c r="X16" s="1155">
        <v>24712.39</v>
      </c>
      <c r="Y16" s="1068" t="s">
        <v>426</v>
      </c>
      <c r="Z16" s="1068">
        <v>1</v>
      </c>
      <c r="AA16" s="1068">
        <v>1</v>
      </c>
      <c r="AB16" s="1067" t="s">
        <v>204</v>
      </c>
      <c r="AC16" s="1176"/>
    </row>
    <row r="17" spans="1:29" ht="17.399999999999999">
      <c r="A17" s="827"/>
      <c r="B17" s="733"/>
      <c r="C17" s="733"/>
      <c r="D17" s="739"/>
      <c r="E17" s="734"/>
      <c r="F17" s="733"/>
      <c r="G17" s="733"/>
      <c r="H17" s="739"/>
      <c r="I17" s="734"/>
      <c r="J17" s="733"/>
      <c r="K17" s="733"/>
      <c r="L17" s="733"/>
      <c r="M17" s="734"/>
      <c r="N17" s="1021"/>
      <c r="O17" s="1021"/>
      <c r="P17" s="1022"/>
      <c r="R17" s="1171" t="s">
        <v>606</v>
      </c>
      <c r="S17" s="1160">
        <v>3331558067</v>
      </c>
      <c r="T17" s="1161" t="s">
        <v>351</v>
      </c>
      <c r="U17" s="1160">
        <v>24141206</v>
      </c>
      <c r="V17" s="1160" t="s">
        <v>354</v>
      </c>
      <c r="W17" s="1162" t="s">
        <v>362</v>
      </c>
      <c r="X17" s="1161">
        <f>8573.598+16127.437</f>
        <v>24701.035</v>
      </c>
      <c r="Y17" s="1068" t="s">
        <v>426</v>
      </c>
      <c r="Z17" s="1068">
        <v>1</v>
      </c>
      <c r="AA17" s="1068">
        <v>1</v>
      </c>
      <c r="AB17" s="1067" t="s">
        <v>204</v>
      </c>
      <c r="AC17" s="1176"/>
    </row>
    <row r="18" spans="1:29" ht="17.399999999999999">
      <c r="A18" s="1520" t="s">
        <v>434</v>
      </c>
      <c r="B18" s="1522" t="s">
        <v>415</v>
      </c>
      <c r="C18" s="1523"/>
      <c r="D18" s="1524"/>
      <c r="E18" s="734"/>
      <c r="F18" s="733"/>
      <c r="G18" s="733"/>
      <c r="H18" s="739"/>
      <c r="I18" s="734"/>
      <c r="J18" s="733"/>
      <c r="K18" s="733"/>
      <c r="L18" s="733"/>
      <c r="M18" s="734"/>
      <c r="N18" s="1021"/>
      <c r="O18" s="1021"/>
      <c r="P18" s="1022"/>
      <c r="R18" s="1171" t="s">
        <v>606</v>
      </c>
      <c r="S18" s="1160">
        <v>3331558068</v>
      </c>
      <c r="T18" s="1161" t="s">
        <v>256</v>
      </c>
      <c r="U18" s="1160" t="s">
        <v>256</v>
      </c>
      <c r="V18" s="1160" t="s">
        <v>256</v>
      </c>
      <c r="W18" s="1162" t="s">
        <v>256</v>
      </c>
      <c r="X18" s="1161" t="s">
        <v>256</v>
      </c>
      <c r="Y18" s="1158" t="s">
        <v>256</v>
      </c>
      <c r="Z18" s="1158" t="s">
        <v>256</v>
      </c>
      <c r="AA18" s="1158" t="s">
        <v>256</v>
      </c>
      <c r="AB18" s="1159" t="s">
        <v>256</v>
      </c>
      <c r="AC18" s="1176"/>
    </row>
    <row r="19" spans="1:29" ht="17.399999999999999">
      <c r="A19" s="1521"/>
      <c r="B19" s="966" t="s">
        <v>419</v>
      </c>
      <c r="C19" s="966" t="s">
        <v>420</v>
      </c>
      <c r="D19" s="967" t="s">
        <v>421</v>
      </c>
      <c r="E19" s="734"/>
      <c r="F19" s="733"/>
      <c r="G19" s="733"/>
      <c r="H19" s="739"/>
      <c r="I19" s="734"/>
      <c r="J19" s="733"/>
      <c r="K19" s="733"/>
      <c r="L19" s="733"/>
      <c r="M19" s="734"/>
      <c r="N19" s="1021"/>
      <c r="O19" s="1021"/>
      <c r="P19" s="1022"/>
      <c r="R19" s="1171" t="s">
        <v>606</v>
      </c>
      <c r="S19" s="1160">
        <v>3331558071</v>
      </c>
      <c r="T19" s="1161" t="s">
        <v>351</v>
      </c>
      <c r="U19" s="1160">
        <v>24141207</v>
      </c>
      <c r="V19" s="1160" t="s">
        <v>607</v>
      </c>
      <c r="W19" s="1162" t="s">
        <v>362</v>
      </c>
      <c r="X19" s="1161">
        <v>24508.366000000002</v>
      </c>
      <c r="Y19" s="1068" t="s">
        <v>426</v>
      </c>
      <c r="Z19" s="1068">
        <v>1</v>
      </c>
      <c r="AA19" s="1068">
        <v>1</v>
      </c>
      <c r="AB19" s="1067" t="s">
        <v>204</v>
      </c>
      <c r="AC19" s="1178"/>
    </row>
    <row r="20" spans="1:29" ht="18">
      <c r="A20" s="968" t="s">
        <v>427</v>
      </c>
      <c r="B20" s="970" cm="1">
        <f t="array" ref="B20">SUMPRODUCT(--((LOWER(TRIM($W$2:$W$260))="ambil sendiri")+(LOWER(TRIM($W$2:$W$260))="cokot sorangan")))</f>
        <v>0</v>
      </c>
      <c r="C20" s="969" cm="1">
        <f t="array" ref="C20">SUMPRODUCT(--(LOWER(AB2:AB286)="masuk"), --((LOWER(TRIM($W$2:$W$286))="cokot sorangan") + (LOWER(TRIM(W2:W286))="ambil sendiri")))</f>
        <v>0</v>
      </c>
      <c r="D20" s="741">
        <f>C20+-B20</f>
        <v>0</v>
      </c>
      <c r="E20" s="734"/>
      <c r="F20" s="733"/>
      <c r="G20" s="733"/>
      <c r="H20" s="739"/>
      <c r="I20" s="734"/>
      <c r="J20" s="733"/>
      <c r="K20" s="733"/>
      <c r="L20" s="733"/>
      <c r="M20" s="734"/>
      <c r="N20" s="1021"/>
      <c r="O20" s="1021"/>
      <c r="P20" s="1022"/>
      <c r="R20" s="1171" t="s">
        <v>606</v>
      </c>
      <c r="S20" s="1160">
        <v>3331558072</v>
      </c>
      <c r="T20" s="1161" t="s">
        <v>351</v>
      </c>
      <c r="U20" s="1160">
        <v>24141208</v>
      </c>
      <c r="V20" s="1160" t="s">
        <v>607</v>
      </c>
      <c r="W20" s="1162" t="s">
        <v>362</v>
      </c>
      <c r="X20" s="1161">
        <v>24508.366000000002</v>
      </c>
      <c r="Y20" s="1068" t="s">
        <v>426</v>
      </c>
      <c r="Z20" s="1068">
        <v>1</v>
      </c>
      <c r="AA20" s="1068">
        <v>1</v>
      </c>
      <c r="AB20" s="1067" t="s">
        <v>204</v>
      </c>
      <c r="AC20" s="1178"/>
    </row>
    <row r="21" spans="1:29" ht="17.399999999999999">
      <c r="A21" s="993"/>
      <c r="B21" s="760">
        <f>SUM(B108:B111)</f>
        <v>0</v>
      </c>
      <c r="C21" s="760">
        <f>SUM(C108:C111)</f>
        <v>0</v>
      </c>
      <c r="D21" s="761">
        <f>SUM(D108:D111)</f>
        <v>0</v>
      </c>
      <c r="E21" s="734"/>
      <c r="F21" s="733"/>
      <c r="G21" s="733"/>
      <c r="H21" s="739"/>
      <c r="I21" s="734"/>
      <c r="J21" s="733"/>
      <c r="K21" s="733"/>
      <c r="L21" s="733"/>
      <c r="M21" s="734"/>
      <c r="N21" s="1021"/>
      <c r="O21" s="1021"/>
      <c r="P21" s="1022"/>
      <c r="R21" s="1171" t="s">
        <v>606</v>
      </c>
      <c r="S21" s="1160">
        <v>3331558073</v>
      </c>
      <c r="T21" s="1161" t="s">
        <v>351</v>
      </c>
      <c r="U21" s="1160">
        <v>24141209</v>
      </c>
      <c r="V21" s="1160" t="s">
        <v>607</v>
      </c>
      <c r="W21" s="1162" t="s">
        <v>362</v>
      </c>
      <c r="X21" s="1161">
        <v>24508.366000000002</v>
      </c>
      <c r="Y21" s="1068" t="s">
        <v>426</v>
      </c>
      <c r="Z21" s="1068">
        <v>1</v>
      </c>
      <c r="AA21" s="1068">
        <v>1</v>
      </c>
      <c r="AB21" s="1067" t="s">
        <v>204</v>
      </c>
      <c r="AC21" s="269"/>
    </row>
    <row r="22" spans="1:29" ht="15.6">
      <c r="R22" s="1171" t="s">
        <v>606</v>
      </c>
      <c r="S22" s="1160">
        <v>3331558136</v>
      </c>
      <c r="T22" s="1161" t="s">
        <v>351</v>
      </c>
      <c r="U22" s="1160">
        <v>24141216</v>
      </c>
      <c r="V22" s="1160" t="s">
        <v>607</v>
      </c>
      <c r="W22" s="1162" t="s">
        <v>362</v>
      </c>
      <c r="X22" s="1161">
        <f>5643.66+19225.644</f>
        <v>24869.304</v>
      </c>
      <c r="Y22" s="1068" t="s">
        <v>426</v>
      </c>
      <c r="Z22" s="1068">
        <v>1</v>
      </c>
      <c r="AA22" s="1068">
        <v>1</v>
      </c>
      <c r="AB22" s="1067" t="s">
        <v>204</v>
      </c>
      <c r="AC22" s="240"/>
    </row>
    <row r="23" spans="1:29" ht="15.6">
      <c r="R23" s="1171" t="s">
        <v>606</v>
      </c>
      <c r="S23" s="1160">
        <v>3331558139</v>
      </c>
      <c r="T23" s="1161" t="s">
        <v>256</v>
      </c>
      <c r="U23" s="1160" t="s">
        <v>256</v>
      </c>
      <c r="V23" s="1160" t="s">
        <v>256</v>
      </c>
      <c r="W23" s="1162" t="s">
        <v>256</v>
      </c>
      <c r="X23" s="1161" t="s">
        <v>256</v>
      </c>
      <c r="Y23" s="1158" t="s">
        <v>256</v>
      </c>
      <c r="Z23" s="1158" t="s">
        <v>256</v>
      </c>
      <c r="AA23" s="1158" t="s">
        <v>256</v>
      </c>
      <c r="AB23" s="1159" t="s">
        <v>256</v>
      </c>
      <c r="AC23" s="240"/>
    </row>
    <row r="24" spans="1:29" ht="15.6">
      <c r="R24" s="1172" t="s">
        <v>600</v>
      </c>
      <c r="S24" s="1163">
        <v>3331559891</v>
      </c>
      <c r="T24" s="1068" t="s">
        <v>608</v>
      </c>
      <c r="U24" s="1163">
        <v>24141410</v>
      </c>
      <c r="V24" s="1163" t="s">
        <v>561</v>
      </c>
      <c r="W24" s="1163" t="s">
        <v>362</v>
      </c>
      <c r="X24" s="1168">
        <v>21035.46</v>
      </c>
      <c r="Y24" s="1163" t="s">
        <v>562</v>
      </c>
      <c r="Z24" s="1068">
        <v>1</v>
      </c>
      <c r="AA24" s="1068">
        <v>1</v>
      </c>
      <c r="AB24" s="1067" t="s">
        <v>204</v>
      </c>
      <c r="AC24" s="269"/>
    </row>
    <row r="25" spans="1:29" ht="15.6">
      <c r="R25" s="1172" t="s">
        <v>606</v>
      </c>
      <c r="S25" s="1163">
        <v>3331559894</v>
      </c>
      <c r="T25" s="1068" t="s">
        <v>608</v>
      </c>
      <c r="U25" s="1163">
        <v>24141413</v>
      </c>
      <c r="V25" s="1163" t="s">
        <v>561</v>
      </c>
      <c r="W25" s="1163" t="s">
        <v>362</v>
      </c>
      <c r="X25" s="1168">
        <v>23051.484</v>
      </c>
      <c r="Y25" s="1163" t="s">
        <v>562</v>
      </c>
      <c r="Z25" s="1068">
        <v>1</v>
      </c>
      <c r="AA25" s="1068">
        <v>1</v>
      </c>
      <c r="AB25" s="1067" t="s">
        <v>204</v>
      </c>
      <c r="AC25" s="269"/>
    </row>
    <row r="26" spans="1:29" ht="15.6">
      <c r="R26" s="1172" t="s">
        <v>606</v>
      </c>
      <c r="S26" s="1163">
        <v>3331559895</v>
      </c>
      <c r="T26" s="1068" t="s">
        <v>608</v>
      </c>
      <c r="U26" s="1163">
        <v>24141414</v>
      </c>
      <c r="V26" s="1163" t="s">
        <v>561</v>
      </c>
      <c r="W26" s="1163" t="s">
        <v>362</v>
      </c>
      <c r="X26" s="1168">
        <v>22879.457999999999</v>
      </c>
      <c r="Y26" s="1163" t="s">
        <v>562</v>
      </c>
      <c r="Z26" s="1068">
        <v>1</v>
      </c>
      <c r="AA26" s="1068">
        <v>1</v>
      </c>
      <c r="AB26" s="1067" t="s">
        <v>204</v>
      </c>
      <c r="AC26" s="240"/>
    </row>
    <row r="27" spans="1:29" ht="15.6">
      <c r="R27" s="1172" t="s">
        <v>606</v>
      </c>
      <c r="S27" s="1163">
        <v>3331559899</v>
      </c>
      <c r="T27" s="1068" t="s">
        <v>608</v>
      </c>
      <c r="U27" s="1163">
        <v>24141415</v>
      </c>
      <c r="V27" s="1163" t="s">
        <v>561</v>
      </c>
      <c r="W27" s="1163" t="s">
        <v>362</v>
      </c>
      <c r="X27" s="1168">
        <v>23344.23</v>
      </c>
      <c r="Y27" s="1163" t="s">
        <v>562</v>
      </c>
      <c r="Z27" s="1068">
        <v>1</v>
      </c>
      <c r="AA27" s="1068">
        <v>1</v>
      </c>
      <c r="AB27" s="1067" t="s">
        <v>204</v>
      </c>
      <c r="AC27" s="240"/>
    </row>
    <row r="28" spans="1:29" ht="15.6">
      <c r="R28" s="1172" t="s">
        <v>606</v>
      </c>
      <c r="S28" s="1163">
        <v>3331559916</v>
      </c>
      <c r="T28" s="1068" t="s">
        <v>206</v>
      </c>
      <c r="U28" s="1163">
        <v>24141420</v>
      </c>
      <c r="V28" s="1163" t="s">
        <v>224</v>
      </c>
      <c r="W28" s="1163" t="s">
        <v>203</v>
      </c>
      <c r="X28" s="1168">
        <v>46447.021000000001</v>
      </c>
      <c r="Y28" s="1163" t="s">
        <v>128</v>
      </c>
      <c r="Z28" s="1068">
        <v>1</v>
      </c>
      <c r="AA28" s="1068">
        <v>1</v>
      </c>
      <c r="AB28" s="1067" t="s">
        <v>204</v>
      </c>
      <c r="AC28" s="1178"/>
    </row>
    <row r="29" spans="1:29" ht="15.6">
      <c r="R29" s="1172" t="s">
        <v>606</v>
      </c>
      <c r="S29" s="1163">
        <v>3331559929</v>
      </c>
      <c r="T29" s="1068" t="s">
        <v>206</v>
      </c>
      <c r="U29" s="1163">
        <v>24141421</v>
      </c>
      <c r="V29" s="1163" t="s">
        <v>224</v>
      </c>
      <c r="W29" s="1163" t="s">
        <v>203</v>
      </c>
      <c r="X29" s="1168">
        <v>45457.870999999999</v>
      </c>
      <c r="Y29" s="1163" t="s">
        <v>128</v>
      </c>
      <c r="Z29" s="1068">
        <v>1</v>
      </c>
      <c r="AA29" s="1068">
        <v>1</v>
      </c>
      <c r="AB29" s="1067" t="s">
        <v>204</v>
      </c>
      <c r="AC29" s="269"/>
    </row>
    <row r="30" spans="1:29" s="44" customFormat="1" ht="15.6">
      <c r="R30" s="1172" t="s">
        <v>606</v>
      </c>
      <c r="S30" s="1163">
        <v>3331559986</v>
      </c>
      <c r="T30" s="1068" t="s">
        <v>148</v>
      </c>
      <c r="U30" s="1163">
        <v>24141422</v>
      </c>
      <c r="V30" s="1163" t="s">
        <v>446</v>
      </c>
      <c r="W30" s="1163" t="s">
        <v>481</v>
      </c>
      <c r="X30" s="1168">
        <v>45656.303999999996</v>
      </c>
      <c r="Y30" s="1163" t="s">
        <v>128</v>
      </c>
      <c r="Z30" s="1068">
        <v>1</v>
      </c>
      <c r="AA30" s="1068">
        <v>1</v>
      </c>
      <c r="AB30" s="1067" t="s">
        <v>204</v>
      </c>
      <c r="AC30" s="269"/>
    </row>
    <row r="31" spans="1:29" s="44" customFormat="1" ht="15.6">
      <c r="R31" s="1172" t="s">
        <v>606</v>
      </c>
      <c r="S31" s="1163">
        <v>3331559988</v>
      </c>
      <c r="T31" s="1153" t="s">
        <v>11</v>
      </c>
      <c r="U31" s="1163">
        <v>24141423</v>
      </c>
      <c r="V31" s="1163" t="s">
        <v>446</v>
      </c>
      <c r="W31" s="1163" t="s">
        <v>481</v>
      </c>
      <c r="X31" s="1168">
        <f>33932.128+12170.84</f>
        <v>46102.967999999993</v>
      </c>
      <c r="Y31" s="1163" t="s">
        <v>128</v>
      </c>
      <c r="Z31" s="1068">
        <v>1</v>
      </c>
      <c r="AA31" s="1068">
        <v>1</v>
      </c>
      <c r="AB31" s="1067" t="s">
        <v>204</v>
      </c>
      <c r="AC31" s="240"/>
    </row>
    <row r="32" spans="1:29" s="44" customFormat="1" ht="15.6">
      <c r="R32" s="1172" t="s">
        <v>606</v>
      </c>
      <c r="S32" s="1163">
        <v>3331559991</v>
      </c>
      <c r="T32" s="1068" t="s">
        <v>256</v>
      </c>
      <c r="U32" s="1163" t="s">
        <v>256</v>
      </c>
      <c r="V32" s="1163" t="s">
        <v>256</v>
      </c>
      <c r="W32" s="1163" t="s">
        <v>256</v>
      </c>
      <c r="X32" s="1168" t="s">
        <v>256</v>
      </c>
      <c r="Y32" s="1163" t="s">
        <v>256</v>
      </c>
      <c r="Z32" s="1068" t="s">
        <v>256</v>
      </c>
      <c r="AA32" s="1068" t="s">
        <v>256</v>
      </c>
      <c r="AB32" s="1067" t="s">
        <v>256</v>
      </c>
      <c r="AC32" s="240"/>
    </row>
    <row r="33" spans="18:29" s="44" customFormat="1" ht="15.6">
      <c r="R33" s="1173" t="s">
        <v>606</v>
      </c>
      <c r="S33" s="1167">
        <v>3331559995</v>
      </c>
      <c r="T33" s="1124" t="s">
        <v>189</v>
      </c>
      <c r="U33" s="1167">
        <v>24141424</v>
      </c>
      <c r="V33" s="1167" t="s">
        <v>901</v>
      </c>
      <c r="W33" s="1167" t="s">
        <v>481</v>
      </c>
      <c r="X33" s="1169">
        <f>37946.069+2451.371</f>
        <v>40397.440000000002</v>
      </c>
      <c r="Y33" s="1167" t="s">
        <v>128</v>
      </c>
      <c r="Z33" s="1096">
        <v>1</v>
      </c>
      <c r="AA33" s="1096">
        <v>1</v>
      </c>
      <c r="AB33" s="1099" t="s">
        <v>207</v>
      </c>
      <c r="AC33" s="240"/>
    </row>
    <row r="34" spans="18:29" s="44" customFormat="1" ht="15.6">
      <c r="R34" s="1173" t="s">
        <v>606</v>
      </c>
      <c r="S34" s="1167">
        <v>3331559996</v>
      </c>
      <c r="T34" s="1096" t="s">
        <v>256</v>
      </c>
      <c r="U34" s="1167" t="s">
        <v>256</v>
      </c>
      <c r="V34" s="1167" t="s">
        <v>256</v>
      </c>
      <c r="W34" s="1167" t="s">
        <v>256</v>
      </c>
      <c r="X34" s="1169" t="s">
        <v>256</v>
      </c>
      <c r="Y34" s="1167" t="s">
        <v>256</v>
      </c>
      <c r="Z34" s="1096" t="s">
        <v>256</v>
      </c>
      <c r="AA34" s="1096" t="s">
        <v>256</v>
      </c>
      <c r="AB34" s="1099" t="s">
        <v>256</v>
      </c>
      <c r="AC34" s="240"/>
    </row>
    <row r="35" spans="18:29" s="44" customFormat="1" ht="15.6">
      <c r="R35" s="1173" t="s">
        <v>606</v>
      </c>
      <c r="S35" s="1167">
        <v>3331560008</v>
      </c>
      <c r="T35" s="1124" t="s">
        <v>189</v>
      </c>
      <c r="U35" s="1167">
        <v>24141425</v>
      </c>
      <c r="V35" s="1167" t="s">
        <v>610</v>
      </c>
      <c r="W35" s="1167" t="s">
        <v>481</v>
      </c>
      <c r="X35" s="1169">
        <v>34598.353999999999</v>
      </c>
      <c r="Y35" s="1167" t="s">
        <v>128</v>
      </c>
      <c r="Z35" s="1096">
        <v>1</v>
      </c>
      <c r="AA35" s="1096">
        <v>1</v>
      </c>
      <c r="AB35" s="1099" t="s">
        <v>207</v>
      </c>
      <c r="AC35" s="240"/>
    </row>
    <row r="36" spans="18:29" s="44" customFormat="1" ht="15.6">
      <c r="R36" s="1173" t="s">
        <v>606</v>
      </c>
      <c r="S36" s="1167">
        <v>3331560047</v>
      </c>
      <c r="T36" s="1124" t="s">
        <v>189</v>
      </c>
      <c r="U36" s="1167">
        <v>24141428</v>
      </c>
      <c r="V36" s="1167" t="s">
        <v>430</v>
      </c>
      <c r="W36" s="1167" t="s">
        <v>481</v>
      </c>
      <c r="X36" s="1169">
        <f>17147.813+23884.458</f>
        <v>41032.270999999993</v>
      </c>
      <c r="Y36" s="1167" t="s">
        <v>128</v>
      </c>
      <c r="Z36" s="1096">
        <v>1</v>
      </c>
      <c r="AA36" s="1096">
        <v>1</v>
      </c>
      <c r="AB36" s="1099" t="s">
        <v>207</v>
      </c>
      <c r="AC36" s="240"/>
    </row>
    <row r="37" spans="18:29" s="44" customFormat="1" ht="15.6">
      <c r="R37" s="1173" t="s">
        <v>606</v>
      </c>
      <c r="S37" s="1167">
        <v>3331560048</v>
      </c>
      <c r="T37" s="1183" t="s">
        <v>256</v>
      </c>
      <c r="U37" s="1167" t="s">
        <v>256</v>
      </c>
      <c r="V37" s="1167" t="s">
        <v>256</v>
      </c>
      <c r="W37" s="1167" t="s">
        <v>256</v>
      </c>
      <c r="X37" s="1169" t="s">
        <v>256</v>
      </c>
      <c r="Y37" s="1167" t="s">
        <v>256</v>
      </c>
      <c r="Z37" s="1182" t="s">
        <v>256</v>
      </c>
      <c r="AA37" s="1182" t="s">
        <v>256</v>
      </c>
      <c r="AB37" s="1099" t="s">
        <v>207</v>
      </c>
      <c r="AC37" s="240"/>
    </row>
    <row r="38" spans="18:29" ht="15.6">
      <c r="R38" s="1172" t="s">
        <v>606</v>
      </c>
      <c r="S38" s="1163">
        <v>3331559923</v>
      </c>
      <c r="T38" s="1068" t="s">
        <v>342</v>
      </c>
      <c r="U38" s="1163">
        <v>24141419</v>
      </c>
      <c r="V38" s="1163" t="s">
        <v>224</v>
      </c>
      <c r="W38" s="1163" t="s">
        <v>203</v>
      </c>
      <c r="X38" s="1168">
        <v>26018.933000000001</v>
      </c>
      <c r="Y38" s="1163" t="s">
        <v>200</v>
      </c>
      <c r="Z38" s="1068">
        <v>1</v>
      </c>
      <c r="AA38" s="1068">
        <v>1</v>
      </c>
      <c r="AB38" s="1067" t="s">
        <v>204</v>
      </c>
      <c r="AC38" s="240"/>
    </row>
    <row r="39" spans="18:29" ht="15.6">
      <c r="R39" s="1172" t="s">
        <v>606</v>
      </c>
      <c r="S39" s="1163">
        <v>3331559924</v>
      </c>
      <c r="T39" s="1068" t="s">
        <v>342</v>
      </c>
      <c r="U39" s="1163">
        <v>24141418</v>
      </c>
      <c r="V39" s="1163" t="s">
        <v>224</v>
      </c>
      <c r="W39" s="1163" t="s">
        <v>203</v>
      </c>
      <c r="X39" s="1168">
        <v>27137.100999999999</v>
      </c>
      <c r="Y39" s="1163" t="s">
        <v>200</v>
      </c>
      <c r="Z39" s="1068">
        <v>1</v>
      </c>
      <c r="AA39" s="1068">
        <v>1</v>
      </c>
      <c r="AB39" s="1067" t="s">
        <v>204</v>
      </c>
      <c r="AC39" s="240"/>
    </row>
    <row r="40" spans="18:29" ht="15.6">
      <c r="R40" s="1173" t="s">
        <v>606</v>
      </c>
      <c r="S40" s="1167">
        <v>3331559928</v>
      </c>
      <c r="T40" s="1096" t="s">
        <v>342</v>
      </c>
      <c r="U40" s="1182">
        <v>24141417</v>
      </c>
      <c r="V40" s="1167" t="s">
        <v>224</v>
      </c>
      <c r="W40" s="1167" t="s">
        <v>203</v>
      </c>
      <c r="X40" s="1169">
        <v>22578.413</v>
      </c>
      <c r="Y40" s="1167" t="s">
        <v>200</v>
      </c>
      <c r="Z40" s="1096">
        <v>1</v>
      </c>
      <c r="AA40" s="1096">
        <v>1</v>
      </c>
      <c r="AB40" s="1099" t="s">
        <v>207</v>
      </c>
      <c r="AC40" s="240"/>
    </row>
    <row r="41" spans="18:29">
      <c r="R41" s="1174" t="s">
        <v>600</v>
      </c>
      <c r="S41" s="105">
        <v>3331559467</v>
      </c>
      <c r="T41" s="1102" t="s">
        <v>11</v>
      </c>
      <c r="U41" s="105">
        <v>24141399</v>
      </c>
      <c r="V41" s="105" t="s">
        <v>368</v>
      </c>
      <c r="W41" s="105" t="s">
        <v>199</v>
      </c>
      <c r="X41" s="209">
        <f>3168.898+4792.584+9697.41+4912.299</f>
        <v>22571.190999999999</v>
      </c>
      <c r="Y41" s="105" t="s">
        <v>200</v>
      </c>
      <c r="Z41" s="105">
        <v>1</v>
      </c>
      <c r="AA41" s="105">
        <v>1</v>
      </c>
      <c r="AB41" s="105" t="s">
        <v>204</v>
      </c>
      <c r="AC41" s="269"/>
    </row>
    <row r="42" spans="18:29">
      <c r="R42" s="1174" t="s">
        <v>600</v>
      </c>
      <c r="S42" s="105">
        <v>3331559658</v>
      </c>
      <c r="T42" s="105" t="s">
        <v>256</v>
      </c>
      <c r="U42" s="105" t="s">
        <v>256</v>
      </c>
      <c r="V42" s="105" t="s">
        <v>256</v>
      </c>
      <c r="W42" s="105" t="s">
        <v>256</v>
      </c>
      <c r="X42" s="209" t="s">
        <v>256</v>
      </c>
      <c r="Y42" s="105" t="s">
        <v>256</v>
      </c>
      <c r="Z42" s="105" t="s">
        <v>256</v>
      </c>
      <c r="AA42" s="105" t="s">
        <v>256</v>
      </c>
      <c r="AB42" s="105" t="s">
        <v>256</v>
      </c>
      <c r="AC42" s="269"/>
    </row>
    <row r="43" spans="18:29">
      <c r="R43" s="1174" t="s">
        <v>452</v>
      </c>
      <c r="S43" s="105">
        <v>3331559660</v>
      </c>
      <c r="T43" s="105" t="s">
        <v>256</v>
      </c>
      <c r="U43" s="105" t="s">
        <v>256</v>
      </c>
      <c r="V43" s="105" t="s">
        <v>256</v>
      </c>
      <c r="W43" s="105" t="s">
        <v>256</v>
      </c>
      <c r="X43" s="209" t="s">
        <v>256</v>
      </c>
      <c r="Y43" s="105" t="s">
        <v>256</v>
      </c>
      <c r="Z43" s="105" t="s">
        <v>256</v>
      </c>
      <c r="AA43" s="105" t="s">
        <v>256</v>
      </c>
      <c r="AB43" s="105" t="s">
        <v>256</v>
      </c>
      <c r="AC43" s="269"/>
    </row>
    <row r="44" spans="18:29">
      <c r="R44" s="1174" t="s">
        <v>452</v>
      </c>
      <c r="S44" s="105">
        <v>3331559661</v>
      </c>
      <c r="T44" s="105" t="s">
        <v>256</v>
      </c>
      <c r="U44" s="105" t="s">
        <v>256</v>
      </c>
      <c r="V44" s="105" t="s">
        <v>256</v>
      </c>
      <c r="W44" s="105" t="s">
        <v>256</v>
      </c>
      <c r="X44" s="209" t="s">
        <v>256</v>
      </c>
      <c r="Y44" s="105" t="s">
        <v>256</v>
      </c>
      <c r="Z44" s="105" t="s">
        <v>256</v>
      </c>
      <c r="AA44" s="105" t="s">
        <v>256</v>
      </c>
      <c r="AB44" s="105" t="s">
        <v>256</v>
      </c>
      <c r="AC44" s="269"/>
    </row>
    <row r="45" spans="18:29">
      <c r="R45" s="1174" t="s">
        <v>600</v>
      </c>
      <c r="S45" s="105">
        <v>3331559868</v>
      </c>
      <c r="T45" s="1102" t="s">
        <v>34</v>
      </c>
      <c r="U45" s="105">
        <v>24141400</v>
      </c>
      <c r="V45" s="105" t="s">
        <v>256</v>
      </c>
      <c r="W45" s="105" t="s">
        <v>199</v>
      </c>
      <c r="X45" s="209">
        <v>26793.05</v>
      </c>
      <c r="Y45" s="105" t="s">
        <v>200</v>
      </c>
      <c r="Z45" s="105">
        <v>1</v>
      </c>
      <c r="AA45" s="105">
        <v>1</v>
      </c>
      <c r="AB45" s="105" t="s">
        <v>204</v>
      </c>
      <c r="AC45" s="1178"/>
    </row>
    <row r="46" spans="18:29">
      <c r="R46" s="1174" t="s">
        <v>452</v>
      </c>
      <c r="S46" s="105">
        <v>3331559869</v>
      </c>
      <c r="T46" s="1102" t="s">
        <v>34</v>
      </c>
      <c r="U46" s="105">
        <v>24141401</v>
      </c>
      <c r="V46" s="105" t="s">
        <v>219</v>
      </c>
      <c r="W46" s="105" t="s">
        <v>199</v>
      </c>
      <c r="X46" s="209">
        <v>26147.951000000001</v>
      </c>
      <c r="Y46" s="105" t="s">
        <v>200</v>
      </c>
      <c r="Z46" s="105">
        <v>1</v>
      </c>
      <c r="AA46" s="105">
        <v>1</v>
      </c>
      <c r="AB46" s="105" t="s">
        <v>204</v>
      </c>
      <c r="AC46" s="1178"/>
    </row>
    <row r="47" spans="18:29">
      <c r="R47" s="1174" t="s">
        <v>600</v>
      </c>
      <c r="S47" s="105">
        <v>3331559872</v>
      </c>
      <c r="T47" s="1102" t="s">
        <v>682</v>
      </c>
      <c r="U47" s="105">
        <v>24141402</v>
      </c>
      <c r="V47" s="105" t="s">
        <v>366</v>
      </c>
      <c r="W47" s="105" t="s">
        <v>199</v>
      </c>
      <c r="X47" s="209">
        <v>26023.901000000002</v>
      </c>
      <c r="Y47" s="105" t="s">
        <v>200</v>
      </c>
      <c r="Z47" s="105">
        <v>1</v>
      </c>
      <c r="AA47" s="105">
        <v>1</v>
      </c>
      <c r="AB47" s="105" t="s">
        <v>204</v>
      </c>
      <c r="AC47" s="1178"/>
    </row>
    <row r="48" spans="18:29">
      <c r="R48" s="1174" t="s">
        <v>600</v>
      </c>
      <c r="S48" s="105">
        <v>3331559874</v>
      </c>
      <c r="T48" s="1102" t="s">
        <v>34</v>
      </c>
      <c r="U48" s="105">
        <v>24141403</v>
      </c>
      <c r="V48" s="105" t="s">
        <v>366</v>
      </c>
      <c r="W48" s="105" t="s">
        <v>199</v>
      </c>
      <c r="X48" s="209">
        <v>26760.018</v>
      </c>
      <c r="Y48" s="105" t="s">
        <v>200</v>
      </c>
      <c r="Z48" s="105">
        <v>1</v>
      </c>
      <c r="AA48" s="105">
        <v>1</v>
      </c>
      <c r="AB48" s="105" t="s">
        <v>204</v>
      </c>
      <c r="AC48" s="1178"/>
    </row>
    <row r="49" spans="18:29">
      <c r="R49" s="1174" t="s">
        <v>606</v>
      </c>
      <c r="S49" s="105">
        <v>3331559877</v>
      </c>
      <c r="T49" s="1102" t="s">
        <v>682</v>
      </c>
      <c r="U49" s="105">
        <v>24141404</v>
      </c>
      <c r="V49" s="105" t="s">
        <v>150</v>
      </c>
      <c r="W49" s="105" t="s">
        <v>199</v>
      </c>
      <c r="X49" s="209">
        <v>22321.128000000001</v>
      </c>
      <c r="Y49" s="105" t="s">
        <v>200</v>
      </c>
      <c r="Z49" s="105">
        <v>1</v>
      </c>
      <c r="AA49" s="105">
        <v>1</v>
      </c>
      <c r="AB49" s="105" t="s">
        <v>204</v>
      </c>
      <c r="AC49" s="1178"/>
    </row>
    <row r="50" spans="18:29">
      <c r="R50" s="1174" t="s">
        <v>606</v>
      </c>
      <c r="S50" s="105">
        <v>3331559878</v>
      </c>
      <c r="T50" s="1102" t="s">
        <v>462</v>
      </c>
      <c r="U50" s="105">
        <v>24141405</v>
      </c>
      <c r="V50" s="105" t="s">
        <v>150</v>
      </c>
      <c r="W50" s="105" t="s">
        <v>199</v>
      </c>
      <c r="X50" s="209">
        <v>26673.416000000001</v>
      </c>
      <c r="Y50" s="105" t="s">
        <v>200</v>
      </c>
      <c r="Z50" s="105">
        <v>1</v>
      </c>
      <c r="AA50" s="105">
        <v>1</v>
      </c>
      <c r="AB50" s="105" t="s">
        <v>204</v>
      </c>
      <c r="AC50" s="1178"/>
    </row>
    <row r="51" spans="18:29">
      <c r="R51" s="1174" t="s">
        <v>600</v>
      </c>
      <c r="S51" s="105">
        <v>3331559881</v>
      </c>
      <c r="T51" s="1102" t="s">
        <v>34</v>
      </c>
      <c r="U51" s="105">
        <v>24141406</v>
      </c>
      <c r="V51" s="105" t="s">
        <v>571</v>
      </c>
      <c r="W51" s="105" t="s">
        <v>199</v>
      </c>
      <c r="X51" s="209">
        <v>26067.202000000001</v>
      </c>
      <c r="Y51" s="105" t="s">
        <v>200</v>
      </c>
      <c r="Z51" s="105">
        <v>1</v>
      </c>
      <c r="AA51" s="105">
        <v>1</v>
      </c>
      <c r="AB51" s="105" t="s">
        <v>204</v>
      </c>
      <c r="AC51" s="269"/>
    </row>
    <row r="52" spans="18:29">
      <c r="R52" s="1174" t="s">
        <v>600</v>
      </c>
      <c r="S52" s="105">
        <v>3331559882</v>
      </c>
      <c r="T52" s="1102" t="s">
        <v>34</v>
      </c>
      <c r="U52" s="105">
        <v>24141407</v>
      </c>
      <c r="V52" s="105" t="s">
        <v>572</v>
      </c>
      <c r="W52" s="105" t="s">
        <v>199</v>
      </c>
      <c r="X52" s="209">
        <v>23382.54</v>
      </c>
      <c r="Y52" s="105" t="s">
        <v>200</v>
      </c>
      <c r="Z52" s="105">
        <v>1</v>
      </c>
      <c r="AA52" s="105">
        <v>1</v>
      </c>
      <c r="AB52" s="105" t="s">
        <v>204</v>
      </c>
      <c r="AC52" s="269"/>
    </row>
    <row r="53" spans="18:29">
      <c r="R53" s="1174" t="s">
        <v>606</v>
      </c>
      <c r="S53" s="105">
        <v>3331559883</v>
      </c>
      <c r="T53" s="1102" t="s">
        <v>27</v>
      </c>
      <c r="U53" s="105">
        <v>24141408</v>
      </c>
      <c r="V53" s="105" t="s">
        <v>150</v>
      </c>
      <c r="W53" s="105" t="s">
        <v>199</v>
      </c>
      <c r="X53" s="209">
        <f>11372.83+14549.136</f>
        <v>25921.966</v>
      </c>
      <c r="Y53" s="105" t="s">
        <v>200</v>
      </c>
      <c r="Z53" s="105">
        <v>1</v>
      </c>
      <c r="AA53" s="105">
        <v>1</v>
      </c>
      <c r="AB53" s="105" t="s">
        <v>204</v>
      </c>
      <c r="AC53" s="1178"/>
    </row>
    <row r="54" spans="18:29">
      <c r="R54" s="1174" t="s">
        <v>606</v>
      </c>
      <c r="S54" s="105">
        <v>3331559886</v>
      </c>
      <c r="T54" s="105" t="s">
        <v>256</v>
      </c>
      <c r="U54" s="105" t="s">
        <v>256</v>
      </c>
      <c r="V54" s="105" t="s">
        <v>256</v>
      </c>
      <c r="W54" s="105" t="s">
        <v>256</v>
      </c>
      <c r="X54" s="209" t="s">
        <v>256</v>
      </c>
      <c r="Y54" s="105" t="s">
        <v>256</v>
      </c>
      <c r="Z54" s="105" t="s">
        <v>256</v>
      </c>
      <c r="AA54" s="105" t="s">
        <v>256</v>
      </c>
      <c r="AB54" s="105" t="s">
        <v>256</v>
      </c>
      <c r="AC54" s="1178"/>
    </row>
    <row r="55" spans="18:29">
      <c r="R55" s="1174" t="s">
        <v>606</v>
      </c>
      <c r="S55" s="105">
        <v>3331559892</v>
      </c>
      <c r="T55" s="1102" t="s">
        <v>682</v>
      </c>
      <c r="U55" s="105">
        <v>24141409</v>
      </c>
      <c r="V55" s="105" t="s">
        <v>158</v>
      </c>
      <c r="W55" s="105" t="s">
        <v>199</v>
      </c>
      <c r="X55" s="209">
        <v>25892.428</v>
      </c>
      <c r="Y55" s="105" t="s">
        <v>200</v>
      </c>
      <c r="Z55" s="105">
        <v>1</v>
      </c>
      <c r="AA55" s="105">
        <v>1</v>
      </c>
      <c r="AB55" s="105" t="s">
        <v>204</v>
      </c>
      <c r="AC55" s="269"/>
    </row>
    <row r="56" spans="18:29">
      <c r="R56" s="1174" t="s">
        <v>606</v>
      </c>
      <c r="S56" s="105">
        <v>3331559893</v>
      </c>
      <c r="T56" s="1102" t="s">
        <v>34</v>
      </c>
      <c r="U56" s="105">
        <v>24141411</v>
      </c>
      <c r="V56" s="105" t="s">
        <v>158</v>
      </c>
      <c r="W56" s="105" t="s">
        <v>199</v>
      </c>
      <c r="X56" s="209">
        <v>24773.756000000001</v>
      </c>
      <c r="Y56" s="105" t="s">
        <v>200</v>
      </c>
      <c r="Z56" s="105">
        <v>1</v>
      </c>
      <c r="AA56" s="105">
        <v>1</v>
      </c>
      <c r="AB56" s="105" t="s">
        <v>204</v>
      </c>
      <c r="AC56" s="269"/>
    </row>
    <row r="57" spans="18:29">
      <c r="R57" s="1174" t="s">
        <v>606</v>
      </c>
      <c r="S57" s="105">
        <v>3331559898</v>
      </c>
      <c r="T57" s="1102" t="s">
        <v>682</v>
      </c>
      <c r="U57" s="105">
        <v>24141412</v>
      </c>
      <c r="V57" s="105" t="s">
        <v>158</v>
      </c>
      <c r="W57" s="105" t="s">
        <v>199</v>
      </c>
      <c r="X57" s="209">
        <v>26364.241000000002</v>
      </c>
      <c r="Y57" s="105" t="s">
        <v>200</v>
      </c>
      <c r="Z57" s="105">
        <v>1</v>
      </c>
      <c r="AA57" s="105">
        <v>1</v>
      </c>
      <c r="AB57" s="105" t="s">
        <v>204</v>
      </c>
      <c r="AC57" s="1178"/>
    </row>
    <row r="58" spans="18:29">
      <c r="R58" s="1174" t="s">
        <v>606</v>
      </c>
      <c r="S58" s="105">
        <v>3331560004</v>
      </c>
      <c r="T58" s="105" t="s">
        <v>34</v>
      </c>
      <c r="U58" s="105">
        <v>24141426</v>
      </c>
      <c r="V58" s="105" t="s">
        <v>902</v>
      </c>
      <c r="W58" s="105" t="s">
        <v>199</v>
      </c>
      <c r="X58" s="1186">
        <f>24141426+17571.42</f>
        <v>24158997.420000002</v>
      </c>
      <c r="Y58" s="105" t="s">
        <v>200</v>
      </c>
      <c r="Z58" s="105">
        <v>1</v>
      </c>
      <c r="AA58" s="105">
        <v>1</v>
      </c>
      <c r="AB58" s="105" t="s">
        <v>204</v>
      </c>
      <c r="AC58" s="240"/>
    </row>
    <row r="59" spans="18:29">
      <c r="R59" s="1174" t="s">
        <v>606</v>
      </c>
      <c r="S59" s="105">
        <v>3331560005</v>
      </c>
      <c r="T59" s="105" t="s">
        <v>256</v>
      </c>
      <c r="U59" s="105" t="s">
        <v>256</v>
      </c>
      <c r="V59" s="105" t="s">
        <v>256</v>
      </c>
      <c r="W59" s="105" t="s">
        <v>256</v>
      </c>
      <c r="X59" s="209" t="s">
        <v>256</v>
      </c>
      <c r="Y59" s="105" t="s">
        <v>256</v>
      </c>
      <c r="Z59" s="105" t="s">
        <v>256</v>
      </c>
      <c r="AA59" s="105" t="s">
        <v>256</v>
      </c>
      <c r="AB59" s="105" t="s">
        <v>256</v>
      </c>
      <c r="AC59" s="240"/>
    </row>
    <row r="60" spans="18:29">
      <c r="R60" s="1184" t="s">
        <v>606</v>
      </c>
      <c r="S60" s="151">
        <v>3331560014</v>
      </c>
      <c r="T60" s="151" t="s">
        <v>117</v>
      </c>
      <c r="U60" s="151">
        <v>24141427</v>
      </c>
      <c r="V60" s="151" t="s">
        <v>135</v>
      </c>
      <c r="W60" s="151" t="s">
        <v>199</v>
      </c>
      <c r="X60" s="207">
        <v>25808.781999999999</v>
      </c>
      <c r="Y60" s="151" t="s">
        <v>200</v>
      </c>
      <c r="Z60" s="151">
        <v>1</v>
      </c>
      <c r="AA60" s="151">
        <v>1</v>
      </c>
      <c r="AB60" s="151" t="s">
        <v>204</v>
      </c>
      <c r="AC60" s="181"/>
    </row>
    <row r="61" spans="18:29">
      <c r="R61" s="1184" t="s">
        <v>606</v>
      </c>
      <c r="S61" s="151">
        <v>3331560049</v>
      </c>
      <c r="T61" s="151" t="s">
        <v>682</v>
      </c>
      <c r="U61" s="151">
        <v>24141429</v>
      </c>
      <c r="V61" s="151" t="s">
        <v>131</v>
      </c>
      <c r="W61" s="151" t="s">
        <v>199</v>
      </c>
      <c r="X61" s="207">
        <v>26918.322</v>
      </c>
      <c r="Y61" s="151" t="s">
        <v>200</v>
      </c>
      <c r="Z61" s="151">
        <v>1</v>
      </c>
      <c r="AA61" s="151">
        <v>1</v>
      </c>
      <c r="AB61" s="151" t="s">
        <v>204</v>
      </c>
      <c r="AC61" s="181"/>
    </row>
    <row r="62" spans="18:29"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8:29"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8:29"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8:29"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8:29"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8:29"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8:29"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8:29"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8:29"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8:29"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8:29"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8:29"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8:29"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8:29"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</sheetData>
  <protectedRanges>
    <protectedRange algorithmName="SHA-512" hashValue="24Yg3M703G5L8OyJWxlkx8c1Gwfrkael5W/l3TUk/Rcz5tR8QOgCx5v0Ebb/UGz+9BDKPJ5wV4hH8uuxvmtGIw==" saltValue="ZSJQ8EEnwGxsiYzxIw6K0Q==" spinCount="100000" sqref="N4:N8 O4:P21 B4:D17 N10:N21 E4:M21" name="Range1_65_32_32_30_30_30_30"/>
    <protectedRange algorithmName="SHA-512" hashValue="XYWjC+iAz2ErgjMh7TSLHlxfTfK0uVcITDFdCCZFdnsWWbUNnsQqu9AM+0WFXQpYcy9ZvQx2KUXfpLhpOROHkg==" saltValue="47TiGLG0rJVTo3iAJH8T4w==" spinCount="100000" sqref="B20:D21" name="Range2_5_2_2_2_2_2_2"/>
    <protectedRange algorithmName="SHA-512" hashValue="24Yg3M703G5L8OyJWxlkx8c1Gwfrkael5W/l3TUk/Rcz5tR8QOgCx5v0Ebb/UGz+9BDKPJ5wV4hH8uuxvmtGIw==" saltValue="ZSJQ8EEnwGxsiYzxIw6K0Q==" spinCount="100000" sqref="B18:D21" name="Range1_65_32_2_2_2_2_2"/>
  </protectedRanges>
  <mergeCells count="22">
    <mergeCell ref="A3:A4"/>
    <mergeCell ref="B3:D3"/>
    <mergeCell ref="F3:H3"/>
    <mergeCell ref="J3:L3"/>
    <mergeCell ref="N3:P3"/>
    <mergeCell ref="F1:H1"/>
    <mergeCell ref="J1:L1"/>
    <mergeCell ref="N1:P2"/>
    <mergeCell ref="F2:H2"/>
    <mergeCell ref="J2:L2"/>
    <mergeCell ref="A18:A19"/>
    <mergeCell ref="B18:D18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</mergeCell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CD5C-CB85-494D-BC8E-D3167A4F63D9}">
  <dimension ref="A1:AG278"/>
  <sheetViews>
    <sheetView showGridLines="0" topLeftCell="N1" zoomScale="55" zoomScaleNormal="55" workbookViewId="0">
      <selection activeCell="U96" sqref="U96"/>
    </sheetView>
  </sheetViews>
  <sheetFormatPr defaultRowHeight="14.4"/>
  <cols>
    <col min="1" max="1" width="42" bestFit="1" customWidth="1"/>
    <col min="2" max="4" width="15.88671875" customWidth="1"/>
    <col min="5" max="5" width="9.109375" bestFit="1" customWidth="1"/>
    <col min="6" max="8" width="13.44140625" customWidth="1"/>
    <col min="9" max="9" width="9.109375" bestFit="1" customWidth="1"/>
    <col min="10" max="12" width="16.88671875" customWidth="1"/>
    <col min="13" max="13" width="9.109375" bestFit="1" customWidth="1"/>
    <col min="14" max="14" width="27" customWidth="1"/>
    <col min="15" max="16" width="23.109375" customWidth="1"/>
    <col min="17" max="17" width="9.109375" bestFit="1" customWidth="1"/>
    <col min="18" max="18" width="12" bestFit="1" customWidth="1"/>
    <col min="19" max="19" width="13.88671875" bestFit="1" customWidth="1"/>
    <col min="20" max="20" width="18.33203125" bestFit="1" customWidth="1"/>
    <col min="21" max="21" width="15.88671875" customWidth="1"/>
    <col min="22" max="22" width="53" customWidth="1"/>
    <col min="23" max="23" width="29.109375" bestFit="1" customWidth="1"/>
    <col min="24" max="24" width="18.33203125" bestFit="1" customWidth="1"/>
    <col min="25" max="25" width="23.33203125" bestFit="1" customWidth="1"/>
    <col min="26" max="26" width="14.6640625" bestFit="1" customWidth="1"/>
    <col min="27" max="27" width="17.109375" bestFit="1" customWidth="1"/>
    <col min="28" max="28" width="15.88671875" bestFit="1" customWidth="1"/>
    <col min="29" max="29" width="8.6640625" style="609" bestFit="1" customWidth="1"/>
    <col min="30" max="30" width="35.44140625" bestFit="1" customWidth="1"/>
    <col min="31" max="31" width="9.109375" bestFit="1" customWidth="1"/>
  </cols>
  <sheetData>
    <row r="1" spans="1:33" ht="17.399999999999999">
      <c r="A1" s="1211" t="s">
        <v>903</v>
      </c>
      <c r="B1" s="733"/>
      <c r="C1" s="733"/>
      <c r="D1" s="733"/>
      <c r="E1" s="734"/>
      <c r="F1" s="1525" t="s">
        <v>403</v>
      </c>
      <c r="G1" s="1525"/>
      <c r="H1" s="1525"/>
      <c r="I1" s="734"/>
      <c r="J1" s="1525" t="s">
        <v>404</v>
      </c>
      <c r="K1" s="1525"/>
      <c r="L1" s="1525"/>
      <c r="M1" s="734"/>
      <c r="N1" s="1526" t="s">
        <v>405</v>
      </c>
      <c r="O1" s="1526"/>
      <c r="P1" s="1526"/>
      <c r="R1" s="1280" t="s">
        <v>1</v>
      </c>
      <c r="S1" s="1255" t="s">
        <v>2</v>
      </c>
      <c r="T1" s="1255" t="s">
        <v>3</v>
      </c>
      <c r="U1" s="1255" t="s">
        <v>211</v>
      </c>
      <c r="V1" s="1255" t="s">
        <v>5</v>
      </c>
      <c r="W1" s="1255" t="s">
        <v>194</v>
      </c>
      <c r="X1" s="1255" t="s">
        <v>212</v>
      </c>
      <c r="Y1" s="1255" t="s">
        <v>213</v>
      </c>
      <c r="Z1" s="1255" t="s">
        <v>406</v>
      </c>
      <c r="AA1" s="1255" t="s">
        <v>215</v>
      </c>
      <c r="AB1" s="1255" t="s">
        <v>216</v>
      </c>
      <c r="AC1" s="1327" t="s">
        <v>407</v>
      </c>
      <c r="AD1" s="1328" t="s">
        <v>408</v>
      </c>
    </row>
    <row r="2" spans="1:33" s="1242" customFormat="1" ht="17.399999999999999">
      <c r="A2" s="762" t="s">
        <v>904</v>
      </c>
      <c r="B2" s="733"/>
      <c r="C2" s="733"/>
      <c r="D2" s="733"/>
      <c r="E2" s="735"/>
      <c r="F2" s="1536" t="s">
        <v>905</v>
      </c>
      <c r="G2" s="1536"/>
      <c r="H2" s="1536"/>
      <c r="I2" s="742"/>
      <c r="J2" s="1525" t="s">
        <v>906</v>
      </c>
      <c r="K2" s="1525"/>
      <c r="L2" s="1525"/>
      <c r="M2" s="735"/>
      <c r="N2" s="1535"/>
      <c r="O2" s="1535"/>
      <c r="P2" s="1535"/>
      <c r="R2" s="1209" t="s">
        <v>443</v>
      </c>
      <c r="S2" s="1209">
        <v>3331563747</v>
      </c>
      <c r="T2" s="1264" t="s">
        <v>351</v>
      </c>
      <c r="U2" s="1264">
        <v>24141844</v>
      </c>
      <c r="V2" s="1209" t="s">
        <v>687</v>
      </c>
      <c r="W2" s="1264" t="s">
        <v>362</v>
      </c>
      <c r="X2" s="1203">
        <v>24712.39</v>
      </c>
      <c r="Y2" s="1202" t="s">
        <v>426</v>
      </c>
      <c r="Z2" s="1202">
        <v>1</v>
      </c>
      <c r="AA2" s="1202">
        <v>1</v>
      </c>
      <c r="AB2" s="1244" t="s">
        <v>204</v>
      </c>
      <c r="AC2" s="1217"/>
      <c r="AD2" s="1326"/>
      <c r="AE2" s="1243"/>
      <c r="AF2" s="1243"/>
      <c r="AG2" s="1243"/>
    </row>
    <row r="3" spans="1:33" ht="17.399999999999999">
      <c r="A3" s="1537" t="s">
        <v>414</v>
      </c>
      <c r="B3" s="1539" t="s">
        <v>415</v>
      </c>
      <c r="C3" s="1539"/>
      <c r="D3" s="1540"/>
      <c r="E3" s="734"/>
      <c r="F3" s="1541" t="s">
        <v>416</v>
      </c>
      <c r="G3" s="1539"/>
      <c r="H3" s="1540"/>
      <c r="I3" s="734"/>
      <c r="J3" s="1541" t="s">
        <v>416</v>
      </c>
      <c r="K3" s="1539"/>
      <c r="L3" s="1542"/>
      <c r="M3" s="734"/>
      <c r="N3" s="1541" t="s">
        <v>417</v>
      </c>
      <c r="O3" s="1539"/>
      <c r="P3" s="1540"/>
      <c r="R3" s="1252" t="s">
        <v>822</v>
      </c>
      <c r="S3" s="1209">
        <v>3331564538</v>
      </c>
      <c r="T3" s="1264" t="s">
        <v>459</v>
      </c>
      <c r="U3" s="1202">
        <v>24141944</v>
      </c>
      <c r="V3" s="1202" t="s">
        <v>824</v>
      </c>
      <c r="W3" s="1202" t="s">
        <v>203</v>
      </c>
      <c r="X3" s="1203">
        <v>27919.518</v>
      </c>
      <c r="Y3" s="1202" t="s">
        <v>426</v>
      </c>
      <c r="Z3" s="1202">
        <v>1</v>
      </c>
      <c r="AA3" s="1202">
        <v>87</v>
      </c>
      <c r="AB3" s="1208" t="s">
        <v>204</v>
      </c>
      <c r="AC3" s="1271"/>
      <c r="AD3" s="81"/>
      <c r="AE3" s="44"/>
      <c r="AF3" s="44"/>
      <c r="AG3" s="44"/>
    </row>
    <row r="4" spans="1:33" ht="23.25" customHeight="1">
      <c r="A4" s="1538"/>
      <c r="B4" s="1300" t="s">
        <v>419</v>
      </c>
      <c r="C4" s="1300" t="s">
        <v>420</v>
      </c>
      <c r="D4" s="1301" t="s">
        <v>421</v>
      </c>
      <c r="E4" s="734"/>
      <c r="F4" s="1305" t="s">
        <v>422</v>
      </c>
      <c r="G4" s="1300" t="s">
        <v>420</v>
      </c>
      <c r="H4" s="1301" t="s">
        <v>421</v>
      </c>
      <c r="I4" s="734"/>
      <c r="J4" s="1305" t="s">
        <v>310</v>
      </c>
      <c r="K4" s="1300" t="s">
        <v>420</v>
      </c>
      <c r="L4" s="1301" t="s">
        <v>421</v>
      </c>
      <c r="M4" s="734"/>
      <c r="N4" s="1307" t="s">
        <v>423</v>
      </c>
      <c r="O4" s="1300" t="s">
        <v>420</v>
      </c>
      <c r="P4" s="1301" t="s">
        <v>421</v>
      </c>
      <c r="R4" s="1252" t="s">
        <v>822</v>
      </c>
      <c r="S4" s="1209">
        <v>3331564541</v>
      </c>
      <c r="T4" s="1264" t="s">
        <v>441</v>
      </c>
      <c r="U4" s="1202">
        <v>24141946</v>
      </c>
      <c r="V4" s="1202" t="s">
        <v>446</v>
      </c>
      <c r="W4" s="1202" t="s">
        <v>205</v>
      </c>
      <c r="X4" s="1203">
        <v>40959.29</v>
      </c>
      <c r="Y4" s="1202" t="s">
        <v>128</v>
      </c>
      <c r="Z4" s="1202">
        <v>1</v>
      </c>
      <c r="AA4" s="1202">
        <v>1</v>
      </c>
      <c r="AB4" s="1208" t="s">
        <v>204</v>
      </c>
      <c r="AC4" s="1271"/>
      <c r="AD4" s="81"/>
      <c r="AE4" s="44"/>
      <c r="AF4" s="44"/>
      <c r="AG4" s="44"/>
    </row>
    <row r="5" spans="1:33" ht="18">
      <c r="A5" s="1302" t="s">
        <v>427</v>
      </c>
      <c r="B5" s="1303" cm="1">
        <f t="array" ref="B5">SUMPRODUCT(--ISNUMBER(MATCH(TRIM(W1:W422), {"JABODETABEK","JAWA TENGAH","JAWA TIMUR","LUAR PULAU"}, 0)), --(AC1:AC422=""))</f>
        <v>82</v>
      </c>
      <c r="C5" s="1303" cm="1">
        <f t="array" ref="C5">SUMPRODUCT(--(LOWER(TRIM(AB1:AB448))="masuk"), --(ISNUMBER(MATCH(TRIM(W1:W448), {"JABODETABEK","JAWA TENGAH","JAWA TIMUR","LUAR PULAU"}, 0))), --(LOWER(AC1:AC448)&lt;&gt;"add"))</f>
        <v>76</v>
      </c>
      <c r="D5" s="1304">
        <f>C5+-B5</f>
        <v>-6</v>
      </c>
      <c r="E5" s="734"/>
      <c r="F5" s="1306" cm="1">
        <f t="array" ref="F5">SUMPRODUCT(--(LOWER(AC1:AC448)="add"), --(ISNUMBER(MATCH(W1:W448, {"JABODETABEK","JAWA TENGAH","JAWA TIMUR","LUAR PULAU"}, 0))))</f>
        <v>0</v>
      </c>
      <c r="G5" s="1303" cm="1">
        <f t="array" ref="G5">SUMPRODUCT(--(LOWER(AB1:AB448)="masuk"), --(LOWER(AC1:AC448)="add"))</f>
        <v>0</v>
      </c>
      <c r="H5" s="1304">
        <f>G5+-F5</f>
        <v>0</v>
      </c>
      <c r="I5" s="734"/>
      <c r="J5" s="1306" cm="1">
        <f t="array" ref="J5">SUMPRODUCT(--(ISNUMBER(SEARCH("next day",LOWER(W1:W448)))+ISNUMBER(SEARCH("nextday",LOWER(W1:W448)))&gt; 0))</f>
        <v>20</v>
      </c>
      <c r="K5" s="1303" cm="1">
        <f t="array" ref="K5">SUMPRODUCT(--(LOWER(AB1:AB448)="masuk"), --ISNUMBER(SEARCH("next day", LOWER(W1:W448))))</f>
        <v>20</v>
      </c>
      <c r="L5" s="1304">
        <f>K5+-J5</f>
        <v>0</v>
      </c>
      <c r="M5" s="734"/>
      <c r="N5" s="1306">
        <f>B5+F5+J5</f>
        <v>102</v>
      </c>
      <c r="O5" s="1303">
        <f>C5+G5+K5</f>
        <v>96</v>
      </c>
      <c r="P5" s="1304">
        <f>D5+H5+L5</f>
        <v>-6</v>
      </c>
      <c r="R5" s="1252" t="s">
        <v>822</v>
      </c>
      <c r="S5" s="1209">
        <v>3331564556</v>
      </c>
      <c r="T5" s="1264" t="s">
        <v>336</v>
      </c>
      <c r="U5" s="1264">
        <v>24141951</v>
      </c>
      <c r="V5" s="1209" t="s">
        <v>413</v>
      </c>
      <c r="W5" s="1264" t="s">
        <v>205</v>
      </c>
      <c r="X5" s="1203">
        <v>40018.68</v>
      </c>
      <c r="Y5" s="1264" t="s">
        <v>128</v>
      </c>
      <c r="Z5" s="1202">
        <v>1</v>
      </c>
      <c r="AA5" s="1202">
        <v>1</v>
      </c>
      <c r="AB5" s="1208" t="s">
        <v>204</v>
      </c>
      <c r="AC5" s="1271"/>
      <c r="AD5" s="81"/>
      <c r="AE5" s="44"/>
      <c r="AF5" s="44"/>
      <c r="AG5" s="44"/>
    </row>
    <row r="6" spans="1:33" ht="17.399999999999999">
      <c r="A6" s="733"/>
      <c r="B6" s="733">
        <f>SUM(B5)</f>
        <v>82</v>
      </c>
      <c r="C6" s="733">
        <f>SUM(C5)</f>
        <v>76</v>
      </c>
      <c r="D6" s="739">
        <f>SUM(D5)</f>
        <v>-6</v>
      </c>
      <c r="E6" s="734"/>
      <c r="F6" s="733">
        <f>SUM(F5)</f>
        <v>0</v>
      </c>
      <c r="G6" s="733">
        <f>SUM(G5)</f>
        <v>0</v>
      </c>
      <c r="H6" s="739">
        <f>SUM(H5)</f>
        <v>0</v>
      </c>
      <c r="I6" s="733"/>
      <c r="J6" s="733">
        <f>SUM(J5)</f>
        <v>20</v>
      </c>
      <c r="K6" s="733">
        <f>SUM(K5)</f>
        <v>20</v>
      </c>
      <c r="L6" s="739">
        <f>SUM(L5)</f>
        <v>0</v>
      </c>
      <c r="M6" s="733"/>
      <c r="N6" s="760">
        <f>SUM(N5:N5)</f>
        <v>102</v>
      </c>
      <c r="O6" s="760">
        <f>SUM(O5:O5)</f>
        <v>96</v>
      </c>
      <c r="P6" s="761">
        <f>SUM(P5:P5)</f>
        <v>-6</v>
      </c>
      <c r="R6" s="1252" t="s">
        <v>822</v>
      </c>
      <c r="S6" s="1209">
        <v>3331564590</v>
      </c>
      <c r="T6" s="1264" t="s">
        <v>459</v>
      </c>
      <c r="U6" s="1264">
        <v>24141958</v>
      </c>
      <c r="V6" s="1209" t="s">
        <v>580</v>
      </c>
      <c r="W6" s="1264" t="s">
        <v>205</v>
      </c>
      <c r="X6" s="1203">
        <v>25139.94</v>
      </c>
      <c r="Y6" s="1264" t="s">
        <v>426</v>
      </c>
      <c r="Z6" s="1202">
        <v>1</v>
      </c>
      <c r="AA6" s="1202">
        <v>1</v>
      </c>
      <c r="AB6" s="1208" t="s">
        <v>204</v>
      </c>
      <c r="AC6" s="1271"/>
      <c r="AD6" s="81"/>
      <c r="AE6" s="44"/>
      <c r="AF6" s="44"/>
      <c r="AG6" s="44"/>
    </row>
    <row r="7" spans="1:33" ht="17.399999999999999">
      <c r="A7" s="733"/>
      <c r="B7" s="733"/>
      <c r="C7" s="733"/>
      <c r="D7" s="733"/>
      <c r="E7" s="734"/>
      <c r="F7" s="733"/>
      <c r="G7" s="733"/>
      <c r="H7" s="733"/>
      <c r="I7" s="733"/>
      <c r="J7" s="733"/>
      <c r="K7" s="733"/>
      <c r="L7" s="733"/>
      <c r="M7" s="733"/>
      <c r="N7" s="733"/>
      <c r="O7" s="733"/>
      <c r="P7" s="733"/>
      <c r="R7" s="1252" t="s">
        <v>810</v>
      </c>
      <c r="S7" s="1209">
        <v>3331564641</v>
      </c>
      <c r="T7" s="1264" t="s">
        <v>424</v>
      </c>
      <c r="U7" s="1264">
        <v>24141981</v>
      </c>
      <c r="V7" s="1209" t="s">
        <v>429</v>
      </c>
      <c r="W7" s="1264" t="s">
        <v>362</v>
      </c>
      <c r="X7" s="1203">
        <f>2833.902+23173.21</f>
        <v>26007.112000000001</v>
      </c>
      <c r="Y7" s="1264" t="s">
        <v>426</v>
      </c>
      <c r="Z7" s="1264">
        <v>1</v>
      </c>
      <c r="AA7" s="1264">
        <v>1</v>
      </c>
      <c r="AB7" s="1264" t="s">
        <v>204</v>
      </c>
      <c r="AC7" s="1271"/>
      <c r="AD7" s="81"/>
      <c r="AE7" s="44"/>
      <c r="AF7" s="44"/>
      <c r="AG7" s="44"/>
    </row>
    <row r="8" spans="1:33" ht="17.399999999999999">
      <c r="A8" s="763" t="str">
        <f>A1</f>
        <v>Plan tgl 24-26  OKT'25  jam 15.00</v>
      </c>
      <c r="B8" s="733"/>
      <c r="C8" s="733"/>
      <c r="D8" s="733"/>
      <c r="E8" s="734"/>
      <c r="F8" s="1525" t="str">
        <f>F1</f>
        <v>CARGO ADD</v>
      </c>
      <c r="G8" s="1525"/>
      <c r="H8" s="1525"/>
      <c r="I8" s="734"/>
      <c r="J8" s="1525" t="str">
        <f>J1</f>
        <v>CARGO NEXT DAY</v>
      </c>
      <c r="K8" s="1525"/>
      <c r="L8" s="1525"/>
      <c r="M8" s="734"/>
      <c r="N8" s="1526" t="str">
        <f>N1</f>
        <v>Summary (Plan+ Add + Next Day)</v>
      </c>
      <c r="O8" s="1526"/>
      <c r="P8" s="1526"/>
      <c r="R8" s="1252" t="s">
        <v>810</v>
      </c>
      <c r="S8" s="1209">
        <v>3331564643</v>
      </c>
      <c r="T8" s="1264" t="s">
        <v>256</v>
      </c>
      <c r="U8" s="1264" t="s">
        <v>256</v>
      </c>
      <c r="V8" s="1209" t="s">
        <v>256</v>
      </c>
      <c r="W8" s="1264" t="s">
        <v>256</v>
      </c>
      <c r="X8" s="1203" t="s">
        <v>256</v>
      </c>
      <c r="Y8" s="1264" t="s">
        <v>256</v>
      </c>
      <c r="Z8" s="1264" t="s">
        <v>256</v>
      </c>
      <c r="AA8" s="1264" t="s">
        <v>256</v>
      </c>
      <c r="AB8" s="1264" t="s">
        <v>256</v>
      </c>
      <c r="AC8" s="1271"/>
      <c r="AD8" s="81"/>
      <c r="AE8" s="44"/>
      <c r="AF8" s="44"/>
      <c r="AG8" s="44"/>
    </row>
    <row r="9" spans="1:33" ht="18">
      <c r="A9" s="763" t="str">
        <f>A2</f>
        <v>Realz update 27 OKT’25 jam 07.00</v>
      </c>
      <c r="B9" s="825"/>
      <c r="C9" s="825"/>
      <c r="D9" s="825"/>
      <c r="E9" s="734"/>
      <c r="F9" s="1525" t="str">
        <f>F2</f>
        <v>Tgl 27 OKT’25 diatas jam 15.00</v>
      </c>
      <c r="G9" s="1525"/>
      <c r="H9" s="1525"/>
      <c r="I9" s="826"/>
      <c r="J9" s="1525" t="str">
        <f>J2</f>
        <v>Tgl 27 OKT’25</v>
      </c>
      <c r="K9" s="1525"/>
      <c r="L9" s="1525"/>
      <c r="M9" s="734"/>
      <c r="N9" s="1526"/>
      <c r="O9" s="1526"/>
      <c r="P9" s="1526"/>
      <c r="R9" s="1252" t="s">
        <v>810</v>
      </c>
      <c r="S9" s="1209">
        <v>3331564644</v>
      </c>
      <c r="T9" s="1264" t="s">
        <v>256</v>
      </c>
      <c r="U9" s="1264">
        <v>24141981</v>
      </c>
      <c r="V9" s="1209" t="s">
        <v>256</v>
      </c>
      <c r="W9" s="1264" t="s">
        <v>256</v>
      </c>
      <c r="X9" s="1203" t="s">
        <v>256</v>
      </c>
      <c r="Y9" s="1264" t="s">
        <v>256</v>
      </c>
      <c r="Z9" s="1264" t="s">
        <v>256</v>
      </c>
      <c r="AA9" s="1264" t="s">
        <v>256</v>
      </c>
      <c r="AB9" s="1264" t="s">
        <v>256</v>
      </c>
      <c r="AC9" s="1271"/>
      <c r="AD9" s="81"/>
      <c r="AE9" s="44"/>
      <c r="AF9" s="44"/>
      <c r="AG9" s="44"/>
    </row>
    <row r="10" spans="1:33" ht="17.399999999999999">
      <c r="A10" s="1527" t="s">
        <v>194</v>
      </c>
      <c r="B10" s="1529" t="s">
        <v>415</v>
      </c>
      <c r="C10" s="1530"/>
      <c r="D10" s="1531"/>
      <c r="E10" s="734"/>
      <c r="F10" s="1529" t="s">
        <v>416</v>
      </c>
      <c r="G10" s="1530"/>
      <c r="H10" s="1531"/>
      <c r="I10" s="734"/>
      <c r="J10" s="1532" t="s">
        <v>416</v>
      </c>
      <c r="K10" s="1533"/>
      <c r="L10" s="1534"/>
      <c r="M10" s="734"/>
      <c r="N10" s="1529" t="s">
        <v>417</v>
      </c>
      <c r="O10" s="1530"/>
      <c r="P10" s="1531"/>
      <c r="R10" s="1209" t="s">
        <v>810</v>
      </c>
      <c r="S10" s="1209">
        <v>3331564700</v>
      </c>
      <c r="T10" s="1264" t="s">
        <v>424</v>
      </c>
      <c r="U10" s="1202">
        <v>24141982</v>
      </c>
      <c r="V10" s="1202" t="s">
        <v>425</v>
      </c>
      <c r="W10" s="1202" t="s">
        <v>362</v>
      </c>
      <c r="X10" s="1281">
        <f>17065.784+6071.21</f>
        <v>23136.993999999999</v>
      </c>
      <c r="Y10" s="1264" t="s">
        <v>426</v>
      </c>
      <c r="Z10" s="1264">
        <v>1</v>
      </c>
      <c r="AA10" s="1264">
        <v>1</v>
      </c>
      <c r="AB10" s="1264" t="s">
        <v>204</v>
      </c>
      <c r="AC10" s="1217"/>
      <c r="AD10" s="1326"/>
      <c r="AE10" s="44"/>
      <c r="AF10" s="44"/>
      <c r="AG10" s="44"/>
    </row>
    <row r="11" spans="1:33" ht="17.399999999999999">
      <c r="A11" s="1528"/>
      <c r="B11" s="971" t="s">
        <v>419</v>
      </c>
      <c r="C11" s="971" t="s">
        <v>420</v>
      </c>
      <c r="D11" s="974" t="s">
        <v>421</v>
      </c>
      <c r="E11" s="734"/>
      <c r="F11" s="971" t="s">
        <v>422</v>
      </c>
      <c r="G11" s="971" t="s">
        <v>420</v>
      </c>
      <c r="H11" s="974" t="s">
        <v>421</v>
      </c>
      <c r="I11" s="734"/>
      <c r="J11" s="971" t="s">
        <v>310</v>
      </c>
      <c r="K11" s="974" t="s">
        <v>420</v>
      </c>
      <c r="L11" s="972" t="s">
        <v>421</v>
      </c>
      <c r="M11" s="734"/>
      <c r="N11" s="975" t="s">
        <v>423</v>
      </c>
      <c r="O11" s="971" t="s">
        <v>420</v>
      </c>
      <c r="P11" s="974" t="s">
        <v>421</v>
      </c>
      <c r="R11" s="1209" t="s">
        <v>810</v>
      </c>
      <c r="S11" s="1209">
        <v>3331564703</v>
      </c>
      <c r="T11" s="1264" t="s">
        <v>256</v>
      </c>
      <c r="U11" s="1264" t="s">
        <v>256</v>
      </c>
      <c r="V11" s="1264" t="s">
        <v>256</v>
      </c>
      <c r="W11" s="1264" t="s">
        <v>256</v>
      </c>
      <c r="X11" s="1203" t="s">
        <v>256</v>
      </c>
      <c r="Y11" s="1264" t="s">
        <v>256</v>
      </c>
      <c r="Z11" s="1264" t="s">
        <v>256</v>
      </c>
      <c r="AA11" s="1264" t="s">
        <v>256</v>
      </c>
      <c r="AB11" s="1067" t="s">
        <v>256</v>
      </c>
      <c r="AC11" s="1217"/>
      <c r="AD11" s="1326"/>
      <c r="AE11" s="44"/>
      <c r="AF11" s="44"/>
      <c r="AG11" s="44"/>
    </row>
    <row r="12" spans="1:33" ht="18">
      <c r="A12" s="845" t="s">
        <v>199</v>
      </c>
      <c r="B12" s="748" cm="1">
        <f t="array" ref="B12">SUMPRODUCT(--(TRIM(LOWER(W1:W448))="jabodetabek"), --(LOWER(AC1:AC448)&lt;&gt;"add"))</f>
        <v>8</v>
      </c>
      <c r="C12" s="748" cm="1">
        <f t="array" ref="C12">SUMPRODUCT(--(LOWER(AB1:AB448)="masuk"), --(TRIM(LOWER(W1:W448))="jabodetabek"), --(LOWER(AC1:AC448)&lt;&gt;"add"))</f>
        <v>8</v>
      </c>
      <c r="D12" s="973">
        <f>C12+-B12</f>
        <v>0</v>
      </c>
      <c r="E12" s="734"/>
      <c r="F12" s="748" cm="1">
        <f t="array" ref="F12">SUMPRODUCT(--(LOWER(AC1:AC448)="add"), --(TRIM(LOWER(W1:W448))="jabodetabek"))</f>
        <v>0</v>
      </c>
      <c r="G12" s="747" cm="1">
        <f t="array" ref="G12">SUMPRODUCT(--(LOWER(AB1:AB448)="masuk"), --(LOWER(AC1:AC448)="add"), --(TRIM(LOWER(W1:W448))="jabodetabek"))</f>
        <v>0</v>
      </c>
      <c r="H12" s="740">
        <f>G12+-F12</f>
        <v>0</v>
      </c>
      <c r="I12" s="734"/>
      <c r="J12" s="748" cm="1">
        <f t="array" ref="J12">SUMPRODUCT(--(ISNUMBER(SEARCH("jabodetabek next day",LOWER(W1:W448)))+ISNUMBER(SEARCH("jabodetabek nextday",LOWER(W1:W448)))&gt; 0))</f>
        <v>20</v>
      </c>
      <c r="K12" s="747" cm="1">
        <f t="array" ref="K12">SUMPRODUCT(--(LOWER(AB1:AB448)="masuk"), --(LOWER(TRIM(W1:W448))="jabodetabek next day"))</f>
        <v>20</v>
      </c>
      <c r="L12" s="740">
        <f>K12+-J12</f>
        <v>0</v>
      </c>
      <c r="M12" s="734"/>
      <c r="N12" s="748">
        <f t="shared" ref="N12:P16" si="0">B12+F12+J12</f>
        <v>28</v>
      </c>
      <c r="O12" s="747">
        <f t="shared" si="0"/>
        <v>28</v>
      </c>
      <c r="P12" s="740">
        <f t="shared" si="0"/>
        <v>0</v>
      </c>
      <c r="R12" s="1209" t="s">
        <v>810</v>
      </c>
      <c r="S12" s="1209">
        <v>3331564710</v>
      </c>
      <c r="T12" s="1264" t="s">
        <v>424</v>
      </c>
      <c r="U12" s="1264">
        <v>24141983</v>
      </c>
      <c r="V12" s="1202" t="s">
        <v>425</v>
      </c>
      <c r="W12" s="1202" t="s">
        <v>362</v>
      </c>
      <c r="X12" s="1203">
        <v>23942.799999999999</v>
      </c>
      <c r="Y12" s="1264" t="s">
        <v>426</v>
      </c>
      <c r="Z12" s="1264">
        <v>1</v>
      </c>
      <c r="AA12" s="1264">
        <v>1</v>
      </c>
      <c r="AB12" s="1264" t="s">
        <v>204</v>
      </c>
      <c r="AC12" s="1217"/>
      <c r="AD12" s="1326"/>
      <c r="AE12" s="44"/>
      <c r="AF12" s="44"/>
      <c r="AG12" s="44"/>
    </row>
    <row r="13" spans="1:33" ht="18">
      <c r="A13" s="845" t="s">
        <v>203</v>
      </c>
      <c r="B13" s="750" cm="1">
        <f t="array" ref="B13">SUMPRODUCT(--(TRIM(LOWER(W1:W448))="jawa tengah"), --(LOWER(AC1:AC448)&lt;&gt;"add"))</f>
        <v>3</v>
      </c>
      <c r="C13" s="750" cm="1">
        <f t="array" ref="C13">SUMPRODUCT(--(LOWER(AB1:AB448)="masuk"), --(TRIM(LOWER(W1:W448))="jawa tengah"), --(LOWER(AC1:AC448)&lt;&gt;"add"))</f>
        <v>3</v>
      </c>
      <c r="D13" s="846">
        <f>C13+-B13</f>
        <v>0</v>
      </c>
      <c r="E13" s="734"/>
      <c r="F13" s="751" cm="1">
        <f t="array" ref="F13">SUMPRODUCT(--(LOWER(AC1:AC448)="add"), --(TRIM(LOWER(W1:W448))="jawa tengah"))</f>
        <v>0</v>
      </c>
      <c r="G13" s="747" cm="1">
        <f t="array" ref="G13">SUMPRODUCT(--(LOWER(AB1:AB448)="masuk"), --(LOWER(AC1:AC448)="add"), --(TRIM(LOWER(W1:W448))="jawa tengah"))</f>
        <v>0</v>
      </c>
      <c r="H13" s="740">
        <f>G13+-F13</f>
        <v>0</v>
      </c>
      <c r="I13" s="734"/>
      <c r="J13" s="748" cm="1">
        <f t="array" ref="J13">SUMPRODUCT(--((LOWER(TRIM(W1:W448))="jawa tengah next day")+(LOWER(TRIM(W1:W448))="jawa tengah nextday")))</f>
        <v>0</v>
      </c>
      <c r="K13" s="747" cm="1">
        <f t="array" ref="K13">SUMPRODUCT(--(LOWER(AB1:AB448)="masuk"), --(LOWER(TRIM(W1:W448))="jawa tengah next day"))</f>
        <v>0</v>
      </c>
      <c r="L13" s="740">
        <f>K13+-J13</f>
        <v>0</v>
      </c>
      <c r="M13" s="734"/>
      <c r="N13" s="748">
        <f t="shared" si="0"/>
        <v>3</v>
      </c>
      <c r="O13" s="747">
        <f t="shared" si="0"/>
        <v>3</v>
      </c>
      <c r="P13" s="740">
        <f t="shared" si="0"/>
        <v>0</v>
      </c>
      <c r="R13" s="1209" t="s">
        <v>810</v>
      </c>
      <c r="S13" s="1209">
        <v>3331564712</v>
      </c>
      <c r="T13" s="1264" t="s">
        <v>424</v>
      </c>
      <c r="U13" s="1264">
        <v>24141984</v>
      </c>
      <c r="V13" s="1202" t="s">
        <v>425</v>
      </c>
      <c r="W13" s="1202" t="s">
        <v>362</v>
      </c>
      <c r="X13" s="1203">
        <v>23942.799999999999</v>
      </c>
      <c r="Y13" s="1264" t="s">
        <v>426</v>
      </c>
      <c r="Z13" s="1264">
        <v>1</v>
      </c>
      <c r="AA13" s="1264">
        <v>1</v>
      </c>
      <c r="AB13" s="1264" t="s">
        <v>204</v>
      </c>
      <c r="AC13" s="1217"/>
      <c r="AD13" s="1326"/>
      <c r="AE13" s="44"/>
      <c r="AF13" s="44"/>
      <c r="AG13" s="44"/>
    </row>
    <row r="14" spans="1:33" ht="18">
      <c r="A14" s="845" t="s">
        <v>205</v>
      </c>
      <c r="B14" s="750" cm="1">
        <f t="array" ref="B14">SUMPRODUCT(--(TRIM(LOWER(W1:W448))="jawa timur"), --(LOWER(AC1:AC448)&lt;&gt;"add"))</f>
        <v>61</v>
      </c>
      <c r="C14" s="750" cm="1">
        <f t="array" ref="C14">SUMPRODUCT(--(LOWER(AB1:AB448)="masuk"), --(TRIM(LOWER(W1:W448))="jawa timur"), --(LOWER(AC1:AC448)&lt;&gt;"add"))</f>
        <v>55</v>
      </c>
      <c r="D14" s="846">
        <f>C14+-B14</f>
        <v>-6</v>
      </c>
      <c r="E14" s="734"/>
      <c r="F14" s="750" cm="1">
        <f t="array" ref="F14">SUMPRODUCT(--(LOWER(AC1:AC448)="add"), --(TRIM(LOWER(W1:W448))="jawa timur"))</f>
        <v>0</v>
      </c>
      <c r="G14" s="747" cm="1">
        <f t="array" ref="G14">SUMPRODUCT(--(LOWER(AB1:AB448)="masuk"), --(LOWER(AC1:AC448)="add"), --(TRIM(LOWER(W1:W448))="jawa timur"))</f>
        <v>0</v>
      </c>
      <c r="H14" s="740">
        <f>G14+-F14</f>
        <v>0</v>
      </c>
      <c r="I14" s="734"/>
      <c r="J14" s="748" cm="1">
        <f t="array" ref="J14">SUMPRODUCT(--((LOWER(TRIM(W1:W448))="jawa timur next day")+(LOWER(TRIM(W1:W448))="jawa timur nextday")))</f>
        <v>0</v>
      </c>
      <c r="K14" s="747" cm="1">
        <f t="array" ref="K14">SUMPRODUCT(--(LOWER(AB1:AB448)="masuk"), --(LOWER(TRIM(W1:W448))="jawa timur next day"))</f>
        <v>0</v>
      </c>
      <c r="L14" s="740">
        <f>K14+-J14</f>
        <v>0</v>
      </c>
      <c r="M14" s="734"/>
      <c r="N14" s="748">
        <f t="shared" si="0"/>
        <v>61</v>
      </c>
      <c r="O14" s="747">
        <f t="shared" si="0"/>
        <v>55</v>
      </c>
      <c r="P14" s="740">
        <f t="shared" si="0"/>
        <v>-6</v>
      </c>
      <c r="R14" s="1217" t="s">
        <v>810</v>
      </c>
      <c r="S14" s="1217">
        <v>3331564719</v>
      </c>
      <c r="T14" s="1294" t="s">
        <v>424</v>
      </c>
      <c r="U14" s="1294">
        <v>24141985</v>
      </c>
      <c r="V14" s="1190" t="s">
        <v>425</v>
      </c>
      <c r="W14" s="1190" t="s">
        <v>362</v>
      </c>
      <c r="X14" s="1191">
        <v>23942.799999999999</v>
      </c>
      <c r="Y14" s="1294" t="s">
        <v>426</v>
      </c>
      <c r="Z14" s="1294">
        <v>1</v>
      </c>
      <c r="AA14" s="1294">
        <v>1</v>
      </c>
      <c r="AB14" s="1294" t="s">
        <v>207</v>
      </c>
      <c r="AC14" s="1217"/>
      <c r="AD14" s="1326"/>
      <c r="AE14" s="44"/>
      <c r="AF14" s="44"/>
      <c r="AG14" s="44"/>
    </row>
    <row r="15" spans="1:33" ht="18">
      <c r="A15" s="845" t="s">
        <v>362</v>
      </c>
      <c r="B15" s="750" cm="1">
        <f t="array" ref="B15">SUMPRODUCT(--(TRIM(LOWER(W1:W448))="luar pulau"), --(LOWER(AC1:AC448)&lt;&gt;"add"))</f>
        <v>10</v>
      </c>
      <c r="C15" s="750" cm="1">
        <f t="array" ref="C15">SUMPRODUCT(--(LOWER(AB1:AB448)="masuk"), --(TRIM(LOWER(W1:W448))="luar pulau"), --(LOWER(AC1:AC448)&lt;&gt;"add"))</f>
        <v>9</v>
      </c>
      <c r="D15" s="846">
        <f>C15+-B15</f>
        <v>-1</v>
      </c>
      <c r="E15" s="734"/>
      <c r="F15" s="748" cm="1">
        <f t="array" ref="F15">SUMPRODUCT(--(LOWER(AC1:AC448)="add"), --(TRIM(LOWER(W1:W448))="luar pulau"))</f>
        <v>0</v>
      </c>
      <c r="G15" s="747" cm="1">
        <f t="array" ref="G15">SUMPRODUCT(--(LOWER(AB1:AB448)="masuk"), --(LOWER(AC1:AC448)="add"), --(TRIM(LOWER(W1:W448))="luar pulau"))</f>
        <v>0</v>
      </c>
      <c r="H15" s="740">
        <f>G15+-F15</f>
        <v>0</v>
      </c>
      <c r="I15" s="734"/>
      <c r="J15" s="748" cm="1">
        <f t="array" ref="J15">SUMPRODUCT(--((LOWER(TRIM(W1:W448))="luar pulau next day")+(LOWER(TRIM(W1:W448))="luar pulau nextday")))</f>
        <v>0</v>
      </c>
      <c r="K15" s="747" cm="1">
        <f t="array" ref="K15">SUMPRODUCT(--(LOWER(AB1:AB448)="masuk"), --(LOWER(TRIM(W1:W448))="luar pulau next day"))</f>
        <v>0</v>
      </c>
      <c r="L15" s="740">
        <f>K15+-J15</f>
        <v>0</v>
      </c>
      <c r="M15" s="734"/>
      <c r="N15" s="748">
        <f t="shared" si="0"/>
        <v>10</v>
      </c>
      <c r="O15" s="747">
        <f t="shared" si="0"/>
        <v>9</v>
      </c>
      <c r="P15" s="740">
        <f t="shared" si="0"/>
        <v>-1</v>
      </c>
      <c r="R15" s="1209" t="s">
        <v>810</v>
      </c>
      <c r="S15" s="1209">
        <v>3331564790</v>
      </c>
      <c r="T15" s="1264" t="s">
        <v>599</v>
      </c>
      <c r="U15" s="1264">
        <v>24141990</v>
      </c>
      <c r="V15" s="1264" t="s">
        <v>561</v>
      </c>
      <c r="W15" s="1202" t="s">
        <v>362</v>
      </c>
      <c r="X15" s="1203">
        <v>25225.45</v>
      </c>
      <c r="Y15" s="1264" t="s">
        <v>200</v>
      </c>
      <c r="Z15" s="1264">
        <v>1</v>
      </c>
      <c r="AA15" s="1264">
        <v>1</v>
      </c>
      <c r="AB15" s="1264" t="s">
        <v>204</v>
      </c>
      <c r="AC15" s="1217"/>
      <c r="AD15" s="1326"/>
      <c r="AE15" s="44"/>
      <c r="AF15" s="44"/>
      <c r="AG15" s="44"/>
    </row>
    <row r="16" spans="1:33" ht="17.399999999999999">
      <c r="A16" s="827"/>
      <c r="B16" s="733">
        <f>SUM(B12:B15)</f>
        <v>82</v>
      </c>
      <c r="C16" s="733">
        <f>SUM(C12:C15)</f>
        <v>75</v>
      </c>
      <c r="D16" s="739">
        <f>SUM(D12:D15)</f>
        <v>-7</v>
      </c>
      <c r="E16" s="734"/>
      <c r="F16" s="733">
        <f>SUM(F12:F15)</f>
        <v>0</v>
      </c>
      <c r="G16" s="733">
        <f>SUM(G12:G15)</f>
        <v>0</v>
      </c>
      <c r="H16" s="739">
        <f>SUM(H12:H15)</f>
        <v>0</v>
      </c>
      <c r="I16" s="734"/>
      <c r="J16" s="733">
        <f>SUM(J12:J15)</f>
        <v>20</v>
      </c>
      <c r="K16" s="733">
        <f>SUM(K12:K15)</f>
        <v>20</v>
      </c>
      <c r="L16" s="739">
        <f>SUM(L12:L15)</f>
        <v>0</v>
      </c>
      <c r="M16" s="734"/>
      <c r="N16" s="760">
        <f t="shared" si="0"/>
        <v>102</v>
      </c>
      <c r="O16" s="760">
        <f t="shared" si="0"/>
        <v>95</v>
      </c>
      <c r="P16" s="761">
        <f t="shared" si="0"/>
        <v>-7</v>
      </c>
      <c r="R16" s="1209" t="s">
        <v>810</v>
      </c>
      <c r="S16" s="1209">
        <v>3331564791</v>
      </c>
      <c r="T16" s="1264" t="s">
        <v>599</v>
      </c>
      <c r="U16" s="1264">
        <v>24141991</v>
      </c>
      <c r="V16" s="1264" t="s">
        <v>561</v>
      </c>
      <c r="W16" s="1202" t="s">
        <v>362</v>
      </c>
      <c r="X16" s="1203">
        <v>26465.345000000001</v>
      </c>
      <c r="Y16" s="1264" t="s">
        <v>200</v>
      </c>
      <c r="Z16" s="1264">
        <v>1</v>
      </c>
      <c r="AA16" s="1264">
        <v>1</v>
      </c>
      <c r="AB16" s="1264" t="s">
        <v>204</v>
      </c>
      <c r="AC16" s="1217"/>
      <c r="AD16" s="1326"/>
      <c r="AE16" s="44"/>
      <c r="AF16" s="44"/>
      <c r="AG16" s="44"/>
    </row>
    <row r="17" spans="1:30" s="44" customFormat="1" ht="17.399999999999999">
      <c r="A17" s="1020"/>
      <c r="B17" s="1021"/>
      <c r="C17" s="1021"/>
      <c r="D17" s="1022"/>
      <c r="E17" s="1023"/>
      <c r="F17" s="1021"/>
      <c r="G17" s="1021"/>
      <c r="H17" s="1022"/>
      <c r="I17" s="1023"/>
      <c r="J17" s="1021"/>
      <c r="K17" s="1021"/>
      <c r="L17" s="1022"/>
      <c r="M17" s="1023"/>
      <c r="N17" s="1021"/>
      <c r="O17" s="1021"/>
      <c r="P17" s="1022"/>
      <c r="R17" s="1209" t="s">
        <v>810</v>
      </c>
      <c r="S17" s="1209">
        <v>3331564792</v>
      </c>
      <c r="T17" s="1264" t="s">
        <v>599</v>
      </c>
      <c r="U17" s="1264">
        <v>24141992</v>
      </c>
      <c r="V17" s="1264" t="s">
        <v>561</v>
      </c>
      <c r="W17" s="1202" t="s">
        <v>362</v>
      </c>
      <c r="X17" s="1203">
        <v>25567.49</v>
      </c>
      <c r="Y17" s="1264" t="s">
        <v>200</v>
      </c>
      <c r="Z17" s="1264">
        <v>1</v>
      </c>
      <c r="AA17" s="1264">
        <v>1</v>
      </c>
      <c r="AB17" s="1264" t="s">
        <v>204</v>
      </c>
      <c r="AC17" s="1217"/>
      <c r="AD17" s="1326"/>
    </row>
    <row r="18" spans="1:30" s="44" customFormat="1" ht="17.399999999999999">
      <c r="A18" s="1020"/>
      <c r="B18" s="1021"/>
      <c r="C18" s="1021"/>
      <c r="D18" s="1022"/>
      <c r="E18" s="1023"/>
      <c r="F18" s="1021"/>
      <c r="G18" s="1021"/>
      <c r="H18" s="1022"/>
      <c r="I18" s="1023"/>
      <c r="J18" s="1021"/>
      <c r="K18" s="1021"/>
      <c r="L18" s="1022"/>
      <c r="M18" s="1023"/>
      <c r="N18" s="1021"/>
      <c r="O18" s="1021"/>
      <c r="P18" s="1022"/>
      <c r="R18" s="1201" t="s">
        <v>794</v>
      </c>
      <c r="S18" s="1227">
        <v>3331564206</v>
      </c>
      <c r="T18" s="1264" t="s">
        <v>11</v>
      </c>
      <c r="U18" s="1227">
        <v>24141917</v>
      </c>
      <c r="V18" s="1227" t="s">
        <v>792</v>
      </c>
      <c r="W18" s="1227" t="s">
        <v>803</v>
      </c>
      <c r="X18" s="1229">
        <v>39416.589</v>
      </c>
      <c r="Y18" s="1202" t="s">
        <v>128</v>
      </c>
      <c r="Z18" s="1202">
        <v>1</v>
      </c>
      <c r="AA18" s="1202">
        <v>1</v>
      </c>
      <c r="AB18" s="1244" t="s">
        <v>204</v>
      </c>
      <c r="AC18" s="1271"/>
      <c r="AD18" s="81"/>
    </row>
    <row r="19" spans="1:30" s="44" customFormat="1" ht="17.399999999999999">
      <c r="A19" s="1020"/>
      <c r="B19" s="1021"/>
      <c r="C19" s="1021"/>
      <c r="D19" s="1022"/>
      <c r="E19" s="1023"/>
      <c r="F19" s="1021"/>
      <c r="G19" s="1021"/>
      <c r="H19" s="1022"/>
      <c r="I19" s="1023"/>
      <c r="J19" s="1021"/>
      <c r="K19" s="1021"/>
      <c r="L19" s="1021"/>
      <c r="M19" s="1023"/>
      <c r="O19" s="1021"/>
      <c r="P19" s="1022"/>
      <c r="R19" s="1201" t="s">
        <v>794</v>
      </c>
      <c r="S19" s="1227">
        <v>3331564210</v>
      </c>
      <c r="T19" s="1264" t="s">
        <v>11</v>
      </c>
      <c r="U19" s="1227">
        <v>24141916</v>
      </c>
      <c r="V19" s="1227" t="s">
        <v>792</v>
      </c>
      <c r="W19" s="1227" t="s">
        <v>803</v>
      </c>
      <c r="X19" s="1229">
        <f>32798.542+9235.08</f>
        <v>42033.622000000003</v>
      </c>
      <c r="Y19" s="1202" t="s">
        <v>128</v>
      </c>
      <c r="Z19" s="1202">
        <v>1</v>
      </c>
      <c r="AA19" s="1202">
        <v>1</v>
      </c>
      <c r="AB19" s="1244" t="s">
        <v>204</v>
      </c>
      <c r="AC19" s="1271"/>
      <c r="AD19" s="81"/>
    </row>
    <row r="20" spans="1:30" s="44" customFormat="1" ht="17.399999999999999">
      <c r="A20" s="1520" t="s">
        <v>434</v>
      </c>
      <c r="B20" s="1522" t="s">
        <v>415</v>
      </c>
      <c r="C20" s="1523"/>
      <c r="D20" s="1524"/>
      <c r="E20" s="1023"/>
      <c r="F20" s="1021"/>
      <c r="G20" s="1021"/>
      <c r="H20" s="1022"/>
      <c r="I20" s="1023"/>
      <c r="J20" s="1021"/>
      <c r="K20" s="1021"/>
      <c r="L20" s="1021"/>
      <c r="M20" s="1023"/>
      <c r="N20" s="1021"/>
      <c r="O20" s="1021"/>
      <c r="P20" s="1022"/>
      <c r="R20" s="1201" t="s">
        <v>794</v>
      </c>
      <c r="S20" s="1227">
        <v>3331564212</v>
      </c>
      <c r="T20" s="1317" t="s">
        <v>256</v>
      </c>
      <c r="U20" s="1227" t="s">
        <v>256</v>
      </c>
      <c r="V20" s="1227" t="s">
        <v>256</v>
      </c>
      <c r="W20" s="1227" t="s">
        <v>256</v>
      </c>
      <c r="X20" s="1229" t="s">
        <v>256</v>
      </c>
      <c r="Y20" s="1202" t="s">
        <v>256</v>
      </c>
      <c r="Z20" s="1202" t="s">
        <v>256</v>
      </c>
      <c r="AA20" s="1202" t="s">
        <v>256</v>
      </c>
      <c r="AB20" s="1244" t="s">
        <v>256</v>
      </c>
      <c r="AC20" s="1271"/>
      <c r="AD20" s="81"/>
    </row>
    <row r="21" spans="1:30" s="44" customFormat="1" ht="17.399999999999999">
      <c r="A21" s="1521"/>
      <c r="B21" s="966" t="s">
        <v>419</v>
      </c>
      <c r="C21" s="966" t="s">
        <v>420</v>
      </c>
      <c r="D21" s="967" t="s">
        <v>421</v>
      </c>
      <c r="E21" s="1023"/>
      <c r="F21" s="1021"/>
      <c r="G21" s="1021"/>
      <c r="H21" s="1022"/>
      <c r="I21" s="1023"/>
      <c r="J21" s="1021"/>
      <c r="K21" s="1021"/>
      <c r="L21" s="1021"/>
      <c r="M21" s="1023"/>
      <c r="N21" s="1021"/>
      <c r="O21" s="1021"/>
      <c r="P21" s="1022"/>
      <c r="R21" s="1202" t="s">
        <v>418</v>
      </c>
      <c r="S21" s="1264">
        <v>3331563211</v>
      </c>
      <c r="T21" s="1264" t="s">
        <v>27</v>
      </c>
      <c r="U21" s="1202">
        <v>24141948</v>
      </c>
      <c r="V21" s="1202" t="s">
        <v>446</v>
      </c>
      <c r="W21" s="1202" t="s">
        <v>205</v>
      </c>
      <c r="X21" s="1203">
        <f>18213.63+7962.742</f>
        <v>26176.372000000003</v>
      </c>
      <c r="Y21" s="1202" t="s">
        <v>200</v>
      </c>
      <c r="Z21" s="1202">
        <v>1</v>
      </c>
      <c r="AA21" s="1202">
        <v>1</v>
      </c>
      <c r="AB21" s="1208" t="s">
        <v>204</v>
      </c>
      <c r="AC21" s="1217"/>
      <c r="AD21" s="1326"/>
    </row>
    <row r="22" spans="1:30" s="44" customFormat="1" ht="18">
      <c r="A22" s="968" t="s">
        <v>427</v>
      </c>
      <c r="B22" s="970" cm="1">
        <f t="array" ref="B22">SUMPRODUCT(--((LOWER(TRIM($W$2:$W$441))="ambil sendiri")+(LOWER(TRIM($W$2:$W$441))="cokot sorangan")))</f>
        <v>3</v>
      </c>
      <c r="C22" s="969" cm="1">
        <f t="array" ref="C22">SUMPRODUCT(--(LOWER(AB2:AB467)="masuk"), --((LOWER(TRIM($W$2:$W$467))="cokot sorangan") + (LOWER(TRIM(W2:W467))="ambil sendiri")))</f>
        <v>3</v>
      </c>
      <c r="D22" s="741">
        <f>C22+-B22</f>
        <v>0</v>
      </c>
      <c r="E22" s="1023"/>
      <c r="F22" s="1021"/>
      <c r="G22" s="1021"/>
      <c r="H22" s="1022"/>
      <c r="I22" s="1023"/>
      <c r="J22" s="1021"/>
      <c r="K22" s="1021"/>
      <c r="L22" s="1021"/>
      <c r="M22" s="1023"/>
      <c r="N22" s="1021"/>
      <c r="O22" s="1021"/>
      <c r="P22" s="1022"/>
      <c r="R22" s="1209" t="s">
        <v>822</v>
      </c>
      <c r="S22" s="1209">
        <v>3331564545</v>
      </c>
      <c r="T22" s="1264" t="s">
        <v>256</v>
      </c>
      <c r="U22" s="1264"/>
      <c r="V22" s="1264" t="s">
        <v>256</v>
      </c>
      <c r="W22" s="1264" t="s">
        <v>256</v>
      </c>
      <c r="X22" s="1203" t="s">
        <v>256</v>
      </c>
      <c r="Y22" s="1264" t="s">
        <v>256</v>
      </c>
      <c r="Z22" s="1264" t="s">
        <v>256</v>
      </c>
      <c r="AA22" s="1264" t="s">
        <v>256</v>
      </c>
      <c r="AB22" s="1264" t="s">
        <v>256</v>
      </c>
      <c r="AC22" s="1217"/>
      <c r="AD22" s="1326"/>
    </row>
    <row r="23" spans="1:30" s="44" customFormat="1" ht="17.399999999999999">
      <c r="A23" s="1324"/>
      <c r="B23" s="1021"/>
      <c r="C23" s="1021"/>
      <c r="D23" s="1022"/>
      <c r="E23" s="1023"/>
      <c r="F23" s="1021"/>
      <c r="G23" s="1021"/>
      <c r="H23" s="1022"/>
      <c r="I23" s="1023"/>
      <c r="J23" s="1021"/>
      <c r="K23" s="1021"/>
      <c r="L23" s="1021"/>
      <c r="M23" s="1023"/>
      <c r="N23" s="1021"/>
      <c r="O23" s="1021"/>
      <c r="P23" s="1022"/>
      <c r="R23" s="1252" t="s">
        <v>810</v>
      </c>
      <c r="S23" s="1209">
        <v>3331564603</v>
      </c>
      <c r="T23" s="1264" t="s">
        <v>27</v>
      </c>
      <c r="U23" s="1264">
        <v>24141965</v>
      </c>
      <c r="V23" s="1209" t="s">
        <v>486</v>
      </c>
      <c r="W23" s="1264" t="s">
        <v>205</v>
      </c>
      <c r="X23" s="1203">
        <f>33589.333+5985.7</f>
        <v>39575.032999999996</v>
      </c>
      <c r="Y23" s="1264" t="s">
        <v>128</v>
      </c>
      <c r="Z23" s="1202">
        <v>1</v>
      </c>
      <c r="AA23" s="1202">
        <v>1</v>
      </c>
      <c r="AB23" s="1208" t="s">
        <v>204</v>
      </c>
      <c r="AC23" s="1271"/>
      <c r="AD23" s="81"/>
    </row>
    <row r="24" spans="1:30" s="44" customFormat="1" ht="17.399999999999999">
      <c r="A24" s="1324"/>
      <c r="B24" s="1021"/>
      <c r="C24" s="1021"/>
      <c r="D24" s="1022"/>
      <c r="E24" s="1023"/>
      <c r="F24" s="1021"/>
      <c r="G24" s="1021"/>
      <c r="H24" s="1022"/>
      <c r="I24" s="1023"/>
      <c r="J24" s="1021"/>
      <c r="K24" s="1021"/>
      <c r="L24" s="1021"/>
      <c r="M24" s="1023"/>
      <c r="N24" s="1021"/>
      <c r="O24" s="1021"/>
      <c r="P24" s="1022"/>
      <c r="R24" s="1252" t="s">
        <v>810</v>
      </c>
      <c r="S24" s="1209">
        <v>3331564606</v>
      </c>
      <c r="T24" s="1264" t="s">
        <v>256</v>
      </c>
      <c r="U24" s="1264" t="s">
        <v>256</v>
      </c>
      <c r="V24" s="1209" t="s">
        <v>256</v>
      </c>
      <c r="W24" s="1264" t="s">
        <v>256</v>
      </c>
      <c r="X24" s="1203" t="s">
        <v>256</v>
      </c>
      <c r="Y24" s="1264" t="s">
        <v>256</v>
      </c>
      <c r="Z24" s="1264" t="s">
        <v>256</v>
      </c>
      <c r="AA24" s="1264" t="s">
        <v>256</v>
      </c>
      <c r="AB24" s="1264" t="s">
        <v>256</v>
      </c>
      <c r="AC24" s="1271"/>
      <c r="AD24" s="81"/>
    </row>
    <row r="25" spans="1:30" s="44" customFormat="1" ht="17.399999999999999">
      <c r="A25" s="1324"/>
      <c r="B25" s="1021"/>
      <c r="C25" s="1021"/>
      <c r="D25" s="1022"/>
      <c r="E25" s="1023"/>
      <c r="F25" s="1021"/>
      <c r="G25" s="1021"/>
      <c r="H25" s="1022"/>
      <c r="I25" s="1023"/>
      <c r="J25" s="1021"/>
      <c r="K25" s="1021"/>
      <c r="L25" s="1021"/>
      <c r="M25" s="1023"/>
      <c r="N25" s="1021"/>
      <c r="O25" s="1021"/>
      <c r="P25" s="1022"/>
      <c r="R25" s="1252" t="s">
        <v>822</v>
      </c>
      <c r="S25" s="1209">
        <v>3331564585</v>
      </c>
      <c r="T25" s="1264" t="s">
        <v>27</v>
      </c>
      <c r="U25" s="1264">
        <v>24141957</v>
      </c>
      <c r="V25" s="1209" t="s">
        <v>430</v>
      </c>
      <c r="W25" s="1264" t="s">
        <v>205</v>
      </c>
      <c r="X25" s="1203">
        <f>10911.852+6365.247+8773.326</f>
        <v>26050.425000000003</v>
      </c>
      <c r="Y25" s="1264" t="s">
        <v>200</v>
      </c>
      <c r="Z25" s="1202">
        <v>1</v>
      </c>
      <c r="AA25" s="1202">
        <v>1</v>
      </c>
      <c r="AB25" s="1208" t="s">
        <v>204</v>
      </c>
      <c r="AC25" s="1271"/>
      <c r="AD25" s="81"/>
    </row>
    <row r="26" spans="1:30" s="44" customFormat="1" ht="17.399999999999999">
      <c r="A26" s="1324"/>
      <c r="B26" s="1021"/>
      <c r="C26" s="1021"/>
      <c r="D26" s="1022"/>
      <c r="E26" s="1023"/>
      <c r="F26" s="1021"/>
      <c r="G26" s="1021"/>
      <c r="H26" s="1022"/>
      <c r="I26" s="1023"/>
      <c r="J26" s="1021"/>
      <c r="K26" s="1021"/>
      <c r="L26" s="1021"/>
      <c r="M26" s="1023"/>
      <c r="N26" s="1021"/>
      <c r="O26" s="1021"/>
      <c r="P26" s="1022"/>
      <c r="R26" s="1252" t="s">
        <v>822</v>
      </c>
      <c r="S26" s="1209">
        <v>3331564596</v>
      </c>
      <c r="T26" s="1264" t="s">
        <v>256</v>
      </c>
      <c r="U26" s="1264" t="s">
        <v>256</v>
      </c>
      <c r="V26" s="1209" t="s">
        <v>256</v>
      </c>
      <c r="W26" s="1264" t="s">
        <v>256</v>
      </c>
      <c r="X26" s="1203" t="s">
        <v>256</v>
      </c>
      <c r="Y26" s="1264" t="s">
        <v>256</v>
      </c>
      <c r="Z26" s="1264" t="s">
        <v>256</v>
      </c>
      <c r="AA26" s="1264" t="s">
        <v>256</v>
      </c>
      <c r="AB26" s="1264" t="s">
        <v>256</v>
      </c>
      <c r="AC26" s="1271"/>
      <c r="AD26" s="81"/>
    </row>
    <row r="27" spans="1:30" s="44" customFormat="1" ht="17.399999999999999">
      <c r="A27" s="1324"/>
      <c r="B27" s="1021"/>
      <c r="C27" s="1021"/>
      <c r="D27" s="1022"/>
      <c r="E27" s="1023"/>
      <c r="F27" s="1021"/>
      <c r="G27" s="1021"/>
      <c r="H27" s="1022"/>
      <c r="I27" s="1023"/>
      <c r="J27" s="1021"/>
      <c r="K27" s="1021"/>
      <c r="L27" s="1021"/>
      <c r="M27" s="1023"/>
      <c r="N27" s="1021"/>
      <c r="O27" s="1021"/>
      <c r="P27" s="1022"/>
      <c r="R27" s="1252" t="s">
        <v>822</v>
      </c>
      <c r="S27" s="1209">
        <v>3331564597</v>
      </c>
      <c r="T27" s="1264" t="s">
        <v>256</v>
      </c>
      <c r="U27" s="1264" t="s">
        <v>256</v>
      </c>
      <c r="V27" s="1209" t="s">
        <v>256</v>
      </c>
      <c r="W27" s="1264" t="s">
        <v>256</v>
      </c>
      <c r="X27" s="1203" t="s">
        <v>256</v>
      </c>
      <c r="Y27" s="1264" t="s">
        <v>256</v>
      </c>
      <c r="Z27" s="1264" t="s">
        <v>256</v>
      </c>
      <c r="AA27" s="1264" t="s">
        <v>256</v>
      </c>
      <c r="AB27" s="1264"/>
      <c r="AC27" s="1271"/>
      <c r="AD27" s="81"/>
    </row>
    <row r="28" spans="1:30" s="44" customFormat="1" ht="17.399999999999999">
      <c r="A28" s="1324"/>
      <c r="B28" s="1021"/>
      <c r="C28" s="1021"/>
      <c r="D28" s="1022"/>
      <c r="E28" s="1023"/>
      <c r="F28" s="1021"/>
      <c r="G28" s="1021"/>
      <c r="H28" s="1022"/>
      <c r="I28" s="1023"/>
      <c r="J28" s="1021"/>
      <c r="K28" s="1021"/>
      <c r="L28" s="1021"/>
      <c r="M28" s="1023"/>
      <c r="N28" s="1021"/>
      <c r="O28" s="1021"/>
      <c r="P28" s="1022"/>
      <c r="R28" s="1252" t="s">
        <v>810</v>
      </c>
      <c r="S28" s="1209">
        <v>3331564549</v>
      </c>
      <c r="T28" s="1264" t="s">
        <v>27</v>
      </c>
      <c r="U28" s="1264">
        <v>24141952</v>
      </c>
      <c r="V28" s="1209" t="s">
        <v>435</v>
      </c>
      <c r="W28" s="1264" t="s">
        <v>205</v>
      </c>
      <c r="X28" s="1203">
        <f>19202.528+6341.824</f>
        <v>25544.351999999999</v>
      </c>
      <c r="Y28" s="1264" t="s">
        <v>200</v>
      </c>
      <c r="Z28" s="1202">
        <v>1</v>
      </c>
      <c r="AA28" s="1202">
        <v>1</v>
      </c>
      <c r="AB28" s="1208" t="s">
        <v>204</v>
      </c>
      <c r="AC28" s="1271"/>
      <c r="AD28" s="81"/>
    </row>
    <row r="29" spans="1:30" s="44" customFormat="1" ht="17.399999999999999">
      <c r="A29" s="1324"/>
      <c r="B29" s="1021"/>
      <c r="C29" s="1021"/>
      <c r="D29" s="1022"/>
      <c r="E29" s="1023"/>
      <c r="F29" s="1021"/>
      <c r="G29" s="1021"/>
      <c r="H29" s="1022"/>
      <c r="I29" s="1023"/>
      <c r="J29" s="1021"/>
      <c r="K29" s="1021"/>
      <c r="L29" s="1021"/>
      <c r="M29" s="1023"/>
      <c r="N29" s="1021"/>
      <c r="O29" s="1021"/>
      <c r="P29" s="1022"/>
      <c r="R29" s="1252" t="s">
        <v>810</v>
      </c>
      <c r="S29" s="1209">
        <v>3331564554</v>
      </c>
      <c r="T29" s="1264" t="s">
        <v>256</v>
      </c>
      <c r="U29" s="1264" t="s">
        <v>256</v>
      </c>
      <c r="V29" s="1209" t="s">
        <v>256</v>
      </c>
      <c r="W29" s="1264" t="s">
        <v>256</v>
      </c>
      <c r="X29" s="1203" t="s">
        <v>256</v>
      </c>
      <c r="Y29" s="1264" t="s">
        <v>256</v>
      </c>
      <c r="Z29" s="1202" t="s">
        <v>256</v>
      </c>
      <c r="AA29" s="1202" t="s">
        <v>256</v>
      </c>
      <c r="AB29" s="1208" t="s">
        <v>256</v>
      </c>
      <c r="AC29" s="1271"/>
      <c r="AD29" s="81"/>
    </row>
    <row r="30" spans="1:30" s="44" customFormat="1" ht="17.399999999999999">
      <c r="A30" s="1324"/>
      <c r="B30" s="1021"/>
      <c r="C30" s="1021"/>
      <c r="D30" s="1022"/>
      <c r="E30" s="1023"/>
      <c r="F30" s="1021"/>
      <c r="G30" s="1021"/>
      <c r="H30" s="1022"/>
      <c r="I30" s="1023"/>
      <c r="J30" s="1021"/>
      <c r="K30" s="1021"/>
      <c r="L30" s="1021"/>
      <c r="M30" s="1023"/>
      <c r="N30" s="1021"/>
      <c r="O30" s="1021"/>
      <c r="P30" s="1022"/>
      <c r="R30" s="1252" t="s">
        <v>822</v>
      </c>
      <c r="S30" s="1209">
        <v>3331564573</v>
      </c>
      <c r="T30" s="1264" t="s">
        <v>27</v>
      </c>
      <c r="U30" s="1264">
        <v>24141953</v>
      </c>
      <c r="V30" s="1209" t="s">
        <v>430</v>
      </c>
      <c r="W30" s="1264" t="s">
        <v>205</v>
      </c>
      <c r="X30" s="1203">
        <v>36727.550999999999</v>
      </c>
      <c r="Y30" s="1264" t="s">
        <v>128</v>
      </c>
      <c r="Z30" s="1202">
        <v>1</v>
      </c>
      <c r="AA30" s="1202">
        <v>1</v>
      </c>
      <c r="AB30" s="1208" t="s">
        <v>204</v>
      </c>
      <c r="AC30" s="1271"/>
      <c r="AD30" s="81"/>
    </row>
    <row r="31" spans="1:30" s="44" customFormat="1" ht="17.399999999999999">
      <c r="A31" s="1324"/>
      <c r="B31" s="1021"/>
      <c r="C31" s="1021"/>
      <c r="D31" s="1022"/>
      <c r="E31" s="1023"/>
      <c r="F31" s="1021"/>
      <c r="G31" s="1021"/>
      <c r="H31" s="1022"/>
      <c r="I31" s="1023"/>
      <c r="J31" s="1021"/>
      <c r="K31" s="1021"/>
      <c r="L31" s="1021"/>
      <c r="M31" s="1023"/>
      <c r="N31" s="1021"/>
      <c r="O31" s="1021"/>
      <c r="P31" s="1022"/>
      <c r="R31" s="1252" t="s">
        <v>822</v>
      </c>
      <c r="S31" s="1209">
        <v>3331564579</v>
      </c>
      <c r="T31" s="1264" t="s">
        <v>27</v>
      </c>
      <c r="U31" s="1264">
        <v>24141954</v>
      </c>
      <c r="V31" s="1209" t="s">
        <v>413</v>
      </c>
      <c r="W31" s="1264" t="s">
        <v>205</v>
      </c>
      <c r="X31" s="1203">
        <v>26833.793000000001</v>
      </c>
      <c r="Y31" s="1264" t="s">
        <v>200</v>
      </c>
      <c r="Z31" s="1202">
        <v>1</v>
      </c>
      <c r="AA31" s="1202">
        <v>1</v>
      </c>
      <c r="AB31" s="1208" t="s">
        <v>204</v>
      </c>
      <c r="AC31" s="1271"/>
      <c r="AD31" s="81"/>
    </row>
    <row r="32" spans="1:30" s="44" customFormat="1" ht="17.399999999999999">
      <c r="A32" s="1324"/>
      <c r="B32" s="1021"/>
      <c r="C32" s="1021"/>
      <c r="D32" s="1022"/>
      <c r="E32" s="1023"/>
      <c r="F32" s="1021"/>
      <c r="G32" s="1021"/>
      <c r="H32" s="1022"/>
      <c r="I32" s="1023"/>
      <c r="J32" s="1021"/>
      <c r="K32" s="1021"/>
      <c r="L32" s="1021"/>
      <c r="M32" s="1023"/>
      <c r="N32" s="1021"/>
      <c r="O32" s="1021"/>
      <c r="P32" s="1022"/>
      <c r="R32" s="1209" t="s">
        <v>810</v>
      </c>
      <c r="S32" s="1209">
        <v>3331564811</v>
      </c>
      <c r="T32" s="1264" t="s">
        <v>441</v>
      </c>
      <c r="U32" s="1202">
        <v>24142050</v>
      </c>
      <c r="V32" s="1202" t="s">
        <v>907</v>
      </c>
      <c r="W32" s="1202" t="s">
        <v>205</v>
      </c>
      <c r="X32" s="1203">
        <f>4644.702+20587.79</f>
        <v>25232.492000000002</v>
      </c>
      <c r="Y32" s="1202" t="s">
        <v>128</v>
      </c>
      <c r="Z32" s="1202">
        <v>1</v>
      </c>
      <c r="AA32" s="1202">
        <v>1</v>
      </c>
      <c r="AB32" s="1208" t="s">
        <v>204</v>
      </c>
      <c r="AC32" s="1217"/>
      <c r="AD32" s="1326"/>
    </row>
    <row r="33" spans="1:30" s="44" customFormat="1" ht="17.399999999999999">
      <c r="A33" s="1324"/>
      <c r="B33" s="1021"/>
      <c r="C33" s="1021"/>
      <c r="D33" s="1022"/>
      <c r="E33" s="1023"/>
      <c r="F33" s="1021"/>
      <c r="G33" s="1021"/>
      <c r="H33" s="1022"/>
      <c r="I33" s="1023"/>
      <c r="J33" s="1021"/>
      <c r="K33" s="1021"/>
      <c r="L33" s="1021"/>
      <c r="M33" s="1023"/>
      <c r="N33" s="1021"/>
      <c r="O33" s="1021"/>
      <c r="P33" s="1022"/>
      <c r="R33" s="1209" t="s">
        <v>810</v>
      </c>
      <c r="S33" s="1209">
        <v>3331564812</v>
      </c>
      <c r="T33" s="1264" t="s">
        <v>256</v>
      </c>
      <c r="U33" s="1202" t="s">
        <v>256</v>
      </c>
      <c r="V33" s="1202" t="s">
        <v>256</v>
      </c>
      <c r="W33" s="1202" t="s">
        <v>256</v>
      </c>
      <c r="X33" s="1203" t="s">
        <v>256</v>
      </c>
      <c r="Y33" s="1202" t="s">
        <v>256</v>
      </c>
      <c r="Z33" s="1202" t="s">
        <v>256</v>
      </c>
      <c r="AA33" s="1202" t="s">
        <v>256</v>
      </c>
      <c r="AB33" s="1067" t="s">
        <v>256</v>
      </c>
      <c r="AC33" s="1217"/>
      <c r="AD33" s="1326"/>
    </row>
    <row r="34" spans="1:30" s="44" customFormat="1" ht="17.399999999999999">
      <c r="A34" s="1324"/>
      <c r="B34" s="1021"/>
      <c r="C34" s="1021"/>
      <c r="D34" s="1022"/>
      <c r="E34" s="1023"/>
      <c r="F34" s="1021"/>
      <c r="G34" s="1021"/>
      <c r="H34" s="1022"/>
      <c r="I34" s="1023"/>
      <c r="J34" s="1021"/>
      <c r="K34" s="1021"/>
      <c r="L34" s="1021"/>
      <c r="M34" s="1023"/>
      <c r="N34" s="1021"/>
      <c r="O34" s="1021"/>
      <c r="P34" s="1022"/>
      <c r="R34" s="1252" t="s">
        <v>810</v>
      </c>
      <c r="S34" s="1209">
        <v>3331564819</v>
      </c>
      <c r="T34" s="1247" t="s">
        <v>256</v>
      </c>
      <c r="U34" s="1202" t="s">
        <v>256</v>
      </c>
      <c r="V34" s="1202" t="s">
        <v>256</v>
      </c>
      <c r="W34" s="1202" t="s">
        <v>256</v>
      </c>
      <c r="X34" s="1203" t="s">
        <v>256</v>
      </c>
      <c r="Y34" s="1202" t="s">
        <v>256</v>
      </c>
      <c r="Z34" s="1202" t="s">
        <v>256</v>
      </c>
      <c r="AA34" s="1202" t="s">
        <v>256</v>
      </c>
      <c r="AB34" s="1208" t="s">
        <v>256</v>
      </c>
      <c r="AC34" s="1271"/>
      <c r="AD34" s="81"/>
    </row>
    <row r="35" spans="1:30" s="44" customFormat="1" ht="17.399999999999999">
      <c r="A35" s="1324"/>
      <c r="B35" s="1021"/>
      <c r="C35" s="1021"/>
      <c r="D35" s="1022"/>
      <c r="E35" s="1023"/>
      <c r="F35" s="1021"/>
      <c r="G35" s="1021"/>
      <c r="H35" s="1022"/>
      <c r="I35" s="1023"/>
      <c r="J35" s="1021"/>
      <c r="K35" s="1021"/>
      <c r="L35" s="1021"/>
      <c r="M35" s="1023"/>
      <c r="N35" s="1021"/>
      <c r="O35" s="1021"/>
      <c r="P35" s="1022"/>
      <c r="R35" s="1252" t="s">
        <v>794</v>
      </c>
      <c r="S35" s="1209">
        <v>3331564068</v>
      </c>
      <c r="T35" s="1264" t="s">
        <v>439</v>
      </c>
      <c r="U35" s="1202">
        <v>24141996</v>
      </c>
      <c r="V35" s="1202" t="s">
        <v>440</v>
      </c>
      <c r="W35" s="1202" t="s">
        <v>434</v>
      </c>
      <c r="X35" s="1203">
        <f>8978.55+18384.65+12510.616</f>
        <v>39873.815999999999</v>
      </c>
      <c r="Y35" s="1202" t="s">
        <v>128</v>
      </c>
      <c r="Z35" s="1202">
        <v>1</v>
      </c>
      <c r="AA35" s="1202">
        <v>1</v>
      </c>
      <c r="AB35" s="1208" t="s">
        <v>204</v>
      </c>
      <c r="AC35" s="1271"/>
      <c r="AD35" s="81"/>
    </row>
    <row r="36" spans="1:30" s="44" customFormat="1" ht="17.399999999999999">
      <c r="A36" s="1324"/>
      <c r="B36" s="1021"/>
      <c r="C36" s="1021"/>
      <c r="D36" s="1022"/>
      <c r="E36" s="1023"/>
      <c r="F36" s="1021"/>
      <c r="G36" s="1021"/>
      <c r="H36" s="1022"/>
      <c r="I36" s="1023"/>
      <c r="J36" s="1021"/>
      <c r="K36" s="1021"/>
      <c r="L36" s="1021"/>
      <c r="M36" s="1023"/>
      <c r="N36" s="1021"/>
      <c r="O36" s="1021"/>
      <c r="P36" s="1022"/>
      <c r="R36" s="1252" t="s">
        <v>452</v>
      </c>
      <c r="S36" s="1209">
        <v>3331564823</v>
      </c>
      <c r="T36" s="1264" t="s">
        <v>256</v>
      </c>
      <c r="U36" s="1202" t="s">
        <v>256</v>
      </c>
      <c r="V36" s="1202" t="s">
        <v>256</v>
      </c>
      <c r="W36" s="1202" t="s">
        <v>256</v>
      </c>
      <c r="X36" s="1203" t="s">
        <v>256</v>
      </c>
      <c r="Y36" s="1202" t="s">
        <v>256</v>
      </c>
      <c r="Z36" s="1202" t="s">
        <v>256</v>
      </c>
      <c r="AA36" s="1202" t="s">
        <v>256</v>
      </c>
      <c r="AB36" s="1067" t="s">
        <v>256</v>
      </c>
      <c r="AC36" s="1271"/>
      <c r="AD36" s="81"/>
    </row>
    <row r="37" spans="1:30" s="44" customFormat="1" ht="17.399999999999999">
      <c r="A37" s="1324"/>
      <c r="B37" s="1021"/>
      <c r="C37" s="1021"/>
      <c r="D37" s="1022"/>
      <c r="E37" s="1023"/>
      <c r="F37" s="1021"/>
      <c r="G37" s="1021"/>
      <c r="H37" s="1022"/>
      <c r="I37" s="1023"/>
      <c r="J37" s="1021"/>
      <c r="K37" s="1021"/>
      <c r="L37" s="1021"/>
      <c r="M37" s="1023"/>
      <c r="N37" s="1021"/>
      <c r="O37" s="1021"/>
      <c r="P37" s="1022"/>
      <c r="R37" s="1252" t="s">
        <v>810</v>
      </c>
      <c r="S37" s="1209">
        <v>3331564826</v>
      </c>
      <c r="T37" s="1264" t="s">
        <v>256</v>
      </c>
      <c r="U37" s="1202" t="s">
        <v>256</v>
      </c>
      <c r="V37" s="1202" t="s">
        <v>256</v>
      </c>
      <c r="W37" s="1202" t="s">
        <v>256</v>
      </c>
      <c r="X37" s="1203" t="s">
        <v>256</v>
      </c>
      <c r="Y37" s="1202" t="s">
        <v>256</v>
      </c>
      <c r="Z37" s="1202" t="s">
        <v>256</v>
      </c>
      <c r="AA37" s="1202" t="s">
        <v>256</v>
      </c>
      <c r="AB37" s="1067" t="s">
        <v>256</v>
      </c>
      <c r="AC37" s="1271"/>
      <c r="AD37" s="81"/>
    </row>
    <row r="38" spans="1:30" s="44" customFormat="1" ht="17.399999999999999">
      <c r="A38" s="1324"/>
      <c r="B38" s="1021"/>
      <c r="C38" s="1021"/>
      <c r="D38" s="1022"/>
      <c r="E38" s="1023"/>
      <c r="F38" s="1021"/>
      <c r="G38" s="1021"/>
      <c r="H38" s="1022"/>
      <c r="I38" s="1023"/>
      <c r="J38" s="1021"/>
      <c r="K38" s="1021"/>
      <c r="L38" s="1021"/>
      <c r="M38" s="1023"/>
      <c r="N38" s="1021"/>
      <c r="O38" s="1021"/>
      <c r="P38" s="1022"/>
      <c r="R38" s="1252" t="s">
        <v>452</v>
      </c>
      <c r="S38" s="1209">
        <v>3331564831</v>
      </c>
      <c r="T38" s="1264" t="s">
        <v>439</v>
      </c>
      <c r="U38" s="1202">
        <v>24141997</v>
      </c>
      <c r="V38" s="1202" t="s">
        <v>440</v>
      </c>
      <c r="W38" s="1202" t="s">
        <v>434</v>
      </c>
      <c r="X38" s="1203">
        <v>39377.355000000003</v>
      </c>
      <c r="Y38" s="1202" t="s">
        <v>128</v>
      </c>
      <c r="Z38" s="1202">
        <v>1</v>
      </c>
      <c r="AA38" s="1202">
        <v>1</v>
      </c>
      <c r="AB38" s="1208" t="s">
        <v>204</v>
      </c>
      <c r="AC38" s="1271"/>
      <c r="AD38" s="81"/>
    </row>
    <row r="39" spans="1:30" s="44" customFormat="1" ht="17.399999999999999">
      <c r="A39" s="1324"/>
      <c r="B39" s="1021"/>
      <c r="C39" s="1021"/>
      <c r="D39" s="1022"/>
      <c r="E39" s="1023"/>
      <c r="F39" s="1021"/>
      <c r="G39" s="1021"/>
      <c r="H39" s="1022"/>
      <c r="I39" s="1023"/>
      <c r="J39" s="1021"/>
      <c r="K39" s="1021"/>
      <c r="L39" s="1021"/>
      <c r="M39" s="1023"/>
      <c r="N39" s="1021"/>
      <c r="O39" s="1021"/>
      <c r="P39" s="1022"/>
      <c r="R39" s="1252" t="s">
        <v>810</v>
      </c>
      <c r="S39" s="1209">
        <v>3331564832</v>
      </c>
      <c r="T39" s="1264" t="s">
        <v>336</v>
      </c>
      <c r="U39" s="1202">
        <v>24141998</v>
      </c>
      <c r="V39" s="1202" t="s">
        <v>815</v>
      </c>
      <c r="W39" s="1202" t="s">
        <v>803</v>
      </c>
      <c r="X39" s="1203">
        <v>42176.046999999999</v>
      </c>
      <c r="Y39" s="1202" t="s">
        <v>128</v>
      </c>
      <c r="Z39" s="1202">
        <v>1</v>
      </c>
      <c r="AA39" s="1202">
        <v>1</v>
      </c>
      <c r="AB39" s="1208" t="s">
        <v>204</v>
      </c>
      <c r="AC39" s="1271"/>
      <c r="AD39" s="81"/>
    </row>
    <row r="40" spans="1:30" s="44" customFormat="1" ht="17.399999999999999">
      <c r="A40" s="1324"/>
      <c r="B40" s="1021"/>
      <c r="C40" s="1021"/>
      <c r="D40" s="1022"/>
      <c r="E40" s="1023"/>
      <c r="F40" s="1021"/>
      <c r="G40" s="1021"/>
      <c r="H40" s="1022"/>
      <c r="I40" s="1023"/>
      <c r="J40" s="1021"/>
      <c r="K40" s="1021"/>
      <c r="L40" s="1021"/>
      <c r="M40" s="1023"/>
      <c r="N40" s="1021"/>
      <c r="O40" s="1021"/>
      <c r="P40" s="1022"/>
      <c r="R40" s="1252" t="s">
        <v>810</v>
      </c>
      <c r="S40" s="1209">
        <v>3331564834</v>
      </c>
      <c r="T40" s="1264" t="s">
        <v>908</v>
      </c>
      <c r="U40" s="1202">
        <v>24141999</v>
      </c>
      <c r="V40" s="1202" t="s">
        <v>815</v>
      </c>
      <c r="W40" s="1202" t="s">
        <v>803</v>
      </c>
      <c r="X40" s="1203">
        <f>3377.645+37312.192</f>
        <v>40689.837</v>
      </c>
      <c r="Y40" s="1202" t="s">
        <v>128</v>
      </c>
      <c r="Z40" s="1202">
        <v>1</v>
      </c>
      <c r="AA40" s="1202">
        <v>1</v>
      </c>
      <c r="AB40" s="1208" t="s">
        <v>204</v>
      </c>
      <c r="AC40" s="1271"/>
      <c r="AD40" s="81"/>
    </row>
    <row r="41" spans="1:30" s="44" customFormat="1" ht="17.399999999999999">
      <c r="A41" s="1324"/>
      <c r="B41" s="1021"/>
      <c r="C41" s="1021"/>
      <c r="D41" s="1022"/>
      <c r="E41" s="1023"/>
      <c r="F41" s="1021"/>
      <c r="G41" s="1021"/>
      <c r="H41" s="1022"/>
      <c r="I41" s="1023"/>
      <c r="J41" s="1021"/>
      <c r="K41" s="1021"/>
      <c r="L41" s="1021"/>
      <c r="M41" s="1023"/>
      <c r="N41" s="1021"/>
      <c r="O41" s="1021"/>
      <c r="P41" s="1022"/>
      <c r="R41" s="1252" t="s">
        <v>810</v>
      </c>
      <c r="S41" s="1209">
        <v>3331564837</v>
      </c>
      <c r="T41" s="1264" t="s">
        <v>256</v>
      </c>
      <c r="U41" s="1202" t="s">
        <v>256</v>
      </c>
      <c r="V41" s="1202" t="s">
        <v>256</v>
      </c>
      <c r="W41" s="1202" t="s">
        <v>256</v>
      </c>
      <c r="X41" s="1203" t="s">
        <v>256</v>
      </c>
      <c r="Y41" s="1202" t="s">
        <v>256</v>
      </c>
      <c r="Z41" s="1202" t="s">
        <v>256</v>
      </c>
      <c r="AA41" s="1202" t="s">
        <v>256</v>
      </c>
      <c r="AB41" s="1208" t="s">
        <v>256</v>
      </c>
      <c r="AC41" s="1271"/>
      <c r="AD41" s="81"/>
    </row>
    <row r="42" spans="1:30" s="44" customFormat="1" ht="17.399999999999999">
      <c r="A42" s="1324"/>
      <c r="B42" s="1021"/>
      <c r="C42" s="1021"/>
      <c r="D42" s="1022"/>
      <c r="E42" s="1023"/>
      <c r="F42" s="1021"/>
      <c r="G42" s="1021"/>
      <c r="H42" s="1022"/>
      <c r="I42" s="1023"/>
      <c r="J42" s="1021"/>
      <c r="K42" s="1021"/>
      <c r="L42" s="1021"/>
      <c r="M42" s="1023"/>
      <c r="N42" s="1021"/>
      <c r="O42" s="1021"/>
      <c r="P42" s="1022"/>
      <c r="R42" s="1252" t="s">
        <v>810</v>
      </c>
      <c r="S42" s="1209">
        <v>3331564867</v>
      </c>
      <c r="T42" s="1264" t="s">
        <v>27</v>
      </c>
      <c r="U42" s="1202">
        <v>24142000</v>
      </c>
      <c r="V42" s="1202" t="s">
        <v>815</v>
      </c>
      <c r="W42" s="1202" t="s">
        <v>803</v>
      </c>
      <c r="X42" s="1203">
        <f>4446.52+20736.175</f>
        <v>25182.695</v>
      </c>
      <c r="Y42" s="1202" t="s">
        <v>200</v>
      </c>
      <c r="Z42" s="1202">
        <v>1</v>
      </c>
      <c r="AA42" s="1202">
        <v>1</v>
      </c>
      <c r="AB42" s="1208" t="s">
        <v>204</v>
      </c>
      <c r="AC42" s="1271"/>
      <c r="AD42" s="81"/>
    </row>
    <row r="43" spans="1:30" s="44" customFormat="1" ht="17.399999999999999">
      <c r="A43" s="1324"/>
      <c r="B43" s="1021"/>
      <c r="C43" s="1021"/>
      <c r="D43" s="1022"/>
      <c r="E43" s="1023"/>
      <c r="F43" s="1021"/>
      <c r="G43" s="1021"/>
      <c r="H43" s="1022"/>
      <c r="I43" s="1023"/>
      <c r="J43" s="1021"/>
      <c r="K43" s="1021"/>
      <c r="L43" s="1021"/>
      <c r="M43" s="1023"/>
      <c r="N43" s="1021"/>
      <c r="O43" s="1021"/>
      <c r="P43" s="1022"/>
      <c r="R43" s="1252" t="s">
        <v>810</v>
      </c>
      <c r="S43" s="1209">
        <v>3331564871</v>
      </c>
      <c r="T43" s="1264" t="s">
        <v>256</v>
      </c>
      <c r="U43" s="1202" t="s">
        <v>256</v>
      </c>
      <c r="V43" s="1202" t="s">
        <v>256</v>
      </c>
      <c r="W43" s="1202" t="s">
        <v>256</v>
      </c>
      <c r="X43" s="1203" t="s">
        <v>256</v>
      </c>
      <c r="Y43" s="1202" t="s">
        <v>256</v>
      </c>
      <c r="Z43" s="1202" t="s">
        <v>256</v>
      </c>
      <c r="AA43" s="1202" t="s">
        <v>256</v>
      </c>
      <c r="AB43" s="1208" t="s">
        <v>256</v>
      </c>
      <c r="AC43" s="1271"/>
      <c r="AD43" s="81"/>
    </row>
    <row r="44" spans="1:30" s="44" customFormat="1" ht="17.399999999999999">
      <c r="A44" s="1324"/>
      <c r="B44" s="1021"/>
      <c r="C44" s="1021"/>
      <c r="D44" s="1022"/>
      <c r="E44" s="1023"/>
      <c r="F44" s="1021"/>
      <c r="G44" s="1021"/>
      <c r="H44" s="1022"/>
      <c r="I44" s="1023"/>
      <c r="J44" s="1021"/>
      <c r="K44" s="1021"/>
      <c r="L44" s="1021"/>
      <c r="M44" s="1023"/>
      <c r="N44" s="1021"/>
      <c r="O44" s="1021"/>
      <c r="P44" s="1022"/>
      <c r="R44" s="1252" t="s">
        <v>810</v>
      </c>
      <c r="S44" s="1209">
        <v>3331564878</v>
      </c>
      <c r="T44" s="1264" t="s">
        <v>27</v>
      </c>
      <c r="U44" s="1202">
        <v>24142001</v>
      </c>
      <c r="V44" s="1202" t="s">
        <v>815</v>
      </c>
      <c r="W44" s="1202" t="s">
        <v>803</v>
      </c>
      <c r="X44" s="1203">
        <f>22404.123+3390.22</f>
        <v>25794.343000000001</v>
      </c>
      <c r="Y44" s="1202" t="s">
        <v>200</v>
      </c>
      <c r="Z44" s="1202">
        <v>1</v>
      </c>
      <c r="AA44" s="1202">
        <v>1</v>
      </c>
      <c r="AB44" s="1208" t="s">
        <v>204</v>
      </c>
      <c r="AC44" s="1271"/>
      <c r="AD44" s="81"/>
    </row>
    <row r="45" spans="1:30" s="44" customFormat="1" ht="17.399999999999999">
      <c r="A45" s="1324"/>
      <c r="B45" s="1021"/>
      <c r="C45" s="1021"/>
      <c r="D45" s="1022"/>
      <c r="E45" s="1023"/>
      <c r="F45" s="1021"/>
      <c r="G45" s="1021"/>
      <c r="H45" s="1022"/>
      <c r="I45" s="1023"/>
      <c r="J45" s="1021"/>
      <c r="K45" s="1021"/>
      <c r="L45" s="1021"/>
      <c r="M45" s="1023"/>
      <c r="N45" s="1021"/>
      <c r="O45" s="1021"/>
      <c r="P45" s="1022"/>
      <c r="R45" s="1252" t="s">
        <v>810</v>
      </c>
      <c r="S45" s="1209">
        <v>3331564882</v>
      </c>
      <c r="T45" s="1264" t="s">
        <v>256</v>
      </c>
      <c r="U45" s="1202" t="s">
        <v>256</v>
      </c>
      <c r="V45" s="1202" t="s">
        <v>256</v>
      </c>
      <c r="W45" s="1202" t="s">
        <v>256</v>
      </c>
      <c r="X45" s="1203" t="s">
        <v>256</v>
      </c>
      <c r="Y45" s="1202" t="s">
        <v>256</v>
      </c>
      <c r="Z45" s="1202" t="s">
        <v>256</v>
      </c>
      <c r="AA45" s="1202" t="s">
        <v>256</v>
      </c>
      <c r="AB45" s="1208" t="s">
        <v>256</v>
      </c>
      <c r="AC45" s="1271"/>
      <c r="AD45" s="81"/>
    </row>
    <row r="46" spans="1:30" s="44" customFormat="1" ht="17.399999999999999">
      <c r="A46" s="1324"/>
      <c r="B46" s="1021"/>
      <c r="C46" s="1021"/>
      <c r="D46" s="1022"/>
      <c r="E46" s="1023"/>
      <c r="F46" s="1021"/>
      <c r="G46" s="1021"/>
      <c r="H46" s="1022"/>
      <c r="I46" s="1023"/>
      <c r="J46" s="1021"/>
      <c r="K46" s="1021"/>
      <c r="L46" s="1021"/>
      <c r="M46" s="1023"/>
      <c r="N46" s="1021"/>
      <c r="O46" s="1021"/>
      <c r="P46" s="1022"/>
      <c r="R46" s="1252" t="s">
        <v>810</v>
      </c>
      <c r="S46" s="1209">
        <v>3331564885</v>
      </c>
      <c r="T46" s="1264" t="s">
        <v>336</v>
      </c>
      <c r="U46" s="1202">
        <v>24142002</v>
      </c>
      <c r="V46" s="1202" t="s">
        <v>413</v>
      </c>
      <c r="W46" s="1202" t="s">
        <v>205</v>
      </c>
      <c r="X46" s="1203">
        <v>42412.959999999999</v>
      </c>
      <c r="Y46" s="1202" t="s">
        <v>128</v>
      </c>
      <c r="Z46" s="1202">
        <v>1</v>
      </c>
      <c r="AA46" s="1202">
        <v>1</v>
      </c>
      <c r="AB46" s="1208" t="s">
        <v>204</v>
      </c>
      <c r="AC46" s="1271"/>
      <c r="AD46" s="81"/>
    </row>
    <row r="47" spans="1:30" s="44" customFormat="1" ht="17.399999999999999">
      <c r="A47" s="1324"/>
      <c r="B47" s="1021"/>
      <c r="C47" s="1021"/>
      <c r="D47" s="1022"/>
      <c r="E47" s="1023"/>
      <c r="F47" s="1021"/>
      <c r="G47" s="1021"/>
      <c r="H47" s="1022"/>
      <c r="I47" s="1023"/>
      <c r="J47" s="1021"/>
      <c r="K47" s="1021"/>
      <c r="L47" s="1021"/>
      <c r="M47" s="1023"/>
      <c r="N47" s="1021"/>
      <c r="O47" s="1021"/>
      <c r="P47" s="1022"/>
      <c r="R47" s="1252" t="s">
        <v>810</v>
      </c>
      <c r="S47" s="1209">
        <v>3331564887</v>
      </c>
      <c r="T47" s="1264" t="s">
        <v>27</v>
      </c>
      <c r="U47" s="1202">
        <v>24142003</v>
      </c>
      <c r="V47" s="1202" t="s">
        <v>413</v>
      </c>
      <c r="W47" s="1202" t="s">
        <v>205</v>
      </c>
      <c r="X47" s="1203">
        <f>14716.272+11116.3</f>
        <v>25832.572</v>
      </c>
      <c r="Y47" s="1202" t="s">
        <v>200</v>
      </c>
      <c r="Z47" s="1202">
        <v>1</v>
      </c>
      <c r="AA47" s="1202">
        <v>1</v>
      </c>
      <c r="AB47" s="1208" t="s">
        <v>204</v>
      </c>
      <c r="AC47" s="1271"/>
      <c r="AD47" s="81"/>
    </row>
    <row r="48" spans="1:30" s="44" customFormat="1" ht="17.399999999999999">
      <c r="A48" s="1324"/>
      <c r="B48" s="1021"/>
      <c r="C48" s="1021"/>
      <c r="D48" s="1022"/>
      <c r="E48" s="1023"/>
      <c r="F48" s="1021"/>
      <c r="G48" s="1021"/>
      <c r="H48" s="1022"/>
      <c r="I48" s="1023"/>
      <c r="J48" s="1021"/>
      <c r="K48" s="1021"/>
      <c r="L48" s="1021"/>
      <c r="M48" s="1023"/>
      <c r="N48" s="1021"/>
      <c r="O48" s="1021"/>
      <c r="P48" s="1022"/>
      <c r="R48" s="1252" t="s">
        <v>810</v>
      </c>
      <c r="S48" s="1209">
        <v>3331564893</v>
      </c>
      <c r="T48" s="1264" t="s">
        <v>256</v>
      </c>
      <c r="U48" s="1202" t="s">
        <v>256</v>
      </c>
      <c r="V48" s="1202" t="s">
        <v>256</v>
      </c>
      <c r="W48" s="1202" t="s">
        <v>256</v>
      </c>
      <c r="X48" s="1203" t="s">
        <v>256</v>
      </c>
      <c r="Y48" s="1202" t="s">
        <v>256</v>
      </c>
      <c r="Z48" s="1202" t="s">
        <v>256</v>
      </c>
      <c r="AA48" s="1202" t="s">
        <v>256</v>
      </c>
      <c r="AB48" s="1208" t="s">
        <v>256</v>
      </c>
      <c r="AC48" s="1271"/>
      <c r="AD48" s="81"/>
    </row>
    <row r="49" spans="1:30" s="44" customFormat="1" ht="17.399999999999999">
      <c r="A49" s="1324"/>
      <c r="B49" s="1021"/>
      <c r="C49" s="1021"/>
      <c r="D49" s="1022"/>
      <c r="E49" s="1023"/>
      <c r="F49" s="1021"/>
      <c r="G49" s="1021"/>
      <c r="H49" s="1022"/>
      <c r="I49" s="1023"/>
      <c r="J49" s="1021"/>
      <c r="K49" s="1021"/>
      <c r="L49" s="1021"/>
      <c r="M49" s="1023"/>
      <c r="N49" s="1021"/>
      <c r="O49" s="1021"/>
      <c r="P49" s="1022"/>
      <c r="R49" s="1252" t="s">
        <v>452</v>
      </c>
      <c r="S49" s="1209">
        <v>3331564898</v>
      </c>
      <c r="T49" s="1264" t="s">
        <v>27</v>
      </c>
      <c r="U49" s="1202">
        <v>24142004</v>
      </c>
      <c r="V49" s="1202" t="s">
        <v>413</v>
      </c>
      <c r="W49" s="1202" t="s">
        <v>205</v>
      </c>
      <c r="X49" s="1203">
        <v>26337.08</v>
      </c>
      <c r="Y49" s="1202" t="s">
        <v>200</v>
      </c>
      <c r="Z49" s="1202">
        <v>1</v>
      </c>
      <c r="AA49" s="1202">
        <v>1</v>
      </c>
      <c r="AB49" s="1208" t="s">
        <v>204</v>
      </c>
      <c r="AC49" s="1271"/>
      <c r="AD49" s="81"/>
    </row>
    <row r="50" spans="1:30" s="44" customFormat="1" ht="17.399999999999999">
      <c r="A50" s="1324"/>
      <c r="B50" s="1021"/>
      <c r="C50" s="1021"/>
      <c r="D50" s="1022"/>
      <c r="E50" s="1023"/>
      <c r="F50" s="1021"/>
      <c r="G50" s="1021"/>
      <c r="H50" s="1022"/>
      <c r="I50" s="1023"/>
      <c r="J50" s="1021"/>
      <c r="K50" s="1021"/>
      <c r="L50" s="1021"/>
      <c r="M50" s="1023"/>
      <c r="N50" s="1021"/>
      <c r="O50" s="1021"/>
      <c r="P50" s="1022"/>
      <c r="R50" s="1252" t="s">
        <v>810</v>
      </c>
      <c r="S50" s="1209">
        <v>3331564900</v>
      </c>
      <c r="T50" s="1264" t="s">
        <v>27</v>
      </c>
      <c r="U50" s="1202">
        <v>24142005</v>
      </c>
      <c r="V50" s="1202" t="s">
        <v>413</v>
      </c>
      <c r="W50" s="1202" t="s">
        <v>205</v>
      </c>
      <c r="X50" s="1203">
        <v>24926.165000000001</v>
      </c>
      <c r="Y50" s="1202" t="s">
        <v>200</v>
      </c>
      <c r="Z50" s="1202">
        <v>1</v>
      </c>
      <c r="AA50" s="1202">
        <v>1</v>
      </c>
      <c r="AB50" s="1208" t="s">
        <v>204</v>
      </c>
      <c r="AC50" s="1271"/>
      <c r="AD50" s="81"/>
    </row>
    <row r="51" spans="1:30" s="44" customFormat="1" ht="17.399999999999999">
      <c r="A51" s="1324"/>
      <c r="B51" s="1021"/>
      <c r="C51" s="1021"/>
      <c r="D51" s="1022"/>
      <c r="E51" s="1023"/>
      <c r="F51" s="1021"/>
      <c r="G51" s="1021"/>
      <c r="H51" s="1022"/>
      <c r="I51" s="1023"/>
      <c r="J51" s="1021"/>
      <c r="K51" s="1021"/>
      <c r="L51" s="1021"/>
      <c r="M51" s="1023"/>
      <c r="N51" s="1021"/>
      <c r="O51" s="1021"/>
      <c r="P51" s="1022"/>
      <c r="R51" s="1252" t="s">
        <v>810</v>
      </c>
      <c r="S51" s="1209">
        <v>3331564914</v>
      </c>
      <c r="T51" s="1264" t="s">
        <v>441</v>
      </c>
      <c r="U51" s="1202">
        <v>24142016</v>
      </c>
      <c r="V51" s="1202" t="s">
        <v>430</v>
      </c>
      <c r="W51" s="1202" t="s">
        <v>205</v>
      </c>
      <c r="X51" s="1203">
        <f>3549.168+31391.224</f>
        <v>34940.392</v>
      </c>
      <c r="Y51" s="1202" t="s">
        <v>128</v>
      </c>
      <c r="Z51" s="1202">
        <v>1</v>
      </c>
      <c r="AA51" s="1202">
        <v>1</v>
      </c>
      <c r="AB51" s="1208" t="s">
        <v>204</v>
      </c>
      <c r="AC51" s="1271"/>
      <c r="AD51" s="81"/>
    </row>
    <row r="52" spans="1:30" s="44" customFormat="1" ht="17.399999999999999">
      <c r="A52" s="1324"/>
      <c r="B52" s="1021"/>
      <c r="C52" s="1021"/>
      <c r="D52" s="1022"/>
      <c r="E52" s="1023"/>
      <c r="F52" s="1021"/>
      <c r="G52" s="1021"/>
      <c r="H52" s="1022"/>
      <c r="I52" s="1023"/>
      <c r="J52" s="1021"/>
      <c r="K52" s="1021"/>
      <c r="L52" s="1021"/>
      <c r="M52" s="1023"/>
      <c r="N52" s="1021"/>
      <c r="O52" s="1021"/>
      <c r="P52" s="1022"/>
      <c r="R52" s="1252" t="s">
        <v>810</v>
      </c>
      <c r="S52" s="1209">
        <v>3331564916</v>
      </c>
      <c r="T52" s="1264" t="s">
        <v>256</v>
      </c>
      <c r="U52" s="1202" t="s">
        <v>256</v>
      </c>
      <c r="V52" s="1202" t="s">
        <v>256</v>
      </c>
      <c r="W52" s="1202" t="s">
        <v>256</v>
      </c>
      <c r="X52" s="1203" t="s">
        <v>256</v>
      </c>
      <c r="Y52" s="1202" t="s">
        <v>256</v>
      </c>
      <c r="Z52" s="1202" t="s">
        <v>256</v>
      </c>
      <c r="AA52" s="1202" t="s">
        <v>256</v>
      </c>
      <c r="AB52" s="1208" t="s">
        <v>256</v>
      </c>
      <c r="AC52" s="1271"/>
      <c r="AD52" s="81"/>
    </row>
    <row r="53" spans="1:30" s="44" customFormat="1" ht="17.399999999999999">
      <c r="A53" s="1324"/>
      <c r="B53" s="1021"/>
      <c r="C53" s="1021"/>
      <c r="D53" s="1022"/>
      <c r="E53" s="1023"/>
      <c r="F53" s="1021"/>
      <c r="G53" s="1021"/>
      <c r="H53" s="1022"/>
      <c r="I53" s="1023"/>
      <c r="J53" s="1021"/>
      <c r="K53" s="1021"/>
      <c r="L53" s="1021"/>
      <c r="M53" s="1023"/>
      <c r="N53" s="1021"/>
      <c r="O53" s="1021"/>
      <c r="P53" s="1022"/>
      <c r="R53" s="1252" t="s">
        <v>810</v>
      </c>
      <c r="S53" s="1209">
        <v>3331564921</v>
      </c>
      <c r="T53" s="1264" t="s">
        <v>441</v>
      </c>
      <c r="U53" s="1202">
        <v>24142017</v>
      </c>
      <c r="V53" s="1202" t="s">
        <v>430</v>
      </c>
      <c r="W53" s="1202" t="s">
        <v>205</v>
      </c>
      <c r="X53" s="1203">
        <f>29281.642+7098.336</f>
        <v>36379.978000000003</v>
      </c>
      <c r="Y53" s="1202" t="s">
        <v>128</v>
      </c>
      <c r="Z53" s="1202">
        <v>1</v>
      </c>
      <c r="AA53" s="1202">
        <v>1</v>
      </c>
      <c r="AB53" s="1208" t="s">
        <v>204</v>
      </c>
      <c r="AC53" s="1271"/>
      <c r="AD53" s="81"/>
    </row>
    <row r="54" spans="1:30" s="44" customFormat="1" ht="17.399999999999999">
      <c r="A54" s="1324"/>
      <c r="B54" s="1021"/>
      <c r="C54" s="1021"/>
      <c r="D54" s="1022"/>
      <c r="E54" s="1023"/>
      <c r="F54" s="1021"/>
      <c r="G54" s="1021"/>
      <c r="H54" s="1022"/>
      <c r="I54" s="1023"/>
      <c r="J54" s="1021"/>
      <c r="K54" s="1021"/>
      <c r="L54" s="1021"/>
      <c r="M54" s="1023"/>
      <c r="N54" s="1021"/>
      <c r="O54" s="1021"/>
      <c r="P54" s="1022"/>
      <c r="R54" s="1252" t="s">
        <v>810</v>
      </c>
      <c r="S54" s="1209">
        <v>3331564925</v>
      </c>
      <c r="T54" s="1264" t="s">
        <v>256</v>
      </c>
      <c r="U54" s="1202" t="s">
        <v>256</v>
      </c>
      <c r="V54" s="1202" t="s">
        <v>256</v>
      </c>
      <c r="W54" s="1202" t="s">
        <v>256</v>
      </c>
      <c r="X54" s="1203" t="s">
        <v>256</v>
      </c>
      <c r="Y54" s="1202" t="s">
        <v>256</v>
      </c>
      <c r="Z54" s="1202" t="s">
        <v>256</v>
      </c>
      <c r="AA54" s="1202" t="s">
        <v>256</v>
      </c>
      <c r="AB54" s="1208" t="s">
        <v>256</v>
      </c>
      <c r="AC54" s="1271"/>
      <c r="AD54" s="81"/>
    </row>
    <row r="55" spans="1:30" s="44" customFormat="1" ht="17.399999999999999">
      <c r="A55" s="1324"/>
      <c r="B55" s="1021"/>
      <c r="C55" s="1021"/>
      <c r="D55" s="1022"/>
      <c r="E55" s="1023"/>
      <c r="F55" s="1021"/>
      <c r="G55" s="1021"/>
      <c r="H55" s="1022"/>
      <c r="I55" s="1023"/>
      <c r="J55" s="1021"/>
      <c r="K55" s="1021"/>
      <c r="L55" s="1021"/>
      <c r="M55" s="1023"/>
      <c r="N55" s="1021"/>
      <c r="O55" s="1021"/>
      <c r="P55" s="1022"/>
      <c r="R55" s="1252" t="s">
        <v>810</v>
      </c>
      <c r="S55" s="1209">
        <v>3331564927</v>
      </c>
      <c r="T55" s="1264" t="s">
        <v>441</v>
      </c>
      <c r="U55" s="1202">
        <v>24142018</v>
      </c>
      <c r="V55" s="1202" t="s">
        <v>430</v>
      </c>
      <c r="W55" s="1202" t="s">
        <v>205</v>
      </c>
      <c r="X55" s="1203">
        <f>8281.392+29281.642</f>
        <v>37563.034</v>
      </c>
      <c r="Y55" s="1202" t="s">
        <v>128</v>
      </c>
      <c r="Z55" s="1202">
        <v>1</v>
      </c>
      <c r="AA55" s="1202">
        <v>1</v>
      </c>
      <c r="AB55" s="1208" t="s">
        <v>204</v>
      </c>
      <c r="AC55" s="1271"/>
      <c r="AD55" s="81"/>
    </row>
    <row r="56" spans="1:30" s="44" customFormat="1" ht="17.399999999999999">
      <c r="A56" s="1324"/>
      <c r="B56" s="1021"/>
      <c r="C56" s="1021"/>
      <c r="D56" s="1022"/>
      <c r="E56" s="1023"/>
      <c r="F56" s="1021"/>
      <c r="G56" s="1021"/>
      <c r="H56" s="1022"/>
      <c r="I56" s="1023"/>
      <c r="J56" s="1021"/>
      <c r="K56" s="1021"/>
      <c r="L56" s="1021"/>
      <c r="M56" s="1023"/>
      <c r="N56" s="1021"/>
      <c r="O56" s="1021"/>
      <c r="P56" s="1022"/>
      <c r="R56" s="1252" t="s">
        <v>810</v>
      </c>
      <c r="S56" s="1209">
        <v>3331564928</v>
      </c>
      <c r="T56" s="1264" t="s">
        <v>256</v>
      </c>
      <c r="U56" s="1202" t="s">
        <v>256</v>
      </c>
      <c r="V56" s="1202" t="s">
        <v>256</v>
      </c>
      <c r="W56" s="1202" t="s">
        <v>256</v>
      </c>
      <c r="X56" s="1203" t="s">
        <v>256</v>
      </c>
      <c r="Y56" s="1202" t="s">
        <v>256</v>
      </c>
      <c r="Z56" s="1202" t="s">
        <v>256</v>
      </c>
      <c r="AA56" s="1202" t="s">
        <v>256</v>
      </c>
      <c r="AB56" s="1208" t="s">
        <v>256</v>
      </c>
      <c r="AC56" s="1271"/>
      <c r="AD56" s="81"/>
    </row>
    <row r="57" spans="1:30" s="44" customFormat="1" ht="17.399999999999999">
      <c r="A57" s="1324"/>
      <c r="B57" s="1021"/>
      <c r="C57" s="1021"/>
      <c r="D57" s="1022"/>
      <c r="E57" s="1023"/>
      <c r="F57" s="1021"/>
      <c r="G57" s="1021"/>
      <c r="H57" s="1022"/>
      <c r="I57" s="1023"/>
      <c r="J57" s="1021"/>
      <c r="K57" s="1021"/>
      <c r="L57" s="1021"/>
      <c r="M57" s="1023"/>
      <c r="N57" s="1021"/>
      <c r="O57" s="1021"/>
      <c r="P57" s="1022"/>
      <c r="R57" s="1252" t="s">
        <v>810</v>
      </c>
      <c r="S57" s="1209">
        <v>3331564962</v>
      </c>
      <c r="T57" s="1264" t="s">
        <v>599</v>
      </c>
      <c r="U57" s="1202">
        <v>24142025</v>
      </c>
      <c r="V57" s="1202" t="s">
        <v>561</v>
      </c>
      <c r="W57" s="1202" t="s">
        <v>362</v>
      </c>
      <c r="X57" s="1203">
        <f>15990.873+1751.173+2150.828+2554.759</f>
        <v>22447.633000000002</v>
      </c>
      <c r="Y57" s="1202" t="s">
        <v>200</v>
      </c>
      <c r="Z57" s="1202">
        <v>1</v>
      </c>
      <c r="AA57" s="1202">
        <v>1</v>
      </c>
      <c r="AB57" s="1208" t="s">
        <v>204</v>
      </c>
      <c r="AC57" s="1271"/>
      <c r="AD57" s="81"/>
    </row>
    <row r="58" spans="1:30" s="44" customFormat="1" ht="17.399999999999999">
      <c r="A58" s="1324"/>
      <c r="B58" s="1021"/>
      <c r="C58" s="1021"/>
      <c r="D58" s="1022"/>
      <c r="E58" s="1023"/>
      <c r="F58" s="1021"/>
      <c r="G58" s="1021"/>
      <c r="H58" s="1022"/>
      <c r="I58" s="1023"/>
      <c r="J58" s="1021"/>
      <c r="K58" s="1021"/>
      <c r="L58" s="1021"/>
      <c r="M58" s="1023"/>
      <c r="N58" s="1021"/>
      <c r="O58" s="1021"/>
      <c r="P58" s="1022"/>
      <c r="R58" s="1252" t="s">
        <v>810</v>
      </c>
      <c r="S58" s="1209">
        <v>3331564964</v>
      </c>
      <c r="T58" s="1264" t="s">
        <v>256</v>
      </c>
      <c r="U58" s="1202" t="s">
        <v>256</v>
      </c>
      <c r="V58" s="1202" t="s">
        <v>256</v>
      </c>
      <c r="W58" s="1202" t="s">
        <v>256</v>
      </c>
      <c r="X58" s="1203" t="s">
        <v>256</v>
      </c>
      <c r="Y58" s="1202" t="s">
        <v>256</v>
      </c>
      <c r="Z58" s="1202" t="s">
        <v>256</v>
      </c>
      <c r="AA58" s="1202" t="s">
        <v>256</v>
      </c>
      <c r="AB58" s="1208" t="s">
        <v>256</v>
      </c>
      <c r="AC58" s="1271"/>
      <c r="AD58" s="81"/>
    </row>
    <row r="59" spans="1:30" s="44" customFormat="1" ht="17.399999999999999">
      <c r="A59" s="1324"/>
      <c r="B59" s="1021"/>
      <c r="C59" s="1021"/>
      <c r="D59" s="1022"/>
      <c r="E59" s="1023"/>
      <c r="F59" s="1021"/>
      <c r="G59" s="1021"/>
      <c r="H59" s="1022"/>
      <c r="I59" s="1023"/>
      <c r="J59" s="1021"/>
      <c r="K59" s="1021"/>
      <c r="L59" s="1021"/>
      <c r="M59" s="1023"/>
      <c r="N59" s="1021"/>
      <c r="O59" s="1021"/>
      <c r="P59" s="1022"/>
      <c r="R59" s="1252" t="s">
        <v>810</v>
      </c>
      <c r="S59" s="1209">
        <v>3331564967</v>
      </c>
      <c r="T59" s="1264" t="s">
        <v>256</v>
      </c>
      <c r="U59" s="1202" t="s">
        <v>256</v>
      </c>
      <c r="V59" s="1202" t="s">
        <v>256</v>
      </c>
      <c r="W59" s="1202" t="s">
        <v>256</v>
      </c>
      <c r="X59" s="1203" t="s">
        <v>256</v>
      </c>
      <c r="Y59" s="1202" t="s">
        <v>256</v>
      </c>
      <c r="Z59" s="1202" t="s">
        <v>256</v>
      </c>
      <c r="AA59" s="1202" t="s">
        <v>256</v>
      </c>
      <c r="AB59" s="1208" t="s">
        <v>256</v>
      </c>
      <c r="AC59" s="1271"/>
      <c r="AD59" s="81"/>
    </row>
    <row r="60" spans="1:30" s="44" customFormat="1" ht="17.399999999999999">
      <c r="A60" s="1324"/>
      <c r="B60" s="1021"/>
      <c r="C60" s="1021"/>
      <c r="D60" s="1022"/>
      <c r="E60" s="1023"/>
      <c r="F60" s="1021"/>
      <c r="G60" s="1021"/>
      <c r="H60" s="1022"/>
      <c r="I60" s="1023"/>
      <c r="J60" s="1021"/>
      <c r="K60" s="1021"/>
      <c r="L60" s="1021"/>
      <c r="M60" s="1023"/>
      <c r="N60" s="1021"/>
      <c r="O60" s="1021"/>
      <c r="P60" s="1022"/>
      <c r="R60" s="1252" t="s">
        <v>810</v>
      </c>
      <c r="S60" s="1209">
        <v>3331564969</v>
      </c>
      <c r="T60" s="1264" t="s">
        <v>256</v>
      </c>
      <c r="U60" s="1202" t="s">
        <v>256</v>
      </c>
      <c r="V60" s="1202" t="s">
        <v>256</v>
      </c>
      <c r="W60" s="1202" t="s">
        <v>256</v>
      </c>
      <c r="X60" s="1203" t="s">
        <v>256</v>
      </c>
      <c r="Y60" s="1202" t="s">
        <v>256</v>
      </c>
      <c r="Z60" s="1202" t="s">
        <v>256</v>
      </c>
      <c r="AA60" s="1202" t="s">
        <v>256</v>
      </c>
      <c r="AB60" s="1208" t="s">
        <v>256</v>
      </c>
      <c r="AC60" s="1271"/>
      <c r="AD60" s="81"/>
    </row>
    <row r="61" spans="1:30" s="44" customFormat="1" ht="17.399999999999999">
      <c r="A61" s="1324"/>
      <c r="B61" s="1021"/>
      <c r="C61" s="1021"/>
      <c r="D61" s="1022"/>
      <c r="E61" s="1023"/>
      <c r="F61" s="1021"/>
      <c r="G61" s="1021"/>
      <c r="H61" s="1022"/>
      <c r="I61" s="1023"/>
      <c r="J61" s="1021"/>
      <c r="K61" s="1021"/>
      <c r="L61" s="1021"/>
      <c r="M61" s="1023"/>
      <c r="N61" s="1021"/>
      <c r="O61" s="1021"/>
      <c r="P61" s="1022"/>
      <c r="R61" s="1252" t="s">
        <v>810</v>
      </c>
      <c r="S61" s="1209">
        <v>3331564965</v>
      </c>
      <c r="T61" s="1264" t="s">
        <v>336</v>
      </c>
      <c r="U61" s="1202">
        <v>24142026</v>
      </c>
      <c r="V61" s="1202" t="s">
        <v>909</v>
      </c>
      <c r="W61" s="1202" t="s">
        <v>205</v>
      </c>
      <c r="X61" s="1203">
        <v>33690.94</v>
      </c>
      <c r="Y61" s="1202" t="s">
        <v>128</v>
      </c>
      <c r="Z61" s="1202">
        <v>1</v>
      </c>
      <c r="AA61" s="1202">
        <v>1</v>
      </c>
      <c r="AB61" s="1208" t="s">
        <v>204</v>
      </c>
      <c r="AC61" s="1271"/>
      <c r="AD61" s="81"/>
    </row>
    <row r="62" spans="1:30" s="44" customFormat="1" ht="17.399999999999999">
      <c r="A62" s="1324"/>
      <c r="B62" s="1021"/>
      <c r="C62" s="1021"/>
      <c r="D62" s="1022"/>
      <c r="E62" s="1023"/>
      <c r="F62" s="1021"/>
      <c r="G62" s="1021"/>
      <c r="H62" s="1022"/>
      <c r="I62" s="1023"/>
      <c r="J62" s="1021"/>
      <c r="K62" s="1021"/>
      <c r="L62" s="1021"/>
      <c r="M62" s="1023"/>
      <c r="N62" s="1021"/>
      <c r="O62" s="1021"/>
      <c r="P62" s="1022"/>
      <c r="R62" s="1252" t="s">
        <v>452</v>
      </c>
      <c r="S62" s="1209">
        <v>3331564953</v>
      </c>
      <c r="T62" s="1264" t="s">
        <v>27</v>
      </c>
      <c r="U62" s="1202">
        <v>24142023</v>
      </c>
      <c r="V62" s="1202" t="s">
        <v>497</v>
      </c>
      <c r="W62" s="1202" t="s">
        <v>203</v>
      </c>
      <c r="X62" s="1203">
        <v>25773.982</v>
      </c>
      <c r="Y62" s="1202" t="s">
        <v>200</v>
      </c>
      <c r="Z62" s="1202">
        <v>1</v>
      </c>
      <c r="AA62" s="1202">
        <v>1</v>
      </c>
      <c r="AB62" s="1208" t="s">
        <v>204</v>
      </c>
      <c r="AC62" s="1271"/>
      <c r="AD62" s="81"/>
    </row>
    <row r="63" spans="1:30" s="44" customFormat="1" ht="17.399999999999999">
      <c r="A63" s="1324"/>
      <c r="B63" s="1021"/>
      <c r="C63" s="1021"/>
      <c r="D63" s="1022"/>
      <c r="E63" s="1023"/>
      <c r="F63" s="1021"/>
      <c r="G63" s="1021"/>
      <c r="H63" s="1022"/>
      <c r="I63" s="1023"/>
      <c r="J63" s="1021"/>
      <c r="K63" s="1021"/>
      <c r="L63" s="1021"/>
      <c r="M63" s="1023"/>
      <c r="N63" s="1021"/>
      <c r="O63" s="1021"/>
      <c r="P63" s="1022"/>
      <c r="R63" s="1252" t="s">
        <v>810</v>
      </c>
      <c r="S63" s="1209">
        <v>3331564959</v>
      </c>
      <c r="T63" s="1264" t="s">
        <v>27</v>
      </c>
      <c r="U63" s="1202">
        <v>24142024</v>
      </c>
      <c r="V63" s="1202" t="s">
        <v>497</v>
      </c>
      <c r="W63" s="1202" t="s">
        <v>203</v>
      </c>
      <c r="X63" s="1203">
        <v>26125.316999999999</v>
      </c>
      <c r="Y63" s="1202" t="s">
        <v>200</v>
      </c>
      <c r="Z63" s="1202">
        <v>1</v>
      </c>
      <c r="AA63" s="1202">
        <v>1</v>
      </c>
      <c r="AB63" s="1208" t="s">
        <v>204</v>
      </c>
      <c r="AC63" s="1271"/>
      <c r="AD63" s="81"/>
    </row>
    <row r="64" spans="1:30" s="44" customFormat="1" ht="17.399999999999999">
      <c r="A64" s="1324"/>
      <c r="B64" s="1021"/>
      <c r="C64" s="1021"/>
      <c r="D64" s="1022"/>
      <c r="E64" s="1023"/>
      <c r="F64" s="1021"/>
      <c r="G64" s="1021"/>
      <c r="H64" s="1022"/>
      <c r="I64" s="1023"/>
      <c r="J64" s="1021"/>
      <c r="K64" s="1021"/>
      <c r="L64" s="1021"/>
      <c r="M64" s="1023"/>
      <c r="N64" s="1021"/>
      <c r="O64" s="1021"/>
      <c r="P64" s="1022"/>
      <c r="R64" s="1252" t="s">
        <v>452</v>
      </c>
      <c r="S64" s="1209">
        <v>3331564942</v>
      </c>
      <c r="T64" s="1264" t="s">
        <v>441</v>
      </c>
      <c r="U64" s="1202">
        <v>24142027</v>
      </c>
      <c r="V64" s="1202" t="s">
        <v>430</v>
      </c>
      <c r="W64" s="1202" t="s">
        <v>205</v>
      </c>
      <c r="X64" s="1203">
        <f>7593.288+29275.072</f>
        <v>36868.36</v>
      </c>
      <c r="Y64" s="1202" t="s">
        <v>128</v>
      </c>
      <c r="Z64" s="1202">
        <v>1</v>
      </c>
      <c r="AA64" s="1202">
        <v>1</v>
      </c>
      <c r="AB64" s="1208" t="s">
        <v>204</v>
      </c>
      <c r="AC64" s="1271"/>
      <c r="AD64" s="81"/>
    </row>
    <row r="65" spans="1:30" s="44" customFormat="1" ht="17.399999999999999">
      <c r="A65" s="1324"/>
      <c r="B65" s="1021"/>
      <c r="C65" s="1021"/>
      <c r="D65" s="1022"/>
      <c r="E65" s="1023"/>
      <c r="F65" s="1021"/>
      <c r="G65" s="1021"/>
      <c r="H65" s="1022"/>
      <c r="I65" s="1023"/>
      <c r="J65" s="1021"/>
      <c r="K65" s="1021"/>
      <c r="L65" s="1021"/>
      <c r="M65" s="1023"/>
      <c r="N65" s="1021"/>
      <c r="O65" s="1021"/>
      <c r="P65" s="1022"/>
      <c r="R65" s="1252" t="s">
        <v>810</v>
      </c>
      <c r="S65" s="1209">
        <v>3331564974</v>
      </c>
      <c r="T65" s="1264" t="s">
        <v>256</v>
      </c>
      <c r="U65" s="1202" t="s">
        <v>256</v>
      </c>
      <c r="V65" s="1202" t="s">
        <v>256</v>
      </c>
      <c r="W65" s="1202" t="s">
        <v>256</v>
      </c>
      <c r="X65" s="1203" t="s">
        <v>256</v>
      </c>
      <c r="Y65" s="1202" t="s">
        <v>256</v>
      </c>
      <c r="Z65" s="1202" t="s">
        <v>256</v>
      </c>
      <c r="AA65" s="1202" t="s">
        <v>256</v>
      </c>
      <c r="AB65" s="1208" t="s">
        <v>256</v>
      </c>
      <c r="AC65" s="1271"/>
      <c r="AD65" s="81"/>
    </row>
    <row r="66" spans="1:30" s="44" customFormat="1" ht="17.399999999999999">
      <c r="A66" s="1324"/>
      <c r="B66" s="1021"/>
      <c r="C66" s="1021"/>
      <c r="D66" s="1022"/>
      <c r="E66" s="1023"/>
      <c r="F66" s="1021"/>
      <c r="G66" s="1021"/>
      <c r="H66" s="1022"/>
      <c r="I66" s="1023"/>
      <c r="J66" s="1021"/>
      <c r="K66" s="1021"/>
      <c r="L66" s="1021"/>
      <c r="M66" s="1023"/>
      <c r="N66" s="1021"/>
      <c r="O66" s="1021"/>
      <c r="P66" s="1022"/>
      <c r="R66" s="1252" t="s">
        <v>810</v>
      </c>
      <c r="S66" s="1209">
        <v>3331564976</v>
      </c>
      <c r="T66" s="1264" t="s">
        <v>910</v>
      </c>
      <c r="U66" s="1202">
        <v>24142028</v>
      </c>
      <c r="V66" s="1202" t="s">
        <v>430</v>
      </c>
      <c r="W66" s="1202" t="s">
        <v>205</v>
      </c>
      <c r="X66" s="1203">
        <f>24860.162+7593.288</f>
        <v>32453.45</v>
      </c>
      <c r="Y66" s="1202" t="s">
        <v>128</v>
      </c>
      <c r="Z66" s="1202">
        <v>1</v>
      </c>
      <c r="AA66" s="1202">
        <v>1</v>
      </c>
      <c r="AB66" s="1208" t="s">
        <v>204</v>
      </c>
      <c r="AC66" s="1271"/>
      <c r="AD66" s="81"/>
    </row>
    <row r="67" spans="1:30" s="44" customFormat="1" ht="17.399999999999999">
      <c r="A67" s="1324"/>
      <c r="B67" s="1021"/>
      <c r="C67" s="1021"/>
      <c r="D67" s="1022"/>
      <c r="E67" s="1023"/>
      <c r="F67" s="1021"/>
      <c r="G67" s="1021"/>
      <c r="H67" s="1022"/>
      <c r="I67" s="1023"/>
      <c r="J67" s="1021"/>
      <c r="K67" s="1021"/>
      <c r="L67" s="1021"/>
      <c r="M67" s="1023"/>
      <c r="N67" s="1021"/>
      <c r="O67" s="1021"/>
      <c r="P67" s="1022"/>
      <c r="R67" s="1252" t="s">
        <v>810</v>
      </c>
      <c r="S67" s="1209">
        <v>3331564979</v>
      </c>
      <c r="T67" s="1264" t="s">
        <v>256</v>
      </c>
      <c r="U67" s="1202" t="s">
        <v>256</v>
      </c>
      <c r="V67" s="1202" t="s">
        <v>256</v>
      </c>
      <c r="W67" s="1202" t="s">
        <v>256</v>
      </c>
      <c r="X67" s="1203" t="s">
        <v>256</v>
      </c>
      <c r="Y67" s="1202" t="s">
        <v>256</v>
      </c>
      <c r="Z67" s="1202" t="s">
        <v>256</v>
      </c>
      <c r="AA67" s="1202" t="s">
        <v>256</v>
      </c>
      <c r="AB67" s="1208" t="s">
        <v>256</v>
      </c>
      <c r="AC67" s="1271"/>
      <c r="AD67" s="81"/>
    </row>
    <row r="68" spans="1:30" s="44" customFormat="1" ht="17.399999999999999">
      <c r="A68" s="1324"/>
      <c r="B68" s="1021"/>
      <c r="C68" s="1021"/>
      <c r="D68" s="1022"/>
      <c r="E68" s="1023"/>
      <c r="F68" s="1021"/>
      <c r="G68" s="1021"/>
      <c r="H68" s="1022"/>
      <c r="I68" s="1023"/>
      <c r="J68" s="1021"/>
      <c r="K68" s="1021"/>
      <c r="L68" s="1021"/>
      <c r="M68" s="1023"/>
      <c r="N68" s="1021"/>
      <c r="O68" s="1021"/>
      <c r="P68" s="1022"/>
      <c r="R68" s="1252" t="s">
        <v>810</v>
      </c>
      <c r="S68" s="1209">
        <v>3331564981</v>
      </c>
      <c r="T68" s="1247" t="s">
        <v>336</v>
      </c>
      <c r="U68" s="1202">
        <v>24142029</v>
      </c>
      <c r="V68" s="1202" t="s">
        <v>430</v>
      </c>
      <c r="W68" s="1202" t="s">
        <v>205</v>
      </c>
      <c r="X68" s="1203">
        <f>7593.288+24860.161</f>
        <v>32453.449000000001</v>
      </c>
      <c r="Y68" s="1202" t="s">
        <v>128</v>
      </c>
      <c r="Z68" s="1202">
        <v>1</v>
      </c>
      <c r="AA68" s="1202">
        <v>1</v>
      </c>
      <c r="AB68" s="1208" t="s">
        <v>204</v>
      </c>
      <c r="AC68" s="1271"/>
      <c r="AD68" s="81"/>
    </row>
    <row r="69" spans="1:30" s="44" customFormat="1" ht="17.399999999999999">
      <c r="A69" s="1324"/>
      <c r="B69" s="1021"/>
      <c r="C69" s="1021"/>
      <c r="D69" s="1022"/>
      <c r="E69" s="1023"/>
      <c r="F69" s="1021"/>
      <c r="G69" s="1021"/>
      <c r="H69" s="1022"/>
      <c r="I69" s="1023"/>
      <c r="J69" s="1021"/>
      <c r="K69" s="1021"/>
      <c r="L69" s="1021"/>
      <c r="M69" s="1023"/>
      <c r="N69" s="1021"/>
      <c r="O69" s="1021"/>
      <c r="P69" s="1022"/>
      <c r="R69" s="1252" t="s">
        <v>810</v>
      </c>
      <c r="S69" s="1209">
        <v>3331564982</v>
      </c>
      <c r="T69" s="1264" t="s">
        <v>256</v>
      </c>
      <c r="U69" s="1202" t="s">
        <v>256</v>
      </c>
      <c r="V69" s="1202" t="s">
        <v>256</v>
      </c>
      <c r="W69" s="1202" t="s">
        <v>256</v>
      </c>
      <c r="X69" s="1203" t="s">
        <v>256</v>
      </c>
      <c r="Y69" s="1202" t="s">
        <v>256</v>
      </c>
      <c r="Z69" s="1202" t="s">
        <v>256</v>
      </c>
      <c r="AA69" s="1202" t="s">
        <v>256</v>
      </c>
      <c r="AB69" s="1208" t="s">
        <v>256</v>
      </c>
      <c r="AC69" s="1271"/>
      <c r="AD69" s="81"/>
    </row>
    <row r="70" spans="1:30" s="44" customFormat="1" ht="17.399999999999999">
      <c r="A70" s="1324"/>
      <c r="B70" s="1021"/>
      <c r="C70" s="1021"/>
      <c r="D70" s="1022"/>
      <c r="E70" s="1023"/>
      <c r="F70" s="1021"/>
      <c r="G70" s="1021"/>
      <c r="H70" s="1022"/>
      <c r="I70" s="1023"/>
      <c r="J70" s="1021"/>
      <c r="K70" s="1021"/>
      <c r="L70" s="1021"/>
      <c r="M70" s="1023"/>
      <c r="N70" s="1021"/>
      <c r="O70" s="1021"/>
      <c r="P70" s="1022"/>
      <c r="R70" s="1252" t="s">
        <v>452</v>
      </c>
      <c r="S70" s="1209">
        <v>3331564983</v>
      </c>
      <c r="T70" s="1247" t="s">
        <v>441</v>
      </c>
      <c r="U70" s="1202">
        <v>24142030</v>
      </c>
      <c r="V70" s="1202" t="s">
        <v>430</v>
      </c>
      <c r="W70" s="1202" t="s">
        <v>205</v>
      </c>
      <c r="X70" s="1203">
        <f>7593.288+24860.162</f>
        <v>32453.45</v>
      </c>
      <c r="Y70" s="1202" t="s">
        <v>128</v>
      </c>
      <c r="Z70" s="1202">
        <v>1</v>
      </c>
      <c r="AA70" s="1202">
        <v>1</v>
      </c>
      <c r="AB70" s="1208" t="s">
        <v>204</v>
      </c>
      <c r="AC70" s="1271"/>
      <c r="AD70" s="81"/>
    </row>
    <row r="71" spans="1:30" s="44" customFormat="1" ht="17.399999999999999">
      <c r="A71" s="1324"/>
      <c r="B71" s="1021"/>
      <c r="C71" s="1021"/>
      <c r="D71" s="1022"/>
      <c r="E71" s="1023"/>
      <c r="F71" s="1021"/>
      <c r="G71" s="1021"/>
      <c r="H71" s="1022"/>
      <c r="I71" s="1023"/>
      <c r="J71" s="1021"/>
      <c r="K71" s="1021"/>
      <c r="L71" s="1021"/>
      <c r="M71" s="1023"/>
      <c r="N71" s="1021"/>
      <c r="O71" s="1021"/>
      <c r="P71" s="1022"/>
      <c r="R71" s="1252" t="s">
        <v>810</v>
      </c>
      <c r="S71" s="1209">
        <v>3331564984</v>
      </c>
      <c r="T71" s="1264" t="s">
        <v>256</v>
      </c>
      <c r="U71" s="1202" t="s">
        <v>256</v>
      </c>
      <c r="V71" s="1202" t="s">
        <v>256</v>
      </c>
      <c r="W71" s="1202" t="s">
        <v>256</v>
      </c>
      <c r="X71" s="1203" t="s">
        <v>256</v>
      </c>
      <c r="Y71" s="1202" t="s">
        <v>256</v>
      </c>
      <c r="Z71" s="1202" t="s">
        <v>256</v>
      </c>
      <c r="AA71" s="1202" t="s">
        <v>256</v>
      </c>
      <c r="AB71" s="1208" t="s">
        <v>256</v>
      </c>
      <c r="AC71" s="1271"/>
      <c r="AD71" s="81"/>
    </row>
    <row r="72" spans="1:30" s="44" customFormat="1" ht="17.399999999999999">
      <c r="A72" s="1324"/>
      <c r="B72" s="1021"/>
      <c r="C72" s="1021"/>
      <c r="D72" s="1022"/>
      <c r="E72" s="1023"/>
      <c r="F72" s="1021"/>
      <c r="G72" s="1021"/>
      <c r="H72" s="1022"/>
      <c r="I72" s="1023"/>
      <c r="J72" s="1021"/>
      <c r="K72" s="1021"/>
      <c r="L72" s="1021"/>
      <c r="M72" s="1023"/>
      <c r="N72" s="1021"/>
      <c r="O72" s="1021"/>
      <c r="P72" s="1022"/>
      <c r="R72" s="1252" t="s">
        <v>810</v>
      </c>
      <c r="S72" s="1209">
        <v>3331564987</v>
      </c>
      <c r="T72" s="1247" t="s">
        <v>911</v>
      </c>
      <c r="U72" s="1202">
        <v>24142031</v>
      </c>
      <c r="V72" s="1202" t="s">
        <v>430</v>
      </c>
      <c r="W72" s="1202" t="s">
        <v>205</v>
      </c>
      <c r="X72" s="1203">
        <f>8858.836+27435.531</f>
        <v>36294.366999999998</v>
      </c>
      <c r="Y72" s="1202" t="s">
        <v>128</v>
      </c>
      <c r="Z72" s="1202">
        <v>1</v>
      </c>
      <c r="AA72" s="1202">
        <v>1</v>
      </c>
      <c r="AB72" s="1208" t="s">
        <v>204</v>
      </c>
      <c r="AC72" s="1271"/>
      <c r="AD72" s="81"/>
    </row>
    <row r="73" spans="1:30" s="44" customFormat="1" ht="17.399999999999999">
      <c r="A73" s="1324"/>
      <c r="B73" s="1021"/>
      <c r="C73" s="1021"/>
      <c r="D73" s="1022"/>
      <c r="E73" s="1023"/>
      <c r="F73" s="1021"/>
      <c r="G73" s="1021"/>
      <c r="H73" s="1022"/>
      <c r="I73" s="1023"/>
      <c r="J73" s="1021"/>
      <c r="K73" s="1021"/>
      <c r="L73" s="1021"/>
      <c r="M73" s="1023"/>
      <c r="N73" s="1021"/>
      <c r="O73" s="1021"/>
      <c r="P73" s="1022"/>
      <c r="R73" s="1252" t="s">
        <v>810</v>
      </c>
      <c r="S73" s="1209">
        <v>3331564989</v>
      </c>
      <c r="T73" s="1209" t="s">
        <v>256</v>
      </c>
      <c r="U73" s="1202" t="s">
        <v>256</v>
      </c>
      <c r="V73" s="1202" t="s">
        <v>256</v>
      </c>
      <c r="W73" s="1202" t="s">
        <v>256</v>
      </c>
      <c r="X73" s="1203" t="s">
        <v>256</v>
      </c>
      <c r="Y73" s="1202" t="s">
        <v>256</v>
      </c>
      <c r="Z73" s="1202" t="s">
        <v>256</v>
      </c>
      <c r="AA73" s="1202" t="s">
        <v>256</v>
      </c>
      <c r="AB73" s="1208" t="s">
        <v>256</v>
      </c>
      <c r="AC73" s="1271"/>
      <c r="AD73" s="81"/>
    </row>
    <row r="74" spans="1:30" s="44" customFormat="1" ht="17.399999999999999">
      <c r="A74" s="1324"/>
      <c r="B74" s="1021"/>
      <c r="C74" s="1021"/>
      <c r="D74" s="1022"/>
      <c r="E74" s="1023"/>
      <c r="F74" s="1021"/>
      <c r="G74" s="1021"/>
      <c r="H74" s="1022"/>
      <c r="I74" s="1023"/>
      <c r="J74" s="1021"/>
      <c r="K74" s="1021"/>
      <c r="L74" s="1021"/>
      <c r="M74" s="1023"/>
      <c r="N74" s="1021"/>
      <c r="O74" s="1021"/>
      <c r="P74" s="1022"/>
      <c r="R74" s="1252" t="s">
        <v>810</v>
      </c>
      <c r="S74" s="1209">
        <v>3331564997</v>
      </c>
      <c r="T74" s="1209" t="s">
        <v>441</v>
      </c>
      <c r="U74" s="1202">
        <v>24142032</v>
      </c>
      <c r="V74" s="1202" t="s">
        <v>430</v>
      </c>
      <c r="W74" s="1202" t="s">
        <v>205</v>
      </c>
      <c r="X74" s="1203">
        <v>24308.29</v>
      </c>
      <c r="Y74" s="1202" t="s">
        <v>128</v>
      </c>
      <c r="Z74" s="1202">
        <v>1</v>
      </c>
      <c r="AA74" s="1202">
        <v>1</v>
      </c>
      <c r="AB74" s="1208" t="s">
        <v>204</v>
      </c>
      <c r="AC74" s="1271"/>
      <c r="AD74" s="81"/>
    </row>
    <row r="75" spans="1:30" s="44" customFormat="1" ht="17.399999999999999">
      <c r="A75" s="1324"/>
      <c r="B75" s="1021"/>
      <c r="C75" s="1021"/>
      <c r="D75" s="1022"/>
      <c r="E75" s="1023"/>
      <c r="F75" s="1021"/>
      <c r="G75" s="1021"/>
      <c r="H75" s="1022"/>
      <c r="I75" s="1023"/>
      <c r="J75" s="1021"/>
      <c r="K75" s="1021"/>
      <c r="L75" s="1021"/>
      <c r="M75" s="1023"/>
      <c r="N75" s="1021"/>
      <c r="O75" s="1021"/>
      <c r="P75" s="1022"/>
      <c r="R75" s="1252" t="s">
        <v>810</v>
      </c>
      <c r="S75" s="1209">
        <v>3331564998</v>
      </c>
      <c r="T75" s="1209" t="s">
        <v>441</v>
      </c>
      <c r="U75" s="1202">
        <v>24142033</v>
      </c>
      <c r="V75" s="1202" t="s">
        <v>430</v>
      </c>
      <c r="W75" s="1202" t="s">
        <v>205</v>
      </c>
      <c r="X75" s="1203">
        <v>23782.715</v>
      </c>
      <c r="Y75" s="1202" t="s">
        <v>442</v>
      </c>
      <c r="Z75" s="1202">
        <v>1</v>
      </c>
      <c r="AA75" s="1202">
        <v>1</v>
      </c>
      <c r="AB75" s="1208" t="s">
        <v>204</v>
      </c>
      <c r="AC75" s="1271"/>
      <c r="AD75" s="81"/>
    </row>
    <row r="76" spans="1:30" s="44" customFormat="1" ht="17.399999999999999">
      <c r="A76" s="1324"/>
      <c r="B76" s="1021"/>
      <c r="C76" s="1021"/>
      <c r="D76" s="1022"/>
      <c r="E76" s="1023"/>
      <c r="F76" s="1021"/>
      <c r="G76" s="1021"/>
      <c r="H76" s="1022"/>
      <c r="I76" s="1023"/>
      <c r="J76" s="1021"/>
      <c r="K76" s="1021"/>
      <c r="L76" s="1021"/>
      <c r="M76" s="1023"/>
      <c r="N76" s="1021"/>
      <c r="O76" s="1021"/>
      <c r="P76" s="1022"/>
      <c r="R76" s="1252" t="s">
        <v>810</v>
      </c>
      <c r="S76" s="1209">
        <v>3331565000</v>
      </c>
      <c r="T76" s="1209" t="s">
        <v>441</v>
      </c>
      <c r="U76" s="1202">
        <v>24142034</v>
      </c>
      <c r="V76" s="1202" t="s">
        <v>430</v>
      </c>
      <c r="W76" s="1202" t="s">
        <v>205</v>
      </c>
      <c r="X76" s="1203">
        <v>22994.332999999999</v>
      </c>
      <c r="Y76" s="1202" t="s">
        <v>442</v>
      </c>
      <c r="Z76" s="1202">
        <v>1</v>
      </c>
      <c r="AA76" s="1202">
        <v>1</v>
      </c>
      <c r="AB76" s="1208" t="s">
        <v>204</v>
      </c>
      <c r="AC76" s="1271"/>
      <c r="AD76" s="81"/>
    </row>
    <row r="77" spans="1:30" s="44" customFormat="1" ht="17.399999999999999">
      <c r="A77" s="1324"/>
      <c r="B77" s="1021"/>
      <c r="C77" s="1021"/>
      <c r="D77" s="1022"/>
      <c r="E77" s="1023"/>
      <c r="F77" s="1021"/>
      <c r="G77" s="1021"/>
      <c r="H77" s="1022"/>
      <c r="I77" s="1023"/>
      <c r="J77" s="1021"/>
      <c r="K77" s="1021"/>
      <c r="L77" s="1021"/>
      <c r="M77" s="1023"/>
      <c r="N77" s="1021"/>
      <c r="O77" s="1021"/>
      <c r="P77" s="1022"/>
      <c r="R77" s="1252" t="s">
        <v>810</v>
      </c>
      <c r="S77" s="1209">
        <v>3331565004</v>
      </c>
      <c r="T77" s="1209" t="s">
        <v>441</v>
      </c>
      <c r="U77" s="1202">
        <v>24142039</v>
      </c>
      <c r="V77" s="1202" t="s">
        <v>430</v>
      </c>
      <c r="W77" s="1202" t="s">
        <v>205</v>
      </c>
      <c r="X77" s="1203">
        <v>26454.43</v>
      </c>
      <c r="Y77" s="1202" t="s">
        <v>442</v>
      </c>
      <c r="Z77" s="1202">
        <v>1</v>
      </c>
      <c r="AA77" s="1202">
        <v>1</v>
      </c>
      <c r="AB77" s="1208" t="s">
        <v>204</v>
      </c>
      <c r="AC77" s="1271"/>
      <c r="AD77" s="81"/>
    </row>
    <row r="78" spans="1:30" s="44" customFormat="1" ht="17.399999999999999">
      <c r="A78" s="1324"/>
      <c r="B78" s="1021"/>
      <c r="C78" s="1021"/>
      <c r="D78" s="1022"/>
      <c r="E78" s="1023"/>
      <c r="F78" s="1021"/>
      <c r="G78" s="1021"/>
      <c r="H78" s="1022"/>
      <c r="I78" s="1023"/>
      <c r="J78" s="1021"/>
      <c r="K78" s="1021"/>
      <c r="L78" s="1021"/>
      <c r="M78" s="1023"/>
      <c r="N78" s="1021"/>
      <c r="O78" s="1021"/>
      <c r="P78" s="1022"/>
      <c r="R78" s="1252" t="s">
        <v>810</v>
      </c>
      <c r="S78" s="1209">
        <v>3331565008</v>
      </c>
      <c r="T78" s="1209" t="s">
        <v>27</v>
      </c>
      <c r="U78" s="1202">
        <v>24142040</v>
      </c>
      <c r="V78" s="1202" t="s">
        <v>430</v>
      </c>
      <c r="W78" s="1202" t="s">
        <v>205</v>
      </c>
      <c r="X78" s="1203">
        <v>24308.29</v>
      </c>
      <c r="Y78" s="1202" t="s">
        <v>200</v>
      </c>
      <c r="Z78" s="1202">
        <v>1</v>
      </c>
      <c r="AA78" s="1202">
        <v>1</v>
      </c>
      <c r="AB78" s="1208" t="s">
        <v>204</v>
      </c>
      <c r="AC78" s="1271"/>
      <c r="AD78" s="81"/>
    </row>
    <row r="79" spans="1:30" s="44" customFormat="1" ht="17.399999999999999">
      <c r="A79" s="1324"/>
      <c r="B79" s="1021"/>
      <c r="C79" s="1021"/>
      <c r="D79" s="1022"/>
      <c r="E79" s="1023"/>
      <c r="F79" s="1021"/>
      <c r="G79" s="1021"/>
      <c r="H79" s="1022"/>
      <c r="I79" s="1023"/>
      <c r="J79" s="1021"/>
      <c r="K79" s="1021"/>
      <c r="L79" s="1021"/>
      <c r="M79" s="1023"/>
      <c r="N79" s="1021"/>
      <c r="O79" s="1021"/>
      <c r="P79" s="1022"/>
      <c r="R79" s="1252" t="s">
        <v>810</v>
      </c>
      <c r="S79" s="1209">
        <v>3331565010</v>
      </c>
      <c r="T79" s="1209" t="s">
        <v>27</v>
      </c>
      <c r="U79" s="1202">
        <v>24142041</v>
      </c>
      <c r="V79" s="1202" t="s">
        <v>430</v>
      </c>
      <c r="W79" s="1202" t="s">
        <v>205</v>
      </c>
      <c r="X79" s="1203">
        <v>23782.59</v>
      </c>
      <c r="Y79" s="1202" t="s">
        <v>200</v>
      </c>
      <c r="Z79" s="1202">
        <v>1</v>
      </c>
      <c r="AA79" s="1202">
        <v>1</v>
      </c>
      <c r="AB79" s="1208" t="s">
        <v>204</v>
      </c>
      <c r="AC79" s="1271"/>
      <c r="AD79" s="81"/>
    </row>
    <row r="80" spans="1:30" s="44" customFormat="1" ht="17.399999999999999">
      <c r="A80" s="1324"/>
      <c r="B80" s="1021"/>
      <c r="C80" s="1021"/>
      <c r="D80" s="1022"/>
      <c r="E80" s="1023"/>
      <c r="F80" s="1021"/>
      <c r="G80" s="1021"/>
      <c r="H80" s="1022"/>
      <c r="I80" s="1023"/>
      <c r="J80" s="1021"/>
      <c r="K80" s="1021"/>
      <c r="L80" s="1021"/>
      <c r="M80" s="1023"/>
      <c r="N80" s="1021"/>
      <c r="O80" s="1021"/>
      <c r="P80" s="1022"/>
      <c r="R80" s="1252" t="s">
        <v>810</v>
      </c>
      <c r="S80" s="1209">
        <v>3331564952</v>
      </c>
      <c r="T80" s="1209" t="s">
        <v>459</v>
      </c>
      <c r="U80" s="1202">
        <v>24142036</v>
      </c>
      <c r="V80" s="1202" t="s">
        <v>226</v>
      </c>
      <c r="W80" s="1202" t="s">
        <v>205</v>
      </c>
      <c r="X80" s="1203">
        <v>29502.458999999999</v>
      </c>
      <c r="Y80" s="1202" t="s">
        <v>426</v>
      </c>
      <c r="Z80" s="1202">
        <v>1</v>
      </c>
      <c r="AA80" s="1202">
        <v>1</v>
      </c>
      <c r="AB80" s="1208" t="s">
        <v>204</v>
      </c>
      <c r="AC80" s="1271"/>
      <c r="AD80" s="81"/>
    </row>
    <row r="81" spans="1:30" s="44" customFormat="1" ht="17.399999999999999">
      <c r="A81" s="1324"/>
      <c r="B81" s="1021"/>
      <c r="C81" s="1021"/>
      <c r="D81" s="1022"/>
      <c r="E81" s="1023"/>
      <c r="F81" s="1021"/>
      <c r="G81" s="1021"/>
      <c r="H81" s="1022"/>
      <c r="I81" s="1023"/>
      <c r="J81" s="1021"/>
      <c r="K81" s="1021"/>
      <c r="L81" s="1021"/>
      <c r="M81" s="1023"/>
      <c r="N81" s="1021"/>
      <c r="O81" s="1021"/>
      <c r="P81" s="1022"/>
      <c r="R81" s="1252" t="s">
        <v>810</v>
      </c>
      <c r="S81" s="1247">
        <v>3331565013</v>
      </c>
      <c r="T81" s="1209" t="s">
        <v>441</v>
      </c>
      <c r="U81" s="1202">
        <v>24142042</v>
      </c>
      <c r="V81" s="1202" t="s">
        <v>430</v>
      </c>
      <c r="W81" s="1202" t="s">
        <v>205</v>
      </c>
      <c r="X81" s="1203">
        <v>27593.202000000001</v>
      </c>
      <c r="Y81" s="1202" t="s">
        <v>442</v>
      </c>
      <c r="Z81" s="1202">
        <v>1</v>
      </c>
      <c r="AA81" s="1202">
        <v>1</v>
      </c>
      <c r="AB81" s="1208" t="s">
        <v>204</v>
      </c>
      <c r="AC81" s="1271"/>
      <c r="AD81" s="81"/>
    </row>
    <row r="82" spans="1:30" s="44" customFormat="1" ht="17.399999999999999">
      <c r="A82" s="1324"/>
      <c r="B82" s="1021"/>
      <c r="C82" s="1021"/>
      <c r="D82" s="1022"/>
      <c r="E82" s="1023"/>
      <c r="F82" s="1021"/>
      <c r="G82" s="1021"/>
      <c r="H82" s="1022"/>
      <c r="I82" s="1023"/>
      <c r="J82" s="1021"/>
      <c r="K82" s="1021"/>
      <c r="L82" s="1021"/>
      <c r="M82" s="1023"/>
      <c r="N82" s="1021"/>
      <c r="O82" s="1021"/>
      <c r="P82" s="1022"/>
      <c r="R82" s="1252" t="s">
        <v>810</v>
      </c>
      <c r="S82" s="1209">
        <v>3331565016</v>
      </c>
      <c r="T82" s="1209" t="s">
        <v>27</v>
      </c>
      <c r="U82" s="1202">
        <v>24142043</v>
      </c>
      <c r="V82" s="1202" t="s">
        <v>430</v>
      </c>
      <c r="W82" s="1202" t="s">
        <v>205</v>
      </c>
      <c r="X82" s="1203">
        <v>26016.447</v>
      </c>
      <c r="Y82" s="1202" t="s">
        <v>200</v>
      </c>
      <c r="Z82" s="1202">
        <v>1</v>
      </c>
      <c r="AA82" s="1202">
        <v>1</v>
      </c>
      <c r="AB82" s="1208" t="s">
        <v>204</v>
      </c>
      <c r="AC82" s="1271"/>
      <c r="AD82" s="81"/>
    </row>
    <row r="83" spans="1:30" s="44" customFormat="1" ht="17.399999999999999">
      <c r="A83" s="1324"/>
      <c r="B83" s="1021"/>
      <c r="C83" s="1021"/>
      <c r="D83" s="1022"/>
      <c r="E83" s="1023"/>
      <c r="F83" s="1021"/>
      <c r="G83" s="1021"/>
      <c r="H83" s="1022"/>
      <c r="I83" s="1023"/>
      <c r="J83" s="1021"/>
      <c r="K83" s="1021"/>
      <c r="L83" s="1021"/>
      <c r="M83" s="1023"/>
      <c r="N83" s="1021"/>
      <c r="O83" s="1021"/>
      <c r="P83" s="1022"/>
      <c r="R83" s="1252" t="s">
        <v>452</v>
      </c>
      <c r="S83" s="1209">
        <v>3331565018</v>
      </c>
      <c r="T83" s="1209" t="s">
        <v>27</v>
      </c>
      <c r="U83" s="1202">
        <v>24142045</v>
      </c>
      <c r="V83" s="1202" t="s">
        <v>430</v>
      </c>
      <c r="W83" s="1202" t="s">
        <v>205</v>
      </c>
      <c r="X83" s="1203">
        <v>25079.157999999999</v>
      </c>
      <c r="Y83" s="1202" t="s">
        <v>200</v>
      </c>
      <c r="Z83" s="1202">
        <v>1</v>
      </c>
      <c r="AA83" s="1202">
        <v>1</v>
      </c>
      <c r="AB83" s="1208" t="s">
        <v>204</v>
      </c>
      <c r="AC83" s="1271"/>
      <c r="AD83" s="81"/>
    </row>
    <row r="84" spans="1:30" s="44" customFormat="1" ht="17.399999999999999">
      <c r="A84" s="1324"/>
      <c r="B84" s="1021"/>
      <c r="C84" s="1021"/>
      <c r="D84" s="1022"/>
      <c r="E84" s="1023"/>
      <c r="F84" s="1021"/>
      <c r="G84" s="1021"/>
      <c r="H84" s="1022"/>
      <c r="I84" s="1023"/>
      <c r="J84" s="1021"/>
      <c r="K84" s="1021"/>
      <c r="L84" s="1021"/>
      <c r="M84" s="1023"/>
      <c r="N84" s="1021"/>
      <c r="O84" s="1021"/>
      <c r="P84" s="1022"/>
      <c r="R84" s="1252" t="s">
        <v>810</v>
      </c>
      <c r="S84" s="1209">
        <v>3331565020</v>
      </c>
      <c r="T84" s="1209" t="s">
        <v>27</v>
      </c>
      <c r="U84" s="1202">
        <v>24142045</v>
      </c>
      <c r="V84" s="1202" t="s">
        <v>446</v>
      </c>
      <c r="W84" s="1202" t="s">
        <v>205</v>
      </c>
      <c r="X84" s="1203">
        <v>24771.743999999999</v>
      </c>
      <c r="Y84" s="1202" t="s">
        <v>912</v>
      </c>
      <c r="Z84" s="1202">
        <v>1</v>
      </c>
      <c r="AA84" s="1202">
        <v>1</v>
      </c>
      <c r="AB84" s="1208" t="s">
        <v>204</v>
      </c>
      <c r="AC84" s="1271"/>
      <c r="AD84" s="81"/>
    </row>
    <row r="85" spans="1:30" s="44" customFormat="1" ht="17.399999999999999">
      <c r="A85" s="1324"/>
      <c r="B85" s="1021"/>
      <c r="C85" s="1021"/>
      <c r="D85" s="1022"/>
      <c r="E85" s="1023"/>
      <c r="F85" s="1021"/>
      <c r="G85" s="1021"/>
      <c r="H85" s="1022"/>
      <c r="I85" s="1023"/>
      <c r="J85" s="1021"/>
      <c r="K85" s="1021"/>
      <c r="L85" s="1021"/>
      <c r="M85" s="1023"/>
      <c r="N85" s="1021"/>
      <c r="O85" s="1021"/>
      <c r="P85" s="1022"/>
      <c r="R85" s="1252" t="s">
        <v>810</v>
      </c>
      <c r="S85" s="1209">
        <v>3331565021</v>
      </c>
      <c r="T85" s="1209" t="s">
        <v>27</v>
      </c>
      <c r="U85" s="1202">
        <v>24142047</v>
      </c>
      <c r="V85" s="1202" t="s">
        <v>430</v>
      </c>
      <c r="W85" s="1202" t="s">
        <v>205</v>
      </c>
      <c r="X85" s="1203">
        <v>25280.629000000001</v>
      </c>
      <c r="Y85" s="1202" t="s">
        <v>200</v>
      </c>
      <c r="Z85" s="1202">
        <v>1</v>
      </c>
      <c r="AA85" s="1202">
        <v>1</v>
      </c>
      <c r="AB85" s="1208" t="s">
        <v>204</v>
      </c>
      <c r="AC85" s="1271"/>
      <c r="AD85" s="81"/>
    </row>
    <row r="86" spans="1:30" s="44" customFormat="1" ht="17.399999999999999">
      <c r="A86" s="1324"/>
      <c r="B86" s="1021"/>
      <c r="C86" s="1021"/>
      <c r="D86" s="1022"/>
      <c r="E86" s="1023"/>
      <c r="F86" s="1021"/>
      <c r="G86" s="1021"/>
      <c r="H86" s="1022"/>
      <c r="I86" s="1023"/>
      <c r="J86" s="1021"/>
      <c r="K86" s="1021"/>
      <c r="L86" s="1021"/>
      <c r="M86" s="1023"/>
      <c r="N86" s="1021"/>
      <c r="O86" s="1021"/>
      <c r="P86" s="1022"/>
      <c r="R86" s="1252" t="s">
        <v>810</v>
      </c>
      <c r="S86" s="1209">
        <v>3331565022</v>
      </c>
      <c r="T86" s="1209" t="s">
        <v>27</v>
      </c>
      <c r="U86" s="1202">
        <v>24142048</v>
      </c>
      <c r="V86" s="1202" t="s">
        <v>430</v>
      </c>
      <c r="W86" s="1202" t="s">
        <v>205</v>
      </c>
      <c r="X86" s="1203">
        <v>26235.433000000001</v>
      </c>
      <c r="Y86" s="1202" t="s">
        <v>200</v>
      </c>
      <c r="Z86" s="1202">
        <v>1</v>
      </c>
      <c r="AA86" s="1202">
        <v>1</v>
      </c>
      <c r="AB86" s="1208" t="s">
        <v>204</v>
      </c>
      <c r="AC86" s="1271"/>
      <c r="AD86" s="81"/>
    </row>
    <row r="87" spans="1:30" s="44" customFormat="1" ht="17.399999999999999">
      <c r="A87" s="1324"/>
      <c r="B87" s="1021"/>
      <c r="C87" s="1021"/>
      <c r="D87" s="1022"/>
      <c r="E87" s="1023"/>
      <c r="F87" s="1021"/>
      <c r="G87" s="1021"/>
      <c r="H87" s="1022"/>
      <c r="I87" s="1023"/>
      <c r="J87" s="1021"/>
      <c r="K87" s="1021"/>
      <c r="L87" s="1021"/>
      <c r="M87" s="1023"/>
      <c r="N87" s="1021"/>
      <c r="O87" s="1021"/>
      <c r="P87" s="1022"/>
      <c r="R87" s="1252" t="s">
        <v>810</v>
      </c>
      <c r="S87" s="1209">
        <v>3331564999</v>
      </c>
      <c r="T87" s="1209" t="s">
        <v>439</v>
      </c>
      <c r="U87" s="1202">
        <v>24142049</v>
      </c>
      <c r="V87" s="1202" t="s">
        <v>804</v>
      </c>
      <c r="W87" s="1202" t="s">
        <v>434</v>
      </c>
      <c r="X87" s="1203">
        <f>8272.505+24991.054+1611.612</f>
        <v>34875.171000000002</v>
      </c>
      <c r="Y87" s="1202" t="s">
        <v>128</v>
      </c>
      <c r="Z87" s="1202">
        <v>1</v>
      </c>
      <c r="AA87" s="1202">
        <v>1</v>
      </c>
      <c r="AB87" s="1208" t="s">
        <v>204</v>
      </c>
      <c r="AC87" s="1271"/>
      <c r="AD87" s="81"/>
    </row>
    <row r="88" spans="1:30" s="44" customFormat="1" ht="17.399999999999999">
      <c r="A88" s="1324"/>
      <c r="B88" s="1021"/>
      <c r="C88" s="1021"/>
      <c r="D88" s="1022"/>
      <c r="E88" s="1023"/>
      <c r="F88" s="1021"/>
      <c r="G88" s="1021"/>
      <c r="H88" s="1022"/>
      <c r="I88" s="1023"/>
      <c r="J88" s="1021"/>
      <c r="K88" s="1021"/>
      <c r="L88" s="1021"/>
      <c r="M88" s="1023"/>
      <c r="N88" s="1021"/>
      <c r="O88" s="1021"/>
      <c r="P88" s="1022"/>
      <c r="R88" s="1252" t="s">
        <v>810</v>
      </c>
      <c r="S88" s="1209">
        <v>3331565002</v>
      </c>
      <c r="T88" s="1209" t="s">
        <v>256</v>
      </c>
      <c r="U88" s="1202" t="s">
        <v>256</v>
      </c>
      <c r="V88" s="1202" t="s">
        <v>256</v>
      </c>
      <c r="W88" s="1202" t="s">
        <v>256</v>
      </c>
      <c r="X88" s="1203" t="s">
        <v>256</v>
      </c>
      <c r="Y88" s="1202" t="s">
        <v>256</v>
      </c>
      <c r="Z88" s="1202" t="s">
        <v>256</v>
      </c>
      <c r="AA88" s="1202" t="s">
        <v>256</v>
      </c>
      <c r="AB88" s="1208" t="s">
        <v>256</v>
      </c>
      <c r="AC88" s="1271"/>
      <c r="AD88" s="81"/>
    </row>
    <row r="89" spans="1:30" s="44" customFormat="1" ht="17.399999999999999">
      <c r="A89" s="1324"/>
      <c r="B89" s="1021"/>
      <c r="C89" s="1021"/>
      <c r="D89" s="1022"/>
      <c r="E89" s="1023"/>
      <c r="F89" s="1021"/>
      <c r="G89" s="1021"/>
      <c r="H89" s="1022"/>
      <c r="I89" s="1023"/>
      <c r="J89" s="1021"/>
      <c r="K89" s="1021"/>
      <c r="L89" s="1021"/>
      <c r="M89" s="1023"/>
      <c r="N89" s="1021"/>
      <c r="O89" s="1021"/>
      <c r="P89" s="1022"/>
      <c r="R89" s="1252" t="s">
        <v>810</v>
      </c>
      <c r="S89" s="1209">
        <v>3331565005</v>
      </c>
      <c r="T89" s="1209" t="s">
        <v>256</v>
      </c>
      <c r="U89" s="1202" t="s">
        <v>256</v>
      </c>
      <c r="V89" s="1202" t="s">
        <v>256</v>
      </c>
      <c r="W89" s="1202" t="s">
        <v>256</v>
      </c>
      <c r="X89" s="1203" t="s">
        <v>256</v>
      </c>
      <c r="Y89" s="1202" t="s">
        <v>256</v>
      </c>
      <c r="Z89" s="1202" t="s">
        <v>256</v>
      </c>
      <c r="AA89" s="1202" t="s">
        <v>256</v>
      </c>
      <c r="AB89" s="1208" t="s">
        <v>256</v>
      </c>
      <c r="AC89" s="1271"/>
      <c r="AD89" s="81"/>
    </row>
    <row r="90" spans="1:30" s="44" customFormat="1" ht="17.399999999999999">
      <c r="A90" s="1324"/>
      <c r="B90" s="1021"/>
      <c r="C90" s="1021"/>
      <c r="D90" s="1022"/>
      <c r="E90" s="1023"/>
      <c r="F90" s="1021"/>
      <c r="G90" s="1021"/>
      <c r="H90" s="1022"/>
      <c r="I90" s="1023"/>
      <c r="J90" s="1021"/>
      <c r="K90" s="1021"/>
      <c r="L90" s="1021"/>
      <c r="M90" s="1023"/>
      <c r="N90" s="1021"/>
      <c r="O90" s="1021"/>
      <c r="P90" s="1022"/>
      <c r="R90" s="1220"/>
      <c r="S90" s="1217"/>
      <c r="T90" s="1183"/>
      <c r="U90" s="1190"/>
      <c r="V90" s="1190"/>
      <c r="W90" s="1190"/>
      <c r="X90" s="1191"/>
      <c r="Y90" s="1190"/>
      <c r="Z90" s="1190"/>
      <c r="AA90" s="1190"/>
      <c r="AB90" s="1200"/>
      <c r="AC90" s="1271"/>
      <c r="AD90" s="81"/>
    </row>
    <row r="91" spans="1:30" s="44" customFormat="1" ht="17.399999999999999">
      <c r="A91" s="1324"/>
      <c r="B91" s="1021"/>
      <c r="C91" s="1021"/>
      <c r="D91" s="1022"/>
      <c r="E91" s="1023"/>
      <c r="F91" s="1021"/>
      <c r="G91" s="1021"/>
      <c r="H91" s="1022"/>
      <c r="I91" s="1023"/>
      <c r="J91" s="1021"/>
      <c r="K91" s="1021"/>
      <c r="L91" s="1021"/>
      <c r="M91" s="1023"/>
      <c r="N91" s="1021"/>
      <c r="O91" s="1021"/>
      <c r="P91" s="1022"/>
      <c r="R91" s="1252" t="s">
        <v>810</v>
      </c>
      <c r="S91" s="1209">
        <v>3331565025</v>
      </c>
      <c r="T91" s="1247" t="s">
        <v>27</v>
      </c>
      <c r="U91" s="1202">
        <v>24142053</v>
      </c>
      <c r="V91" s="1202" t="s">
        <v>430</v>
      </c>
      <c r="W91" s="1202" t="s">
        <v>205</v>
      </c>
      <c r="X91" s="1203">
        <f>15241.956+25797.451</f>
        <v>41039.406999999999</v>
      </c>
      <c r="Y91" s="1202" t="s">
        <v>128</v>
      </c>
      <c r="Z91" s="1202">
        <v>1</v>
      </c>
      <c r="AA91" s="1202">
        <v>1</v>
      </c>
      <c r="AB91" s="1208" t="s">
        <v>204</v>
      </c>
      <c r="AC91" s="1271"/>
      <c r="AD91" s="81"/>
    </row>
    <row r="92" spans="1:30" s="44" customFormat="1" ht="17.399999999999999">
      <c r="A92" s="1324"/>
      <c r="B92" s="1021"/>
      <c r="C92" s="1021"/>
      <c r="D92" s="1022"/>
      <c r="E92" s="1023"/>
      <c r="F92" s="1021"/>
      <c r="G92" s="1021"/>
      <c r="H92" s="1022"/>
      <c r="I92" s="1023"/>
      <c r="J92" s="1021"/>
      <c r="K92" s="1021"/>
      <c r="L92" s="1021"/>
      <c r="M92" s="1023"/>
      <c r="N92" s="1021"/>
      <c r="O92" s="1021"/>
      <c r="P92" s="1022"/>
      <c r="R92" s="1252" t="s">
        <v>810</v>
      </c>
      <c r="S92" s="1209">
        <v>3331565026</v>
      </c>
      <c r="T92" s="1247" t="s">
        <v>256</v>
      </c>
      <c r="U92" s="1202" t="s">
        <v>256</v>
      </c>
      <c r="V92" s="1202" t="s">
        <v>256</v>
      </c>
      <c r="W92" s="1202" t="s">
        <v>256</v>
      </c>
      <c r="X92" s="1203" t="s">
        <v>256</v>
      </c>
      <c r="Y92" s="1202" t="s">
        <v>256</v>
      </c>
      <c r="Z92" s="1202" t="s">
        <v>256</v>
      </c>
      <c r="AA92" s="1202" t="s">
        <v>256</v>
      </c>
      <c r="AB92" s="1208" t="s">
        <v>256</v>
      </c>
      <c r="AC92" s="1271"/>
      <c r="AD92" s="81"/>
    </row>
    <row r="93" spans="1:30" s="44" customFormat="1" ht="17.399999999999999">
      <c r="A93" s="1324"/>
      <c r="B93" s="1021"/>
      <c r="C93" s="1021"/>
      <c r="D93" s="1022"/>
      <c r="E93" s="1023"/>
      <c r="F93" s="1021"/>
      <c r="G93" s="1021"/>
      <c r="H93" s="1022"/>
      <c r="I93" s="1023"/>
      <c r="J93" s="1021"/>
      <c r="K93" s="1021"/>
      <c r="L93" s="1021"/>
      <c r="M93" s="1023"/>
      <c r="N93" s="1021"/>
      <c r="O93" s="1021"/>
      <c r="P93" s="1022"/>
      <c r="R93" s="1252" t="s">
        <v>810</v>
      </c>
      <c r="S93" s="1209">
        <v>3331565028</v>
      </c>
      <c r="T93" s="1247" t="s">
        <v>441</v>
      </c>
      <c r="U93" s="1202">
        <v>24142054</v>
      </c>
      <c r="V93" s="1202" t="s">
        <v>430</v>
      </c>
      <c r="W93" s="1202" t="s">
        <v>205</v>
      </c>
      <c r="X93" s="1203">
        <v>22862.938999999998</v>
      </c>
      <c r="Y93" s="1202" t="s">
        <v>591</v>
      </c>
      <c r="Z93" s="1202">
        <v>1</v>
      </c>
      <c r="AA93" s="1202">
        <v>1</v>
      </c>
      <c r="AB93" s="1208" t="s">
        <v>204</v>
      </c>
      <c r="AC93" s="1271"/>
      <c r="AD93" s="81"/>
    </row>
    <row r="94" spans="1:30" s="44" customFormat="1" ht="17.399999999999999">
      <c r="A94" s="1324"/>
      <c r="B94" s="1021"/>
      <c r="C94" s="1021"/>
      <c r="D94" s="1022"/>
      <c r="E94" s="1023"/>
      <c r="F94" s="1021"/>
      <c r="G94" s="1021"/>
      <c r="H94" s="1022"/>
      <c r="I94" s="1023"/>
      <c r="J94" s="1021"/>
      <c r="K94" s="1021"/>
      <c r="L94" s="1021"/>
      <c r="M94" s="1023"/>
      <c r="N94" s="1021"/>
      <c r="O94" s="1021"/>
      <c r="P94" s="1022"/>
      <c r="R94" s="1252" t="s">
        <v>810</v>
      </c>
      <c r="S94" s="1209">
        <v>3331565029</v>
      </c>
      <c r="T94" s="1209" t="s">
        <v>27</v>
      </c>
      <c r="U94" s="1202">
        <v>24142055</v>
      </c>
      <c r="V94" s="1202" t="s">
        <v>593</v>
      </c>
      <c r="W94" s="1202" t="s">
        <v>857</v>
      </c>
      <c r="X94" s="1203">
        <f>8759.745+8146.568+7631.719</f>
        <v>24538.032000000003</v>
      </c>
      <c r="Y94" s="1202" t="s">
        <v>200</v>
      </c>
      <c r="Z94" s="1202">
        <v>1</v>
      </c>
      <c r="AA94" s="1202">
        <v>1</v>
      </c>
      <c r="AB94" s="1208" t="s">
        <v>204</v>
      </c>
      <c r="AC94" s="1271"/>
      <c r="AD94" s="81"/>
    </row>
    <row r="95" spans="1:30" s="44" customFormat="1" ht="17.399999999999999">
      <c r="A95" s="1324"/>
      <c r="B95" s="1021"/>
      <c r="C95" s="1021"/>
      <c r="D95" s="1022"/>
      <c r="E95" s="1023"/>
      <c r="F95" s="1021"/>
      <c r="G95" s="1021"/>
      <c r="H95" s="1022"/>
      <c r="I95" s="1023"/>
      <c r="J95" s="1021"/>
      <c r="K95" s="1021"/>
      <c r="L95" s="1021"/>
      <c r="M95" s="1023"/>
      <c r="N95" s="1021"/>
      <c r="O95" s="1021"/>
      <c r="P95" s="1022"/>
      <c r="R95" s="1252" t="s">
        <v>810</v>
      </c>
      <c r="S95" s="1209">
        <v>3331565032</v>
      </c>
      <c r="T95" s="1209" t="s">
        <v>256</v>
      </c>
      <c r="U95" s="1202" t="s">
        <v>256</v>
      </c>
      <c r="V95" s="1202" t="s">
        <v>256</v>
      </c>
      <c r="W95" s="1202" t="s">
        <v>256</v>
      </c>
      <c r="X95" s="1203" t="s">
        <v>256</v>
      </c>
      <c r="Y95" s="1202" t="s">
        <v>256</v>
      </c>
      <c r="Z95" s="1202" t="s">
        <v>256</v>
      </c>
      <c r="AA95" s="1202" t="s">
        <v>256</v>
      </c>
      <c r="AB95" s="1208" t="s">
        <v>256</v>
      </c>
      <c r="AC95" s="1271"/>
      <c r="AD95" s="81"/>
    </row>
    <row r="96" spans="1:30" s="44" customFormat="1" ht="17.399999999999999">
      <c r="A96" s="1324"/>
      <c r="B96" s="1021"/>
      <c r="C96" s="1021"/>
      <c r="D96" s="1022"/>
      <c r="E96" s="1023"/>
      <c r="F96" s="1021"/>
      <c r="G96" s="1021"/>
      <c r="H96" s="1022"/>
      <c r="I96" s="1023"/>
      <c r="J96" s="1021"/>
      <c r="K96" s="1021"/>
      <c r="L96" s="1021"/>
      <c r="M96" s="1023"/>
      <c r="N96" s="1021"/>
      <c r="O96" s="1021"/>
      <c r="P96" s="1022"/>
      <c r="R96" s="1252" t="s">
        <v>810</v>
      </c>
      <c r="S96" s="1209">
        <v>3331565037</v>
      </c>
      <c r="T96" s="1209" t="s">
        <v>256</v>
      </c>
      <c r="U96" s="1202" t="s">
        <v>256</v>
      </c>
      <c r="V96" s="1202" t="s">
        <v>256</v>
      </c>
      <c r="W96" s="1202" t="s">
        <v>256</v>
      </c>
      <c r="X96" s="1203" t="s">
        <v>256</v>
      </c>
      <c r="Y96" s="1202" t="s">
        <v>256</v>
      </c>
      <c r="Z96" s="1202" t="s">
        <v>256</v>
      </c>
      <c r="AA96" s="1202" t="s">
        <v>256</v>
      </c>
      <c r="AB96" s="1208" t="s">
        <v>256</v>
      </c>
      <c r="AC96" s="1271"/>
      <c r="AD96" s="81"/>
    </row>
    <row r="97" spans="1:30" s="44" customFormat="1" ht="17.399999999999999">
      <c r="A97" s="1324"/>
      <c r="B97" s="1021"/>
      <c r="C97" s="1021"/>
      <c r="D97" s="1022"/>
      <c r="E97" s="1023"/>
      <c r="F97" s="1021"/>
      <c r="G97" s="1021"/>
      <c r="H97" s="1022"/>
      <c r="I97" s="1023"/>
      <c r="J97" s="1021"/>
      <c r="K97" s="1021"/>
      <c r="L97" s="1021"/>
      <c r="M97" s="1023"/>
      <c r="N97" s="1021"/>
      <c r="O97" s="1021"/>
      <c r="P97" s="1022"/>
      <c r="R97" s="1202" t="s">
        <v>452</v>
      </c>
      <c r="S97" s="1202">
        <v>3331564624</v>
      </c>
      <c r="T97" s="1209" t="s">
        <v>287</v>
      </c>
      <c r="U97" s="1202">
        <v>24141973</v>
      </c>
      <c r="V97" s="1227" t="s">
        <v>466</v>
      </c>
      <c r="W97" s="1261" t="s">
        <v>340</v>
      </c>
      <c r="X97" s="1203">
        <v>24900.762999999999</v>
      </c>
      <c r="Y97" s="1202" t="s">
        <v>200</v>
      </c>
      <c r="Z97" s="1209">
        <v>1</v>
      </c>
      <c r="AA97" s="1209">
        <v>1</v>
      </c>
      <c r="AB97" s="1228" t="s">
        <v>204</v>
      </c>
      <c r="AC97" s="1217"/>
      <c r="AD97" s="1326"/>
    </row>
    <row r="98" spans="1:30" s="44" customFormat="1" ht="17.399999999999999">
      <c r="A98" s="1324"/>
      <c r="B98" s="1021"/>
      <c r="C98" s="1021"/>
      <c r="D98" s="1022"/>
      <c r="E98" s="1023"/>
      <c r="F98" s="1021"/>
      <c r="G98" s="1021"/>
      <c r="H98" s="1022"/>
      <c r="I98" s="1023"/>
      <c r="J98" s="1021"/>
      <c r="K98" s="1021"/>
      <c r="L98" s="1021"/>
      <c r="M98" s="1023"/>
      <c r="N98" s="1021"/>
      <c r="O98" s="1021"/>
      <c r="P98" s="1022"/>
      <c r="R98" s="1209" t="s">
        <v>822</v>
      </c>
      <c r="S98" s="1209">
        <v>3331564630</v>
      </c>
      <c r="T98" s="1209" t="s">
        <v>34</v>
      </c>
      <c r="U98" s="1264">
        <v>24141978</v>
      </c>
      <c r="V98" s="1227" t="s">
        <v>466</v>
      </c>
      <c r="W98" s="1261" t="s">
        <v>340</v>
      </c>
      <c r="X98" s="1203">
        <v>24255.666000000001</v>
      </c>
      <c r="Y98" s="1264" t="s">
        <v>200</v>
      </c>
      <c r="Z98" s="1264">
        <v>1</v>
      </c>
      <c r="AA98" s="1264">
        <v>1</v>
      </c>
      <c r="AB98" s="1264" t="s">
        <v>204</v>
      </c>
      <c r="AC98" s="1217"/>
      <c r="AD98" s="1326"/>
    </row>
    <row r="99" spans="1:30" s="44" customFormat="1" ht="17.399999999999999">
      <c r="A99" s="1324"/>
      <c r="B99" s="1021"/>
      <c r="C99" s="1021"/>
      <c r="D99" s="1022"/>
      <c r="E99" s="1023"/>
      <c r="F99" s="1021"/>
      <c r="G99" s="1021"/>
      <c r="H99" s="1022"/>
      <c r="I99" s="1023"/>
      <c r="J99" s="1021"/>
      <c r="K99" s="1021"/>
      <c r="L99" s="1021"/>
      <c r="M99" s="1023"/>
      <c r="N99" s="1021"/>
      <c r="O99" s="1021"/>
      <c r="P99" s="1022"/>
      <c r="R99" s="1209" t="s">
        <v>452</v>
      </c>
      <c r="S99" s="1209">
        <v>3331564633</v>
      </c>
      <c r="T99" s="1209" t="s">
        <v>11</v>
      </c>
      <c r="U99" s="1264">
        <v>24141979</v>
      </c>
      <c r="V99" s="1227" t="s">
        <v>466</v>
      </c>
      <c r="W99" s="1261" t="s">
        <v>340</v>
      </c>
      <c r="X99" s="1203">
        <v>21245.210999999999</v>
      </c>
      <c r="Y99" s="1264" t="s">
        <v>200</v>
      </c>
      <c r="Z99" s="1264">
        <v>1</v>
      </c>
      <c r="AA99" s="1264">
        <v>1</v>
      </c>
      <c r="AB99" s="1264" t="s">
        <v>204</v>
      </c>
      <c r="AC99" s="1270"/>
      <c r="AD99" s="1293"/>
    </row>
    <row r="100" spans="1:30" s="44" customFormat="1" ht="17.399999999999999">
      <c r="A100" s="1324"/>
      <c r="B100" s="1021"/>
      <c r="C100" s="1021"/>
      <c r="D100" s="1022"/>
      <c r="E100" s="1023"/>
      <c r="F100" s="1021"/>
      <c r="G100" s="1021"/>
      <c r="H100" s="1022"/>
      <c r="I100" s="1023"/>
      <c r="J100" s="1021"/>
      <c r="K100" s="1021"/>
      <c r="L100" s="1021"/>
      <c r="M100" s="1023"/>
      <c r="N100" s="1021"/>
      <c r="O100" s="1021"/>
      <c r="P100" s="1022"/>
      <c r="R100" s="1252" t="s">
        <v>837</v>
      </c>
      <c r="S100" s="1209">
        <v>3331563552</v>
      </c>
      <c r="T100" s="1209" t="s">
        <v>34</v>
      </c>
      <c r="U100" s="1264">
        <v>24141986</v>
      </c>
      <c r="V100" s="1264" t="s">
        <v>219</v>
      </c>
      <c r="W100" s="1264" t="s">
        <v>199</v>
      </c>
      <c r="X100" s="1267">
        <v>24797.9</v>
      </c>
      <c r="Y100" s="1264" t="s">
        <v>200</v>
      </c>
      <c r="Z100" s="1264">
        <v>1</v>
      </c>
      <c r="AA100" s="1264">
        <v>1</v>
      </c>
      <c r="AB100" s="1264" t="s">
        <v>204</v>
      </c>
      <c r="AC100" s="1270"/>
      <c r="AD100" s="1293"/>
    </row>
    <row r="101" spans="1:30" s="44" customFormat="1" ht="17.399999999999999">
      <c r="A101" s="1324"/>
      <c r="B101" s="1021"/>
      <c r="C101" s="1021"/>
      <c r="D101" s="1022"/>
      <c r="E101" s="1023"/>
      <c r="F101" s="1021"/>
      <c r="G101" s="1021"/>
      <c r="H101" s="1022"/>
      <c r="I101" s="1023"/>
      <c r="J101" s="1021"/>
      <c r="K101" s="1021"/>
      <c r="L101" s="1021"/>
      <c r="M101" s="1023"/>
      <c r="N101" s="1021"/>
      <c r="O101" s="1021"/>
      <c r="P101" s="1022"/>
      <c r="R101" s="1252" t="s">
        <v>810</v>
      </c>
      <c r="S101" s="1209">
        <v>3331564783</v>
      </c>
      <c r="T101" s="1209" t="s">
        <v>11</v>
      </c>
      <c r="U101" s="1264">
        <v>24141987</v>
      </c>
      <c r="V101" s="1264" t="s">
        <v>219</v>
      </c>
      <c r="W101" s="1264" t="s">
        <v>199</v>
      </c>
      <c r="X101" s="1267">
        <v>24797.9</v>
      </c>
      <c r="Y101" s="1264" t="s">
        <v>200</v>
      </c>
      <c r="Z101" s="1261">
        <v>1</v>
      </c>
      <c r="AA101" s="1261">
        <v>1</v>
      </c>
      <c r="AB101" s="1268" t="s">
        <v>204</v>
      </c>
      <c r="AC101" s="1270"/>
      <c r="AD101" s="1293"/>
    </row>
    <row r="102" spans="1:30" s="44" customFormat="1" ht="17.399999999999999">
      <c r="A102" s="1324"/>
      <c r="B102" s="1021"/>
      <c r="C102" s="1021"/>
      <c r="D102" s="1022"/>
      <c r="E102" s="1023"/>
      <c r="F102" s="1021"/>
      <c r="G102" s="1021"/>
      <c r="H102" s="1022"/>
      <c r="I102" s="1023"/>
      <c r="J102" s="1021"/>
      <c r="K102" s="1021"/>
      <c r="L102" s="1021"/>
      <c r="M102" s="1023"/>
      <c r="N102" s="1021"/>
      <c r="O102" s="1021"/>
      <c r="P102" s="1022"/>
      <c r="R102" s="1252" t="s">
        <v>810</v>
      </c>
      <c r="S102" s="1209">
        <v>3331564784</v>
      </c>
      <c r="T102" s="1209" t="s">
        <v>34</v>
      </c>
      <c r="U102" s="1264">
        <v>24141988</v>
      </c>
      <c r="V102" s="1264" t="s">
        <v>219</v>
      </c>
      <c r="W102" s="1261" t="s">
        <v>340</v>
      </c>
      <c r="X102" s="1203">
        <v>26100.167000000001</v>
      </c>
      <c r="Y102" s="1264" t="s">
        <v>200</v>
      </c>
      <c r="Z102" s="1202">
        <v>1</v>
      </c>
      <c r="AA102" s="1202">
        <v>1</v>
      </c>
      <c r="AB102" s="1208" t="s">
        <v>204</v>
      </c>
      <c r="AC102" s="1271"/>
      <c r="AD102" s="81"/>
    </row>
    <row r="103" spans="1:30" s="44" customFormat="1" ht="17.399999999999999">
      <c r="A103" s="1324"/>
      <c r="B103" s="1021"/>
      <c r="C103" s="1021"/>
      <c r="D103" s="1022"/>
      <c r="E103" s="1023"/>
      <c r="F103" s="1021"/>
      <c r="G103" s="1021"/>
      <c r="H103" s="1022"/>
      <c r="I103" s="1023"/>
      <c r="J103" s="1021"/>
      <c r="K103" s="1021"/>
      <c r="L103" s="1021"/>
      <c r="M103" s="1023"/>
      <c r="N103" s="1021"/>
      <c r="O103" s="1021"/>
      <c r="P103" s="1022"/>
      <c r="R103" s="1252" t="s">
        <v>810</v>
      </c>
      <c r="S103" s="1209">
        <v>3331564786</v>
      </c>
      <c r="T103" s="1209" t="s">
        <v>287</v>
      </c>
      <c r="U103" s="1264">
        <v>24141989</v>
      </c>
      <c r="V103" s="1264" t="s">
        <v>219</v>
      </c>
      <c r="W103" s="1261" t="s">
        <v>340</v>
      </c>
      <c r="X103" s="1203">
        <v>24413.105</v>
      </c>
      <c r="Y103" s="1264" t="s">
        <v>200</v>
      </c>
      <c r="Z103" s="1202">
        <v>1</v>
      </c>
      <c r="AA103" s="1202">
        <v>1</v>
      </c>
      <c r="AB103" s="1208" t="s">
        <v>204</v>
      </c>
      <c r="AC103" s="1271"/>
      <c r="AD103" s="81"/>
    </row>
    <row r="104" spans="1:30" s="44" customFormat="1" ht="17.399999999999999">
      <c r="A104" s="1324"/>
      <c r="B104" s="1021"/>
      <c r="C104" s="1021"/>
      <c r="D104" s="1022"/>
      <c r="E104" s="1023"/>
      <c r="F104" s="1021"/>
      <c r="G104" s="1021"/>
      <c r="H104" s="1022"/>
      <c r="I104" s="1023"/>
      <c r="J104" s="1021"/>
      <c r="K104" s="1021"/>
      <c r="L104" s="1021"/>
      <c r="M104" s="1023"/>
      <c r="N104" s="1021"/>
      <c r="O104" s="1021"/>
      <c r="P104" s="1022"/>
      <c r="R104" s="1252" t="s">
        <v>822</v>
      </c>
      <c r="S104" s="1209">
        <v>3331564415</v>
      </c>
      <c r="T104" s="1209" t="s">
        <v>11</v>
      </c>
      <c r="U104" s="1264">
        <v>24141993</v>
      </c>
      <c r="V104" s="1209" t="s">
        <v>368</v>
      </c>
      <c r="W104" s="1264" t="s">
        <v>199</v>
      </c>
      <c r="X104" s="1203">
        <f>23942.8+1591.241</f>
        <v>25534.040999999997</v>
      </c>
      <c r="Y104" s="1264" t="s">
        <v>200</v>
      </c>
      <c r="Z104" s="1202">
        <v>1</v>
      </c>
      <c r="AA104" s="1202">
        <v>1</v>
      </c>
      <c r="AB104" s="1208" t="s">
        <v>204</v>
      </c>
      <c r="AC104" s="1271"/>
      <c r="AD104" s="81"/>
    </row>
    <row r="105" spans="1:30" s="44" customFormat="1" ht="17.399999999999999">
      <c r="A105" s="1324"/>
      <c r="B105" s="1021"/>
      <c r="C105" s="1021"/>
      <c r="D105" s="1022"/>
      <c r="E105" s="1023"/>
      <c r="F105" s="1021"/>
      <c r="G105" s="1021"/>
      <c r="H105" s="1022"/>
      <c r="I105" s="1023"/>
      <c r="J105" s="1021"/>
      <c r="K105" s="1021"/>
      <c r="L105" s="1021"/>
      <c r="M105" s="1023"/>
      <c r="N105" s="1021"/>
      <c r="O105" s="1021"/>
      <c r="P105" s="1022"/>
      <c r="R105" s="1252" t="s">
        <v>810</v>
      </c>
      <c r="S105" s="1209">
        <v>3331564795</v>
      </c>
      <c r="T105" s="1209" t="s">
        <v>256</v>
      </c>
      <c r="U105" s="1264" t="s">
        <v>256</v>
      </c>
      <c r="V105" s="1209" t="s">
        <v>256</v>
      </c>
      <c r="W105" s="1264" t="s">
        <v>256</v>
      </c>
      <c r="X105" s="1203" t="s">
        <v>256</v>
      </c>
      <c r="Y105" s="1264" t="s">
        <v>256</v>
      </c>
      <c r="Z105" s="1202" t="s">
        <v>256</v>
      </c>
      <c r="AA105" s="1202" t="s">
        <v>256</v>
      </c>
      <c r="AB105" s="1208" t="s">
        <v>256</v>
      </c>
      <c r="AC105" s="1271"/>
      <c r="AD105" s="81"/>
    </row>
    <row r="106" spans="1:30" s="44" customFormat="1" ht="17.399999999999999">
      <c r="A106" s="1324"/>
      <c r="B106" s="1021"/>
      <c r="C106" s="1021"/>
      <c r="D106" s="1022"/>
      <c r="E106" s="1023"/>
      <c r="F106" s="1021"/>
      <c r="G106" s="1021"/>
      <c r="H106" s="1022"/>
      <c r="I106" s="1023"/>
      <c r="J106" s="1021"/>
      <c r="K106" s="1021"/>
      <c r="L106" s="1021"/>
      <c r="M106" s="1023"/>
      <c r="N106" s="1021"/>
      <c r="O106" s="1021"/>
      <c r="P106" s="1022"/>
      <c r="R106" s="1252" t="s">
        <v>810</v>
      </c>
      <c r="S106" s="1209">
        <v>3331564801</v>
      </c>
      <c r="T106" s="1209" t="s">
        <v>34</v>
      </c>
      <c r="U106" s="1264">
        <v>24141994</v>
      </c>
      <c r="V106" s="1209" t="s">
        <v>368</v>
      </c>
      <c r="W106" s="1264" t="s">
        <v>199</v>
      </c>
      <c r="X106" s="1203">
        <v>25909.53</v>
      </c>
      <c r="Y106" s="1264" t="s">
        <v>200</v>
      </c>
      <c r="Z106" s="1202">
        <v>1</v>
      </c>
      <c r="AA106" s="1202">
        <v>1</v>
      </c>
      <c r="AB106" s="1208" t="s">
        <v>204</v>
      </c>
      <c r="AC106" s="1271"/>
      <c r="AD106" s="81"/>
    </row>
    <row r="107" spans="1:30" s="44" customFormat="1" ht="17.399999999999999">
      <c r="A107" s="1324"/>
      <c r="B107" s="1021"/>
      <c r="C107" s="1021"/>
      <c r="D107" s="1022"/>
      <c r="E107" s="1023"/>
      <c r="F107" s="1021"/>
      <c r="G107" s="1021"/>
      <c r="H107" s="1022"/>
      <c r="I107" s="1023"/>
      <c r="J107" s="1021"/>
      <c r="K107" s="1021"/>
      <c r="L107" s="1021"/>
      <c r="M107" s="1023"/>
      <c r="N107" s="1021"/>
      <c r="O107" s="1021"/>
      <c r="P107" s="1022"/>
      <c r="R107" s="1252" t="s">
        <v>810</v>
      </c>
      <c r="S107" s="1209">
        <v>3331564866</v>
      </c>
      <c r="T107" s="1209" t="s">
        <v>441</v>
      </c>
      <c r="U107" s="1264">
        <v>24142006</v>
      </c>
      <c r="V107" s="1209" t="s">
        <v>150</v>
      </c>
      <c r="W107" s="1264" t="s">
        <v>199</v>
      </c>
      <c r="X107" s="1203">
        <v>25287.822</v>
      </c>
      <c r="Y107" s="1264" t="s">
        <v>200</v>
      </c>
      <c r="Z107" s="1202">
        <v>1</v>
      </c>
      <c r="AA107" s="1202">
        <v>1</v>
      </c>
      <c r="AB107" s="1208" t="s">
        <v>204</v>
      </c>
      <c r="AC107" s="1271"/>
      <c r="AD107" s="81"/>
    </row>
    <row r="108" spans="1:30" s="44" customFormat="1" ht="17.399999999999999">
      <c r="A108" s="1324"/>
      <c r="B108" s="1021"/>
      <c r="C108" s="1021"/>
      <c r="D108" s="1022"/>
      <c r="E108" s="1023"/>
      <c r="F108" s="1021"/>
      <c r="G108" s="1021"/>
      <c r="H108" s="1022"/>
      <c r="I108" s="1023"/>
      <c r="J108" s="1021"/>
      <c r="K108" s="1021"/>
      <c r="L108" s="1021"/>
      <c r="M108" s="1023"/>
      <c r="N108" s="1021"/>
      <c r="O108" s="1021"/>
      <c r="P108" s="1022"/>
      <c r="R108" s="1252" t="s">
        <v>810</v>
      </c>
      <c r="S108" s="1209">
        <v>3331564868</v>
      </c>
      <c r="T108" s="1209" t="s">
        <v>287</v>
      </c>
      <c r="U108" s="1264">
        <v>24142007</v>
      </c>
      <c r="V108" s="1209" t="s">
        <v>150</v>
      </c>
      <c r="W108" s="1264" t="s">
        <v>199</v>
      </c>
      <c r="X108" s="1203">
        <v>25287.822</v>
      </c>
      <c r="Y108" s="1264" t="s">
        <v>200</v>
      </c>
      <c r="Z108" s="1202">
        <v>1</v>
      </c>
      <c r="AA108" s="1202">
        <v>1</v>
      </c>
      <c r="AB108" s="1208" t="s">
        <v>204</v>
      </c>
      <c r="AC108" s="1271"/>
      <c r="AD108" s="81"/>
    </row>
    <row r="109" spans="1:30" s="44" customFormat="1" ht="17.399999999999999">
      <c r="A109" s="1324"/>
      <c r="B109" s="1021"/>
      <c r="C109" s="1021"/>
      <c r="D109" s="1022"/>
      <c r="E109" s="1023"/>
      <c r="F109" s="1021"/>
      <c r="G109" s="1021"/>
      <c r="H109" s="1022"/>
      <c r="I109" s="1023"/>
      <c r="J109" s="1021"/>
      <c r="K109" s="1021"/>
      <c r="L109" s="1021"/>
      <c r="M109" s="1023"/>
      <c r="N109" s="1021"/>
      <c r="O109" s="1021"/>
      <c r="P109" s="1022"/>
      <c r="R109" s="1252" t="s">
        <v>810</v>
      </c>
      <c r="S109" s="1209">
        <v>3331564872</v>
      </c>
      <c r="T109" s="1209" t="s">
        <v>34</v>
      </c>
      <c r="U109" s="1264">
        <v>24142008</v>
      </c>
      <c r="V109" s="1209" t="s">
        <v>150</v>
      </c>
      <c r="W109" s="1264" t="s">
        <v>199</v>
      </c>
      <c r="X109" s="1203">
        <f>11611.755+10837.638</f>
        <v>22449.393</v>
      </c>
      <c r="Y109" s="1264" t="s">
        <v>200</v>
      </c>
      <c r="Z109" s="1202">
        <v>1</v>
      </c>
      <c r="AA109" s="1202">
        <v>1</v>
      </c>
      <c r="AB109" s="1208" t="s">
        <v>204</v>
      </c>
      <c r="AC109" s="1271"/>
      <c r="AD109" s="81"/>
    </row>
    <row r="110" spans="1:30" s="44" customFormat="1" ht="17.399999999999999">
      <c r="A110" s="1324"/>
      <c r="B110" s="1021"/>
      <c r="C110" s="1021"/>
      <c r="D110" s="1022"/>
      <c r="E110" s="1023"/>
      <c r="F110" s="1021"/>
      <c r="G110" s="1021"/>
      <c r="H110" s="1022"/>
      <c r="I110" s="1023"/>
      <c r="J110" s="1021"/>
      <c r="K110" s="1021"/>
      <c r="L110" s="1021"/>
      <c r="M110" s="1023"/>
      <c r="N110" s="1021"/>
      <c r="O110" s="1021"/>
      <c r="P110" s="1022"/>
      <c r="R110" s="1252" t="s">
        <v>810</v>
      </c>
      <c r="S110" s="1209">
        <v>3331564875</v>
      </c>
      <c r="T110" s="1209" t="s">
        <v>256</v>
      </c>
      <c r="U110" s="1264" t="s">
        <v>256</v>
      </c>
      <c r="V110" s="1209" t="s">
        <v>256</v>
      </c>
      <c r="W110" s="1264" t="s">
        <v>256</v>
      </c>
      <c r="X110" s="1203" t="s">
        <v>256</v>
      </c>
      <c r="Y110" s="1264" t="s">
        <v>256</v>
      </c>
      <c r="Z110" s="1264" t="s">
        <v>256</v>
      </c>
      <c r="AA110" s="1264" t="s">
        <v>256</v>
      </c>
      <c r="AB110" s="1264" t="s">
        <v>256</v>
      </c>
      <c r="AC110" s="1271"/>
      <c r="AD110" s="81"/>
    </row>
    <row r="111" spans="1:30" s="44" customFormat="1" ht="17.399999999999999">
      <c r="A111" s="1324"/>
      <c r="B111" s="1021"/>
      <c r="C111" s="1021"/>
      <c r="D111" s="1022"/>
      <c r="E111" s="1023"/>
      <c r="F111" s="1021"/>
      <c r="G111" s="1021"/>
      <c r="H111" s="1022"/>
      <c r="I111" s="1023"/>
      <c r="J111" s="1021"/>
      <c r="K111" s="1021"/>
      <c r="L111" s="1021"/>
      <c r="M111" s="1023"/>
      <c r="N111" s="1021"/>
      <c r="O111" s="1021"/>
      <c r="P111" s="1022"/>
      <c r="R111" s="1252" t="s">
        <v>810</v>
      </c>
      <c r="S111" s="1209">
        <v>3331564877</v>
      </c>
      <c r="T111" s="1209" t="s">
        <v>11</v>
      </c>
      <c r="U111" s="1264">
        <v>24142009</v>
      </c>
      <c r="V111" s="1209" t="s">
        <v>150</v>
      </c>
      <c r="W111" s="1264" t="s">
        <v>199</v>
      </c>
      <c r="X111" s="1203">
        <f>7741.17+16417.92</f>
        <v>24159.089999999997</v>
      </c>
      <c r="Y111" s="1264" t="s">
        <v>200</v>
      </c>
      <c r="Z111" s="1264">
        <v>1</v>
      </c>
      <c r="AA111" s="1264">
        <v>1</v>
      </c>
      <c r="AB111" s="1264" t="s">
        <v>204</v>
      </c>
      <c r="AC111" s="1271"/>
      <c r="AD111" s="81"/>
    </row>
    <row r="112" spans="1:30" s="44" customFormat="1" ht="17.399999999999999">
      <c r="A112" s="1324"/>
      <c r="B112" s="1021"/>
      <c r="C112" s="1021"/>
      <c r="D112" s="1022"/>
      <c r="E112" s="1023"/>
      <c r="F112" s="1021"/>
      <c r="G112" s="1021"/>
      <c r="H112" s="1022"/>
      <c r="I112" s="1023"/>
      <c r="J112" s="1021"/>
      <c r="K112" s="1021"/>
      <c r="L112" s="1021"/>
      <c r="M112" s="1023"/>
      <c r="N112" s="1021"/>
      <c r="O112" s="1021"/>
      <c r="P112" s="1022"/>
      <c r="R112" s="1252" t="s">
        <v>810</v>
      </c>
      <c r="S112" s="1209">
        <v>3331564879</v>
      </c>
      <c r="T112" s="1209" t="s">
        <v>256</v>
      </c>
      <c r="U112" s="1264" t="s">
        <v>256</v>
      </c>
      <c r="V112" s="1209" t="s">
        <v>256</v>
      </c>
      <c r="W112" s="1264" t="s">
        <v>256</v>
      </c>
      <c r="X112" s="1203" t="s">
        <v>256</v>
      </c>
      <c r="Y112" s="1264" t="s">
        <v>256</v>
      </c>
      <c r="Z112" s="1202" t="s">
        <v>256</v>
      </c>
      <c r="AA112" s="1202" t="s">
        <v>256</v>
      </c>
      <c r="AB112" s="1208" t="s">
        <v>256</v>
      </c>
      <c r="AC112" s="1271"/>
      <c r="AD112" s="81"/>
    </row>
    <row r="113" spans="1:30" s="44" customFormat="1" ht="17.399999999999999">
      <c r="A113" s="1324"/>
      <c r="B113" s="1021"/>
      <c r="C113" s="1021"/>
      <c r="D113" s="1022"/>
      <c r="E113" s="1023"/>
      <c r="F113" s="1021"/>
      <c r="G113" s="1021"/>
      <c r="H113" s="1022"/>
      <c r="I113" s="1023"/>
      <c r="J113" s="1021"/>
      <c r="K113" s="1021"/>
      <c r="L113" s="1021"/>
      <c r="M113" s="1023"/>
      <c r="N113" s="1021"/>
      <c r="O113" s="1021"/>
      <c r="P113" s="1022"/>
      <c r="R113" s="1252" t="s">
        <v>810</v>
      </c>
      <c r="S113" s="1209">
        <v>3331564863</v>
      </c>
      <c r="T113" s="1209" t="s">
        <v>34</v>
      </c>
      <c r="U113" s="1264">
        <v>24142010</v>
      </c>
      <c r="V113" s="1209" t="s">
        <v>158</v>
      </c>
      <c r="W113" s="1261" t="s">
        <v>340</v>
      </c>
      <c r="X113" s="1203">
        <v>25013.184000000001</v>
      </c>
      <c r="Y113" s="1264" t="s">
        <v>200</v>
      </c>
      <c r="Z113" s="1202">
        <v>1</v>
      </c>
      <c r="AA113" s="1202">
        <v>1</v>
      </c>
      <c r="AB113" s="1208" t="s">
        <v>204</v>
      </c>
      <c r="AC113" s="1271"/>
      <c r="AD113" s="81"/>
    </row>
    <row r="114" spans="1:30" s="44" customFormat="1" ht="17.399999999999999">
      <c r="A114" s="1324"/>
      <c r="B114" s="1021"/>
      <c r="C114" s="1021"/>
      <c r="D114" s="1022"/>
      <c r="E114" s="1023"/>
      <c r="F114" s="1021"/>
      <c r="G114" s="1021"/>
      <c r="H114" s="1022"/>
      <c r="I114" s="1023"/>
      <c r="J114" s="1021"/>
      <c r="K114" s="1021"/>
      <c r="L114" s="1021"/>
      <c r="M114" s="1023"/>
      <c r="N114" s="1021"/>
      <c r="O114" s="1021"/>
      <c r="P114" s="1022"/>
      <c r="R114" s="1252" t="s">
        <v>810</v>
      </c>
      <c r="S114" s="1209">
        <v>3331564870</v>
      </c>
      <c r="T114" s="1209" t="s">
        <v>462</v>
      </c>
      <c r="U114" s="1264">
        <v>24142011</v>
      </c>
      <c r="V114" s="1209" t="s">
        <v>158</v>
      </c>
      <c r="W114" s="1261" t="s">
        <v>340</v>
      </c>
      <c r="X114" s="1203">
        <v>26538.280999999999</v>
      </c>
      <c r="Y114" s="1264" t="s">
        <v>200</v>
      </c>
      <c r="Z114" s="1264">
        <v>1</v>
      </c>
      <c r="AA114" s="1264">
        <v>1</v>
      </c>
      <c r="AB114" s="1264" t="s">
        <v>204</v>
      </c>
      <c r="AC114" s="1271"/>
      <c r="AD114" s="81"/>
    </row>
    <row r="115" spans="1:30" s="44" customFormat="1" ht="17.399999999999999">
      <c r="A115" s="1324"/>
      <c r="B115" s="1021"/>
      <c r="C115" s="1021"/>
      <c r="D115" s="1022"/>
      <c r="E115" s="1023"/>
      <c r="F115" s="1021"/>
      <c r="G115" s="1021"/>
      <c r="H115" s="1022"/>
      <c r="I115" s="1023"/>
      <c r="J115" s="1021"/>
      <c r="K115" s="1021"/>
      <c r="L115" s="1021"/>
      <c r="M115" s="1023"/>
      <c r="N115" s="1021"/>
      <c r="O115" s="1021"/>
      <c r="P115" s="1022"/>
      <c r="R115" s="1252" t="s">
        <v>810</v>
      </c>
      <c r="S115" s="1209">
        <v>3331564876</v>
      </c>
      <c r="T115" s="1209" t="s">
        <v>11</v>
      </c>
      <c r="U115" s="1264">
        <v>24142012</v>
      </c>
      <c r="V115" s="1209" t="s">
        <v>158</v>
      </c>
      <c r="W115" s="1261" t="s">
        <v>340</v>
      </c>
      <c r="X115" s="1203">
        <v>25225.45</v>
      </c>
      <c r="Y115" s="1264" t="s">
        <v>200</v>
      </c>
      <c r="Z115" s="1202">
        <v>1</v>
      </c>
      <c r="AA115" s="1202">
        <v>1</v>
      </c>
      <c r="AB115" s="1208" t="s">
        <v>204</v>
      </c>
      <c r="AC115" s="1271"/>
      <c r="AD115" s="81"/>
    </row>
    <row r="116" spans="1:30" s="44" customFormat="1" ht="17.399999999999999">
      <c r="A116" s="1324"/>
      <c r="B116" s="1021"/>
      <c r="C116" s="1021"/>
      <c r="D116" s="1022"/>
      <c r="E116" s="1023"/>
      <c r="F116" s="1021"/>
      <c r="G116" s="1021"/>
      <c r="H116" s="1022"/>
      <c r="I116" s="1023"/>
      <c r="J116" s="1021"/>
      <c r="K116" s="1021"/>
      <c r="L116" s="1021"/>
      <c r="M116" s="1023"/>
      <c r="N116" s="1021"/>
      <c r="O116" s="1021"/>
      <c r="P116" s="1022"/>
      <c r="R116" s="1252" t="s">
        <v>810</v>
      </c>
      <c r="S116" s="1209">
        <v>3331564883</v>
      </c>
      <c r="T116" s="1209" t="s">
        <v>287</v>
      </c>
      <c r="U116" s="1264">
        <v>24142013</v>
      </c>
      <c r="V116" s="1209" t="s">
        <v>158</v>
      </c>
      <c r="W116" s="1261" t="s">
        <v>340</v>
      </c>
      <c r="X116" s="1203">
        <v>25804.905999999999</v>
      </c>
      <c r="Y116" s="1264" t="s">
        <v>200</v>
      </c>
      <c r="Z116" s="1264">
        <v>1</v>
      </c>
      <c r="AA116" s="1264">
        <v>1</v>
      </c>
      <c r="AB116" s="1264" t="s">
        <v>204</v>
      </c>
      <c r="AC116" s="1271"/>
      <c r="AD116" s="81"/>
    </row>
    <row r="117" spans="1:30" s="44" customFormat="1" ht="17.399999999999999">
      <c r="A117" s="1324"/>
      <c r="B117" s="1021"/>
      <c r="C117" s="1021"/>
      <c r="D117" s="1022"/>
      <c r="E117" s="1023"/>
      <c r="F117" s="1021"/>
      <c r="G117" s="1021"/>
      <c r="H117" s="1022"/>
      <c r="I117" s="1023"/>
      <c r="J117" s="1021"/>
      <c r="K117" s="1021"/>
      <c r="L117" s="1021"/>
      <c r="M117" s="1023"/>
      <c r="N117" s="1021"/>
      <c r="O117" s="1021"/>
      <c r="P117" s="1022"/>
      <c r="R117" s="1252" t="s">
        <v>810</v>
      </c>
      <c r="S117" s="1209">
        <v>3331564894</v>
      </c>
      <c r="T117" s="1209" t="s">
        <v>34</v>
      </c>
      <c r="U117" s="1264">
        <v>24142014</v>
      </c>
      <c r="V117" s="1209" t="s">
        <v>158</v>
      </c>
      <c r="W117" s="1261" t="s">
        <v>340</v>
      </c>
      <c r="X117" s="1203">
        <v>25030.286</v>
      </c>
      <c r="Y117" s="1264" t="s">
        <v>200</v>
      </c>
      <c r="Z117" s="1264">
        <v>1</v>
      </c>
      <c r="AA117" s="1264">
        <v>1</v>
      </c>
      <c r="AB117" s="1264" t="s">
        <v>204</v>
      </c>
      <c r="AC117" s="1271"/>
      <c r="AD117" s="81"/>
    </row>
    <row r="118" spans="1:30" s="44" customFormat="1" ht="17.399999999999999">
      <c r="A118" s="1324"/>
      <c r="B118" s="1021"/>
      <c r="C118" s="1021"/>
      <c r="D118" s="1022"/>
      <c r="E118" s="1023"/>
      <c r="F118" s="1021"/>
      <c r="G118" s="1021"/>
      <c r="H118" s="1022"/>
      <c r="I118" s="1023"/>
      <c r="J118" s="1021"/>
      <c r="K118" s="1021"/>
      <c r="L118" s="1021"/>
      <c r="M118" s="1023"/>
      <c r="N118" s="1021"/>
      <c r="O118" s="1021"/>
      <c r="P118" s="1022"/>
      <c r="R118" s="1252" t="s">
        <v>810</v>
      </c>
      <c r="S118" s="1209">
        <v>3331564902</v>
      </c>
      <c r="T118" s="1209" t="s">
        <v>11</v>
      </c>
      <c r="U118" s="1264">
        <v>24142015</v>
      </c>
      <c r="V118" s="1209" t="s">
        <v>158</v>
      </c>
      <c r="W118" s="1261" t="s">
        <v>340</v>
      </c>
      <c r="X118" s="1203">
        <v>24772.75</v>
      </c>
      <c r="Y118" s="1264" t="s">
        <v>200</v>
      </c>
      <c r="Z118" s="1264">
        <v>1</v>
      </c>
      <c r="AA118" s="1264">
        <v>1</v>
      </c>
      <c r="AB118" s="1264" t="s">
        <v>204</v>
      </c>
      <c r="AC118" s="1271"/>
      <c r="AD118" s="81"/>
    </row>
    <row r="119" spans="1:30" s="44" customFormat="1">
      <c r="R119" s="1252" t="s">
        <v>810</v>
      </c>
      <c r="S119" s="1209">
        <v>3331564929</v>
      </c>
      <c r="T119" s="1209" t="s">
        <v>34</v>
      </c>
      <c r="U119" s="1264">
        <v>24142019</v>
      </c>
      <c r="V119" s="1209" t="s">
        <v>158</v>
      </c>
      <c r="W119" s="1261" t="s">
        <v>340</v>
      </c>
      <c r="X119" s="1203">
        <v>23653.072</v>
      </c>
      <c r="Y119" s="1264" t="s">
        <v>200</v>
      </c>
      <c r="Z119" s="1264">
        <v>1</v>
      </c>
      <c r="AA119" s="1264">
        <v>1</v>
      </c>
      <c r="AB119" s="1264" t="s">
        <v>204</v>
      </c>
      <c r="AC119" s="1271"/>
      <c r="AD119" s="81"/>
    </row>
    <row r="120" spans="1:30" s="44" customFormat="1">
      <c r="R120" s="1252" t="s">
        <v>810</v>
      </c>
      <c r="S120" s="1209">
        <v>3331564930</v>
      </c>
      <c r="T120" s="1209" t="s">
        <v>11</v>
      </c>
      <c r="U120" s="1264">
        <v>24142020</v>
      </c>
      <c r="V120" s="1209" t="s">
        <v>158</v>
      </c>
      <c r="W120" s="1261" t="s">
        <v>340</v>
      </c>
      <c r="X120" s="1203">
        <v>24712.39</v>
      </c>
      <c r="Y120" s="1264" t="s">
        <v>200</v>
      </c>
      <c r="Z120" s="1264">
        <v>1</v>
      </c>
      <c r="AA120" s="1264">
        <v>1</v>
      </c>
      <c r="AB120" s="1264" t="s">
        <v>204</v>
      </c>
      <c r="AC120" s="1271"/>
      <c r="AD120" s="81"/>
    </row>
    <row r="121" spans="1:30" s="44" customFormat="1" ht="15.6">
      <c r="R121" s="1252" t="s">
        <v>810</v>
      </c>
      <c r="S121" s="1209">
        <v>3331564934</v>
      </c>
      <c r="T121" s="1209" t="s">
        <v>34</v>
      </c>
      <c r="U121" s="1209">
        <v>24142021</v>
      </c>
      <c r="V121" s="1209" t="s">
        <v>158</v>
      </c>
      <c r="W121" s="1261" t="s">
        <v>340</v>
      </c>
      <c r="X121" s="1281">
        <v>26166.06</v>
      </c>
      <c r="Y121" s="1264" t="s">
        <v>200</v>
      </c>
      <c r="Z121" s="1264">
        <v>1</v>
      </c>
      <c r="AA121" s="1264">
        <v>1</v>
      </c>
      <c r="AB121" s="1067" t="s">
        <v>204</v>
      </c>
      <c r="AC121" s="1217"/>
      <c r="AD121" s="1326"/>
    </row>
    <row r="122" spans="1:30" s="44" customFormat="1">
      <c r="R122" s="1201" t="s">
        <v>810</v>
      </c>
      <c r="S122" s="1202">
        <v>3331564943</v>
      </c>
      <c r="T122" s="1209" t="s">
        <v>34</v>
      </c>
      <c r="U122" s="1202">
        <v>24142022</v>
      </c>
      <c r="V122" s="1209" t="s">
        <v>158</v>
      </c>
      <c r="W122" s="1261" t="s">
        <v>340</v>
      </c>
      <c r="X122" s="1231">
        <f>15396.83+10688.75</f>
        <v>26085.58</v>
      </c>
      <c r="Y122" s="1264" t="s">
        <v>200</v>
      </c>
      <c r="Z122" s="1202">
        <v>1</v>
      </c>
      <c r="AA122" s="1202">
        <v>1</v>
      </c>
      <c r="AB122" s="1202" t="s">
        <v>204</v>
      </c>
      <c r="AC122" s="1217"/>
      <c r="AD122" s="1326"/>
    </row>
    <row r="123" spans="1:30" s="44" customFormat="1">
      <c r="R123" s="1252" t="s">
        <v>810</v>
      </c>
      <c r="S123" s="1209">
        <v>3331564947</v>
      </c>
      <c r="T123" s="1209" t="s">
        <v>256</v>
      </c>
      <c r="U123" s="1202" t="s">
        <v>256</v>
      </c>
      <c r="V123" s="1202" t="s">
        <v>256</v>
      </c>
      <c r="W123" s="1202" t="s">
        <v>256</v>
      </c>
      <c r="X123" s="1231" t="s">
        <v>256</v>
      </c>
      <c r="Y123" s="1202" t="s">
        <v>256</v>
      </c>
      <c r="Z123" s="1202" t="s">
        <v>256</v>
      </c>
      <c r="AA123" s="1202" t="s">
        <v>256</v>
      </c>
      <c r="AB123" s="1202" t="s">
        <v>256</v>
      </c>
      <c r="AC123" s="1217"/>
      <c r="AD123" s="1326"/>
    </row>
    <row r="124" spans="1:30" s="44" customFormat="1">
      <c r="R124" s="1252" t="s">
        <v>810</v>
      </c>
      <c r="S124" s="1209">
        <v>3331565006</v>
      </c>
      <c r="T124" s="1209" t="s">
        <v>11</v>
      </c>
      <c r="U124" s="1202">
        <v>24142035</v>
      </c>
      <c r="V124" s="1202" t="s">
        <v>368</v>
      </c>
      <c r="W124" s="1261" t="s">
        <v>340</v>
      </c>
      <c r="X124" s="1231">
        <v>25889.913</v>
      </c>
      <c r="Y124" s="1264" t="s">
        <v>200</v>
      </c>
      <c r="Z124" s="1202">
        <v>1</v>
      </c>
      <c r="AA124" s="1202">
        <v>1</v>
      </c>
      <c r="AB124" s="1202" t="s">
        <v>204</v>
      </c>
      <c r="AC124" s="1217"/>
      <c r="AD124" s="1326"/>
    </row>
    <row r="125" spans="1:30" s="44" customFormat="1">
      <c r="R125" s="1202" t="s">
        <v>810</v>
      </c>
      <c r="S125" s="1202">
        <v>3331565007</v>
      </c>
      <c r="T125" s="1209" t="s">
        <v>34</v>
      </c>
      <c r="U125" s="1261">
        <v>24142037</v>
      </c>
      <c r="V125" s="1202" t="s">
        <v>368</v>
      </c>
      <c r="W125" s="1261" t="s">
        <v>340</v>
      </c>
      <c r="X125" s="1203">
        <v>25890.416000000001</v>
      </c>
      <c r="Y125" s="1264" t="s">
        <v>200</v>
      </c>
      <c r="Z125" s="1202">
        <v>1</v>
      </c>
      <c r="AA125" s="1202">
        <v>1</v>
      </c>
      <c r="AB125" s="1202" t="s">
        <v>204</v>
      </c>
      <c r="AC125" s="1209"/>
      <c r="AD125" s="1326"/>
    </row>
    <row r="126" spans="1:30" s="44" customFormat="1">
      <c r="R126" s="1202" t="s">
        <v>810</v>
      </c>
      <c r="S126" s="1202">
        <v>3331565009</v>
      </c>
      <c r="T126" s="1209" t="s">
        <v>34</v>
      </c>
      <c r="U126" s="1261">
        <v>24142038</v>
      </c>
      <c r="V126" s="1202" t="s">
        <v>368</v>
      </c>
      <c r="W126" s="1261" t="s">
        <v>340</v>
      </c>
      <c r="X126" s="1203">
        <v>25890.416000000001</v>
      </c>
      <c r="Y126" s="1264" t="s">
        <v>200</v>
      </c>
      <c r="Z126" s="1202">
        <v>1</v>
      </c>
      <c r="AA126" s="1202">
        <v>1</v>
      </c>
      <c r="AB126" s="1202" t="s">
        <v>204</v>
      </c>
      <c r="AC126" s="1217"/>
      <c r="AD126" s="1326"/>
    </row>
    <row r="127" spans="1:30" s="44" customFormat="1">
      <c r="R127" s="1202" t="s">
        <v>810</v>
      </c>
      <c r="S127" s="1261">
        <v>3331565011</v>
      </c>
      <c r="T127" s="1209" t="s">
        <v>287</v>
      </c>
      <c r="U127" s="1202">
        <v>24142051</v>
      </c>
      <c r="V127" s="1202" t="s">
        <v>368</v>
      </c>
      <c r="W127" s="1261" t="s">
        <v>340</v>
      </c>
      <c r="X127" s="1203">
        <v>26407.5</v>
      </c>
      <c r="Y127" s="1264" t="s">
        <v>200</v>
      </c>
      <c r="Z127" s="1202">
        <v>1</v>
      </c>
      <c r="AA127" s="1202">
        <v>1</v>
      </c>
      <c r="AB127" s="1202" t="s">
        <v>204</v>
      </c>
      <c r="AC127" s="1217"/>
      <c r="AD127" s="1326"/>
    </row>
    <row r="128" spans="1:30" s="44" customFormat="1">
      <c r="R128" s="1202" t="s">
        <v>810</v>
      </c>
      <c r="S128" s="1202">
        <v>3331565019</v>
      </c>
      <c r="T128" s="1209" t="s">
        <v>287</v>
      </c>
      <c r="U128" s="1261">
        <v>24142052</v>
      </c>
      <c r="V128" s="1202" t="s">
        <v>368</v>
      </c>
      <c r="W128" s="1261" t="s">
        <v>340</v>
      </c>
      <c r="X128" s="1203">
        <f>14264.672+10389.465</f>
        <v>24654.137000000002</v>
      </c>
      <c r="Y128" s="1264" t="s">
        <v>200</v>
      </c>
      <c r="Z128" s="1202">
        <v>1</v>
      </c>
      <c r="AA128" s="1202">
        <v>1</v>
      </c>
      <c r="AB128" s="1202" t="s">
        <v>204</v>
      </c>
      <c r="AC128" s="1217"/>
      <c r="AD128" s="1326"/>
    </row>
    <row r="129" spans="18:30" s="44" customFormat="1">
      <c r="R129" s="1201" t="s">
        <v>810</v>
      </c>
      <c r="S129" s="1227">
        <v>3331565023</v>
      </c>
      <c r="T129" s="1209" t="s">
        <v>256</v>
      </c>
      <c r="U129" s="1227" t="s">
        <v>256</v>
      </c>
      <c r="V129" s="1202" t="s">
        <v>256</v>
      </c>
      <c r="W129" s="1261" t="s">
        <v>256</v>
      </c>
      <c r="X129" s="1229" t="s">
        <v>256</v>
      </c>
      <c r="Y129" s="1264" t="s">
        <v>256</v>
      </c>
      <c r="Z129" s="1202" t="s">
        <v>256</v>
      </c>
      <c r="AA129" s="1202" t="s">
        <v>256</v>
      </c>
      <c r="AB129" s="1202" t="s">
        <v>256</v>
      </c>
      <c r="AC129" s="1217"/>
      <c r="AD129" s="1326"/>
    </row>
    <row r="130" spans="18:30" s="44" customFormat="1" ht="15.6">
      <c r="R130" s="1201" t="s">
        <v>810</v>
      </c>
      <c r="S130" s="899">
        <v>3331564389</v>
      </c>
      <c r="T130" s="1209" t="s">
        <v>175</v>
      </c>
      <c r="U130" s="1227"/>
      <c r="V130" s="1209" t="s">
        <v>303</v>
      </c>
      <c r="W130" s="1227"/>
      <c r="X130" s="1229"/>
      <c r="Y130" s="1202" t="s">
        <v>128</v>
      </c>
      <c r="Z130" s="1202">
        <v>1</v>
      </c>
      <c r="AA130" s="1202">
        <v>1</v>
      </c>
      <c r="AB130" s="1244" t="s">
        <v>204</v>
      </c>
      <c r="AC130" s="1270"/>
      <c r="AD130" s="81"/>
    </row>
    <row r="131" spans="18:30" s="44" customFormat="1" ht="15.6">
      <c r="R131" s="1190"/>
      <c r="S131" s="1190"/>
      <c r="T131" s="1293"/>
      <c r="U131" s="1293"/>
      <c r="V131" s="1190"/>
      <c r="W131" s="1293"/>
      <c r="X131" s="1191"/>
      <c r="Y131" s="1190"/>
      <c r="Z131" s="1190"/>
      <c r="AA131" s="1190"/>
      <c r="AB131" s="1241"/>
      <c r="AC131" s="1217"/>
      <c r="AD131" s="1326"/>
    </row>
    <row r="132" spans="18:30" s="44" customFormat="1" ht="15.6">
      <c r="R132" s="1189"/>
      <c r="S132" s="1190"/>
      <c r="T132" s="1293"/>
      <c r="U132" s="1293"/>
      <c r="V132" s="1190"/>
      <c r="W132" s="1293"/>
      <c r="X132" s="1191"/>
      <c r="Y132" s="1190"/>
      <c r="Z132" s="1190"/>
      <c r="AA132" s="1190"/>
      <c r="AB132" s="1241"/>
      <c r="AC132" s="1271"/>
      <c r="AD132" s="81"/>
    </row>
    <row r="133" spans="18:30" s="44" customFormat="1" ht="15.6">
      <c r="R133" s="1339"/>
      <c r="S133" s="1339"/>
      <c r="T133" s="1190"/>
      <c r="U133" s="1293"/>
      <c r="V133" s="1190"/>
      <c r="W133" s="1293"/>
      <c r="X133" s="1191"/>
      <c r="Y133" s="1190"/>
      <c r="Z133" s="1190"/>
      <c r="AA133" s="1190"/>
      <c r="AB133" s="1110"/>
      <c r="AC133" s="1271"/>
      <c r="AD133" s="81"/>
    </row>
    <row r="134" spans="18:30" s="44" customFormat="1" ht="15.6">
      <c r="R134" s="1190"/>
      <c r="S134" s="1190"/>
      <c r="T134" s="1190"/>
      <c r="U134" s="1190"/>
      <c r="V134" s="1190"/>
      <c r="W134" s="1293"/>
      <c r="X134" s="1191"/>
      <c r="Y134" s="1190"/>
      <c r="Z134" s="1190"/>
      <c r="AA134" s="1190"/>
      <c r="AB134" s="1241"/>
      <c r="AC134" s="1271"/>
      <c r="AD134" s="81"/>
    </row>
    <row r="135" spans="18:30" s="44" customFormat="1" ht="15.6">
      <c r="R135" s="1189"/>
      <c r="S135" s="1190"/>
      <c r="T135" s="1190"/>
      <c r="U135" s="1190"/>
      <c r="V135" s="1190"/>
      <c r="W135" s="1293"/>
      <c r="X135" s="1191"/>
      <c r="Y135" s="1190"/>
      <c r="Z135" s="1190"/>
      <c r="AA135" s="1190"/>
      <c r="AB135" s="1241"/>
      <c r="AC135" s="1271"/>
      <c r="AD135" s="81"/>
    </row>
    <row r="136" spans="18:30" s="44" customFormat="1" ht="15.6">
      <c r="R136" s="1353"/>
      <c r="S136" s="1339"/>
      <c r="T136" s="1190"/>
      <c r="U136" s="1190"/>
      <c r="V136" s="1190"/>
      <c r="W136" s="1293"/>
      <c r="X136" s="1191"/>
      <c r="Y136" s="1190"/>
      <c r="Z136" s="1190"/>
      <c r="AA136" s="1190"/>
      <c r="AB136" s="1241"/>
      <c r="AC136" s="1217"/>
      <c r="AD136" s="81"/>
    </row>
    <row r="137" spans="18:30" s="44" customFormat="1" ht="15.6">
      <c r="R137" s="1190"/>
      <c r="S137" s="1224"/>
      <c r="T137" s="1190"/>
      <c r="U137" s="1224"/>
      <c r="V137" s="1224"/>
      <c r="W137" s="1293"/>
      <c r="X137" s="1225"/>
      <c r="Y137" s="1190"/>
      <c r="Z137" s="1190"/>
      <c r="AA137" s="1190"/>
      <c r="AB137" s="1241"/>
      <c r="AC137" s="1217"/>
      <c r="AD137" s="1326"/>
    </row>
    <row r="138" spans="18:30" s="44" customFormat="1" ht="15.6">
      <c r="R138" s="1189"/>
      <c r="S138" s="1224"/>
      <c r="T138" s="1294"/>
      <c r="U138" s="1224"/>
      <c r="V138" s="1224"/>
      <c r="W138" s="1293"/>
      <c r="X138" s="1225"/>
      <c r="Y138" s="1190"/>
      <c r="Z138" s="1190"/>
      <c r="AA138" s="1190"/>
      <c r="AB138" s="1241"/>
      <c r="AC138" s="1271"/>
      <c r="AD138" s="81"/>
    </row>
    <row r="139" spans="18:30" s="44" customFormat="1" ht="15.6">
      <c r="R139" s="1189"/>
      <c r="S139" s="1224"/>
      <c r="T139" s="1294"/>
      <c r="U139" s="1224"/>
      <c r="V139" s="1224"/>
      <c r="W139" s="1293"/>
      <c r="X139" s="1225"/>
      <c r="Y139" s="1190"/>
      <c r="Z139" s="1190"/>
      <c r="AA139" s="1190"/>
      <c r="AB139" s="1241"/>
      <c r="AC139" s="1271"/>
      <c r="AD139" s="81"/>
    </row>
    <row r="140" spans="18:30" s="44" customFormat="1" ht="15.6">
      <c r="R140" s="1189"/>
      <c r="S140" s="1224"/>
      <c r="T140" s="1279"/>
      <c r="U140" s="1224"/>
      <c r="V140" s="1224"/>
      <c r="W140" s="1293"/>
      <c r="X140" s="1225"/>
      <c r="Y140" s="1190"/>
      <c r="Z140" s="1190"/>
      <c r="AA140" s="1190"/>
      <c r="AB140" s="1241"/>
      <c r="AC140" s="1271"/>
      <c r="AD140" s="81"/>
    </row>
    <row r="141" spans="18:30" s="44" customFormat="1" ht="15.6">
      <c r="R141" s="1190"/>
      <c r="S141" s="1190"/>
      <c r="T141" s="1217"/>
      <c r="U141" s="1190"/>
      <c r="V141" s="1224"/>
      <c r="W141" s="1293"/>
      <c r="X141" s="1191"/>
      <c r="Y141" s="1190"/>
      <c r="Z141" s="1217"/>
      <c r="AA141" s="1217"/>
      <c r="AB141" s="1218"/>
      <c r="AC141" s="1190"/>
      <c r="AD141" s="1329"/>
    </row>
    <row r="142" spans="18:30" s="44" customFormat="1">
      <c r="R142" s="1217"/>
      <c r="S142" s="1217"/>
      <c r="T142" s="1294"/>
      <c r="U142" s="1294"/>
      <c r="V142" s="1224"/>
      <c r="W142" s="1293"/>
      <c r="X142" s="1191"/>
      <c r="Y142" s="1294"/>
      <c r="Z142" s="1294"/>
      <c r="AA142" s="1294"/>
      <c r="AB142" s="1294"/>
      <c r="AC142" s="1217"/>
      <c r="AD142" s="1326"/>
    </row>
    <row r="143" spans="18:30" s="44" customFormat="1">
      <c r="R143" s="1217"/>
      <c r="S143" s="1217"/>
      <c r="T143" s="1294"/>
      <c r="U143" s="1294"/>
      <c r="V143" s="1224"/>
      <c r="W143" s="1293"/>
      <c r="X143" s="1191"/>
      <c r="Y143" s="1294"/>
      <c r="Z143" s="1294"/>
      <c r="AA143" s="1294"/>
      <c r="AB143" s="1294"/>
      <c r="AC143" s="1217"/>
      <c r="AD143" s="1326"/>
    </row>
    <row r="144" spans="18:30" s="44" customFormat="1">
      <c r="R144" s="1217"/>
      <c r="S144" s="1217"/>
      <c r="T144" s="1294"/>
      <c r="U144" s="1190"/>
      <c r="V144" s="1294"/>
      <c r="W144" s="1294"/>
      <c r="X144" s="1191"/>
      <c r="Y144" s="1294"/>
      <c r="Z144" s="1190"/>
      <c r="AA144" s="1190"/>
      <c r="AB144" s="1294"/>
      <c r="AC144" s="1217"/>
      <c r="AD144" s="1326"/>
    </row>
    <row r="145" spans="18:30" s="44" customFormat="1">
      <c r="R145" s="1217"/>
      <c r="S145" s="1217"/>
      <c r="T145" s="1294"/>
      <c r="U145" s="1190"/>
      <c r="V145" s="1294"/>
      <c r="W145" s="1294"/>
      <c r="X145" s="1191"/>
      <c r="Y145" s="1294"/>
      <c r="Z145" s="1190"/>
      <c r="AA145" s="1190"/>
      <c r="AB145" s="1294"/>
      <c r="AC145" s="1217"/>
      <c r="AD145" s="1326"/>
    </row>
    <row r="146" spans="18:30" s="44" customFormat="1">
      <c r="R146" s="1217"/>
      <c r="S146" s="1217"/>
      <c r="T146" s="1217"/>
      <c r="U146" s="1190"/>
      <c r="V146" s="1294"/>
      <c r="W146" s="1294"/>
      <c r="X146" s="1191"/>
      <c r="Y146" s="1294"/>
      <c r="Z146" s="1190"/>
      <c r="AA146" s="1190"/>
      <c r="AB146" s="1294"/>
      <c r="AC146" s="1217"/>
      <c r="AD146" s="1326"/>
    </row>
    <row r="147" spans="18:30" s="44" customFormat="1" ht="15.6">
      <c r="R147" s="1217"/>
      <c r="S147" s="1217"/>
      <c r="T147" s="1217"/>
      <c r="U147" s="1190"/>
      <c r="V147" s="1294"/>
      <c r="W147" s="1294"/>
      <c r="X147" s="1191"/>
      <c r="Y147" s="1294"/>
      <c r="Z147" s="1190"/>
      <c r="AA147" s="1190"/>
      <c r="AB147" s="1200"/>
      <c r="AC147" s="1217"/>
      <c r="AD147" s="1326"/>
    </row>
    <row r="148" spans="18:30" s="44" customFormat="1" ht="15.6">
      <c r="R148" s="1217"/>
      <c r="S148" s="1217"/>
      <c r="T148" s="1217"/>
      <c r="U148" s="1190"/>
      <c r="V148" s="1294"/>
      <c r="W148" s="1294"/>
      <c r="X148" s="1191"/>
      <c r="Y148" s="1190"/>
      <c r="Z148" s="1190"/>
      <c r="AA148" s="1190"/>
      <c r="AB148" s="1200"/>
      <c r="AC148" s="1217"/>
      <c r="AD148" s="1326"/>
    </row>
    <row r="149" spans="18:30" s="44" customFormat="1" ht="15.6">
      <c r="R149" s="1217"/>
      <c r="S149" s="1217"/>
      <c r="T149" s="1294"/>
      <c r="U149" s="1190"/>
      <c r="V149" s="1190"/>
      <c r="W149" s="1190"/>
      <c r="X149" s="1191"/>
      <c r="Y149" s="1190"/>
      <c r="Z149" s="1190"/>
      <c r="AA149" s="1190"/>
      <c r="AB149" s="1200"/>
      <c r="AC149" s="1217"/>
      <c r="AD149" s="1326"/>
    </row>
    <row r="150" spans="18:30" s="44" customFormat="1" ht="15.6">
      <c r="R150" s="1217"/>
      <c r="S150" s="1217"/>
      <c r="T150" s="1294"/>
      <c r="U150" s="1190"/>
      <c r="V150" s="1190"/>
      <c r="W150" s="1190"/>
      <c r="X150" s="1191"/>
      <c r="Y150" s="1190"/>
      <c r="Z150" s="1190"/>
      <c r="AA150" s="1190"/>
      <c r="AB150" s="1200"/>
      <c r="AC150" s="1217"/>
      <c r="AD150" s="1326"/>
    </row>
    <row r="151" spans="18:30" s="44" customFormat="1" ht="15.6">
      <c r="R151" s="1217"/>
      <c r="S151" s="1217"/>
      <c r="T151" s="1294"/>
      <c r="U151" s="1190"/>
      <c r="V151" s="1190"/>
      <c r="W151" s="1190"/>
      <c r="X151" s="1191"/>
      <c r="Y151" s="1190"/>
      <c r="Z151" s="1190"/>
      <c r="AA151" s="1190"/>
      <c r="AB151" s="1200"/>
      <c r="AC151" s="1217"/>
      <c r="AD151" s="1326"/>
    </row>
    <row r="152" spans="18:30" s="44" customFormat="1" ht="15.6">
      <c r="R152" s="1217"/>
      <c r="S152" s="1217"/>
      <c r="T152" s="1217"/>
      <c r="U152" s="1190"/>
      <c r="V152" s="1190"/>
      <c r="W152" s="1294"/>
      <c r="X152" s="1191"/>
      <c r="Y152" s="1190"/>
      <c r="Z152" s="1190"/>
      <c r="AA152" s="1190"/>
      <c r="AB152" s="1200"/>
      <c r="AC152" s="1217"/>
      <c r="AD152" s="1326"/>
    </row>
    <row r="153" spans="18:30" s="44" customFormat="1" ht="15.6">
      <c r="R153" s="1217"/>
      <c r="S153" s="1217"/>
      <c r="T153" s="1217"/>
      <c r="U153" s="1190"/>
      <c r="V153" s="1190"/>
      <c r="W153" s="1294"/>
      <c r="X153" s="1191"/>
      <c r="Y153" s="1190"/>
      <c r="Z153" s="1190"/>
      <c r="AA153" s="1190"/>
      <c r="AB153" s="1200"/>
      <c r="AC153" s="1217"/>
      <c r="AD153" s="1326"/>
    </row>
    <row r="154" spans="18:30" s="44" customFormat="1" ht="15.6">
      <c r="R154" s="1217"/>
      <c r="S154" s="1217"/>
      <c r="T154" s="1294"/>
      <c r="U154" s="1190"/>
      <c r="V154" s="1190"/>
      <c r="W154" s="1190"/>
      <c r="X154" s="1191"/>
      <c r="Y154" s="1190"/>
      <c r="Z154" s="1190"/>
      <c r="AA154" s="1190"/>
      <c r="AB154" s="1200"/>
      <c r="AC154" s="1217"/>
      <c r="AD154" s="1326"/>
    </row>
    <row r="155" spans="18:30" s="44" customFormat="1" ht="15.6">
      <c r="R155" s="1190"/>
      <c r="S155" s="1294"/>
      <c r="T155" s="1217"/>
      <c r="U155" s="1190"/>
      <c r="V155" s="1190"/>
      <c r="W155" s="1294"/>
      <c r="X155" s="1191"/>
      <c r="Y155" s="1190"/>
      <c r="Z155" s="1190"/>
      <c r="AA155" s="1190"/>
      <c r="AB155" s="1200"/>
      <c r="AC155" s="1217"/>
      <c r="AD155" s="1326"/>
    </row>
    <row r="156" spans="18:30" s="44" customFormat="1" ht="15.6">
      <c r="R156" s="1190"/>
      <c r="S156" s="1294"/>
      <c r="T156" s="1294"/>
      <c r="U156" s="1190"/>
      <c r="V156" s="1190"/>
      <c r="W156" s="1294"/>
      <c r="X156" s="1191"/>
      <c r="Y156" s="1190"/>
      <c r="Z156" s="1190"/>
      <c r="AA156" s="1190"/>
      <c r="AB156" s="1200"/>
      <c r="AC156" s="1217"/>
      <c r="AD156" s="1326"/>
    </row>
    <row r="157" spans="18:30" s="44" customFormat="1" ht="15.6">
      <c r="R157" s="1190"/>
      <c r="S157" s="1224"/>
      <c r="T157" s="1279"/>
      <c r="U157" s="1224"/>
      <c r="V157" s="1224"/>
      <c r="W157" s="1294"/>
      <c r="X157" s="1225"/>
      <c r="Y157" s="1190"/>
      <c r="Z157" s="1190"/>
      <c r="AA157" s="1190"/>
      <c r="AB157" s="1241"/>
      <c r="AC157" s="1217"/>
      <c r="AD157" s="1326"/>
    </row>
    <row r="158" spans="18:30" s="44" customFormat="1" ht="15.6">
      <c r="R158" s="1190"/>
      <c r="S158" s="1224"/>
      <c r="T158" s="1279"/>
      <c r="U158" s="1224"/>
      <c r="V158" s="1224"/>
      <c r="W158" s="1224"/>
      <c r="X158" s="1225"/>
      <c r="Y158" s="1190"/>
      <c r="Z158" s="1190"/>
      <c r="AA158" s="1190"/>
      <c r="AB158" s="1241"/>
      <c r="AC158" s="1217"/>
      <c r="AD158" s="1326"/>
    </row>
    <row r="159" spans="18:30" s="44" customFormat="1" ht="15.6">
      <c r="R159" s="1190"/>
      <c r="S159" s="1224"/>
      <c r="T159" s="1279"/>
      <c r="U159" s="1224"/>
      <c r="V159" s="1224"/>
      <c r="W159" s="1294"/>
      <c r="X159" s="1225"/>
      <c r="Y159" s="1190"/>
      <c r="Z159" s="1190"/>
      <c r="AA159" s="1190"/>
      <c r="AB159" s="1241"/>
      <c r="AC159" s="1217"/>
      <c r="AD159" s="1326"/>
    </row>
    <row r="160" spans="18:30" s="44" customFormat="1" ht="15.6">
      <c r="R160" s="1190"/>
      <c r="S160" s="1224"/>
      <c r="T160" s="1279"/>
      <c r="U160" s="1224"/>
      <c r="V160" s="1224"/>
      <c r="W160" s="1224"/>
      <c r="X160" s="1225"/>
      <c r="Y160" s="1190"/>
      <c r="Z160" s="1190"/>
      <c r="AA160" s="1190"/>
      <c r="AB160" s="1241"/>
      <c r="AC160" s="1217"/>
      <c r="AD160" s="1326"/>
    </row>
    <row r="161" spans="18:30" s="44" customFormat="1" ht="15.6">
      <c r="R161" s="1190"/>
      <c r="S161" s="1224"/>
      <c r="T161" s="1279"/>
      <c r="U161" s="1224"/>
      <c r="V161" s="1224"/>
      <c r="W161" s="1224"/>
      <c r="X161" s="1225"/>
      <c r="Y161" s="1190"/>
      <c r="Z161" s="1190"/>
      <c r="AA161" s="1190"/>
      <c r="AB161" s="1241"/>
      <c r="AC161" s="1217"/>
      <c r="AD161" s="1326"/>
    </row>
    <row r="162" spans="18:30" s="44" customFormat="1" ht="15.6">
      <c r="R162" s="1190"/>
      <c r="S162" s="1224"/>
      <c r="T162" s="1279"/>
      <c r="U162" s="1224"/>
      <c r="V162" s="1224"/>
      <c r="W162" s="1224"/>
      <c r="X162" s="1225"/>
      <c r="Y162" s="1190"/>
      <c r="Z162" s="1190"/>
      <c r="AA162" s="1190"/>
      <c r="AB162" s="1241"/>
      <c r="AC162" s="1217"/>
      <c r="AD162" s="1326"/>
    </row>
    <row r="163" spans="18:30" s="44" customFormat="1" ht="15.6">
      <c r="R163" s="1190"/>
      <c r="S163" s="1224"/>
      <c r="T163" s="1279"/>
      <c r="U163" s="1224"/>
      <c r="V163" s="1224"/>
      <c r="W163" s="1224"/>
      <c r="X163" s="1225"/>
      <c r="Y163" s="1190"/>
      <c r="Z163" s="1190"/>
      <c r="AA163" s="1190"/>
      <c r="AB163" s="1241"/>
      <c r="AC163" s="1217"/>
      <c r="AD163" s="1326"/>
    </row>
    <row r="164" spans="18:30" s="44" customFormat="1" ht="15.6">
      <c r="R164" s="1190"/>
      <c r="S164" s="1224"/>
      <c r="T164" s="1279"/>
      <c r="U164" s="1224"/>
      <c r="V164" s="1224"/>
      <c r="W164" s="1190"/>
      <c r="X164" s="1225"/>
      <c r="Y164" s="1190"/>
      <c r="Z164" s="1190"/>
      <c r="AA164" s="1190"/>
      <c r="AB164" s="1241"/>
      <c r="AC164" s="1217"/>
      <c r="AD164" s="1326"/>
    </row>
    <row r="165" spans="18:30" s="44" customFormat="1" ht="15.6">
      <c r="R165" s="1190"/>
      <c r="S165" s="1224"/>
      <c r="T165" s="1279"/>
      <c r="U165" s="1224"/>
      <c r="V165" s="1224"/>
      <c r="W165" s="1294"/>
      <c r="X165" s="1225"/>
      <c r="Y165" s="1190"/>
      <c r="Z165" s="1190"/>
      <c r="AA165" s="1190"/>
      <c r="AB165" s="1241"/>
      <c r="AC165" s="1217"/>
      <c r="AD165" s="1326"/>
    </row>
    <row r="166" spans="18:30" s="44" customFormat="1" ht="15.6">
      <c r="R166" s="1190"/>
      <c r="S166" s="1224"/>
      <c r="T166" s="1279"/>
      <c r="U166" s="1224"/>
      <c r="V166" s="1224"/>
      <c r="W166" s="1294"/>
      <c r="X166" s="1225"/>
      <c r="Y166" s="1190"/>
      <c r="Z166" s="1190"/>
      <c r="AA166" s="1190"/>
      <c r="AB166" s="1241"/>
      <c r="AC166" s="1217"/>
      <c r="AD166" s="1326"/>
    </row>
    <row r="167" spans="18:30" s="44" customFormat="1" ht="15.6">
      <c r="R167" s="1190"/>
      <c r="S167" s="1224"/>
      <c r="T167" s="1279"/>
      <c r="U167" s="1224"/>
      <c r="V167" s="1224"/>
      <c r="W167" s="1294"/>
      <c r="X167" s="1225"/>
      <c r="Y167" s="1190"/>
      <c r="Z167" s="1190"/>
      <c r="AA167" s="1190"/>
      <c r="AB167" s="1241"/>
      <c r="AC167" s="1217"/>
      <c r="AD167" s="1326"/>
    </row>
    <row r="168" spans="18:30" s="44" customFormat="1" ht="15.6">
      <c r="R168" s="1190"/>
      <c r="S168" s="1224"/>
      <c r="T168" s="1279"/>
      <c r="U168" s="1224"/>
      <c r="V168" s="1224"/>
      <c r="W168" s="1190"/>
      <c r="X168" s="1225"/>
      <c r="Y168" s="1190"/>
      <c r="Z168" s="1190"/>
      <c r="AA168" s="1190"/>
      <c r="AB168" s="1241"/>
      <c r="AC168" s="1217"/>
      <c r="AD168" s="1326"/>
    </row>
    <row r="169" spans="18:30" s="44" customFormat="1" ht="15.6">
      <c r="R169" s="1190"/>
      <c r="S169" s="1224"/>
      <c r="T169" s="1279"/>
      <c r="U169" s="1224"/>
      <c r="V169" s="1224"/>
      <c r="W169" s="1190"/>
      <c r="X169" s="1225"/>
      <c r="Y169" s="1190"/>
      <c r="Z169" s="1190"/>
      <c r="AA169" s="1190"/>
      <c r="AB169" s="1241"/>
      <c r="AC169" s="1217"/>
      <c r="AD169" s="1326"/>
    </row>
    <row r="170" spans="18:30" s="44" customFormat="1" ht="15.6">
      <c r="R170" s="1190"/>
      <c r="S170" s="1224"/>
      <c r="T170" s="1279"/>
      <c r="U170" s="1224"/>
      <c r="V170" s="1224"/>
      <c r="W170" s="1294"/>
      <c r="X170" s="1225"/>
      <c r="Y170" s="1190"/>
      <c r="Z170" s="1190"/>
      <c r="AA170" s="1190"/>
      <c r="AB170" s="1241"/>
      <c r="AC170" s="1217"/>
      <c r="AD170" s="1326"/>
    </row>
    <row r="171" spans="18:30" ht="15.6">
      <c r="R171" s="1190"/>
      <c r="S171" s="1224"/>
      <c r="T171" s="1279"/>
      <c r="U171" s="1224"/>
      <c r="V171" s="1224"/>
      <c r="W171" s="1294"/>
      <c r="X171" s="1225"/>
      <c r="Y171" s="1190"/>
      <c r="Z171" s="1190"/>
      <c r="AA171" s="1190"/>
      <c r="AB171" s="1241"/>
      <c r="AC171" s="1217"/>
      <c r="AD171" s="1326"/>
    </row>
    <row r="172" spans="18:30" ht="15.6">
      <c r="R172" s="1190"/>
      <c r="S172" s="1224"/>
      <c r="T172" s="1279"/>
      <c r="U172" s="1224"/>
      <c r="V172" s="1224"/>
      <c r="W172" s="1294"/>
      <c r="X172" s="1225"/>
      <c r="Y172" s="1190"/>
      <c r="Z172" s="1190"/>
      <c r="AA172" s="1190"/>
      <c r="AB172" s="1241"/>
      <c r="AC172" s="1217"/>
      <c r="AD172" s="1326"/>
    </row>
    <row r="173" spans="18:30" ht="15.6">
      <c r="R173" s="1190"/>
      <c r="S173" s="1224"/>
      <c r="T173" s="1279"/>
      <c r="U173" s="1224"/>
      <c r="V173" s="1224"/>
      <c r="W173" s="1294"/>
      <c r="X173" s="1225"/>
      <c r="Y173" s="1190"/>
      <c r="Z173" s="1190"/>
      <c r="AA173" s="1190"/>
      <c r="AB173" s="1241"/>
      <c r="AC173" s="1217"/>
      <c r="AD173" s="1326"/>
    </row>
    <row r="174" spans="18:30" ht="15.6">
      <c r="R174" s="1190"/>
      <c r="S174" s="1224"/>
      <c r="T174" s="1279"/>
      <c r="U174" s="1224"/>
      <c r="V174" s="1224"/>
      <c r="W174" s="1294"/>
      <c r="X174" s="1225"/>
      <c r="Y174" s="1190"/>
      <c r="Z174" s="1190"/>
      <c r="AA174" s="1190"/>
      <c r="AB174" s="1241"/>
      <c r="AC174" s="1217"/>
      <c r="AD174" s="1326"/>
    </row>
    <row r="175" spans="18:30" ht="15.6">
      <c r="R175" s="1190"/>
      <c r="S175" s="1224"/>
      <c r="T175" s="1279"/>
      <c r="U175" s="1224"/>
      <c r="V175" s="1224"/>
      <c r="W175" s="1294"/>
      <c r="X175" s="1225"/>
      <c r="Y175" s="1190"/>
      <c r="Z175" s="1190"/>
      <c r="AA175" s="1190"/>
      <c r="AB175" s="1241"/>
      <c r="AC175" s="1217"/>
      <c r="AD175" s="1326"/>
    </row>
    <row r="176" spans="18:30" ht="15.6">
      <c r="R176" s="1190"/>
      <c r="S176" s="1224"/>
      <c r="T176" s="1279"/>
      <c r="U176" s="1224"/>
      <c r="V176" s="1224"/>
      <c r="W176" s="1294"/>
      <c r="X176" s="1225"/>
      <c r="Y176" s="1190"/>
      <c r="Z176" s="1190"/>
      <c r="AA176" s="1190"/>
      <c r="AB176" s="1241"/>
      <c r="AC176" s="1217"/>
      <c r="AD176" s="1326"/>
    </row>
    <row r="177" spans="18:30" ht="15.6">
      <c r="R177" s="1190"/>
      <c r="S177" s="1224"/>
      <c r="T177" s="1279"/>
      <c r="U177" s="1224"/>
      <c r="V177" s="1224"/>
      <c r="W177" s="1294"/>
      <c r="X177" s="1225"/>
      <c r="Y177" s="1190"/>
      <c r="Z177" s="1190"/>
      <c r="AA177" s="1190"/>
      <c r="AB177" s="1241"/>
      <c r="AC177" s="1217"/>
      <c r="AD177" s="1326"/>
    </row>
    <row r="178" spans="18:30" s="44" customFormat="1" ht="15.6">
      <c r="R178" s="1190"/>
      <c r="S178" s="1224"/>
      <c r="T178" s="1279"/>
      <c r="U178" s="1224"/>
      <c r="V178" s="1224"/>
      <c r="W178" s="1294"/>
      <c r="X178" s="1225"/>
      <c r="Y178" s="1190"/>
      <c r="Z178" s="1190"/>
      <c r="AA178" s="1190"/>
      <c r="AB178" s="1241"/>
      <c r="AC178" s="1217"/>
      <c r="AD178" s="1326"/>
    </row>
    <row r="179" spans="18:30" s="44" customFormat="1" ht="15.6">
      <c r="R179" s="1190"/>
      <c r="S179" s="1224"/>
      <c r="T179" s="1279"/>
      <c r="U179" s="1224"/>
      <c r="V179" s="1224"/>
      <c r="W179" s="1294"/>
      <c r="X179" s="1225"/>
      <c r="Y179" s="1190"/>
      <c r="Z179" s="1190"/>
      <c r="AA179" s="1190"/>
      <c r="AB179" s="1241"/>
      <c r="AC179" s="1217"/>
      <c r="AD179" s="1326"/>
    </row>
    <row r="180" spans="18:30" s="44" customFormat="1" ht="15.6">
      <c r="R180" s="1190"/>
      <c r="S180" s="1224"/>
      <c r="T180" s="1279"/>
      <c r="U180" s="1224"/>
      <c r="V180" s="1224"/>
      <c r="W180" s="1294"/>
      <c r="X180" s="1225"/>
      <c r="Y180" s="1190"/>
      <c r="Z180" s="1190"/>
      <c r="AA180" s="1190"/>
      <c r="AB180" s="1241"/>
      <c r="AC180" s="1217"/>
      <c r="AD180" s="1326"/>
    </row>
    <row r="181" spans="18:30" s="44" customFormat="1" ht="15.6">
      <c r="R181" s="1190"/>
      <c r="S181" s="1294"/>
      <c r="T181" s="1293"/>
      <c r="U181" s="1190"/>
      <c r="V181" s="1217"/>
      <c r="W181" s="1190"/>
      <c r="X181" s="1191"/>
      <c r="Y181" s="1190"/>
      <c r="Z181" s="1190"/>
      <c r="AA181" s="1190"/>
      <c r="AB181" s="1241"/>
      <c r="AC181" s="1217"/>
      <c r="AD181" s="1326"/>
    </row>
    <row r="182" spans="18:30" s="44" customFormat="1" ht="15.6">
      <c r="R182" s="1190"/>
      <c r="S182" s="1294"/>
      <c r="T182" s="1293"/>
      <c r="U182" s="1190"/>
      <c r="V182" s="1217"/>
      <c r="W182" s="1190"/>
      <c r="X182" s="1191"/>
      <c r="Y182" s="1190"/>
      <c r="Z182" s="1190"/>
      <c r="AA182" s="1190"/>
      <c r="AB182" s="1241"/>
      <c r="AC182" s="1217"/>
      <c r="AD182" s="1326"/>
    </row>
    <row r="183" spans="18:30" s="44" customFormat="1" ht="15.6">
      <c r="R183" s="1190"/>
      <c r="S183" s="1294"/>
      <c r="T183" s="1293"/>
      <c r="U183" s="1190"/>
      <c r="V183" s="1217"/>
      <c r="W183" s="1190"/>
      <c r="X183" s="1191"/>
      <c r="Y183" s="1190"/>
      <c r="Z183" s="1190"/>
      <c r="AA183" s="1190"/>
      <c r="AB183" s="1200"/>
      <c r="AC183" s="1217"/>
      <c r="AD183" s="1326"/>
    </row>
    <row r="184" spans="18:30" s="44" customFormat="1" ht="15.6">
      <c r="R184" s="1190"/>
      <c r="S184" s="1190"/>
      <c r="T184" s="1293"/>
      <c r="U184" s="1190"/>
      <c r="V184" s="1190"/>
      <c r="W184" s="1190"/>
      <c r="X184" s="1191"/>
      <c r="Y184" s="1190"/>
      <c r="Z184" s="1190"/>
      <c r="AA184" s="1190"/>
      <c r="AB184" s="1200"/>
      <c r="AC184" s="1217"/>
      <c r="AD184" s="1326"/>
    </row>
    <row r="185" spans="18:30" s="44" customFormat="1" ht="15.6">
      <c r="R185" s="1190"/>
      <c r="S185" s="1190"/>
      <c r="T185" s="1293"/>
      <c r="U185" s="1190"/>
      <c r="V185" s="1190"/>
      <c r="W185" s="1190"/>
      <c r="X185" s="1191"/>
      <c r="Y185" s="1190"/>
      <c r="Z185" s="1190"/>
      <c r="AA185" s="1190"/>
      <c r="AB185" s="1200"/>
      <c r="AC185" s="1217"/>
      <c r="AD185" s="1326"/>
    </row>
    <row r="186" spans="18:30" ht="15.6">
      <c r="R186" s="1190"/>
      <c r="S186" s="1190"/>
      <c r="T186" s="1293"/>
      <c r="U186" s="1190"/>
      <c r="V186" s="1190"/>
      <c r="W186" s="1190"/>
      <c r="X186" s="1191"/>
      <c r="Y186" s="1190"/>
      <c r="Z186" s="1190"/>
      <c r="AA186" s="1190"/>
      <c r="AB186" s="1200"/>
      <c r="AC186" s="1217"/>
      <c r="AD186" s="1326"/>
    </row>
    <row r="187" spans="18:30" ht="15.6">
      <c r="R187" s="1190"/>
      <c r="S187" s="1190"/>
      <c r="T187" s="1293"/>
      <c r="U187" s="1190"/>
      <c r="V187" s="1190"/>
      <c r="W187" s="1190"/>
      <c r="X187" s="1191"/>
      <c r="Y187" s="1190"/>
      <c r="Z187" s="1190"/>
      <c r="AA187" s="1190"/>
      <c r="AB187" s="1200"/>
      <c r="AC187" s="1217"/>
      <c r="AD187" s="1326"/>
    </row>
    <row r="188" spans="18:30" ht="15.6">
      <c r="R188" s="1190"/>
      <c r="S188" s="1190"/>
      <c r="T188" s="1293"/>
      <c r="U188" s="1190"/>
      <c r="V188" s="1190"/>
      <c r="W188" s="1190"/>
      <c r="X188" s="1191"/>
      <c r="Y188" s="1190"/>
      <c r="Z188" s="1190"/>
      <c r="AA188" s="1190"/>
      <c r="AB188" s="1200"/>
      <c r="AC188" s="1217"/>
      <c r="AD188" s="1326"/>
    </row>
    <row r="189" spans="18:30" ht="15.6">
      <c r="R189" s="1190"/>
      <c r="S189" s="1190"/>
      <c r="T189" s="1293"/>
      <c r="U189" s="1190"/>
      <c r="V189" s="1190"/>
      <c r="W189" s="1190"/>
      <c r="X189" s="1191"/>
      <c r="Y189" s="1190"/>
      <c r="Z189" s="1190"/>
      <c r="AA189" s="1190"/>
      <c r="AB189" s="1200"/>
      <c r="AC189" s="1217"/>
      <c r="AD189" s="1326"/>
    </row>
    <row r="190" spans="18:30" ht="15.6">
      <c r="R190" s="1190"/>
      <c r="S190" s="1190"/>
      <c r="T190" s="1293"/>
      <c r="U190" s="1190"/>
      <c r="V190" s="1190"/>
      <c r="W190" s="1190"/>
      <c r="X190" s="1191"/>
      <c r="Y190" s="1190"/>
      <c r="Z190" s="1190"/>
      <c r="AA190" s="1190"/>
      <c r="AB190" s="1200"/>
      <c r="AC190" s="1217"/>
      <c r="AD190" s="1326"/>
    </row>
    <row r="191" spans="18:30" ht="15.6">
      <c r="R191" s="1190"/>
      <c r="S191" s="1190"/>
      <c r="T191" s="1190"/>
      <c r="U191" s="1190"/>
      <c r="V191" s="1190"/>
      <c r="W191" s="1190"/>
      <c r="X191" s="1191"/>
      <c r="Y191" s="1190"/>
      <c r="Z191" s="1190"/>
      <c r="AA191" s="1190"/>
      <c r="AB191" s="1200"/>
      <c r="AC191" s="1217"/>
      <c r="AD191" s="1326"/>
    </row>
    <row r="192" spans="18:30" ht="15.6">
      <c r="R192" s="1190"/>
      <c r="S192" s="1190"/>
      <c r="T192" s="1293"/>
      <c r="U192" s="1190"/>
      <c r="V192" s="1190"/>
      <c r="W192" s="1190"/>
      <c r="X192" s="1191"/>
      <c r="Y192" s="1190"/>
      <c r="Z192" s="1190"/>
      <c r="AA192" s="1190"/>
      <c r="AB192" s="1200"/>
      <c r="AC192" s="1217"/>
      <c r="AD192" s="1326"/>
    </row>
    <row r="193" spans="18:30" ht="15.6">
      <c r="R193" s="1190"/>
      <c r="S193" s="1190"/>
      <c r="T193" s="1293"/>
      <c r="U193" s="1190"/>
      <c r="V193" s="1190"/>
      <c r="W193" s="1190"/>
      <c r="X193" s="1191"/>
      <c r="Y193" s="1190"/>
      <c r="Z193" s="1190"/>
      <c r="AA193" s="1190"/>
      <c r="AB193" s="1200"/>
      <c r="AC193" s="1217"/>
      <c r="AD193" s="1326"/>
    </row>
    <row r="194" spans="18:30" ht="15.6">
      <c r="R194" s="1190"/>
      <c r="S194" s="1190"/>
      <c r="T194" s="1293"/>
      <c r="U194" s="1190"/>
      <c r="V194" s="1190"/>
      <c r="W194" s="1190"/>
      <c r="X194" s="1191"/>
      <c r="Y194" s="1190"/>
      <c r="Z194" s="1190"/>
      <c r="AA194" s="1190"/>
      <c r="AB194" s="1200"/>
      <c r="AC194" s="1217"/>
      <c r="AD194" s="1326"/>
    </row>
    <row r="195" spans="18:30">
      <c r="R195" s="1190"/>
      <c r="S195" s="1190"/>
      <c r="T195" s="1293"/>
      <c r="U195" s="1190"/>
      <c r="V195" s="1190"/>
      <c r="W195" s="1190"/>
      <c r="X195" s="1191"/>
      <c r="Y195" s="1190"/>
      <c r="Z195" s="1190"/>
      <c r="AA195" s="1190"/>
      <c r="AB195" s="1190"/>
      <c r="AC195" s="1217"/>
      <c r="AD195" s="1326"/>
    </row>
    <row r="196" spans="18:30" ht="15.6">
      <c r="R196" s="1190"/>
      <c r="S196" s="1190"/>
      <c r="T196" s="1224"/>
      <c r="U196" s="1190"/>
      <c r="V196" s="1190"/>
      <c r="W196" s="1190"/>
      <c r="X196" s="1191"/>
      <c r="Y196" s="1190"/>
      <c r="Z196" s="1217"/>
      <c r="AA196" s="1217"/>
      <c r="AB196" s="1218"/>
      <c r="AC196" s="1190"/>
      <c r="AD196" s="1326"/>
    </row>
    <row r="197" spans="18:30" ht="15.6">
      <c r="R197" s="1190"/>
      <c r="S197" s="1190"/>
      <c r="T197" s="1190"/>
      <c r="U197" s="1190"/>
      <c r="V197" s="1190"/>
      <c r="W197" s="1190"/>
      <c r="X197" s="1191"/>
      <c r="Y197" s="1190"/>
      <c r="Z197" s="1217"/>
      <c r="AA197" s="1217"/>
      <c r="AB197" s="1218"/>
      <c r="AC197" s="1190"/>
      <c r="AD197" s="1326"/>
    </row>
    <row r="198" spans="18:30" ht="15.6">
      <c r="R198" s="1190"/>
      <c r="S198" s="1190"/>
      <c r="T198" s="1190"/>
      <c r="U198" s="1190"/>
      <c r="V198" s="1190"/>
      <c r="W198" s="1190"/>
      <c r="X198" s="1191"/>
      <c r="Y198" s="1190"/>
      <c r="Z198" s="1217"/>
      <c r="AA198" s="1217"/>
      <c r="AB198" s="1218"/>
      <c r="AC198" s="1190"/>
      <c r="AD198" s="1326"/>
    </row>
    <row r="199" spans="18:30" ht="15.6">
      <c r="R199" s="1190"/>
      <c r="S199" s="1190"/>
      <c r="T199" s="1217"/>
      <c r="U199" s="1190"/>
      <c r="V199" s="1190"/>
      <c r="W199" s="1190"/>
      <c r="X199" s="1191"/>
      <c r="Y199" s="1190"/>
      <c r="Z199" s="1217"/>
      <c r="AA199" s="1217"/>
      <c r="AB199" s="1218"/>
      <c r="AC199" s="1190"/>
      <c r="AD199" s="1326"/>
    </row>
    <row r="200" spans="18:30" ht="15.6">
      <c r="R200" s="1190"/>
      <c r="S200" s="1190"/>
      <c r="T200" s="1217"/>
      <c r="U200" s="1190"/>
      <c r="V200" s="1190"/>
      <c r="W200" s="1190"/>
      <c r="X200" s="1191"/>
      <c r="Y200" s="1190"/>
      <c r="Z200" s="1217"/>
      <c r="AA200" s="1217"/>
      <c r="AB200" s="1218"/>
      <c r="AC200" s="1190"/>
      <c r="AD200" s="1326"/>
    </row>
    <row r="201" spans="18:30" ht="15.6">
      <c r="R201" s="1190"/>
      <c r="S201" s="1190"/>
      <c r="T201" s="1217"/>
      <c r="U201" s="1190"/>
      <c r="V201" s="1190"/>
      <c r="W201" s="1190"/>
      <c r="X201" s="1191"/>
      <c r="Y201" s="1190"/>
      <c r="Z201" s="1217"/>
      <c r="AA201" s="1217"/>
      <c r="AB201" s="1218"/>
      <c r="AC201" s="1190"/>
      <c r="AD201" s="1326"/>
    </row>
    <row r="202" spans="18:30" ht="15.6">
      <c r="R202" s="1190"/>
      <c r="S202" s="1190"/>
      <c r="T202" s="1217"/>
      <c r="U202" s="1190"/>
      <c r="V202" s="1190"/>
      <c r="W202" s="1190"/>
      <c r="X202" s="1191"/>
      <c r="Y202" s="1190"/>
      <c r="Z202" s="1217"/>
      <c r="AA202" s="1217"/>
      <c r="AB202" s="1218"/>
      <c r="AC202" s="1190"/>
      <c r="AD202" s="1326"/>
    </row>
    <row r="203" spans="18:30" ht="15.6">
      <c r="R203" s="1190"/>
      <c r="S203" s="1190"/>
      <c r="T203" s="1217"/>
      <c r="U203" s="1190"/>
      <c r="V203" s="1190"/>
      <c r="W203" s="1190"/>
      <c r="X203" s="1191"/>
      <c r="Y203" s="1190"/>
      <c r="Z203" s="1217"/>
      <c r="AA203" s="1217"/>
      <c r="AB203" s="1218"/>
      <c r="AC203" s="1190"/>
      <c r="AD203" s="1326"/>
    </row>
    <row r="204" spans="18:30" ht="15.6">
      <c r="R204" s="81"/>
      <c r="S204" s="81"/>
      <c r="T204" s="81"/>
      <c r="U204" s="81"/>
      <c r="V204" s="1190"/>
      <c r="W204" s="1190"/>
      <c r="X204" s="191"/>
      <c r="Y204" s="81"/>
      <c r="Z204" s="1217"/>
      <c r="AA204" s="1217"/>
      <c r="AB204" s="1218"/>
      <c r="AC204" s="1190"/>
      <c r="AD204" s="1326"/>
    </row>
    <row r="205" spans="18:30" ht="15.6">
      <c r="R205" s="81"/>
      <c r="S205" s="81"/>
      <c r="T205" s="81"/>
      <c r="U205" s="81"/>
      <c r="V205" s="1190"/>
      <c r="W205" s="1190"/>
      <c r="X205" s="1325"/>
      <c r="Y205" s="1190"/>
      <c r="Z205" s="1190"/>
      <c r="AA205" s="1190"/>
      <c r="AB205" s="1218"/>
      <c r="AC205" s="1190"/>
      <c r="AD205" s="1326"/>
    </row>
    <row r="206" spans="18:30" ht="15.6">
      <c r="R206" s="1190"/>
      <c r="S206" s="1190"/>
      <c r="T206" s="1217"/>
      <c r="U206" s="1190"/>
      <c r="V206" s="1190"/>
      <c r="W206" s="1190"/>
      <c r="X206" s="1325"/>
      <c r="Y206" s="1190"/>
      <c r="Z206" s="1190"/>
      <c r="AA206" s="1190"/>
      <c r="AB206" s="1218"/>
      <c r="AC206" s="1190"/>
      <c r="AD206" s="1326"/>
    </row>
    <row r="207" spans="18:30" ht="15.6">
      <c r="R207" s="1190"/>
      <c r="S207" s="1190"/>
      <c r="T207" s="1190"/>
      <c r="U207" s="1190"/>
      <c r="V207" s="1190"/>
      <c r="W207" s="1190"/>
      <c r="X207" s="1190"/>
      <c r="Y207" s="1190"/>
      <c r="Z207" s="1190"/>
      <c r="AA207" s="1190"/>
      <c r="AB207" s="1218"/>
      <c r="AC207" s="1190"/>
      <c r="AD207" s="1326"/>
    </row>
    <row r="208" spans="18:30" ht="15.6">
      <c r="R208" s="1190"/>
      <c r="S208" s="1190"/>
      <c r="T208" s="1217"/>
      <c r="U208" s="1190"/>
      <c r="V208" s="1190"/>
      <c r="W208" s="1190"/>
      <c r="X208" s="1191"/>
      <c r="Y208" s="1190"/>
      <c r="Z208" s="1217"/>
      <c r="AA208" s="1217"/>
      <c r="AB208" s="1218"/>
      <c r="AC208" s="1190"/>
      <c r="AD208" s="1326"/>
    </row>
    <row r="209" spans="18:30" ht="15.6">
      <c r="R209" s="1330"/>
      <c r="S209" s="1331"/>
      <c r="T209" s="1332"/>
      <c r="U209" s="1331"/>
      <c r="V209" s="1331"/>
      <c r="W209" s="1331"/>
      <c r="X209" s="1333"/>
      <c r="Y209" s="1331"/>
      <c r="Z209" s="1332"/>
      <c r="AA209" s="1332"/>
      <c r="AB209" s="1334"/>
      <c r="AC209" s="1335"/>
      <c r="AD209" s="81"/>
    </row>
    <row r="210" spans="18:30" ht="15.6">
      <c r="R210" s="1189"/>
      <c r="S210" s="1190"/>
      <c r="T210" s="1217"/>
      <c r="U210" s="1190"/>
      <c r="V210" s="1190"/>
      <c r="W210" s="1190"/>
      <c r="X210" s="1191"/>
      <c r="Y210" s="1190"/>
      <c r="Z210" s="1217"/>
      <c r="AA210" s="1217"/>
      <c r="AB210" s="1218"/>
      <c r="AC210" s="1192"/>
      <c r="AD210" s="81"/>
    </row>
    <row r="211" spans="18:30" ht="15.6">
      <c r="R211" s="1189"/>
      <c r="S211" s="1190"/>
      <c r="T211" s="1217"/>
      <c r="U211" s="1190"/>
      <c r="V211" s="1190"/>
      <c r="W211" s="1190"/>
      <c r="X211" s="1191"/>
      <c r="Y211" s="1190"/>
      <c r="Z211" s="1217"/>
      <c r="AA211" s="1217"/>
      <c r="AB211" s="1218"/>
      <c r="AC211" s="1192"/>
      <c r="AD211" s="81"/>
    </row>
    <row r="212" spans="18:30" ht="15.6">
      <c r="R212" s="1189"/>
      <c r="S212" s="1190"/>
      <c r="T212" s="1190"/>
      <c r="U212" s="1190"/>
      <c r="V212" s="1190"/>
      <c r="W212" s="1190"/>
      <c r="X212" s="1191"/>
      <c r="Y212" s="1190"/>
      <c r="Z212" s="1217"/>
      <c r="AA212" s="1217"/>
      <c r="AB212" s="1218"/>
      <c r="AC212" s="1192"/>
      <c r="AD212" s="81"/>
    </row>
    <row r="213" spans="18:30" ht="15.6">
      <c r="R213" s="1189"/>
      <c r="S213" s="1190"/>
      <c r="T213" s="1217"/>
      <c r="U213" s="1190"/>
      <c r="V213" s="1190"/>
      <c r="W213" s="1190"/>
      <c r="X213" s="1191"/>
      <c r="Y213" s="1190"/>
      <c r="Z213" s="1217"/>
      <c r="AA213" s="1217"/>
      <c r="AB213" s="1218"/>
      <c r="AC213" s="1192"/>
      <c r="AD213" s="81"/>
    </row>
    <row r="214" spans="18:30" ht="15.6">
      <c r="R214" s="1189"/>
      <c r="S214" s="1190"/>
      <c r="T214" s="1217"/>
      <c r="U214" s="1190"/>
      <c r="V214" s="1190"/>
      <c r="W214" s="1190"/>
      <c r="X214" s="1191"/>
      <c r="Y214" s="1190"/>
      <c r="Z214" s="1217"/>
      <c r="AA214" s="1217"/>
      <c r="AB214" s="1218"/>
      <c r="AC214" s="1192"/>
      <c r="AD214" s="81"/>
    </row>
    <row r="215" spans="18:30" ht="15.6">
      <c r="R215" s="1189"/>
      <c r="S215" s="1190"/>
      <c r="T215" s="1190"/>
      <c r="U215" s="1190"/>
      <c r="V215" s="1190"/>
      <c r="W215" s="1190"/>
      <c r="X215" s="1191"/>
      <c r="Y215" s="1190"/>
      <c r="Z215" s="1217"/>
      <c r="AA215" s="1217"/>
      <c r="AB215" s="1218"/>
      <c r="AC215" s="1192"/>
      <c r="AD215" s="81"/>
    </row>
    <row r="216" spans="18:30" ht="15.6">
      <c r="R216" s="1189"/>
      <c r="S216" s="1190"/>
      <c r="T216" s="1217"/>
      <c r="U216" s="1190"/>
      <c r="V216" s="1190"/>
      <c r="W216" s="1190"/>
      <c r="X216" s="1191"/>
      <c r="Y216" s="1190"/>
      <c r="Z216" s="1217"/>
      <c r="AA216" s="1217"/>
      <c r="AB216" s="1218"/>
      <c r="AC216" s="1192"/>
      <c r="AD216" s="81"/>
    </row>
    <row r="217" spans="18:30" ht="15.6">
      <c r="R217" s="1189"/>
      <c r="S217" s="1190"/>
      <c r="T217" s="1217"/>
      <c r="U217" s="1190"/>
      <c r="V217" s="1190"/>
      <c r="W217" s="1190"/>
      <c r="X217" s="1191"/>
      <c r="Y217" s="1190"/>
      <c r="Z217" s="1217"/>
      <c r="AA217" s="1217"/>
      <c r="AB217" s="1218"/>
      <c r="AC217" s="1192"/>
      <c r="AD217" s="81"/>
    </row>
    <row r="218" spans="18:30" ht="15.6">
      <c r="R218" s="1189"/>
      <c r="S218" s="1190"/>
      <c r="T218" s="1217"/>
      <c r="U218" s="1190"/>
      <c r="V218" s="1190"/>
      <c r="W218" s="1190"/>
      <c r="X218" s="1191"/>
      <c r="Y218" s="1190"/>
      <c r="Z218" s="1217"/>
      <c r="AA218" s="1217"/>
      <c r="AB218" s="1218"/>
      <c r="AC218" s="1192"/>
      <c r="AD218" s="81"/>
    </row>
    <row r="219" spans="18:30" ht="15.6">
      <c r="R219" s="1189"/>
      <c r="S219" s="1190"/>
      <c r="T219" s="1217"/>
      <c r="U219" s="1190"/>
      <c r="V219" s="1190"/>
      <c r="W219" s="1190"/>
      <c r="X219" s="1191"/>
      <c r="Y219" s="1190"/>
      <c r="Z219" s="1217"/>
      <c r="AA219" s="1217"/>
      <c r="AB219" s="1218"/>
      <c r="AC219" s="1192"/>
      <c r="AD219" s="81"/>
    </row>
    <row r="220" spans="18:30" ht="15.6">
      <c r="R220" s="1189"/>
      <c r="S220" s="1190"/>
      <c r="T220" s="1190"/>
      <c r="U220" s="1190"/>
      <c r="V220" s="1190"/>
      <c r="W220" s="1190"/>
      <c r="X220" s="1191"/>
      <c r="Y220" s="1190"/>
      <c r="Z220" s="1217"/>
      <c r="AA220" s="1217"/>
      <c r="AB220" s="1218"/>
      <c r="AC220" s="1192"/>
      <c r="AD220" s="81"/>
    </row>
    <row r="221" spans="18:30" ht="15.6">
      <c r="R221" s="1189"/>
      <c r="S221" s="1190"/>
      <c r="T221" s="1190"/>
      <c r="U221" s="1190"/>
      <c r="V221" s="1190"/>
      <c r="W221" s="1190"/>
      <c r="X221" s="1191"/>
      <c r="Y221" s="1190"/>
      <c r="Z221" s="1217"/>
      <c r="AA221" s="1217"/>
      <c r="AB221" s="1218"/>
      <c r="AC221" s="1192"/>
      <c r="AD221" s="81"/>
    </row>
    <row r="222" spans="18:30" ht="15.6">
      <c r="R222" s="1189"/>
      <c r="S222" s="1190"/>
      <c r="T222" s="1190"/>
      <c r="U222" s="1190"/>
      <c r="V222" s="1190"/>
      <c r="W222" s="1190"/>
      <c r="X222" s="1191"/>
      <c r="Y222" s="1190"/>
      <c r="Z222" s="1217"/>
      <c r="AA222" s="1217"/>
      <c r="AB222" s="1218"/>
      <c r="AC222" s="1192"/>
      <c r="AD222" s="81"/>
    </row>
    <row r="223" spans="18:30" ht="15.6">
      <c r="R223" s="1189"/>
      <c r="S223" s="1190"/>
      <c r="T223" s="1217"/>
      <c r="U223" s="1190"/>
      <c r="V223" s="1190"/>
      <c r="W223" s="1190"/>
      <c r="X223" s="1191"/>
      <c r="Y223" s="1190"/>
      <c r="Z223" s="1217"/>
      <c r="AA223" s="1217"/>
      <c r="AB223" s="1218"/>
      <c r="AC223" s="1192"/>
      <c r="AD223" s="81"/>
    </row>
    <row r="224" spans="18:30" ht="15.6">
      <c r="R224" s="1189"/>
      <c r="S224" s="1190"/>
      <c r="T224" s="1217"/>
      <c r="U224" s="1190"/>
      <c r="V224" s="1190"/>
      <c r="W224" s="1190"/>
      <c r="X224" s="1191"/>
      <c r="Y224" s="1190"/>
      <c r="Z224" s="1217"/>
      <c r="AA224" s="1217"/>
      <c r="AB224" s="1218"/>
      <c r="AC224" s="1192"/>
      <c r="AD224" s="81"/>
    </row>
    <row r="225" spans="18:30" ht="15.6">
      <c r="R225" s="1189"/>
      <c r="S225" s="1190"/>
      <c r="T225" s="1190"/>
      <c r="U225" s="1190"/>
      <c r="V225" s="1190"/>
      <c r="W225" s="1190"/>
      <c r="X225" s="1191"/>
      <c r="Y225" s="1190"/>
      <c r="Z225" s="1217"/>
      <c r="AA225" s="1217"/>
      <c r="AB225" s="1218"/>
      <c r="AC225" s="1192"/>
      <c r="AD225" s="81"/>
    </row>
    <row r="226" spans="18:30" ht="15.6">
      <c r="R226" s="1189"/>
      <c r="S226" s="1190"/>
      <c r="T226" s="1190"/>
      <c r="U226" s="1190"/>
      <c r="V226" s="1190"/>
      <c r="W226" s="1190"/>
      <c r="X226" s="1191"/>
      <c r="Y226" s="1190"/>
      <c r="Z226" s="1217"/>
      <c r="AA226" s="1217"/>
      <c r="AB226" s="1218"/>
      <c r="AC226" s="1192"/>
      <c r="AD226" s="81"/>
    </row>
    <row r="227" spans="18:30" ht="15.6">
      <c r="R227" s="1189"/>
      <c r="S227" s="1190"/>
      <c r="T227" s="1111"/>
      <c r="U227" s="1190"/>
      <c r="V227" s="1190"/>
      <c r="W227" s="1190"/>
      <c r="X227" s="1191"/>
      <c r="Y227" s="1190"/>
      <c r="Z227" s="1106"/>
      <c r="AA227" s="1106"/>
      <c r="AB227" s="1110"/>
      <c r="AC227" s="1192"/>
      <c r="AD227" s="81"/>
    </row>
    <row r="228" spans="18:30" ht="15.6">
      <c r="R228" s="1189"/>
      <c r="S228" s="1190"/>
      <c r="T228" s="1111"/>
      <c r="U228" s="1190"/>
      <c r="V228" s="1190"/>
      <c r="W228" s="1190"/>
      <c r="X228" s="1191"/>
      <c r="Y228" s="1190"/>
      <c r="Z228" s="1190"/>
      <c r="AA228" s="1190"/>
      <c r="AB228" s="1110"/>
      <c r="AC228" s="1192"/>
      <c r="AD228" s="81"/>
    </row>
    <row r="229" spans="18:30">
      <c r="R229" s="1189"/>
      <c r="S229" s="1190"/>
      <c r="T229" s="1106"/>
      <c r="U229" s="1190"/>
      <c r="V229" s="1190"/>
      <c r="W229" s="1190"/>
      <c r="X229" s="1191"/>
      <c r="Y229" s="1190"/>
      <c r="Z229" s="1190"/>
      <c r="AA229" s="1190"/>
      <c r="AB229" s="1190"/>
      <c r="AC229" s="1192"/>
      <c r="AD229" s="81"/>
    </row>
    <row r="230" spans="18:30">
      <c r="R230" s="1189"/>
      <c r="S230" s="1190"/>
      <c r="T230" s="1190"/>
      <c r="U230" s="1190"/>
      <c r="V230" s="1190"/>
      <c r="W230" s="1190"/>
      <c r="X230" s="1191"/>
      <c r="Y230" s="1190"/>
      <c r="Z230" s="1190"/>
      <c r="AA230" s="1190"/>
      <c r="AB230" s="1190"/>
      <c r="AC230" s="1192"/>
      <c r="AD230" s="81"/>
    </row>
    <row r="231" spans="18:30">
      <c r="R231" s="1189"/>
      <c r="S231" s="1190"/>
      <c r="T231" s="1190"/>
      <c r="U231" s="1190"/>
      <c r="V231" s="1190"/>
      <c r="W231" s="1190"/>
      <c r="X231" s="1191"/>
      <c r="Y231" s="1190"/>
      <c r="Z231" s="1190"/>
      <c r="AA231" s="1190"/>
      <c r="AB231" s="1190"/>
      <c r="AC231" s="1192"/>
      <c r="AD231" s="81"/>
    </row>
    <row r="232" spans="18:30">
      <c r="R232" s="1189"/>
      <c r="S232" s="1190"/>
      <c r="T232" s="1106"/>
      <c r="U232" s="1190"/>
      <c r="V232" s="1190"/>
      <c r="W232" s="1190"/>
      <c r="X232" s="1191"/>
      <c r="Y232" s="1190"/>
      <c r="Z232" s="1190"/>
      <c r="AA232" s="1190"/>
      <c r="AB232" s="1190"/>
      <c r="AC232" s="1192"/>
      <c r="AD232" s="81"/>
    </row>
    <row r="233" spans="18:30">
      <c r="R233" s="1189"/>
      <c r="S233" s="1190"/>
      <c r="T233" s="1106"/>
      <c r="U233" s="1190"/>
      <c r="V233" s="1190"/>
      <c r="W233" s="1190"/>
      <c r="X233" s="1191"/>
      <c r="Y233" s="1190"/>
      <c r="Z233" s="1190"/>
      <c r="AA233" s="1190"/>
      <c r="AB233" s="1190"/>
      <c r="AC233" s="1192"/>
      <c r="AD233" s="26"/>
    </row>
    <row r="234" spans="18:30">
      <c r="R234" s="1189"/>
      <c r="S234" s="1190"/>
      <c r="T234" s="1111"/>
      <c r="U234" s="1190"/>
      <c r="V234" s="1190"/>
      <c r="W234" s="1190"/>
      <c r="X234" s="1191"/>
      <c r="Y234" s="1190"/>
      <c r="Z234" s="1190"/>
      <c r="AA234" s="1190"/>
      <c r="AB234" s="1190"/>
      <c r="AC234" s="1192"/>
      <c r="AD234" s="26"/>
    </row>
    <row r="235" spans="18:30">
      <c r="R235" s="1189"/>
      <c r="S235" s="1190"/>
      <c r="T235" s="1106"/>
      <c r="U235" s="1190"/>
      <c r="V235" s="1190"/>
      <c r="W235" s="1190"/>
      <c r="X235" s="1191"/>
      <c r="Y235" s="1190"/>
      <c r="Z235" s="1190"/>
      <c r="AA235" s="1190"/>
      <c r="AB235" s="1190"/>
      <c r="AC235" s="1192"/>
      <c r="AD235" s="26"/>
    </row>
    <row r="236" spans="18:30">
      <c r="R236" s="1189"/>
      <c r="S236" s="1190"/>
      <c r="T236" s="1111"/>
      <c r="U236" s="1190"/>
      <c r="V236" s="1190"/>
      <c r="W236" s="1190"/>
      <c r="X236" s="1191"/>
      <c r="Y236" s="1190"/>
      <c r="Z236" s="1190"/>
      <c r="AA236" s="1190"/>
      <c r="AB236" s="1190"/>
      <c r="AC236" s="1192"/>
      <c r="AD236" s="26"/>
    </row>
    <row r="237" spans="18:30">
      <c r="R237" s="1189"/>
      <c r="S237" s="1190"/>
      <c r="T237" s="1106"/>
      <c r="U237" s="1190"/>
      <c r="V237" s="1190"/>
      <c r="W237" s="1190"/>
      <c r="X237" s="1191"/>
      <c r="Y237" s="1190"/>
      <c r="Z237" s="1190"/>
      <c r="AA237" s="1190"/>
      <c r="AB237" s="1190"/>
      <c r="AC237" s="1192"/>
      <c r="AD237" s="26"/>
    </row>
    <row r="238" spans="18:30">
      <c r="R238" s="1189"/>
      <c r="S238" s="1190"/>
      <c r="T238" s="1106"/>
      <c r="U238" s="1190"/>
      <c r="V238" s="1190"/>
      <c r="W238" s="1190"/>
      <c r="X238" s="1191"/>
      <c r="Y238" s="1190"/>
      <c r="Z238" s="1190"/>
      <c r="AA238" s="1190"/>
      <c r="AB238" s="1190"/>
      <c r="AC238" s="1192"/>
      <c r="AD238" s="26"/>
    </row>
    <row r="239" spans="18:30">
      <c r="R239" s="1189"/>
      <c r="S239" s="1190"/>
      <c r="T239" s="1111"/>
      <c r="U239" s="1190"/>
      <c r="V239" s="1190"/>
      <c r="W239" s="1190"/>
      <c r="X239" s="1191"/>
      <c r="Y239" s="1190"/>
      <c r="Z239" s="1190"/>
      <c r="AA239" s="1190"/>
      <c r="AB239" s="1190"/>
      <c r="AC239" s="1192"/>
      <c r="AD239" s="26"/>
    </row>
    <row r="240" spans="18:30">
      <c r="R240" s="1189"/>
      <c r="S240" s="1190"/>
      <c r="T240" s="1106"/>
      <c r="U240" s="1190"/>
      <c r="V240" s="1190"/>
      <c r="W240" s="1190"/>
      <c r="X240" s="1191"/>
      <c r="Y240" s="1190"/>
      <c r="Z240" s="1190"/>
      <c r="AA240" s="1190"/>
      <c r="AB240" s="1190"/>
      <c r="AC240" s="1192"/>
      <c r="AD240" s="26"/>
    </row>
    <row r="241" spans="18:30">
      <c r="R241" s="1189"/>
      <c r="S241" s="1190"/>
      <c r="T241" s="1190"/>
      <c r="U241" s="1190"/>
      <c r="V241" s="1190"/>
      <c r="W241" s="1190"/>
      <c r="X241" s="1191"/>
      <c r="Y241" s="1190"/>
      <c r="Z241" s="1190"/>
      <c r="AA241" s="1190"/>
      <c r="AB241" s="1190"/>
      <c r="AC241" s="1192"/>
      <c r="AD241" s="26"/>
    </row>
    <row r="242" spans="18:30">
      <c r="R242" s="1189"/>
      <c r="S242" s="1190"/>
      <c r="T242" s="1106"/>
      <c r="U242" s="1190"/>
      <c r="V242" s="1190"/>
      <c r="W242" s="1190"/>
      <c r="X242" s="1191"/>
      <c r="Y242" s="1190"/>
      <c r="Z242" s="1190"/>
      <c r="AA242" s="1190"/>
      <c r="AB242" s="1190"/>
      <c r="AC242" s="1192"/>
      <c r="AD242" s="26"/>
    </row>
    <row r="243" spans="18:30">
      <c r="R243" s="1189"/>
      <c r="S243" s="1190"/>
      <c r="T243" s="1106"/>
      <c r="U243" s="1190"/>
      <c r="V243" s="1190"/>
      <c r="W243" s="1190"/>
      <c r="X243" s="1191"/>
      <c r="Y243" s="1190"/>
      <c r="Z243" s="1190"/>
      <c r="AA243" s="1190"/>
      <c r="AB243" s="1190"/>
      <c r="AC243" s="1192"/>
      <c r="AD243" s="26"/>
    </row>
    <row r="244" spans="18:30">
      <c r="R244" s="1189"/>
      <c r="S244" s="1190"/>
      <c r="T244" s="1106"/>
      <c r="U244" s="1190"/>
      <c r="V244" s="1190"/>
      <c r="W244" s="1190"/>
      <c r="X244" s="1191"/>
      <c r="Y244" s="1190"/>
      <c r="Z244" s="1190"/>
      <c r="AA244" s="1190"/>
      <c r="AB244" s="1190"/>
      <c r="AC244" s="1192"/>
      <c r="AD244" s="26"/>
    </row>
    <row r="245" spans="18:30">
      <c r="R245" s="1189"/>
      <c r="S245" s="1190"/>
      <c r="T245" s="1106"/>
      <c r="U245" s="1190"/>
      <c r="V245" s="1190"/>
      <c r="W245" s="1190"/>
      <c r="X245" s="1193"/>
      <c r="Y245" s="1190"/>
      <c r="Z245" s="1190"/>
      <c r="AA245" s="1190"/>
      <c r="AB245" s="1190"/>
      <c r="AC245" s="1192"/>
      <c r="AD245" s="26"/>
    </row>
    <row r="246" spans="18:30">
      <c r="R246" s="1189"/>
      <c r="S246" s="1190"/>
      <c r="T246" s="1111"/>
      <c r="U246" s="1190"/>
      <c r="V246" s="1190"/>
      <c r="W246" s="1190"/>
      <c r="X246" s="1191"/>
      <c r="Y246" s="1190"/>
      <c r="Z246" s="1190"/>
      <c r="AA246" s="1190"/>
      <c r="AB246" s="1190"/>
      <c r="AC246" s="1192"/>
      <c r="AD246" s="26"/>
    </row>
    <row r="247" spans="18:30">
      <c r="R247" s="1194"/>
      <c r="S247" s="1195"/>
      <c r="T247" s="1111"/>
      <c r="U247" s="1195"/>
      <c r="V247" s="1190"/>
      <c r="W247" s="1190"/>
      <c r="X247" s="1196"/>
      <c r="Y247" s="1195"/>
      <c r="Z247" s="1195"/>
      <c r="AA247" s="1195"/>
      <c r="AB247" s="1195"/>
      <c r="AC247" s="1192"/>
      <c r="AD247" s="26"/>
    </row>
    <row r="248" spans="18:30">
      <c r="R248" s="1194"/>
      <c r="S248" s="1195"/>
      <c r="T248" s="1111"/>
      <c r="U248" s="1195"/>
      <c r="V248" s="1190"/>
      <c r="W248" s="1190"/>
      <c r="X248" s="1196"/>
      <c r="Y248" s="1195"/>
      <c r="Z248" s="1195"/>
      <c r="AA248" s="1195"/>
      <c r="AB248" s="1195"/>
      <c r="AC248" s="1192"/>
      <c r="AD248" s="26"/>
    </row>
    <row r="249" spans="18:30">
      <c r="R249" s="1189"/>
      <c r="S249" s="1190"/>
      <c r="T249" s="1111"/>
      <c r="U249" s="1190"/>
      <c r="V249" s="1190"/>
      <c r="W249" s="1190"/>
      <c r="X249" s="1191"/>
      <c r="Y249" s="1195"/>
      <c r="Z249" s="1190"/>
      <c r="AA249" s="1190"/>
      <c r="AB249" s="1190"/>
      <c r="AC249" s="1192"/>
      <c r="AD249" s="26"/>
    </row>
    <row r="250" spans="18:30">
      <c r="R250" s="1189"/>
      <c r="S250" s="1190"/>
      <c r="T250" s="1111"/>
      <c r="U250" s="1190"/>
      <c r="V250" s="1190"/>
      <c r="W250" s="1190"/>
      <c r="X250" s="1191"/>
      <c r="Y250" s="1195"/>
      <c r="Z250" s="1190"/>
      <c r="AA250" s="1190"/>
      <c r="AB250" s="1190"/>
      <c r="AC250" s="1192"/>
      <c r="AD250" s="26"/>
    </row>
    <row r="251" spans="18:30">
      <c r="R251" s="1194"/>
      <c r="S251" s="1195"/>
      <c r="T251" s="1111"/>
      <c r="U251" s="1195"/>
      <c r="V251" s="1195"/>
      <c r="W251" s="1190"/>
      <c r="X251" s="1196"/>
      <c r="Y251" s="1195"/>
      <c r="Z251" s="1195"/>
      <c r="AA251" s="1195"/>
      <c r="AB251" s="1190"/>
      <c r="AC251" s="1192"/>
      <c r="AD251" s="26"/>
    </row>
    <row r="252" spans="18:30">
      <c r="R252" s="1194"/>
      <c r="S252" s="1195"/>
      <c r="T252" s="1106"/>
      <c r="U252" s="1195"/>
      <c r="V252" s="1195"/>
      <c r="W252" s="1195"/>
      <c r="X252" s="1196"/>
      <c r="Y252" s="1195"/>
      <c r="Z252" s="1195"/>
      <c r="AA252" s="1195"/>
      <c r="AB252" s="1195"/>
      <c r="AC252" s="1197"/>
      <c r="AD252" s="26"/>
    </row>
    <row r="253" spans="18:30">
      <c r="R253" s="1189"/>
      <c r="S253" s="1190"/>
      <c r="T253" s="1190"/>
      <c r="U253" s="1190"/>
      <c r="V253" s="1190"/>
      <c r="W253" s="1190"/>
      <c r="X253" s="1191"/>
      <c r="Y253" s="1190"/>
      <c r="Z253" s="1190"/>
      <c r="AA253" s="1190"/>
      <c r="AB253" s="1190"/>
      <c r="AC253" s="1192"/>
      <c r="AD253" s="26"/>
    </row>
    <row r="254" spans="18:30">
      <c r="R254" s="1189"/>
      <c r="S254" s="1190"/>
      <c r="T254" s="1190"/>
      <c r="U254" s="1190"/>
      <c r="V254" s="1195"/>
      <c r="W254" s="1190"/>
      <c r="X254" s="1191"/>
      <c r="Y254" s="1190"/>
      <c r="Z254" s="1190"/>
      <c r="AA254" s="1190"/>
      <c r="AB254" s="1190"/>
      <c r="AC254" s="1192"/>
      <c r="AD254" s="26"/>
    </row>
    <row r="255" spans="18:30">
      <c r="R255" s="1189"/>
      <c r="S255" s="1190"/>
      <c r="T255" s="1190"/>
      <c r="U255" s="1190"/>
      <c r="V255" s="1195"/>
      <c r="W255" s="1190"/>
      <c r="X255" s="1191"/>
      <c r="Y255" s="1190"/>
      <c r="Z255" s="1190"/>
      <c r="AA255" s="1190"/>
      <c r="AB255" s="1190"/>
      <c r="AC255" s="1192"/>
      <c r="AD255" s="26"/>
    </row>
    <row r="256" spans="18:30">
      <c r="R256" s="1189"/>
      <c r="S256" s="1190"/>
      <c r="T256" s="1190"/>
      <c r="U256" s="1190"/>
      <c r="V256" s="1190"/>
      <c r="W256" s="1190"/>
      <c r="X256" s="1191"/>
      <c r="Y256" s="1190"/>
      <c r="Z256" s="1190"/>
      <c r="AA256" s="1190"/>
      <c r="AB256" s="1190"/>
      <c r="AC256" s="1192"/>
      <c r="AD256" s="26"/>
    </row>
    <row r="257" spans="18:30">
      <c r="R257" s="1189"/>
      <c r="S257" s="1190"/>
      <c r="T257" s="1190"/>
      <c r="U257" s="1190"/>
      <c r="V257" s="1190"/>
      <c r="W257" s="1190"/>
      <c r="X257" s="1191"/>
      <c r="Y257" s="1190"/>
      <c r="Z257" s="1190"/>
      <c r="AA257" s="1190"/>
      <c r="AB257" s="1190"/>
      <c r="AC257" s="1192"/>
      <c r="AD257" s="26"/>
    </row>
    <row r="258" spans="18:30">
      <c r="R258" s="1189"/>
      <c r="S258" s="1190"/>
      <c r="T258" s="1190"/>
      <c r="U258" s="1190"/>
      <c r="V258" s="1195"/>
      <c r="W258" s="1190"/>
      <c r="X258" s="1191"/>
      <c r="Y258" s="1190"/>
      <c r="Z258" s="1190"/>
      <c r="AA258" s="1190"/>
      <c r="AB258" s="1190"/>
      <c r="AC258" s="1192"/>
      <c r="AD258" s="81"/>
    </row>
    <row r="259" spans="18:30">
      <c r="R259" s="1189"/>
      <c r="S259" s="1190"/>
      <c r="T259" s="1190"/>
      <c r="U259" s="1190"/>
      <c r="V259" s="1195"/>
      <c r="W259" s="1190"/>
      <c r="X259" s="1191"/>
      <c r="Y259" s="1190"/>
      <c r="Z259" s="1190"/>
      <c r="AA259" s="1190"/>
      <c r="AB259" s="1190"/>
      <c r="AC259" s="1192"/>
      <c r="AD259" s="203"/>
    </row>
    <row r="260" spans="18:30">
      <c r="R260" s="1194"/>
      <c r="S260" s="1195"/>
      <c r="T260" s="1195"/>
      <c r="U260" s="1195"/>
      <c r="V260" s="1195"/>
      <c r="W260" s="1195"/>
      <c r="X260" s="1196"/>
      <c r="Y260" s="1195"/>
      <c r="Z260" s="1195"/>
      <c r="AA260" s="1195"/>
      <c r="AB260" s="1195"/>
      <c r="AC260" s="1197"/>
      <c r="AD260" s="203"/>
    </row>
    <row r="261" spans="18:30">
      <c r="R261" s="1397" t="s">
        <v>770</v>
      </c>
      <c r="S261" s="1396">
        <v>3331565603</v>
      </c>
      <c r="T261" s="1396" t="s">
        <v>27</v>
      </c>
      <c r="U261" s="1398">
        <v>24142060</v>
      </c>
      <c r="V261" s="1195" t="s">
        <v>654</v>
      </c>
      <c r="W261" s="1398" t="s">
        <v>205</v>
      </c>
      <c r="X261" s="1399">
        <f>15241.956+9994.871</f>
        <v>25236.826999999997</v>
      </c>
      <c r="Y261" s="1398" t="s">
        <v>200</v>
      </c>
      <c r="Z261" s="1398">
        <v>1</v>
      </c>
      <c r="AA261" s="1398">
        <v>1</v>
      </c>
      <c r="AB261" s="1396" t="s">
        <v>204</v>
      </c>
      <c r="AC261" s="1197"/>
      <c r="AD261" s="203"/>
    </row>
    <row r="262" spans="18:30">
      <c r="R262" s="1252" t="s">
        <v>770</v>
      </c>
      <c r="S262" s="1209">
        <v>3331565606</v>
      </c>
      <c r="T262" s="1264" t="s">
        <v>27</v>
      </c>
      <c r="U262" s="1264">
        <v>24142061</v>
      </c>
      <c r="V262" s="1217" t="s">
        <v>654</v>
      </c>
      <c r="W262" s="1264" t="s">
        <v>205</v>
      </c>
      <c r="X262" s="1203">
        <v>24755.044000000002</v>
      </c>
      <c r="Y262" s="1261" t="s">
        <v>200</v>
      </c>
      <c r="Z262" s="1261">
        <v>1</v>
      </c>
      <c r="AA262" s="1261">
        <v>1</v>
      </c>
      <c r="AB262" s="1264" t="s">
        <v>204</v>
      </c>
      <c r="AC262" s="1192"/>
      <c r="AD262" s="81"/>
    </row>
    <row r="263" spans="18:30">
      <c r="R263" s="1252" t="s">
        <v>770</v>
      </c>
      <c r="S263" s="1209">
        <v>3331565607</v>
      </c>
      <c r="T263" s="1264" t="s">
        <v>27</v>
      </c>
      <c r="U263" s="1264">
        <v>24142062</v>
      </c>
      <c r="V263" s="1217" t="s">
        <v>654</v>
      </c>
      <c r="W263" s="1264" t="s">
        <v>205</v>
      </c>
      <c r="X263" s="1203">
        <v>21417.579000000002</v>
      </c>
      <c r="Y263" s="1261" t="s">
        <v>200</v>
      </c>
      <c r="Z263" s="1261">
        <v>1</v>
      </c>
      <c r="AA263" s="1261">
        <v>1</v>
      </c>
      <c r="AB263" s="1264" t="s">
        <v>204</v>
      </c>
      <c r="AC263" s="1192"/>
      <c r="AD263" s="81"/>
    </row>
    <row r="264" spans="18:30">
      <c r="R264" s="1252" t="s">
        <v>770</v>
      </c>
      <c r="S264" s="1209">
        <v>3331565608</v>
      </c>
      <c r="T264" s="1264" t="s">
        <v>27</v>
      </c>
      <c r="U264" s="1264">
        <v>24142065</v>
      </c>
      <c r="V264" s="1217" t="s">
        <v>654</v>
      </c>
      <c r="W264" s="1264" t="s">
        <v>205</v>
      </c>
      <c r="X264" s="1203">
        <v>21417.579000000002</v>
      </c>
      <c r="Y264" s="1261" t="s">
        <v>200</v>
      </c>
      <c r="Z264" s="1261">
        <v>1</v>
      </c>
      <c r="AA264" s="1261">
        <v>1</v>
      </c>
      <c r="AB264" s="1264" t="s">
        <v>204</v>
      </c>
      <c r="AC264" s="1192"/>
      <c r="AD264" s="81"/>
    </row>
    <row r="265" spans="18:30">
      <c r="R265" s="1252" t="s">
        <v>770</v>
      </c>
      <c r="S265" s="1209">
        <v>3331565616</v>
      </c>
      <c r="T265" s="1264" t="s">
        <v>27</v>
      </c>
      <c r="U265" s="1264">
        <v>24142066</v>
      </c>
      <c r="V265" s="1217" t="s">
        <v>654</v>
      </c>
      <c r="W265" s="1264" t="s">
        <v>205</v>
      </c>
      <c r="X265" s="1203">
        <v>23660.114000000001</v>
      </c>
      <c r="Y265" s="1261" t="s">
        <v>200</v>
      </c>
      <c r="Z265" s="1261">
        <v>1</v>
      </c>
      <c r="AA265" s="1261">
        <v>1</v>
      </c>
      <c r="AB265" s="1264" t="s">
        <v>204</v>
      </c>
      <c r="AC265" s="1192"/>
      <c r="AD265" s="81"/>
    </row>
    <row r="266" spans="18:30">
      <c r="R266" s="1252" t="s">
        <v>770</v>
      </c>
      <c r="S266" s="1209">
        <v>3331565622</v>
      </c>
      <c r="T266" s="1264" t="s">
        <v>27</v>
      </c>
      <c r="U266" s="1264">
        <v>24142067</v>
      </c>
      <c r="V266" s="1217" t="s">
        <v>654</v>
      </c>
      <c r="W266" s="1264" t="s">
        <v>205</v>
      </c>
      <c r="X266" s="1203">
        <v>21180.324000000001</v>
      </c>
      <c r="Y266" s="1261" t="s">
        <v>200</v>
      </c>
      <c r="Z266" s="1261">
        <v>1</v>
      </c>
      <c r="AA266" s="1261">
        <v>1</v>
      </c>
      <c r="AB266" s="1264" t="s">
        <v>204</v>
      </c>
      <c r="AC266" s="1192"/>
      <c r="AD266" s="26"/>
    </row>
    <row r="267" spans="18:30">
      <c r="R267" s="1252" t="s">
        <v>770</v>
      </c>
      <c r="S267" s="1209">
        <v>3331565628</v>
      </c>
      <c r="T267" s="1264" t="s">
        <v>27</v>
      </c>
      <c r="U267" s="1202">
        <v>24142068</v>
      </c>
      <c r="V267" s="1217" t="s">
        <v>654</v>
      </c>
      <c r="W267" s="1264" t="s">
        <v>205</v>
      </c>
      <c r="X267" s="1281">
        <v>22687.312000000002</v>
      </c>
      <c r="Y267" s="1261" t="s">
        <v>200</v>
      </c>
      <c r="Z267" s="1261">
        <v>1</v>
      </c>
      <c r="AA267" s="1261">
        <v>1</v>
      </c>
      <c r="AB267" s="1264" t="s">
        <v>204</v>
      </c>
      <c r="AC267" s="1192"/>
      <c r="AD267" s="26"/>
    </row>
    <row r="268" spans="18:30">
      <c r="R268" s="1400" t="s">
        <v>770</v>
      </c>
      <c r="S268" s="1401">
        <v>3331565629</v>
      </c>
      <c r="T268" s="1396" t="s">
        <v>27</v>
      </c>
      <c r="U268" s="1396">
        <v>24142069</v>
      </c>
      <c r="V268" s="1402" t="s">
        <v>654</v>
      </c>
      <c r="W268" s="1396" t="s">
        <v>205</v>
      </c>
      <c r="X268" s="1258">
        <v>22889.519</v>
      </c>
      <c r="Y268" s="1398" t="s">
        <v>200</v>
      </c>
      <c r="Z268" s="1398">
        <v>1</v>
      </c>
      <c r="AA268" s="1398">
        <v>1</v>
      </c>
      <c r="AB268" s="1396" t="s">
        <v>204</v>
      </c>
      <c r="AC268" s="1197"/>
      <c r="AD268" s="34"/>
    </row>
    <row r="269" spans="18:30">
      <c r="R269" s="1252" t="s">
        <v>773</v>
      </c>
      <c r="S269" s="1209">
        <v>3331565780</v>
      </c>
      <c r="T269" s="1264" t="s">
        <v>27</v>
      </c>
      <c r="U269" s="1264">
        <v>24142130</v>
      </c>
      <c r="V269" s="1217" t="s">
        <v>654</v>
      </c>
      <c r="W269" s="1264" t="s">
        <v>205</v>
      </c>
      <c r="X269" s="1203">
        <v>23872.38</v>
      </c>
      <c r="Y269" s="1202" t="s">
        <v>200</v>
      </c>
      <c r="Z269" s="1264">
        <v>1</v>
      </c>
      <c r="AA269" s="1264">
        <v>1</v>
      </c>
      <c r="AB269" s="1264" t="s">
        <v>204</v>
      </c>
      <c r="AC269" s="1192"/>
      <c r="AD269" s="26"/>
    </row>
    <row r="270" spans="18:30">
      <c r="R270" s="1252" t="s">
        <v>773</v>
      </c>
      <c r="S270" s="1209">
        <v>3331565781</v>
      </c>
      <c r="T270" s="1264" t="s">
        <v>152</v>
      </c>
      <c r="U270" s="1264">
        <v>24142131</v>
      </c>
      <c r="V270" s="1217" t="s">
        <v>654</v>
      </c>
      <c r="W270" s="1264" t="s">
        <v>205</v>
      </c>
      <c r="X270" s="1203">
        <v>23872.38</v>
      </c>
      <c r="Y270" s="1202" t="s">
        <v>200</v>
      </c>
      <c r="Z270" s="1264">
        <v>1</v>
      </c>
      <c r="AA270" s="1264">
        <v>1</v>
      </c>
      <c r="AB270" s="1264" t="s">
        <v>204</v>
      </c>
      <c r="AC270" s="1192"/>
      <c r="AD270" s="26"/>
    </row>
    <row r="271" spans="18:30">
      <c r="R271" s="1400" t="s">
        <v>773</v>
      </c>
      <c r="S271" s="1401">
        <v>3331565786</v>
      </c>
      <c r="T271" s="1396" t="s">
        <v>206</v>
      </c>
      <c r="U271" s="1396">
        <v>24142132</v>
      </c>
      <c r="V271" s="1402" t="s">
        <v>654</v>
      </c>
      <c r="W271" s="1396" t="s">
        <v>205</v>
      </c>
      <c r="X271" s="1258">
        <f>29145.833+9548.952</f>
        <v>38694.784999999996</v>
      </c>
      <c r="Y271" s="1396" t="s">
        <v>128</v>
      </c>
      <c r="Z271" s="1396">
        <v>1</v>
      </c>
      <c r="AA271" s="1396">
        <v>1</v>
      </c>
      <c r="AB271" s="1396" t="s">
        <v>280</v>
      </c>
      <c r="AC271" s="1403"/>
      <c r="AD271" s="34"/>
    </row>
    <row r="272" spans="18:30">
      <c r="R272" s="1400" t="s">
        <v>773</v>
      </c>
      <c r="S272" s="1401">
        <v>3331565796</v>
      </c>
      <c r="T272" s="1396" t="s">
        <v>206</v>
      </c>
      <c r="U272" s="1396">
        <v>24142135</v>
      </c>
      <c r="V272" s="1402" t="s">
        <v>593</v>
      </c>
      <c r="W272" s="1396" t="s">
        <v>857</v>
      </c>
      <c r="X272" s="1258">
        <f>27279.702+12728.918</f>
        <v>40008.620000000003</v>
      </c>
      <c r="Y272" s="1396" t="s">
        <v>128</v>
      </c>
      <c r="Z272" s="1396">
        <v>1</v>
      </c>
      <c r="AA272" s="1396">
        <v>1</v>
      </c>
      <c r="AB272" s="1396" t="s">
        <v>280</v>
      </c>
      <c r="AC272" s="1403"/>
      <c r="AD272" s="34"/>
    </row>
    <row r="273" spans="18:30">
      <c r="R273" s="1404" t="s">
        <v>773</v>
      </c>
      <c r="S273" s="1405">
        <v>3331565818</v>
      </c>
      <c r="T273" s="1406" t="s">
        <v>801</v>
      </c>
      <c r="U273" s="1407">
        <v>24142170</v>
      </c>
      <c r="V273" s="1408" t="s">
        <v>802</v>
      </c>
      <c r="W273" s="1407" t="s">
        <v>205</v>
      </c>
      <c r="X273" s="1409">
        <f>4687.96+8672.726+9198.864</f>
        <v>22559.550000000003</v>
      </c>
      <c r="Y273" s="1406" t="s">
        <v>200</v>
      </c>
      <c r="Z273" s="1406">
        <v>1</v>
      </c>
      <c r="AA273" s="1406">
        <v>1</v>
      </c>
      <c r="AB273" s="1406" t="s">
        <v>204</v>
      </c>
      <c r="AC273" s="1357"/>
      <c r="AD273" s="203"/>
    </row>
    <row r="274" spans="18:30">
      <c r="R274" s="1360" t="s">
        <v>773</v>
      </c>
      <c r="S274" s="1364">
        <v>3331566148</v>
      </c>
      <c r="T274" s="1361" t="s">
        <v>801</v>
      </c>
      <c r="U274" s="1362">
        <v>24142194</v>
      </c>
      <c r="V274" s="1224" t="s">
        <v>802</v>
      </c>
      <c r="W274" s="1362" t="s">
        <v>205</v>
      </c>
      <c r="X274" s="1363">
        <v>24045.502</v>
      </c>
      <c r="Y274" s="1361" t="s">
        <v>200</v>
      </c>
      <c r="Z274" s="1361">
        <v>1</v>
      </c>
      <c r="AA274" s="1361">
        <v>1</v>
      </c>
      <c r="AB274" s="1361" t="s">
        <v>207</v>
      </c>
      <c r="AC274" s="1271"/>
      <c r="AD274" s="81"/>
    </row>
    <row r="275" spans="18:30">
      <c r="R275" s="1360" t="s">
        <v>773</v>
      </c>
      <c r="S275" s="1364">
        <v>3331566149</v>
      </c>
      <c r="T275" s="1361" t="s">
        <v>801</v>
      </c>
      <c r="U275" s="1362">
        <v>24142195</v>
      </c>
      <c r="V275" s="1224" t="s">
        <v>802</v>
      </c>
      <c r="W275" s="1362" t="s">
        <v>205</v>
      </c>
      <c r="X275" s="1363">
        <v>24045.502</v>
      </c>
      <c r="Y275" s="1361" t="s">
        <v>200</v>
      </c>
      <c r="Z275" s="1361">
        <v>1</v>
      </c>
      <c r="AA275" s="1361">
        <v>1</v>
      </c>
      <c r="AB275" s="1361" t="s">
        <v>207</v>
      </c>
      <c r="AC275" s="1271"/>
      <c r="AD275" s="81"/>
    </row>
    <row r="276" spans="18:30">
      <c r="R276" s="1382" t="s">
        <v>773</v>
      </c>
      <c r="S276" s="1383">
        <v>3331566150</v>
      </c>
      <c r="T276" s="1410" t="s">
        <v>801</v>
      </c>
      <c r="U276" s="1384"/>
      <c r="V276" s="1408" t="s">
        <v>802</v>
      </c>
      <c r="W276" s="1384" t="s">
        <v>205</v>
      </c>
      <c r="X276" s="1385">
        <f>21198.583+1603.031</f>
        <v>22801.613999999998</v>
      </c>
      <c r="Y276" s="1410" t="s">
        <v>200</v>
      </c>
      <c r="Z276" s="1410">
        <v>1</v>
      </c>
      <c r="AA276" s="1410">
        <v>1</v>
      </c>
      <c r="AB276" s="1410" t="s">
        <v>207</v>
      </c>
      <c r="AC276" s="1357"/>
      <c r="AD276" s="203"/>
    </row>
    <row r="277" spans="18:30">
      <c r="R277" s="1360" t="s">
        <v>773</v>
      </c>
      <c r="S277" s="1364">
        <v>3331566155</v>
      </c>
      <c r="T277" s="1361" t="s">
        <v>801</v>
      </c>
      <c r="U277" s="1362">
        <v>24142197</v>
      </c>
      <c r="V277" s="1224" t="s">
        <v>802</v>
      </c>
      <c r="W277" s="1362" t="s">
        <v>205</v>
      </c>
      <c r="X277" s="1363">
        <v>22074.557000000001</v>
      </c>
      <c r="Y277" s="1361" t="s">
        <v>200</v>
      </c>
      <c r="Z277" s="1361">
        <v>1</v>
      </c>
      <c r="AA277" s="1361">
        <v>1</v>
      </c>
      <c r="AB277" s="1361" t="s">
        <v>207</v>
      </c>
      <c r="AC277" s="1271"/>
      <c r="AD277" s="81"/>
    </row>
    <row r="278" spans="18:30">
      <c r="R278" s="1382" t="s">
        <v>773</v>
      </c>
      <c r="S278" s="1383">
        <v>3331566156</v>
      </c>
      <c r="T278" s="1410" t="s">
        <v>801</v>
      </c>
      <c r="U278" s="1384">
        <v>24142198</v>
      </c>
      <c r="V278" s="1408" t="s">
        <v>802</v>
      </c>
      <c r="W278" s="1384" t="s">
        <v>205</v>
      </c>
      <c r="X278" s="1385">
        <v>20602.919999999998</v>
      </c>
      <c r="Y278" s="1410" t="s">
        <v>200</v>
      </c>
      <c r="Z278" s="1410">
        <v>1</v>
      </c>
      <c r="AA278" s="1410">
        <v>1</v>
      </c>
      <c r="AB278" s="1410" t="s">
        <v>207</v>
      </c>
      <c r="AC278" s="1357"/>
      <c r="AD278" s="203"/>
    </row>
  </sheetData>
  <protectedRanges>
    <protectedRange algorithmName="SHA-512" hashValue="24Yg3M703G5L8OyJWxlkx8c1Gwfrkael5W/l3TUk/Rcz5tR8QOgCx5v0Ebb/UGz+9BDKPJ5wV4hH8uuxvmtGIw==" saltValue="ZSJQ8EEnwGxsiYzxIw6K0Q==" spinCount="100000" sqref="N4:N8 B4:D19 N10:N18 N20:N22 E4:M22 O4:P22 E23:P118" name="Range1_65_32_32_30_30_30_30_30_30_30_30_30_30_30_30_30_30_30"/>
    <protectedRange algorithmName="SHA-512" hashValue="XYWjC+iAz2ErgjMh7TSLHlxfTfK0uVcITDFdCCZFdnsWWbUNnsQqu9AM+0WFXQpYcy9ZvQx2KUXfpLhpOROHkg==" saltValue="47TiGLG0rJVTo3iAJH8T4w==" spinCount="100000" sqref="B23:D118" name="Range2_5_2_2_2_2_2_2_2_2_2_2_2_2_2_2_2"/>
    <protectedRange algorithmName="SHA-512" hashValue="24Yg3M703G5L8OyJWxlkx8c1Gwfrkael5W/l3TUk/Rcz5tR8QOgCx5v0Ebb/UGz+9BDKPJ5wV4hH8uuxvmtGIw==" saltValue="ZSJQ8EEnwGxsiYzxIw6K0Q==" spinCount="100000" sqref="B23:D118" name="Range1_65_32_2_2_2_2_2_2_2_2_2_2_2_2_2_2"/>
    <protectedRange algorithmName="SHA-512" hashValue="XYWjC+iAz2ErgjMh7TSLHlxfTfK0uVcITDFdCCZFdnsWWbUNnsQqu9AM+0WFXQpYcy9ZvQx2KUXfpLhpOROHkg==" saltValue="47TiGLG0rJVTo3iAJH8T4w==" spinCount="100000" sqref="B22:D22" name="Range2_5_2_2_2_2_2_2_2_2_2_2_2_2_2_2_3_2_2"/>
    <protectedRange algorithmName="SHA-512" hashValue="24Yg3M703G5L8OyJWxlkx8c1Gwfrkael5W/l3TUk/Rcz5tR8QOgCx5v0Ebb/UGz+9BDKPJ5wV4hH8uuxvmtGIw==" saltValue="ZSJQ8EEnwGxsiYzxIw6K0Q==" spinCount="100000" sqref="B20:D22" name="Range1_65_32_2_2_2_2_2_2_2_2_2_2_2_2_2_3_2_2"/>
  </protectedRanges>
  <mergeCells count="22">
    <mergeCell ref="A20:A21"/>
    <mergeCell ref="B20:D20"/>
    <mergeCell ref="F8:H8"/>
    <mergeCell ref="J8:L8"/>
    <mergeCell ref="N8:P9"/>
    <mergeCell ref="F9:H9"/>
    <mergeCell ref="J9:L9"/>
    <mergeCell ref="A10:A11"/>
    <mergeCell ref="B10:D10"/>
    <mergeCell ref="F10:H10"/>
    <mergeCell ref="J10:L10"/>
    <mergeCell ref="N10:P10"/>
    <mergeCell ref="F1:H1"/>
    <mergeCell ref="J1:L1"/>
    <mergeCell ref="N1:P2"/>
    <mergeCell ref="F2:H2"/>
    <mergeCell ref="J2:L2"/>
    <mergeCell ref="A3:A4"/>
    <mergeCell ref="B3:D3"/>
    <mergeCell ref="F3:H3"/>
    <mergeCell ref="J3:L3"/>
    <mergeCell ref="N3:P3"/>
  </mergeCell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FEB7-FC04-4CD8-B744-326CF0DE40D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7D32-CA75-4549-BC1F-E71022F3DC86}">
  <dimension ref="A1:AC101"/>
  <sheetViews>
    <sheetView showGridLines="0" topLeftCell="A14" zoomScale="85" zoomScaleNormal="85" workbookViewId="0">
      <selection activeCell="F88" sqref="F88"/>
    </sheetView>
  </sheetViews>
  <sheetFormatPr defaultColWidth="9.109375" defaultRowHeight="14.4"/>
  <cols>
    <col min="1" max="1" width="32.88671875" style="44" customWidth="1"/>
    <col min="2" max="2" width="14.44140625" style="44" customWidth="1"/>
    <col min="3" max="3" width="23" style="44" customWidth="1"/>
    <col min="4" max="4" width="27.5546875" style="44" bestFit="1" customWidth="1"/>
    <col min="5" max="5" width="51.44140625" style="358" bestFit="1" customWidth="1"/>
    <col min="6" max="6" width="27" style="44" customWidth="1"/>
    <col min="7" max="7" width="13.88671875" style="44" customWidth="1"/>
    <col min="8" max="8" width="26.44140625" style="44" customWidth="1"/>
    <col min="9" max="9" width="20.109375" style="44" customWidth="1"/>
    <col min="10" max="10" width="23.33203125" style="44" bestFit="1" customWidth="1"/>
    <col min="11" max="11" width="26.33203125" style="44" customWidth="1"/>
    <col min="12" max="12" width="11" style="44" customWidth="1"/>
    <col min="13" max="13" width="9.109375" style="44"/>
    <col min="14" max="14" width="43.6640625" style="44" bestFit="1" customWidth="1"/>
    <col min="15" max="15" width="9.109375" style="44"/>
    <col min="16" max="16" width="10.6640625" style="44" bestFit="1" customWidth="1"/>
    <col min="17" max="18" width="9.109375" style="44"/>
    <col min="19" max="19" width="36" style="44" bestFit="1" customWidth="1"/>
    <col min="20" max="20" width="10.6640625" style="44" bestFit="1" customWidth="1"/>
    <col min="21" max="22" width="9.109375" style="44"/>
    <col min="23" max="23" width="24" style="44" bestFit="1" customWidth="1"/>
    <col min="24" max="24" width="10.6640625" style="44" bestFit="1" customWidth="1"/>
    <col min="25" max="26" width="9.109375" style="44"/>
    <col min="27" max="27" width="27.6640625" style="44" bestFit="1" customWidth="1"/>
    <col min="28" max="28" width="10.6640625" style="44" bestFit="1" customWidth="1"/>
    <col min="29" max="16384" width="9.109375" style="44"/>
  </cols>
  <sheetData>
    <row r="1" spans="1:29" ht="31.5" customHeight="1">
      <c r="A1" s="1548">
        <f ca="1">TODAY()</f>
        <v>45977</v>
      </c>
      <c r="B1" s="1554"/>
      <c r="C1"/>
      <c r="D1" s="1517" t="s">
        <v>309</v>
      </c>
      <c r="E1" s="1517"/>
      <c r="F1" s="1553"/>
      <c r="G1"/>
      <c r="H1" s="1509" t="s">
        <v>315</v>
      </c>
      <c r="I1" s="1509"/>
      <c r="J1" s="1557"/>
      <c r="K1"/>
      <c r="L1"/>
    </row>
    <row r="2" spans="1:29" ht="21.75" customHeight="1">
      <c r="A2" s="1555"/>
      <c r="B2" s="1556"/>
      <c r="C2"/>
      <c r="D2" s="511" t="s">
        <v>247</v>
      </c>
      <c r="E2" s="511" t="s">
        <v>195</v>
      </c>
      <c r="F2" s="418" t="s">
        <v>196</v>
      </c>
      <c r="G2"/>
      <c r="H2" s="441" t="s">
        <v>247</v>
      </c>
      <c r="I2" s="417" t="s">
        <v>195</v>
      </c>
      <c r="J2" s="441" t="s">
        <v>196</v>
      </c>
      <c r="K2"/>
      <c r="L2"/>
    </row>
    <row r="3" spans="1:29" ht="36.75" customHeight="1">
      <c r="A3" s="512" t="s">
        <v>307</v>
      </c>
      <c r="B3" s="513">
        <f>SUM(I19:I1130)</f>
        <v>58</v>
      </c>
      <c r="C3" s="405"/>
      <c r="D3" s="353" t="s">
        <v>199</v>
      </c>
      <c r="E3" s="420">
        <f>COUNTIF($F$19:$F$122,"JABODETABEK")</f>
        <v>22</v>
      </c>
      <c r="F3" s="318">
        <f>SUMIF($F$19:$F$122, "JABODETABEK", $G$19:$G$122)</f>
        <v>551864.81999999995</v>
      </c>
      <c r="G3" s="343"/>
      <c r="H3" s="196" t="s">
        <v>317</v>
      </c>
      <c r="I3" s="611">
        <f>COUNTIF($F$19:$F$94,"INTERISLAND")</f>
        <v>0</v>
      </c>
      <c r="J3" s="496">
        <v>0</v>
      </c>
      <c r="K3"/>
      <c r="L3"/>
    </row>
    <row r="4" spans="1:29" ht="29.25" customHeight="1">
      <c r="A4" s="432" t="s">
        <v>201</v>
      </c>
      <c r="B4" s="434">
        <f>SUM(J19:J1164)</f>
        <v>44</v>
      </c>
      <c r="C4"/>
      <c r="D4" s="353" t="s">
        <v>203</v>
      </c>
      <c r="E4" s="245">
        <f>COUNTIF($F$93:$F$122,"JAWA TENGAH")</f>
        <v>0</v>
      </c>
      <c r="F4" s="318">
        <f>SUMIF($F$19:$F$122, "JAWA TENGAH", $G$19:$G$122)</f>
        <v>0</v>
      </c>
      <c r="G4"/>
      <c r="H4" s="196" t="s">
        <v>881</v>
      </c>
      <c r="I4" s="611">
        <f>COUNTIF($F$19:$F$53,"LUAR PULAU")</f>
        <v>0</v>
      </c>
      <c r="J4" s="496">
        <v>0</v>
      </c>
      <c r="K4"/>
      <c r="L4"/>
    </row>
    <row r="5" spans="1:29" ht="33.6">
      <c r="A5" s="351" t="s">
        <v>265</v>
      </c>
      <c r="B5" s="315">
        <f>COUNTIF($K$19:$K$1013,"MASUK")</f>
        <v>41</v>
      </c>
      <c r="C5" s="400"/>
      <c r="D5" s="439" t="s">
        <v>205</v>
      </c>
      <c r="E5" s="247">
        <f>COUNTIF($F$93:$F$122,"JAWA TIMUR")</f>
        <v>0</v>
      </c>
      <c r="F5" s="318">
        <f>SUMIF($F$19:$F$122, "JAWA TIMUR", $G$19:$G$122)</f>
        <v>0</v>
      </c>
      <c r="G5"/>
      <c r="K5"/>
      <c r="L5"/>
    </row>
    <row r="6" spans="1:29" ht="33.6">
      <c r="A6" s="351" t="s">
        <v>207</v>
      </c>
      <c r="B6" s="315">
        <f>COUNTIF($K$19:$K$1013,"BELUM MASUK")</f>
        <v>13</v>
      </c>
      <c r="C6" s="396"/>
      <c r="D6" s="497" t="s">
        <v>312</v>
      </c>
      <c r="E6" s="498">
        <f>SUM(E3:E5)</f>
        <v>22</v>
      </c>
      <c r="F6" s="496">
        <f>SUM(F3:F5)</f>
        <v>551864.81999999995</v>
      </c>
      <c r="G6"/>
      <c r="H6" s="1517" t="s">
        <v>434</v>
      </c>
      <c r="I6" s="1517"/>
      <c r="J6" s="1553"/>
      <c r="K6" s="398"/>
      <c r="L6"/>
    </row>
    <row r="7" spans="1:29" ht="27" customHeight="1">
      <c r="A7" s="545" t="s">
        <v>249</v>
      </c>
      <c r="B7" s="546">
        <f>(B3-B4)</f>
        <v>14</v>
      </c>
      <c r="C7" s="547" t="s">
        <v>913</v>
      </c>
      <c r="D7" s="547"/>
      <c r="E7" s="361"/>
      <c r="F7" s="327"/>
      <c r="G7" s="253"/>
      <c r="H7" s="441" t="s">
        <v>247</v>
      </c>
      <c r="I7" s="417" t="s">
        <v>195</v>
      </c>
      <c r="J7" s="441" t="s">
        <v>196</v>
      </c>
      <c r="K7" s="349"/>
      <c r="L7" s="308"/>
    </row>
    <row r="8" spans="1:29" ht="27" customHeight="1">
      <c r="A8" s="295"/>
      <c r="B8" s="296"/>
      <c r="C8"/>
      <c r="D8" s="1509" t="s">
        <v>310</v>
      </c>
      <c r="E8" s="1509"/>
      <c r="F8" s="1557"/>
      <c r="G8"/>
      <c r="H8" s="196" t="s">
        <v>434</v>
      </c>
      <c r="I8" s="500">
        <f>COUNTIF($F$93:$F$122,"AMBIL SENDIRI")</f>
        <v>0</v>
      </c>
      <c r="J8" s="496">
        <f>SUMIF(F14:F1036,"COKOT SORANGAN",G14:G1036)</f>
        <v>0</v>
      </c>
      <c r="K8" s="307"/>
      <c r="L8"/>
    </row>
    <row r="9" spans="1:29" ht="27" customHeight="1">
      <c r="A9" s="1517" t="s">
        <v>316</v>
      </c>
      <c r="B9" s="1553"/>
      <c r="C9"/>
      <c r="D9" s="441" t="s">
        <v>247</v>
      </c>
      <c r="E9" s="417" t="s">
        <v>195</v>
      </c>
      <c r="F9" s="418" t="s">
        <v>196</v>
      </c>
      <c r="G9"/>
      <c r="H9" s="281"/>
      <c r="I9" s="348"/>
      <c r="J9"/>
      <c r="K9" s="307"/>
      <c r="L9"/>
      <c r="N9" s="658" t="s">
        <v>914</v>
      </c>
      <c r="O9" s="659"/>
      <c r="P9" s="659"/>
      <c r="Q9" s="659"/>
      <c r="R9" s="660"/>
      <c r="S9" s="661" t="s">
        <v>403</v>
      </c>
      <c r="T9" s="661"/>
      <c r="U9" s="661"/>
      <c r="V9" s="660"/>
      <c r="W9" s="661" t="s">
        <v>404</v>
      </c>
      <c r="X9" s="661"/>
      <c r="Y9" s="661"/>
      <c r="Z9" s="660"/>
      <c r="AA9" s="660"/>
      <c r="AB9" s="660"/>
      <c r="AC9" s="660"/>
    </row>
    <row r="10" spans="1:29" ht="27" customHeight="1">
      <c r="A10" s="510" t="s">
        <v>197</v>
      </c>
      <c r="B10" s="378">
        <f ca="1">SUMIF($H$93:$H$1036, "TRAILER", $I$93:$I$1035)</f>
        <v>0</v>
      </c>
      <c r="C10" s="275"/>
      <c r="D10" s="424" t="s">
        <v>199</v>
      </c>
      <c r="E10" s="425" cm="1">
        <f t="array" ref="E10">SUMPRODUCT(--(RIGHT($F$19:$F$6948,20)="JABODETABEK NEXT DAY"))</f>
        <v>11</v>
      </c>
      <c r="F10" s="423">
        <f ca="1">SUMIF(F19:F4317, "JABODETABEK NEXT DAY", G19:G501)</f>
        <v>277683.75599999999</v>
      </c>
      <c r="G10"/>
      <c r="H10" s="281"/>
      <c r="I10" s="348"/>
      <c r="J10"/>
      <c r="K10" s="307"/>
      <c r="L10"/>
      <c r="N10" s="662" t="s">
        <v>915</v>
      </c>
      <c r="O10" s="663"/>
      <c r="P10" s="659"/>
      <c r="Q10" s="659"/>
      <c r="R10" s="660"/>
      <c r="S10" s="661" t="s">
        <v>916</v>
      </c>
      <c r="T10" s="661"/>
      <c r="U10" s="661"/>
      <c r="V10" s="660"/>
      <c r="W10" s="661" t="s">
        <v>917</v>
      </c>
      <c r="X10" s="661"/>
      <c r="Y10" s="661"/>
      <c r="Z10" s="660"/>
      <c r="AA10" s="1593" t="s">
        <v>405</v>
      </c>
      <c r="AB10" s="1593"/>
      <c r="AC10" s="1593"/>
    </row>
    <row r="11" spans="1:29" ht="27" customHeight="1">
      <c r="A11" s="430" t="s">
        <v>200</v>
      </c>
      <c r="B11" s="380">
        <f ca="1">SUMIF($H$93:$H$1037,"TRONTON", $I$93:$I$1036)</f>
        <v>0</v>
      </c>
      <c r="C11"/>
      <c r="D11" s="439" t="s">
        <v>203</v>
      </c>
      <c r="E11" s="425" cm="1">
        <f t="array" ref="E11">SUMPRODUCT(--(RIGHT($F$19:$F$6948,20)="JAWA TENGAH NEXT DAY"))</f>
        <v>10</v>
      </c>
      <c r="F11" s="423">
        <f>SUMIF(F19:F511, "JAWA TENGAH NEXT DAY", G19:G511)</f>
        <v>369958.54399999999</v>
      </c>
      <c r="G11" s="253"/>
      <c r="H11" s="281"/>
      <c r="I11" s="442">
        <f>29+19+6</f>
        <v>54</v>
      </c>
      <c r="J11" s="443"/>
      <c r="K11" s="307"/>
      <c r="L11"/>
      <c r="N11" s="1594" t="s">
        <v>414</v>
      </c>
      <c r="O11" s="1596" t="s">
        <v>415</v>
      </c>
      <c r="P11" s="1597"/>
      <c r="Q11" s="1598"/>
      <c r="R11" s="664"/>
      <c r="S11" s="1599" t="s">
        <v>416</v>
      </c>
      <c r="T11" s="1600"/>
      <c r="U11" s="1601"/>
      <c r="V11" s="664"/>
      <c r="W11" s="1599" t="s">
        <v>416</v>
      </c>
      <c r="X11" s="1600"/>
      <c r="Y11" s="665"/>
      <c r="Z11" s="664"/>
      <c r="AA11" s="1599" t="s">
        <v>417</v>
      </c>
      <c r="AB11" s="1600"/>
      <c r="AC11" s="1601"/>
    </row>
    <row r="12" spans="1:29" ht="27" customHeight="1">
      <c r="A12" s="430" t="s">
        <v>365</v>
      </c>
      <c r="B12" s="380">
        <f ca="1">SUMIF($H$93:$H$1037, "CN 40 HC", $I$93:$I$1036)</f>
        <v>0</v>
      </c>
      <c r="C12"/>
      <c r="D12" s="440" t="s">
        <v>205</v>
      </c>
      <c r="E12" s="245" cm="1">
        <f t="array" ref="E12">SUMPRODUCT(--(RIGHT($F$19:$F$6948,20)="JAWA TIMUR NEXT DAY"))</f>
        <v>9</v>
      </c>
      <c r="F12" s="423">
        <f>SUMIF(F19:F521, "JAWA TIMUR NEXT DAY", G19:G521)</f>
        <v>345615.23200000002</v>
      </c>
      <c r="G12" s="253"/>
      <c r="H12"/>
      <c r="I12" s="281"/>
      <c r="J12" s="348"/>
      <c r="K12" s="307"/>
      <c r="L12"/>
      <c r="N12" s="1595"/>
      <c r="O12" s="666" t="s">
        <v>419</v>
      </c>
      <c r="P12" s="667" t="s">
        <v>420</v>
      </c>
      <c r="Q12" s="666" t="s">
        <v>421</v>
      </c>
      <c r="R12" s="668"/>
      <c r="S12" s="667" t="s">
        <v>422</v>
      </c>
      <c r="T12" s="667" t="s">
        <v>420</v>
      </c>
      <c r="U12" s="667" t="s">
        <v>421</v>
      </c>
      <c r="V12" s="668"/>
      <c r="W12" s="669" t="s">
        <v>310</v>
      </c>
      <c r="X12" s="667" t="s">
        <v>420</v>
      </c>
      <c r="Y12" s="667" t="s">
        <v>421</v>
      </c>
      <c r="Z12" s="668"/>
      <c r="AA12" s="670" t="s">
        <v>423</v>
      </c>
      <c r="AB12" s="667" t="s">
        <v>420</v>
      </c>
      <c r="AC12" s="667" t="s">
        <v>421</v>
      </c>
    </row>
    <row r="13" spans="1:29" ht="27" customHeight="1">
      <c r="A13" s="430" t="s">
        <v>189</v>
      </c>
      <c r="B13" s="380">
        <f>COUNTIF($C$93:$C$1013,"BLM BOOKING")</f>
        <v>0</v>
      </c>
      <c r="C13"/>
      <c r="D13" s="201" t="s">
        <v>313</v>
      </c>
      <c r="E13" s="499">
        <f>SUM(E10:E12)</f>
        <v>30</v>
      </c>
      <c r="F13" s="496">
        <f ca="1">SUM(F10:F12)</f>
        <v>993257.53200000012</v>
      </c>
      <c r="G13" s="253"/>
      <c r="H13"/>
      <c r="I13" s="281"/>
      <c r="J13" s="348"/>
      <c r="K13" s="307"/>
      <c r="L13"/>
      <c r="N13" s="671" t="s">
        <v>427</v>
      </c>
      <c r="O13" s="672" t="e">
        <f>[2]PIVOT!#REF!</f>
        <v>#REF!</v>
      </c>
      <c r="P13" s="673">
        <v>0</v>
      </c>
      <c r="Q13" s="674" t="e">
        <f>P13+-O13</f>
        <v>#REF!</v>
      </c>
      <c r="R13" s="675"/>
      <c r="S13" s="672" t="e">
        <f>[2]PIVOT!#REF!</f>
        <v>#REF!</v>
      </c>
      <c r="T13" s="673" t="e">
        <f>[2]PIVOT!#REF!</f>
        <v>#REF!</v>
      </c>
      <c r="U13" s="676" t="e">
        <f>T13+-S13</f>
        <v>#REF!</v>
      </c>
      <c r="V13" s="677"/>
      <c r="W13" s="672" t="e">
        <f>[2]PIVOT!#REF!</f>
        <v>#REF!</v>
      </c>
      <c r="X13" s="673"/>
      <c r="Y13" s="676" t="e">
        <f>X13+-W13</f>
        <v>#REF!</v>
      </c>
      <c r="Z13" s="677"/>
      <c r="AA13" s="672" t="e">
        <f>O13+S13+W13</f>
        <v>#REF!</v>
      </c>
      <c r="AB13" s="672" t="e">
        <f>P13+T13+X13</f>
        <v>#REF!</v>
      </c>
      <c r="AC13" s="678" t="e">
        <f>Q13+U13+Y13</f>
        <v>#REF!</v>
      </c>
    </row>
    <row r="14" spans="1:29" ht="27" customHeight="1">
      <c r="A14" s="508" t="s">
        <v>325</v>
      </c>
      <c r="B14" s="509"/>
      <c r="C14"/>
      <c r="D14"/>
      <c r="E14" s="361"/>
      <c r="F14" s="327"/>
      <c r="G14" s="253"/>
      <c r="H14"/>
      <c r="I14" s="281"/>
      <c r="J14" s="348"/>
      <c r="K14" s="307"/>
      <c r="L14"/>
      <c r="N14" s="659"/>
      <c r="O14" s="659" t="e">
        <f>SUM(O13:O13)</f>
        <v>#REF!</v>
      </c>
      <c r="P14" s="679">
        <f>SUM(P13:P13)</f>
        <v>0</v>
      </c>
      <c r="Q14" s="680" t="e">
        <f>SUM(Q13:Q13)</f>
        <v>#REF!</v>
      </c>
      <c r="R14" s="681"/>
      <c r="S14" s="682" t="e">
        <f>SUM(S13:S13)</f>
        <v>#REF!</v>
      </c>
      <c r="T14" s="683" t="e">
        <f>SUM(T13:T13)</f>
        <v>#REF!</v>
      </c>
      <c r="U14" s="684" t="e">
        <f>SUM(U13:U13)</f>
        <v>#REF!</v>
      </c>
      <c r="V14" s="685"/>
      <c r="W14" s="682" t="e">
        <f>SUM(W13:W13)</f>
        <v>#REF!</v>
      </c>
      <c r="X14" s="683">
        <f>SUM(X13:X13)</f>
        <v>0</v>
      </c>
      <c r="Y14" s="684" t="e">
        <f>SUM(Y13:Y13)</f>
        <v>#REF!</v>
      </c>
      <c r="Z14" s="685"/>
      <c r="AA14" s="686" t="e">
        <f>SUM(AA13:AA13)</f>
        <v>#REF!</v>
      </c>
      <c r="AB14" s="686" t="e">
        <f>SUM(AB13:AB13)</f>
        <v>#REF!</v>
      </c>
      <c r="AC14" s="687" t="e">
        <f>SUM(AC13:AC13)</f>
        <v>#REF!</v>
      </c>
    </row>
    <row r="15" spans="1:29" ht="27" customHeight="1">
      <c r="A15" s="508" t="s">
        <v>330</v>
      </c>
      <c r="B15" s="509"/>
      <c r="C15"/>
      <c r="D15" s="435" t="s">
        <v>307</v>
      </c>
      <c r="E15" s="437">
        <f>E6+E13+I8+I3</f>
        <v>52</v>
      </c>
      <c r="F15" s="327"/>
      <c r="G15" s="253"/>
      <c r="H15"/>
      <c r="I15" s="281"/>
      <c r="J15" s="348"/>
      <c r="K15" s="307"/>
      <c r="L15"/>
      <c r="N15" s="659"/>
      <c r="O15" s="659"/>
      <c r="P15" s="688"/>
      <c r="Q15" s="680"/>
      <c r="R15" s="681"/>
      <c r="S15" s="682"/>
      <c r="T15" s="688"/>
      <c r="U15" s="684"/>
      <c r="V15" s="685"/>
      <c r="W15" s="682"/>
      <c r="X15" s="688"/>
      <c r="Y15" s="684"/>
      <c r="Z15" s="685"/>
      <c r="AA15" s="688"/>
      <c r="AB15" s="688"/>
      <c r="AC15" s="688"/>
    </row>
    <row r="16" spans="1:29" ht="27" customHeight="1">
      <c r="A16" s="508" t="s">
        <v>333</v>
      </c>
      <c r="B16" s="509"/>
      <c r="C16"/>
      <c r="D16" s="435" t="s">
        <v>331</v>
      </c>
      <c r="E16" s="436">
        <f ca="1">F6+J6+F13+J10+J14</f>
        <v>1545122.352</v>
      </c>
      <c r="F16" s="327"/>
      <c r="G16" s="253"/>
      <c r="H16"/>
      <c r="I16" s="281"/>
      <c r="J16" s="348"/>
      <c r="K16" s="307"/>
      <c r="L16"/>
      <c r="N16" s="658" t="str">
        <f>N9</f>
        <v>Plan tgl 29 SEPT'25  jam 15.00</v>
      </c>
      <c r="O16" s="659"/>
      <c r="P16" s="659"/>
      <c r="Q16" s="680"/>
      <c r="R16" s="681"/>
      <c r="S16" s="661" t="str">
        <f>S9</f>
        <v>CARGO ADD</v>
      </c>
      <c r="T16" s="689"/>
      <c r="U16" s="690"/>
      <c r="V16" s="681"/>
      <c r="W16" s="661" t="str">
        <f>W9</f>
        <v>CARGO NEXT DAY</v>
      </c>
      <c r="X16" s="689"/>
      <c r="Y16" s="690"/>
      <c r="Z16" s="681"/>
      <c r="AA16" s="691"/>
      <c r="AB16" s="682"/>
      <c r="AC16" s="682"/>
    </row>
    <row r="17" spans="1:29" ht="17.399999999999999">
      <c r="N17" s="662" t="str">
        <f>N10</f>
        <v>Realz update 29 SEPT’25 jam 07.00</v>
      </c>
      <c r="O17" s="659"/>
      <c r="P17" s="659"/>
      <c r="Q17" s="680"/>
      <c r="R17" s="681"/>
      <c r="S17" s="661" t="str">
        <f>S10</f>
        <v>Tgl 29 SEPT’25 diatas jam 15.00</v>
      </c>
      <c r="T17" s="689"/>
      <c r="U17" s="690"/>
      <c r="V17" s="681"/>
      <c r="W17" s="661" t="str">
        <f>W10</f>
        <v>Tgl 29 SEPT’25</v>
      </c>
      <c r="X17" s="689"/>
      <c r="Y17" s="690"/>
      <c r="Z17" s="681"/>
      <c r="AA17" s="1593" t="str">
        <f>AA10</f>
        <v>Summary (Plan+ Add + Next Day)</v>
      </c>
      <c r="AB17" s="1593"/>
      <c r="AC17" s="1593"/>
    </row>
    <row r="18" spans="1:29" ht="17.399999999999999">
      <c r="A18" s="929" t="s">
        <v>1</v>
      </c>
      <c r="B18" s="856" t="s">
        <v>2</v>
      </c>
      <c r="C18" s="856" t="s">
        <v>3</v>
      </c>
      <c r="D18" s="856" t="s">
        <v>211</v>
      </c>
      <c r="E18" s="856" t="s">
        <v>5</v>
      </c>
      <c r="F18" s="856" t="s">
        <v>194</v>
      </c>
      <c r="G18" s="856" t="s">
        <v>212</v>
      </c>
      <c r="H18" s="857" t="s">
        <v>213</v>
      </c>
      <c r="I18" s="857" t="s">
        <v>214</v>
      </c>
      <c r="J18" s="858" t="s">
        <v>215</v>
      </c>
      <c r="K18" s="930" t="s">
        <v>216</v>
      </c>
      <c r="L18" s="896" t="s">
        <v>494</v>
      </c>
      <c r="N18" s="1594" t="s">
        <v>194</v>
      </c>
      <c r="O18" s="1596" t="s">
        <v>415</v>
      </c>
      <c r="P18" s="1597"/>
      <c r="Q18" s="1598"/>
      <c r="R18" s="664"/>
      <c r="S18" s="1599" t="s">
        <v>416</v>
      </c>
      <c r="T18" s="1600"/>
      <c r="U18" s="1601"/>
      <c r="V18" s="664"/>
      <c r="W18" s="1599" t="s">
        <v>416</v>
      </c>
      <c r="X18" s="1600"/>
      <c r="Y18" s="1601"/>
      <c r="Z18" s="664"/>
      <c r="AA18" s="1599" t="s">
        <v>417</v>
      </c>
      <c r="AB18" s="1600"/>
      <c r="AC18" s="1601"/>
    </row>
    <row r="19" spans="1:29" ht="17.399999999999999">
      <c r="A19" s="931" t="s">
        <v>623</v>
      </c>
      <c r="B19" s="862">
        <v>3331556820</v>
      </c>
      <c r="C19" s="862" t="s">
        <v>287</v>
      </c>
      <c r="D19" s="449">
        <v>24141011</v>
      </c>
      <c r="E19" s="449" t="s">
        <v>150</v>
      </c>
      <c r="F19" s="612" t="s">
        <v>199</v>
      </c>
      <c r="G19" s="450">
        <v>25547.59</v>
      </c>
      <c r="H19" s="449" t="s">
        <v>200</v>
      </c>
      <c r="I19" s="862">
        <v>1</v>
      </c>
      <c r="J19" s="932">
        <v>1</v>
      </c>
      <c r="K19" s="613" t="s">
        <v>204</v>
      </c>
      <c r="L19" s="912"/>
      <c r="N19" s="1595"/>
      <c r="O19" s="692" t="s">
        <v>419</v>
      </c>
      <c r="P19" s="693" t="s">
        <v>420</v>
      </c>
      <c r="Q19" s="692" t="s">
        <v>421</v>
      </c>
      <c r="R19" s="668"/>
      <c r="S19" s="667" t="s">
        <v>422</v>
      </c>
      <c r="T19" s="693" t="s">
        <v>420</v>
      </c>
      <c r="U19" s="693" t="s">
        <v>421</v>
      </c>
      <c r="V19" s="668"/>
      <c r="W19" s="669" t="s">
        <v>310</v>
      </c>
      <c r="X19" s="693" t="s">
        <v>420</v>
      </c>
      <c r="Y19" s="693" t="s">
        <v>421</v>
      </c>
      <c r="Z19" s="668"/>
      <c r="AA19" s="694" t="s">
        <v>423</v>
      </c>
      <c r="AB19" s="693" t="s">
        <v>420</v>
      </c>
      <c r="AC19" s="695" t="s">
        <v>421</v>
      </c>
    </row>
    <row r="20" spans="1:29" s="108" customFormat="1" ht="18">
      <c r="A20" s="931" t="s">
        <v>623</v>
      </c>
      <c r="B20" s="862">
        <v>3331556821</v>
      </c>
      <c r="C20" s="862" t="s">
        <v>462</v>
      </c>
      <c r="D20" s="449">
        <v>24141012</v>
      </c>
      <c r="E20" s="449" t="s">
        <v>150</v>
      </c>
      <c r="F20" s="612" t="s">
        <v>199</v>
      </c>
      <c r="G20" s="450">
        <v>25244.483</v>
      </c>
      <c r="H20" s="449" t="s">
        <v>200</v>
      </c>
      <c r="I20" s="862">
        <v>1</v>
      </c>
      <c r="J20" s="932">
        <v>1</v>
      </c>
      <c r="K20" s="613" t="s">
        <v>204</v>
      </c>
      <c r="L20" s="912"/>
      <c r="M20" s="44"/>
      <c r="N20" s="671" t="s">
        <v>918</v>
      </c>
      <c r="O20" s="672">
        <f>_xlfn.IFNA(VLOOKUP(N20,[2]PIVOT!$F$15:$G$20,2,FALSE),0)</f>
        <v>18</v>
      </c>
      <c r="P20" s="673">
        <v>0</v>
      </c>
      <c r="Q20" s="674">
        <f>P20+-O20</f>
        <v>-18</v>
      </c>
      <c r="R20" s="681"/>
      <c r="S20" s="696">
        <f>_xlfn.IFNA(VLOOKUP(N20,[2]PIVOT!$AD$15:$AE$18,2,FALSE),0)</f>
        <v>0</v>
      </c>
      <c r="T20" s="673">
        <f>_xlfn.IFNA(VLOOKUP(N20,[2]PIVOT!$AP$5:$AQ$100,2,FALSE),0)</f>
        <v>0</v>
      </c>
      <c r="U20" s="678">
        <f>T20+-S20</f>
        <v>0</v>
      </c>
      <c r="V20" s="681"/>
      <c r="W20" s="696">
        <f>_xlfn.IFNA(VLOOKUP(N20,[2]PIVOT!$CR$6:$CS$18,2,FALSE),0)</f>
        <v>15</v>
      </c>
      <c r="X20" s="673">
        <v>0</v>
      </c>
      <c r="Y20" s="678">
        <f>X20+-W20</f>
        <v>-15</v>
      </c>
      <c r="Z20" s="681"/>
      <c r="AA20" s="696">
        <f>O20+S20+W20</f>
        <v>33</v>
      </c>
      <c r="AB20" s="696">
        <f>P20+T20+X20</f>
        <v>0</v>
      </c>
      <c r="AC20" s="678">
        <f>Q20+U20+Y20</f>
        <v>-33</v>
      </c>
    </row>
    <row r="21" spans="1:29" ht="18">
      <c r="A21" s="931" t="s">
        <v>623</v>
      </c>
      <c r="B21" s="862">
        <v>3331556823</v>
      </c>
      <c r="C21" s="862" t="s">
        <v>34</v>
      </c>
      <c r="D21" s="449">
        <v>24141014</v>
      </c>
      <c r="E21" s="449" t="s">
        <v>150</v>
      </c>
      <c r="F21" s="612" t="s">
        <v>199</v>
      </c>
      <c r="G21" s="450">
        <v>25677.492999999999</v>
      </c>
      <c r="H21" s="449" t="s">
        <v>200</v>
      </c>
      <c r="I21" s="862">
        <v>1</v>
      </c>
      <c r="J21" s="932">
        <v>1</v>
      </c>
      <c r="K21" s="613" t="s">
        <v>204</v>
      </c>
      <c r="L21" s="912"/>
      <c r="N21" s="671" t="s">
        <v>919</v>
      </c>
      <c r="O21" s="672">
        <f>_xlfn.IFNA(VLOOKUP(N21,[2]PIVOT!$F$15:$G$20,2,FALSE),0)</f>
        <v>3</v>
      </c>
      <c r="P21" s="673">
        <v>0</v>
      </c>
      <c r="Q21" s="674">
        <f>P21+-O21</f>
        <v>-3</v>
      </c>
      <c r="R21" s="681"/>
      <c r="S21" s="697">
        <f>_xlfn.IFNA(VLOOKUP(N21,[2]PIVOT!$AD$15:$AE$18,2,FALSE),0)</f>
        <v>0</v>
      </c>
      <c r="T21" s="673">
        <v>0</v>
      </c>
      <c r="U21" s="678">
        <f>T21+-S21</f>
        <v>0</v>
      </c>
      <c r="V21" s="681"/>
      <c r="W21" s="696">
        <f>_xlfn.IFNA(VLOOKUP(N21,[2]PIVOT!$CR$6:$CS$18,2,FALSE),0)</f>
        <v>2</v>
      </c>
      <c r="X21" s="673">
        <v>0</v>
      </c>
      <c r="Y21" s="678">
        <f>X21+-W21</f>
        <v>-2</v>
      </c>
      <c r="Z21" s="681"/>
      <c r="AA21" s="696">
        <f>O21+S21+W21</f>
        <v>5</v>
      </c>
      <c r="AB21" s="696">
        <f t="shared" ref="AB21:AB23" si="0">P21+T21+X21</f>
        <v>0</v>
      </c>
      <c r="AC21" s="678">
        <f>Q21+U21+Y21</f>
        <v>-5</v>
      </c>
    </row>
    <row r="22" spans="1:29" s="108" customFormat="1" ht="18">
      <c r="A22" s="931" t="s">
        <v>623</v>
      </c>
      <c r="B22" s="862">
        <v>3331556829</v>
      </c>
      <c r="C22" s="862" t="s">
        <v>11</v>
      </c>
      <c r="D22" s="449">
        <v>24141015</v>
      </c>
      <c r="E22" s="449" t="s">
        <v>150</v>
      </c>
      <c r="F22" s="612" t="s">
        <v>199</v>
      </c>
      <c r="G22" s="450">
        <v>25980.6</v>
      </c>
      <c r="H22" s="449" t="s">
        <v>200</v>
      </c>
      <c r="I22" s="862">
        <v>1</v>
      </c>
      <c r="J22" s="932">
        <v>1</v>
      </c>
      <c r="K22" s="632" t="s">
        <v>204</v>
      </c>
      <c r="L22" s="912"/>
      <c r="M22" s="44"/>
      <c r="N22" s="698" t="s">
        <v>920</v>
      </c>
      <c r="O22" s="672">
        <f>_xlfn.IFNA(VLOOKUP(N22,[2]PIVOT!$F$15:$G$20,2,FALSE),0)</f>
        <v>11</v>
      </c>
      <c r="P22" s="673">
        <v>0</v>
      </c>
      <c r="Q22" s="674">
        <f>P22+-O22</f>
        <v>-11</v>
      </c>
      <c r="R22" s="681"/>
      <c r="S22" s="696">
        <f>_xlfn.IFNA(VLOOKUP(N22,[2]PIVOT!$AD$15:$AE$18,2,FALSE),0)</f>
        <v>0</v>
      </c>
      <c r="T22" s="673">
        <v>0</v>
      </c>
      <c r="U22" s="678">
        <f>T22+-S22</f>
        <v>0</v>
      </c>
      <c r="V22" s="681"/>
      <c r="W22" s="696">
        <f>_xlfn.IFNA(VLOOKUP(N22,[2]PIVOT!$CR$6:$CS$18,2,FALSE),0)</f>
        <v>3</v>
      </c>
      <c r="X22" s="673">
        <v>0</v>
      </c>
      <c r="Y22" s="678">
        <f>X22+-W22</f>
        <v>-3</v>
      </c>
      <c r="Z22" s="681"/>
      <c r="AA22" s="696">
        <f>O22+S22+W22</f>
        <v>14</v>
      </c>
      <c r="AB22" s="696">
        <f t="shared" si="0"/>
        <v>0</v>
      </c>
      <c r="AC22" s="678">
        <f>Q22+U22+Y22</f>
        <v>-14</v>
      </c>
    </row>
    <row r="23" spans="1:29" s="108" customFormat="1" ht="18">
      <c r="A23" s="931" t="s">
        <v>623</v>
      </c>
      <c r="B23" s="862">
        <v>3331556833</v>
      </c>
      <c r="C23" s="862" t="s">
        <v>34</v>
      </c>
      <c r="D23" s="449">
        <v>24141016</v>
      </c>
      <c r="E23" s="449" t="s">
        <v>150</v>
      </c>
      <c r="F23" s="612" t="s">
        <v>199</v>
      </c>
      <c r="G23" s="450">
        <v>25980.6</v>
      </c>
      <c r="H23" s="449" t="s">
        <v>200</v>
      </c>
      <c r="I23" s="862">
        <v>1</v>
      </c>
      <c r="J23" s="932">
        <v>1</v>
      </c>
      <c r="K23" s="613" t="s">
        <v>204</v>
      </c>
      <c r="L23" s="912"/>
      <c r="M23" s="44"/>
      <c r="N23" s="699" t="s">
        <v>921</v>
      </c>
      <c r="O23" s="672">
        <f>_xlfn.IFNA(VLOOKUP(N23,[2]PIVOT!$F$15:$G$20,2,FALSE),0)</f>
        <v>0</v>
      </c>
      <c r="P23" s="673">
        <v>0</v>
      </c>
      <c r="Q23" s="674">
        <f>P23+-O23</f>
        <v>0</v>
      </c>
      <c r="R23" s="700"/>
      <c r="S23" s="696">
        <f>_xlfn.IFNA(VLOOKUP(N23,[2]PIVOT!$AD$15:$AE$18,2,FALSE),0)</f>
        <v>0</v>
      </c>
      <c r="T23" s="673">
        <f>_xlfn.IFNA(VLOOKUP(N23,[2]PIVOT!$AP$5:$AQ$100,2,FALSE),0)</f>
        <v>0</v>
      </c>
      <c r="U23" s="678">
        <f>T23+-S23</f>
        <v>0</v>
      </c>
      <c r="V23" s="700"/>
      <c r="W23" s="696">
        <f>_xlfn.IFNA(VLOOKUP(N23,[2]PIVOT!$CR$6:$CS$18,2,FALSE),0)</f>
        <v>6</v>
      </c>
      <c r="X23" s="673">
        <v>0</v>
      </c>
      <c r="Y23" s="678">
        <f>X23+-W23</f>
        <v>-6</v>
      </c>
      <c r="Z23" s="700"/>
      <c r="AA23" s="696">
        <f>O23+S23+W23</f>
        <v>6</v>
      </c>
      <c r="AB23" s="696">
        <f t="shared" si="0"/>
        <v>0</v>
      </c>
      <c r="AC23" s="678">
        <f>Q23+U23+Y23</f>
        <v>-6</v>
      </c>
    </row>
    <row r="24" spans="1:29" ht="17.399999999999999">
      <c r="A24" s="931" t="s">
        <v>623</v>
      </c>
      <c r="B24" s="862">
        <v>3331556834</v>
      </c>
      <c r="C24" s="862" t="s">
        <v>462</v>
      </c>
      <c r="D24" s="449">
        <v>24141017</v>
      </c>
      <c r="E24" s="449" t="s">
        <v>219</v>
      </c>
      <c r="F24" s="612" t="s">
        <v>199</v>
      </c>
      <c r="G24" s="450">
        <v>25225.45</v>
      </c>
      <c r="H24" s="449" t="s">
        <v>200</v>
      </c>
      <c r="I24" s="862">
        <v>1</v>
      </c>
      <c r="J24" s="932">
        <v>1</v>
      </c>
      <c r="K24" s="613" t="s">
        <v>204</v>
      </c>
      <c r="L24" s="912"/>
      <c r="N24" s="701"/>
      <c r="O24" s="663">
        <f>SUM(O20:O23)</f>
        <v>32</v>
      </c>
      <c r="P24" s="683">
        <f>SUM(P20:P23)</f>
        <v>0</v>
      </c>
      <c r="Q24" s="702">
        <f>SUM(Q20:Q23)</f>
        <v>-32</v>
      </c>
      <c r="R24" s="681"/>
      <c r="S24" s="682">
        <f>SUM(S20:S23)</f>
        <v>0</v>
      </c>
      <c r="T24" s="683">
        <f>SUM(T20:T23)</f>
        <v>0</v>
      </c>
      <c r="U24" s="684">
        <f>SUM(U20:U23)</f>
        <v>0</v>
      </c>
      <c r="V24" s="681"/>
      <c r="W24" s="682">
        <f>SUM(W20:W23)</f>
        <v>26</v>
      </c>
      <c r="X24" s="683">
        <f>SUM(X20:X23)</f>
        <v>0</v>
      </c>
      <c r="Y24" s="684">
        <f>SUM(Y20:Y23)</f>
        <v>-26</v>
      </c>
      <c r="Z24" s="681"/>
      <c r="AA24" s="686">
        <f>O24+S24+W24</f>
        <v>58</v>
      </c>
      <c r="AB24" s="686">
        <f>P24+T24+X24</f>
        <v>0</v>
      </c>
      <c r="AC24" s="687">
        <f>Q24+U24+Y24</f>
        <v>-58</v>
      </c>
    </row>
    <row r="25" spans="1:29" ht="15.6">
      <c r="A25" s="931" t="s">
        <v>623</v>
      </c>
      <c r="B25" s="862">
        <v>3331556201</v>
      </c>
      <c r="C25" s="862" t="s">
        <v>27</v>
      </c>
      <c r="D25" s="449">
        <v>24141018</v>
      </c>
      <c r="E25" s="449" t="s">
        <v>498</v>
      </c>
      <c r="F25" s="612" t="s">
        <v>199</v>
      </c>
      <c r="G25" s="450">
        <f>11568.749+4232.745+2752.416</f>
        <v>18553.91</v>
      </c>
      <c r="H25" s="449" t="s">
        <v>200</v>
      </c>
      <c r="I25" s="862">
        <v>1</v>
      </c>
      <c r="J25" s="932">
        <v>1</v>
      </c>
      <c r="K25" s="613" t="s">
        <v>204</v>
      </c>
      <c r="L25" s="912"/>
      <c r="N25" s="681"/>
      <c r="O25" s="681"/>
      <c r="P25" s="681"/>
      <c r="Q25" s="681"/>
      <c r="R25" s="681"/>
      <c r="S25" s="681"/>
      <c r="T25" s="681"/>
      <c r="U25" s="681"/>
      <c r="V25" s="703"/>
      <c r="W25" s="681"/>
      <c r="X25" s="681"/>
      <c r="Y25" s="681"/>
      <c r="Z25" s="703"/>
      <c r="AA25" s="703"/>
      <c r="AB25" s="681"/>
      <c r="AC25" s="681"/>
    </row>
    <row r="26" spans="1:29" ht="15.6">
      <c r="A26" s="931" t="s">
        <v>623</v>
      </c>
      <c r="B26" s="862">
        <v>3331556214</v>
      </c>
      <c r="C26" s="862" t="s">
        <v>256</v>
      </c>
      <c r="D26" s="449" t="s">
        <v>256</v>
      </c>
      <c r="E26" s="449" t="s">
        <v>256</v>
      </c>
      <c r="F26" s="612" t="s">
        <v>256</v>
      </c>
      <c r="G26" s="450" t="s">
        <v>256</v>
      </c>
      <c r="H26" s="449" t="s">
        <v>256</v>
      </c>
      <c r="I26" s="862" t="s">
        <v>256</v>
      </c>
      <c r="J26" s="932" t="s">
        <v>256</v>
      </c>
      <c r="K26" s="613" t="str">
        <f>SUBSTITUTE(Table1346578910111412[[#This Row],[AREA]], "JABODETABE", "BELUM MASU")</f>
        <v>=</v>
      </c>
      <c r="L26" s="912"/>
      <c r="N26" s="681"/>
      <c r="O26" s="681"/>
      <c r="P26" s="681"/>
      <c r="Q26" s="681"/>
      <c r="R26" s="681"/>
      <c r="S26" s="681"/>
      <c r="T26" s="681"/>
      <c r="U26" s="681"/>
      <c r="V26" s="681"/>
      <c r="W26" s="681"/>
      <c r="X26" s="681"/>
      <c r="Y26" s="681"/>
      <c r="Z26" s="681"/>
      <c r="AA26" s="681"/>
      <c r="AB26" s="681"/>
      <c r="AC26" s="681"/>
    </row>
    <row r="27" spans="1:29" ht="17.399999999999999">
      <c r="A27" s="931" t="s">
        <v>623</v>
      </c>
      <c r="B27" s="862">
        <v>3331556819</v>
      </c>
      <c r="C27" s="862" t="s">
        <v>256</v>
      </c>
      <c r="D27" s="449" t="s">
        <v>256</v>
      </c>
      <c r="E27" s="449" t="s">
        <v>256</v>
      </c>
      <c r="F27" s="612" t="s">
        <v>256</v>
      </c>
      <c r="G27" s="450" t="s">
        <v>256</v>
      </c>
      <c r="H27" s="449" t="s">
        <v>256</v>
      </c>
      <c r="I27" s="862" t="s">
        <v>256</v>
      </c>
      <c r="J27" s="932" t="s">
        <v>256</v>
      </c>
      <c r="K27" s="613" t="str">
        <f>SUBSTITUTE(Table1346578910111412[[#This Row],[AREA]], "JABODETABE", "BELUM MASU")</f>
        <v>=</v>
      </c>
      <c r="L27" s="912"/>
      <c r="N27" s="1594" t="s">
        <v>434</v>
      </c>
      <c r="O27" s="1596" t="s">
        <v>415</v>
      </c>
      <c r="P27" s="1597"/>
      <c r="Q27" s="1598"/>
      <c r="R27" s="681"/>
      <c r="S27" s="681"/>
      <c r="T27" s="681"/>
      <c r="U27" s="681"/>
      <c r="V27" s="681"/>
      <c r="W27" s="681"/>
      <c r="X27" s="681"/>
      <c r="Y27" s="681"/>
      <c r="Z27" s="681"/>
      <c r="AA27" s="681"/>
      <c r="AB27" s="681"/>
      <c r="AC27" s="681"/>
    </row>
    <row r="28" spans="1:29" ht="17.399999999999999">
      <c r="A28" s="931" t="s">
        <v>623</v>
      </c>
      <c r="B28" s="862">
        <v>3331556837</v>
      </c>
      <c r="C28" s="862" t="s">
        <v>287</v>
      </c>
      <c r="D28" s="449">
        <v>24141019</v>
      </c>
      <c r="E28" s="449" t="s">
        <v>150</v>
      </c>
      <c r="F28" s="612" t="s">
        <v>199</v>
      </c>
      <c r="G28" s="450">
        <v>25201.182000000001</v>
      </c>
      <c r="H28" s="449" t="s">
        <v>200</v>
      </c>
      <c r="I28" s="862">
        <v>1</v>
      </c>
      <c r="J28" s="932">
        <v>1</v>
      </c>
      <c r="K28" s="613" t="s">
        <v>204</v>
      </c>
      <c r="L28" s="912"/>
      <c r="N28" s="1595"/>
      <c r="O28" s="692" t="s">
        <v>419</v>
      </c>
      <c r="P28" s="693" t="s">
        <v>420</v>
      </c>
      <c r="Q28" s="692" t="s">
        <v>421</v>
      </c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</row>
    <row r="29" spans="1:29" ht="18">
      <c r="A29" s="931" t="s">
        <v>623</v>
      </c>
      <c r="B29" s="862">
        <v>3331556835</v>
      </c>
      <c r="C29" s="862" t="s">
        <v>27</v>
      </c>
      <c r="D29" s="449">
        <v>24141020</v>
      </c>
      <c r="E29" s="449" t="s">
        <v>219</v>
      </c>
      <c r="F29" s="612" t="s">
        <v>199</v>
      </c>
      <c r="G29" s="450">
        <f>2468.157+23344.23</f>
        <v>25812.386999999999</v>
      </c>
      <c r="H29" s="449" t="s">
        <v>200</v>
      </c>
      <c r="I29" s="862">
        <v>1</v>
      </c>
      <c r="J29" s="932">
        <v>1</v>
      </c>
      <c r="K29" s="613" t="s">
        <v>204</v>
      </c>
      <c r="L29" s="912"/>
      <c r="N29" s="671" t="s">
        <v>427</v>
      </c>
      <c r="O29" s="696">
        <v>0</v>
      </c>
      <c r="P29" s="704">
        <v>0</v>
      </c>
      <c r="Q29" s="678">
        <f>P29+-O29</f>
        <v>0</v>
      </c>
      <c r="R29" s="681"/>
      <c r="S29" s="681"/>
      <c r="T29" s="681"/>
      <c r="U29" s="681"/>
      <c r="V29" s="681"/>
      <c r="W29" s="681"/>
      <c r="X29" s="681"/>
      <c r="Y29" s="681"/>
      <c r="Z29" s="681"/>
      <c r="AA29" s="681"/>
      <c r="AB29" s="681"/>
      <c r="AC29" s="681"/>
    </row>
    <row r="30" spans="1:29" ht="17.399999999999999">
      <c r="A30" s="931" t="s">
        <v>623</v>
      </c>
      <c r="B30" s="862">
        <v>3331556836</v>
      </c>
      <c r="C30" s="862" t="s">
        <v>256</v>
      </c>
      <c r="D30" s="449" t="s">
        <v>256</v>
      </c>
      <c r="E30" s="449" t="s">
        <v>256</v>
      </c>
      <c r="F30" s="612" t="s">
        <v>256</v>
      </c>
      <c r="G30" s="450" t="s">
        <v>256</v>
      </c>
      <c r="H30" s="449" t="s">
        <v>256</v>
      </c>
      <c r="I30" s="862" t="s">
        <v>256</v>
      </c>
      <c r="J30" s="932" t="s">
        <v>256</v>
      </c>
      <c r="K30" s="613" t="str">
        <f>SUBSTITUTE(Table1346578910111412[[#This Row],[AREA]], "JABODETABE", "BELUM MASU")</f>
        <v>=</v>
      </c>
      <c r="L30" s="912"/>
      <c r="N30" s="681"/>
      <c r="O30" s="705">
        <f>SUM(O26:O29)</f>
        <v>0</v>
      </c>
      <c r="P30" s="686">
        <f>SUM(P26:P29)</f>
        <v>0</v>
      </c>
      <c r="Q30" s="706">
        <f>SUM(Q26:Q29)</f>
        <v>0</v>
      </c>
      <c r="R30" s="681"/>
      <c r="S30" s="681"/>
      <c r="T30" s="681"/>
      <c r="U30" s="681"/>
      <c r="V30" s="681"/>
      <c r="W30" s="681"/>
      <c r="X30" s="681"/>
      <c r="Y30" s="681"/>
      <c r="Z30" s="681"/>
      <c r="AA30" s="681"/>
      <c r="AB30" s="681"/>
      <c r="AC30" s="681"/>
    </row>
    <row r="31" spans="1:29" ht="15.6">
      <c r="A31" s="931" t="s">
        <v>623</v>
      </c>
      <c r="B31" s="862">
        <v>3331556845</v>
      </c>
      <c r="C31" s="862" t="s">
        <v>11</v>
      </c>
      <c r="D31" s="449">
        <v>24141021</v>
      </c>
      <c r="E31" s="449" t="s">
        <v>150</v>
      </c>
      <c r="F31" s="612" t="s">
        <v>340</v>
      </c>
      <c r="G31" s="450">
        <v>24421.763999999999</v>
      </c>
      <c r="H31" s="449" t="s">
        <v>200</v>
      </c>
      <c r="I31" s="862">
        <v>1</v>
      </c>
      <c r="J31" s="932">
        <v>1</v>
      </c>
      <c r="K31" s="613" t="s">
        <v>204</v>
      </c>
      <c r="L31" s="912"/>
      <c r="N31" s="660"/>
      <c r="O31" s="660"/>
      <c r="P31" s="660"/>
      <c r="Q31" s="660"/>
      <c r="R31" s="660"/>
      <c r="S31" s="660"/>
      <c r="T31" s="660"/>
      <c r="U31" s="660"/>
      <c r="V31" s="660"/>
      <c r="W31" s="660"/>
      <c r="X31" s="660"/>
      <c r="Y31" s="660"/>
      <c r="Z31" s="660"/>
      <c r="AA31" s="660"/>
      <c r="AB31" s="660"/>
      <c r="AC31" s="660"/>
    </row>
    <row r="32" spans="1:29" s="619" customFormat="1" ht="15.6">
      <c r="A32" s="629" t="s">
        <v>355</v>
      </c>
      <c r="B32" s="630">
        <v>3331556840</v>
      </c>
      <c r="C32" s="630" t="s">
        <v>206</v>
      </c>
      <c r="D32" s="630">
        <v>24141024</v>
      </c>
      <c r="E32" s="630" t="s">
        <v>224</v>
      </c>
      <c r="F32" s="631" t="s">
        <v>344</v>
      </c>
      <c r="G32" s="933">
        <v>35073.81</v>
      </c>
      <c r="H32" s="630" t="s">
        <v>128</v>
      </c>
      <c r="I32" s="630">
        <v>1</v>
      </c>
      <c r="J32" s="712">
        <v>1</v>
      </c>
      <c r="K32" s="632" t="s">
        <v>204</v>
      </c>
      <c r="L32" s="618"/>
    </row>
    <row r="33" spans="1:12" s="619" customFormat="1" ht="15.6">
      <c r="A33" s="614" t="s">
        <v>355</v>
      </c>
      <c r="B33" s="615">
        <v>3331556846</v>
      </c>
      <c r="C33" s="615" t="s">
        <v>206</v>
      </c>
      <c r="D33" s="615">
        <v>24141025</v>
      </c>
      <c r="E33" s="615" t="s">
        <v>224</v>
      </c>
      <c r="F33" s="616" t="s">
        <v>344</v>
      </c>
      <c r="G33" s="934">
        <v>36199.635999999999</v>
      </c>
      <c r="H33" s="615" t="s">
        <v>128</v>
      </c>
      <c r="I33" s="615">
        <v>1</v>
      </c>
      <c r="J33" s="713">
        <v>1</v>
      </c>
      <c r="K33" s="617" t="s">
        <v>207</v>
      </c>
      <c r="L33" s="618"/>
    </row>
    <row r="34" spans="1:12" s="619" customFormat="1" ht="15.6">
      <c r="A34" s="620" t="s">
        <v>355</v>
      </c>
      <c r="B34" s="621">
        <v>3331556847</v>
      </c>
      <c r="C34" s="615" t="s">
        <v>206</v>
      </c>
      <c r="D34" s="621">
        <v>24141031</v>
      </c>
      <c r="E34" s="616" t="s">
        <v>224</v>
      </c>
      <c r="F34" s="616" t="s">
        <v>344</v>
      </c>
      <c r="G34" s="622">
        <f>11096.18+24768.172</f>
        <v>35864.351999999999</v>
      </c>
      <c r="H34" s="616" t="s">
        <v>128</v>
      </c>
      <c r="I34" s="621">
        <v>1</v>
      </c>
      <c r="J34" s="714">
        <v>1</v>
      </c>
      <c r="K34" s="617" t="s">
        <v>207</v>
      </c>
      <c r="L34" s="618"/>
    </row>
    <row r="35" spans="1:12" s="619" customFormat="1" ht="15.6">
      <c r="A35" s="620" t="s">
        <v>355</v>
      </c>
      <c r="B35" s="621">
        <v>3331556855</v>
      </c>
      <c r="C35" s="621" t="s">
        <v>256</v>
      </c>
      <c r="D35" s="623" t="s">
        <v>256</v>
      </c>
      <c r="E35" s="623" t="s">
        <v>256</v>
      </c>
      <c r="F35" s="624" t="s">
        <v>256</v>
      </c>
      <c r="G35" s="622" t="s">
        <v>256</v>
      </c>
      <c r="H35" s="623" t="s">
        <v>256</v>
      </c>
      <c r="I35" s="621" t="s">
        <v>256</v>
      </c>
      <c r="J35" s="714" t="s">
        <v>256</v>
      </c>
      <c r="K35" s="617" t="str">
        <f>SUBSTITUTE(Table1346578910111412[[#This Row],[AREA]], "JABODETABE", "BELUM MASU")</f>
        <v>=</v>
      </c>
      <c r="L35" s="618"/>
    </row>
    <row r="36" spans="1:12" s="625" customFormat="1" ht="15.6">
      <c r="A36" s="629" t="s">
        <v>623</v>
      </c>
      <c r="B36" s="630">
        <v>3331556839</v>
      </c>
      <c r="C36" s="630" t="s">
        <v>152</v>
      </c>
      <c r="D36" s="630">
        <v>24141027</v>
      </c>
      <c r="E36" s="631" t="s">
        <v>303</v>
      </c>
      <c r="F36" s="631" t="s">
        <v>338</v>
      </c>
      <c r="G36" s="933">
        <f>2408.364+27972.446</f>
        <v>30380.81</v>
      </c>
      <c r="H36" s="630" t="s">
        <v>200</v>
      </c>
      <c r="I36" s="630">
        <v>1</v>
      </c>
      <c r="J36" s="712">
        <v>1</v>
      </c>
      <c r="K36" s="632" t="s">
        <v>204</v>
      </c>
      <c r="L36" s="618"/>
    </row>
    <row r="37" spans="1:12" s="625" customFormat="1" ht="15.6">
      <c r="A37" s="629" t="s">
        <v>355</v>
      </c>
      <c r="B37" s="630">
        <v>3331556842</v>
      </c>
      <c r="C37" s="630" t="s">
        <v>256</v>
      </c>
      <c r="D37" s="644"/>
      <c r="E37" s="644" t="s">
        <v>256</v>
      </c>
      <c r="F37" s="631" t="s">
        <v>256</v>
      </c>
      <c r="G37" s="645" t="s">
        <v>256</v>
      </c>
      <c r="H37" s="644" t="s">
        <v>256</v>
      </c>
      <c r="I37" s="630" t="s">
        <v>256</v>
      </c>
      <c r="J37" s="712" t="s">
        <v>256</v>
      </c>
      <c r="K37" s="632" t="str">
        <f>SUBSTITUTE(Table1346578910111412[[#This Row],[AREA]], "JABODETABE", "BELUM MASU")</f>
        <v>=</v>
      </c>
      <c r="L37" s="618"/>
    </row>
    <row r="38" spans="1:12" s="625" customFormat="1" ht="15.6">
      <c r="A38" s="646" t="s">
        <v>623</v>
      </c>
      <c r="B38" s="647">
        <v>3331556865</v>
      </c>
      <c r="C38" s="630" t="s">
        <v>206</v>
      </c>
      <c r="D38" s="647">
        <v>24141036</v>
      </c>
      <c r="E38" s="647" t="s">
        <v>226</v>
      </c>
      <c r="F38" s="648" t="s">
        <v>344</v>
      </c>
      <c r="G38" s="935">
        <v>35333.616000000002</v>
      </c>
      <c r="H38" s="647" t="s">
        <v>128</v>
      </c>
      <c r="I38" s="649">
        <v>1</v>
      </c>
      <c r="J38" s="715">
        <v>1</v>
      </c>
      <c r="K38" s="709" t="s">
        <v>204</v>
      </c>
      <c r="L38" s="628"/>
    </row>
    <row r="39" spans="1:12" s="625" customFormat="1" ht="15.6">
      <c r="A39" s="646" t="s">
        <v>623</v>
      </c>
      <c r="B39" s="647">
        <v>3331556880</v>
      </c>
      <c r="C39" s="630" t="s">
        <v>27</v>
      </c>
      <c r="D39" s="647">
        <v>24141035</v>
      </c>
      <c r="E39" s="648" t="s">
        <v>226</v>
      </c>
      <c r="F39" s="648" t="s">
        <v>344</v>
      </c>
      <c r="G39" s="653">
        <v>34034.586000000003</v>
      </c>
      <c r="H39" s="648" t="s">
        <v>128</v>
      </c>
      <c r="I39" s="647">
        <v>1</v>
      </c>
      <c r="J39" s="716">
        <v>1</v>
      </c>
      <c r="K39" s="632" t="s">
        <v>204</v>
      </c>
      <c r="L39" s="618"/>
    </row>
    <row r="40" spans="1:12" s="619" customFormat="1" ht="15.6">
      <c r="A40" s="634" t="s">
        <v>514</v>
      </c>
      <c r="B40" s="621">
        <v>3331556938</v>
      </c>
      <c r="C40" s="615" t="s">
        <v>457</v>
      </c>
      <c r="D40" s="936">
        <v>24141047</v>
      </c>
      <c r="E40" s="936" t="s">
        <v>446</v>
      </c>
      <c r="F40" s="624" t="s">
        <v>338</v>
      </c>
      <c r="G40" s="937">
        <v>41372.252999999997</v>
      </c>
      <c r="H40" s="624" t="s">
        <v>128</v>
      </c>
      <c r="I40" s="621">
        <v>1</v>
      </c>
      <c r="J40" s="714">
        <v>1</v>
      </c>
      <c r="K40" s="617" t="s">
        <v>207</v>
      </c>
      <c r="L40" s="618"/>
    </row>
    <row r="41" spans="1:12" s="619" customFormat="1" ht="15.6">
      <c r="A41" s="897" t="s">
        <v>623</v>
      </c>
      <c r="B41" s="647">
        <v>3331556942</v>
      </c>
      <c r="C41" s="654" t="s">
        <v>336</v>
      </c>
      <c r="D41" s="938">
        <v>24141048</v>
      </c>
      <c r="E41" s="657" t="s">
        <v>446</v>
      </c>
      <c r="F41" s="648" t="s">
        <v>338</v>
      </c>
      <c r="G41" s="939">
        <v>36168.466999999997</v>
      </c>
      <c r="H41" s="648" t="s">
        <v>128</v>
      </c>
      <c r="I41" s="647">
        <v>1</v>
      </c>
      <c r="J41" s="716">
        <v>1</v>
      </c>
      <c r="K41" s="632" t="s">
        <v>204</v>
      </c>
      <c r="L41" s="656"/>
    </row>
    <row r="42" spans="1:12" s="619" customFormat="1" ht="15.6">
      <c r="A42" s="940" t="s">
        <v>623</v>
      </c>
      <c r="B42" s="621">
        <v>3331556946</v>
      </c>
      <c r="C42" s="643" t="s">
        <v>206</v>
      </c>
      <c r="D42" s="936">
        <v>24141049</v>
      </c>
      <c r="E42" s="637" t="s">
        <v>446</v>
      </c>
      <c r="F42" s="624" t="s">
        <v>338</v>
      </c>
      <c r="G42" s="937">
        <f>9289.404+28389.32</f>
        <v>37678.724000000002</v>
      </c>
      <c r="H42" s="624" t="s">
        <v>128</v>
      </c>
      <c r="I42" s="621">
        <v>1</v>
      </c>
      <c r="J42" s="714">
        <v>1</v>
      </c>
      <c r="K42" s="617" t="s">
        <v>207</v>
      </c>
      <c r="L42" s="628"/>
    </row>
    <row r="43" spans="1:12" s="619" customFormat="1" ht="15.6">
      <c r="A43" s="940" t="s">
        <v>623</v>
      </c>
      <c r="B43" s="621">
        <v>3331556949</v>
      </c>
      <c r="C43" s="643" t="s">
        <v>256</v>
      </c>
      <c r="D43" s="936" t="s">
        <v>256</v>
      </c>
      <c r="E43" s="936" t="s">
        <v>256</v>
      </c>
      <c r="F43" s="624" t="s">
        <v>256</v>
      </c>
      <c r="G43" s="937" t="s">
        <v>256</v>
      </c>
      <c r="H43" s="936" t="s">
        <v>256</v>
      </c>
      <c r="I43" s="621" t="s">
        <v>256</v>
      </c>
      <c r="J43" s="714" t="s">
        <v>256</v>
      </c>
      <c r="K43" s="710" t="s">
        <v>256</v>
      </c>
      <c r="L43" s="628"/>
    </row>
    <row r="44" spans="1:12" s="619" customFormat="1" ht="15.6">
      <c r="A44" s="940" t="s">
        <v>623</v>
      </c>
      <c r="B44" s="621">
        <v>3331556959</v>
      </c>
      <c r="C44" s="643" t="s">
        <v>206</v>
      </c>
      <c r="D44" s="936">
        <v>24141050</v>
      </c>
      <c r="E44" s="637" t="s">
        <v>446</v>
      </c>
      <c r="F44" s="624" t="s">
        <v>338</v>
      </c>
      <c r="G44" s="937">
        <v>38992.811999999998</v>
      </c>
      <c r="H44" s="624" t="s">
        <v>128</v>
      </c>
      <c r="I44" s="621">
        <v>1</v>
      </c>
      <c r="J44" s="714">
        <v>1</v>
      </c>
      <c r="K44" s="617" t="s">
        <v>207</v>
      </c>
      <c r="L44" s="628"/>
    </row>
    <row r="45" spans="1:12" s="619" customFormat="1" ht="15.6">
      <c r="A45" s="897" t="s">
        <v>623</v>
      </c>
      <c r="B45" s="647">
        <v>3331556979</v>
      </c>
      <c r="C45" s="654" t="s">
        <v>336</v>
      </c>
      <c r="D45" s="938">
        <v>24141053</v>
      </c>
      <c r="E45" s="938" t="s">
        <v>625</v>
      </c>
      <c r="F45" s="648" t="s">
        <v>344</v>
      </c>
      <c r="G45" s="939">
        <v>40563.932000000001</v>
      </c>
      <c r="H45" s="648" t="s">
        <v>128</v>
      </c>
      <c r="I45" s="647">
        <v>1</v>
      </c>
      <c r="J45" s="716">
        <v>0</v>
      </c>
      <c r="K45" s="632" t="s">
        <v>207</v>
      </c>
      <c r="L45" s="656"/>
    </row>
    <row r="46" spans="1:12" s="619" customFormat="1" ht="15.6">
      <c r="A46" s="940" t="s">
        <v>623</v>
      </c>
      <c r="B46" s="621">
        <v>3331556964</v>
      </c>
      <c r="C46" s="626" t="s">
        <v>359</v>
      </c>
      <c r="D46" s="936">
        <v>24141054</v>
      </c>
      <c r="E46" s="936" t="s">
        <v>625</v>
      </c>
      <c r="F46" s="624" t="s">
        <v>344</v>
      </c>
      <c r="G46" s="937">
        <f>17804.691+8908.885+1539.18+3554.198</f>
        <v>31806.954000000002</v>
      </c>
      <c r="H46" s="624" t="s">
        <v>128</v>
      </c>
      <c r="I46" s="621">
        <v>1</v>
      </c>
      <c r="J46" s="714">
        <v>0</v>
      </c>
      <c r="K46" s="617" t="s">
        <v>207</v>
      </c>
      <c r="L46" s="628"/>
    </row>
    <row r="47" spans="1:12" s="619" customFormat="1" ht="15.6">
      <c r="A47" s="940" t="s">
        <v>623</v>
      </c>
      <c r="B47" s="621">
        <v>3331556966</v>
      </c>
      <c r="C47" s="887" t="s">
        <v>256</v>
      </c>
      <c r="D47" s="480" t="s">
        <v>256</v>
      </c>
      <c r="E47" s="480" t="s">
        <v>256</v>
      </c>
      <c r="F47" s="633" t="s">
        <v>256</v>
      </c>
      <c r="G47" s="481" t="s">
        <v>256</v>
      </c>
      <c r="H47" s="480" t="s">
        <v>256</v>
      </c>
      <c r="I47" s="627" t="s">
        <v>256</v>
      </c>
      <c r="J47" s="717" t="s">
        <v>256</v>
      </c>
      <c r="K47" s="711" t="str">
        <f>SUBSTITUTE(Table1346578910111412[[#This Row],[AREA]], "JABODETABE", "BELUM MASU")</f>
        <v>=</v>
      </c>
      <c r="L47" s="628"/>
    </row>
    <row r="48" spans="1:12" s="619" customFormat="1" ht="15.6">
      <c r="A48" s="940" t="s">
        <v>623</v>
      </c>
      <c r="B48" s="621">
        <v>3331556971</v>
      </c>
      <c r="C48" s="887" t="s">
        <v>256</v>
      </c>
      <c r="D48" s="480" t="s">
        <v>256</v>
      </c>
      <c r="E48" s="480" t="s">
        <v>256</v>
      </c>
      <c r="F48" s="633" t="s">
        <v>256</v>
      </c>
      <c r="G48" s="481" t="s">
        <v>256</v>
      </c>
      <c r="H48" s="480" t="s">
        <v>256</v>
      </c>
      <c r="I48" s="627" t="s">
        <v>256</v>
      </c>
      <c r="J48" s="717" t="s">
        <v>256</v>
      </c>
      <c r="K48" s="711" t="str">
        <f>SUBSTITUTE(Table1346578910111412[[#This Row],[AREA]], "JABODETABE", "BELUM MASU")</f>
        <v>=</v>
      </c>
      <c r="L48" s="628"/>
    </row>
    <row r="49" spans="1:12" s="619" customFormat="1" ht="15.6">
      <c r="A49" s="940" t="s">
        <v>623</v>
      </c>
      <c r="B49" s="621">
        <v>3331556973</v>
      </c>
      <c r="C49" s="887" t="s">
        <v>256</v>
      </c>
      <c r="D49" s="480" t="s">
        <v>256</v>
      </c>
      <c r="E49" s="480" t="s">
        <v>256</v>
      </c>
      <c r="F49" s="633" t="s">
        <v>256</v>
      </c>
      <c r="G49" s="481" t="s">
        <v>256</v>
      </c>
      <c r="H49" s="480" t="s">
        <v>256</v>
      </c>
      <c r="I49" s="627" t="s">
        <v>256</v>
      </c>
      <c r="J49" s="717" t="s">
        <v>256</v>
      </c>
      <c r="K49" s="711" t="str">
        <f>SUBSTITUTE(Table1346578910111412[[#This Row],[AREA]], "JABODETABE", "BELUM MASU")</f>
        <v>=</v>
      </c>
      <c r="L49" s="628"/>
    </row>
    <row r="50" spans="1:12" s="619" customFormat="1" ht="15.6">
      <c r="A50" s="940" t="s">
        <v>623</v>
      </c>
      <c r="B50" s="621">
        <v>3331556984</v>
      </c>
      <c r="C50" s="626" t="s">
        <v>359</v>
      </c>
      <c r="D50" s="936">
        <v>24141056</v>
      </c>
      <c r="E50" s="637" t="s">
        <v>625</v>
      </c>
      <c r="F50" s="624" t="s">
        <v>344</v>
      </c>
      <c r="G50" s="636">
        <v>40623.035000000003</v>
      </c>
      <c r="H50" s="624" t="s">
        <v>128</v>
      </c>
      <c r="I50" s="621">
        <v>1</v>
      </c>
      <c r="J50" s="714">
        <v>0</v>
      </c>
      <c r="K50" s="617" t="s">
        <v>207</v>
      </c>
      <c r="L50" s="628"/>
    </row>
    <row r="51" spans="1:12" s="619" customFormat="1" ht="15.6">
      <c r="A51" s="897" t="s">
        <v>623</v>
      </c>
      <c r="B51" s="647">
        <v>3331556909</v>
      </c>
      <c r="C51" s="654" t="s">
        <v>336</v>
      </c>
      <c r="D51" s="938">
        <v>24141057</v>
      </c>
      <c r="E51" s="938" t="s">
        <v>253</v>
      </c>
      <c r="F51" s="648" t="s">
        <v>338</v>
      </c>
      <c r="G51" s="655">
        <v>35719.919999999998</v>
      </c>
      <c r="H51" s="648" t="s">
        <v>128</v>
      </c>
      <c r="I51" s="647">
        <v>1</v>
      </c>
      <c r="J51" s="716">
        <v>1</v>
      </c>
      <c r="K51" s="632" t="s">
        <v>204</v>
      </c>
      <c r="L51" s="656"/>
    </row>
    <row r="52" spans="1:12" s="619" customFormat="1" ht="15.6">
      <c r="A52" s="940" t="s">
        <v>623</v>
      </c>
      <c r="B52" s="621">
        <v>3331556986</v>
      </c>
      <c r="C52" s="626" t="s">
        <v>359</v>
      </c>
      <c r="D52" s="936">
        <v>24141058</v>
      </c>
      <c r="E52" s="637" t="s">
        <v>625</v>
      </c>
      <c r="F52" s="624" t="s">
        <v>344</v>
      </c>
      <c r="G52" s="636">
        <f>15990.37+23653.826</f>
        <v>39644.196000000004</v>
      </c>
      <c r="H52" s="624" t="s">
        <v>128</v>
      </c>
      <c r="I52" s="621">
        <v>1</v>
      </c>
      <c r="J52" s="714">
        <v>0</v>
      </c>
      <c r="K52" s="617" t="s">
        <v>207</v>
      </c>
      <c r="L52" s="628"/>
    </row>
    <row r="53" spans="1:12" s="619" customFormat="1" ht="15.6">
      <c r="A53" s="940" t="s">
        <v>623</v>
      </c>
      <c r="B53" s="621">
        <v>3331556993</v>
      </c>
      <c r="C53" s="887" t="s">
        <v>256</v>
      </c>
      <c r="D53" s="936" t="s">
        <v>256</v>
      </c>
      <c r="E53" s="635" t="s">
        <v>256</v>
      </c>
      <c r="F53" s="624" t="s">
        <v>256</v>
      </c>
      <c r="G53" s="636" t="s">
        <v>256</v>
      </c>
      <c r="H53" s="635" t="s">
        <v>256</v>
      </c>
      <c r="I53" s="621" t="s">
        <v>256</v>
      </c>
      <c r="J53" s="714" t="s">
        <v>256</v>
      </c>
      <c r="K53" s="617" t="s">
        <v>207</v>
      </c>
      <c r="L53" s="628"/>
    </row>
    <row r="54" spans="1:12" s="619" customFormat="1" ht="15.6">
      <c r="A54" s="640" t="s">
        <v>623</v>
      </c>
      <c r="B54" s="639">
        <v>3331556995</v>
      </c>
      <c r="C54" s="638" t="s">
        <v>359</v>
      </c>
      <c r="D54" s="579">
        <v>24141059</v>
      </c>
      <c r="E54" s="579" t="s">
        <v>625</v>
      </c>
      <c r="F54" s="641" t="s">
        <v>344</v>
      </c>
      <c r="G54" s="642">
        <v>40814.427000000003</v>
      </c>
      <c r="H54" s="641" t="s">
        <v>128</v>
      </c>
      <c r="I54" s="639">
        <v>1</v>
      </c>
      <c r="J54" s="717">
        <v>0</v>
      </c>
      <c r="K54" s="617" t="s">
        <v>207</v>
      </c>
      <c r="L54" s="628"/>
    </row>
    <row r="55" spans="1:12" s="619" customFormat="1" ht="15.6">
      <c r="A55" s="940" t="s">
        <v>623</v>
      </c>
      <c r="B55" s="627">
        <v>3331557018</v>
      </c>
      <c r="C55" s="639" t="s">
        <v>206</v>
      </c>
      <c r="D55" s="480">
        <v>24141067</v>
      </c>
      <c r="E55" s="480" t="s">
        <v>922</v>
      </c>
      <c r="F55" s="624" t="s">
        <v>338</v>
      </c>
      <c r="G55" s="481">
        <v>41045.557000000001</v>
      </c>
      <c r="H55" s="641" t="s">
        <v>128</v>
      </c>
      <c r="I55" s="639">
        <v>1</v>
      </c>
      <c r="J55" s="717">
        <v>0</v>
      </c>
      <c r="K55" s="617" t="s">
        <v>207</v>
      </c>
      <c r="L55" s="628"/>
    </row>
    <row r="56" spans="1:12" s="619" customFormat="1" ht="15.6">
      <c r="A56" s="940" t="s">
        <v>623</v>
      </c>
      <c r="B56" s="627">
        <v>3331557023</v>
      </c>
      <c r="C56" s="639" t="s">
        <v>206</v>
      </c>
      <c r="D56" s="480">
        <v>24141068</v>
      </c>
      <c r="E56" s="480" t="s">
        <v>922</v>
      </c>
      <c r="F56" s="624" t="s">
        <v>338</v>
      </c>
      <c r="G56" s="481">
        <v>40369.741999999998</v>
      </c>
      <c r="H56" s="641" t="s">
        <v>128</v>
      </c>
      <c r="I56" s="639">
        <v>1</v>
      </c>
      <c r="J56" s="717">
        <v>0</v>
      </c>
      <c r="K56" s="617" t="s">
        <v>207</v>
      </c>
      <c r="L56" s="628"/>
    </row>
    <row r="57" spans="1:12" s="619" customFormat="1" ht="15.6">
      <c r="A57" s="897" t="s">
        <v>623</v>
      </c>
      <c r="B57" s="649">
        <v>3331557031</v>
      </c>
      <c r="C57" s="650" t="s">
        <v>152</v>
      </c>
      <c r="D57" s="452">
        <v>24141069</v>
      </c>
      <c r="E57" s="452" t="s">
        <v>922</v>
      </c>
      <c r="F57" s="648" t="s">
        <v>338</v>
      </c>
      <c r="G57" s="456">
        <f>12384.112+1319.062+30183.773</f>
        <v>43886.947</v>
      </c>
      <c r="H57" s="651" t="s">
        <v>128</v>
      </c>
      <c r="I57" s="649">
        <v>1</v>
      </c>
      <c r="J57" s="715">
        <v>0</v>
      </c>
      <c r="K57" s="632" t="s">
        <v>204</v>
      </c>
      <c r="L57" s="628"/>
    </row>
    <row r="58" spans="1:12" s="619" customFormat="1" ht="15.6">
      <c r="A58" s="897" t="s">
        <v>623</v>
      </c>
      <c r="B58" s="649">
        <v>3331557041</v>
      </c>
      <c r="C58" s="592" t="s">
        <v>256</v>
      </c>
      <c r="D58" s="452" t="s">
        <v>256</v>
      </c>
      <c r="E58" s="452" t="s">
        <v>256</v>
      </c>
      <c r="F58" s="652" t="s">
        <v>256</v>
      </c>
      <c r="G58" s="456" t="s">
        <v>256</v>
      </c>
      <c r="H58" s="490" t="s">
        <v>256</v>
      </c>
      <c r="I58" s="649" t="s">
        <v>256</v>
      </c>
      <c r="J58" s="715" t="s">
        <v>256</v>
      </c>
      <c r="K58" s="613" t="s">
        <v>256</v>
      </c>
      <c r="L58" s="628"/>
    </row>
    <row r="59" spans="1:12" s="619" customFormat="1" ht="15.6">
      <c r="A59" s="897" t="s">
        <v>623</v>
      </c>
      <c r="B59" s="649">
        <v>3331557033</v>
      </c>
      <c r="C59" s="592" t="s">
        <v>256</v>
      </c>
      <c r="D59" s="452" t="s">
        <v>256</v>
      </c>
      <c r="E59" s="452" t="s">
        <v>256</v>
      </c>
      <c r="F59" s="652" t="s">
        <v>256</v>
      </c>
      <c r="G59" s="456" t="s">
        <v>256</v>
      </c>
      <c r="H59" s="452" t="s">
        <v>256</v>
      </c>
      <c r="I59" s="649" t="s">
        <v>256</v>
      </c>
      <c r="J59" s="715" t="s">
        <v>256</v>
      </c>
      <c r="K59" s="613" t="s">
        <v>256</v>
      </c>
      <c r="L59" s="628"/>
    </row>
    <row r="60" spans="1:12" ht="15.6">
      <c r="A60" s="931" t="s">
        <v>623</v>
      </c>
      <c r="B60" s="862">
        <v>3331556848</v>
      </c>
      <c r="C60" s="862" t="s">
        <v>34</v>
      </c>
      <c r="D60" s="449">
        <v>24141026</v>
      </c>
      <c r="E60" s="449" t="s">
        <v>243</v>
      </c>
      <c r="F60" s="612" t="s">
        <v>199</v>
      </c>
      <c r="G60" s="450">
        <f>4872.188+21246.333</f>
        <v>26118.521000000001</v>
      </c>
      <c r="H60" s="449" t="s">
        <v>200</v>
      </c>
      <c r="I60" s="862">
        <v>1</v>
      </c>
      <c r="J60" s="932">
        <v>1</v>
      </c>
      <c r="K60" s="613" t="s">
        <v>204</v>
      </c>
      <c r="L60" s="912"/>
    </row>
    <row r="61" spans="1:12" ht="15.6">
      <c r="A61" s="931" t="s">
        <v>623</v>
      </c>
      <c r="B61" s="862">
        <v>3331556851</v>
      </c>
      <c r="C61" s="862" t="s">
        <v>256</v>
      </c>
      <c r="D61" s="449" t="s">
        <v>256</v>
      </c>
      <c r="E61" s="449" t="s">
        <v>256</v>
      </c>
      <c r="F61" s="612" t="s">
        <v>256</v>
      </c>
      <c r="G61" s="450" t="s">
        <v>256</v>
      </c>
      <c r="H61" s="449" t="s">
        <v>256</v>
      </c>
      <c r="I61" s="862" t="s">
        <v>256</v>
      </c>
      <c r="J61" s="932" t="s">
        <v>256</v>
      </c>
      <c r="K61" s="613" t="str">
        <f>SUBSTITUTE(Table1346578910111412[[#This Row],[AREA]], "JABODETABE", "BELUM MASU")</f>
        <v>=</v>
      </c>
      <c r="L61" s="912"/>
    </row>
    <row r="62" spans="1:12" ht="15.6">
      <c r="A62" s="931" t="s">
        <v>623</v>
      </c>
      <c r="B62" s="862">
        <v>3331556857</v>
      </c>
      <c r="C62" s="862" t="s">
        <v>27</v>
      </c>
      <c r="D62" s="449">
        <v>24141028</v>
      </c>
      <c r="E62" s="449" t="s">
        <v>491</v>
      </c>
      <c r="F62" s="612" t="s">
        <v>199</v>
      </c>
      <c r="G62" s="450">
        <v>26260.876</v>
      </c>
      <c r="H62" s="449" t="s">
        <v>200</v>
      </c>
      <c r="I62" s="862">
        <v>1</v>
      </c>
      <c r="J62" s="932">
        <v>1</v>
      </c>
      <c r="K62" s="613" t="s">
        <v>204</v>
      </c>
      <c r="L62" s="912"/>
    </row>
    <row r="63" spans="1:12" ht="15.6">
      <c r="A63" s="931" t="s">
        <v>623</v>
      </c>
      <c r="B63" s="862">
        <v>3331556860</v>
      </c>
      <c r="C63" s="862" t="s">
        <v>27</v>
      </c>
      <c r="D63" s="449">
        <v>24141029</v>
      </c>
      <c r="E63" s="449" t="s">
        <v>491</v>
      </c>
      <c r="F63" s="612" t="s">
        <v>199</v>
      </c>
      <c r="G63" s="450">
        <v>25889.914000000001</v>
      </c>
      <c r="H63" s="449" t="s">
        <v>200</v>
      </c>
      <c r="I63" s="862">
        <v>1</v>
      </c>
      <c r="J63" s="932">
        <v>1</v>
      </c>
      <c r="K63" s="613" t="s">
        <v>204</v>
      </c>
      <c r="L63" s="912"/>
    </row>
    <row r="64" spans="1:12" ht="15.6">
      <c r="A64" s="941" t="s">
        <v>623</v>
      </c>
      <c r="B64" s="942">
        <v>3331556827</v>
      </c>
      <c r="C64" s="862" t="s">
        <v>152</v>
      </c>
      <c r="D64" s="483">
        <v>24141030</v>
      </c>
      <c r="E64" s="483" t="s">
        <v>219</v>
      </c>
      <c r="F64" s="612" t="s">
        <v>340</v>
      </c>
      <c r="G64" s="484">
        <v>27063.125</v>
      </c>
      <c r="H64" s="483" t="s">
        <v>200</v>
      </c>
      <c r="I64" s="942">
        <v>1</v>
      </c>
      <c r="J64" s="943">
        <v>1</v>
      </c>
      <c r="K64" s="613" t="s">
        <v>204</v>
      </c>
      <c r="L64" s="912"/>
    </row>
    <row r="65" spans="1:12" ht="15.6">
      <c r="A65" s="897" t="s">
        <v>623</v>
      </c>
      <c r="B65" s="592">
        <v>3331556869</v>
      </c>
      <c r="C65" s="862" t="s">
        <v>34</v>
      </c>
      <c r="D65" s="452">
        <v>24141033</v>
      </c>
      <c r="E65" s="452" t="s">
        <v>158</v>
      </c>
      <c r="F65" s="612" t="s">
        <v>199</v>
      </c>
      <c r="G65" s="456">
        <v>25504.289000000001</v>
      </c>
      <c r="H65" s="452" t="s">
        <v>200</v>
      </c>
      <c r="I65" s="592">
        <v>1</v>
      </c>
      <c r="J65" s="944">
        <v>1</v>
      </c>
      <c r="K65" s="613" t="s">
        <v>204</v>
      </c>
      <c r="L65" s="912"/>
    </row>
    <row r="66" spans="1:12" ht="15.6">
      <c r="A66" s="897" t="s">
        <v>623</v>
      </c>
      <c r="B66" s="592">
        <v>3331556879</v>
      </c>
      <c r="C66" s="862" t="s">
        <v>34</v>
      </c>
      <c r="D66" s="452">
        <v>24141034</v>
      </c>
      <c r="E66" s="452" t="s">
        <v>158</v>
      </c>
      <c r="F66" s="612" t="s">
        <v>199</v>
      </c>
      <c r="G66" s="456">
        <v>24984.677</v>
      </c>
      <c r="H66" s="452" t="s">
        <v>200</v>
      </c>
      <c r="I66" s="592">
        <v>1</v>
      </c>
      <c r="J66" s="944">
        <v>1</v>
      </c>
      <c r="K66" s="613" t="s">
        <v>204</v>
      </c>
      <c r="L66" s="912"/>
    </row>
    <row r="67" spans="1:12" s="516" customFormat="1" ht="15.6">
      <c r="A67" s="897" t="s">
        <v>623</v>
      </c>
      <c r="B67" s="592">
        <v>3331556882</v>
      </c>
      <c r="C67" s="862" t="s">
        <v>11</v>
      </c>
      <c r="D67" s="452">
        <v>24141037</v>
      </c>
      <c r="E67" s="452" t="s">
        <v>158</v>
      </c>
      <c r="F67" s="612" t="s">
        <v>199</v>
      </c>
      <c r="G67" s="456">
        <v>26067.202000000001</v>
      </c>
      <c r="H67" s="452" t="s">
        <v>200</v>
      </c>
      <c r="I67" s="592">
        <v>1</v>
      </c>
      <c r="J67" s="944">
        <v>1</v>
      </c>
      <c r="K67" s="613" t="s">
        <v>204</v>
      </c>
      <c r="L67" s="912"/>
    </row>
    <row r="68" spans="1:12" ht="15.6">
      <c r="A68" s="897" t="s">
        <v>623</v>
      </c>
      <c r="B68" s="592">
        <v>3331556884</v>
      </c>
      <c r="C68" s="862" t="s">
        <v>27</v>
      </c>
      <c r="D68" s="452">
        <v>24141038</v>
      </c>
      <c r="E68" s="452" t="s">
        <v>158</v>
      </c>
      <c r="F68" s="612" t="s">
        <v>199</v>
      </c>
      <c r="G68" s="456">
        <v>24984.677</v>
      </c>
      <c r="H68" s="452" t="s">
        <v>200</v>
      </c>
      <c r="I68" s="592">
        <v>1</v>
      </c>
      <c r="J68" s="944">
        <v>1</v>
      </c>
      <c r="K68" s="613" t="s">
        <v>204</v>
      </c>
      <c r="L68" s="912"/>
    </row>
    <row r="69" spans="1:12" ht="15.6">
      <c r="A69" s="897" t="s">
        <v>623</v>
      </c>
      <c r="B69" s="592">
        <v>3331556885</v>
      </c>
      <c r="C69" s="862" t="s">
        <v>27</v>
      </c>
      <c r="D69" s="452">
        <v>24141039</v>
      </c>
      <c r="E69" s="452" t="s">
        <v>158</v>
      </c>
      <c r="F69" s="612" t="s">
        <v>199</v>
      </c>
      <c r="G69" s="456">
        <v>24984.677</v>
      </c>
      <c r="H69" s="452" t="s">
        <v>200</v>
      </c>
      <c r="I69" s="592">
        <v>1</v>
      </c>
      <c r="J69" s="944">
        <v>1</v>
      </c>
      <c r="K69" s="613" t="s">
        <v>204</v>
      </c>
      <c r="L69" s="912"/>
    </row>
    <row r="70" spans="1:12" ht="15.6">
      <c r="A70" s="940" t="s">
        <v>623</v>
      </c>
      <c r="B70" s="887">
        <v>3331556886</v>
      </c>
      <c r="C70" s="945" t="s">
        <v>27</v>
      </c>
      <c r="D70" s="480">
        <v>24141040</v>
      </c>
      <c r="E70" s="480" t="s">
        <v>158</v>
      </c>
      <c r="F70" s="707" t="s">
        <v>199</v>
      </c>
      <c r="G70" s="481">
        <v>25980.6</v>
      </c>
      <c r="H70" s="480" t="s">
        <v>200</v>
      </c>
      <c r="I70" s="887">
        <v>1</v>
      </c>
      <c r="J70" s="946">
        <v>1</v>
      </c>
      <c r="K70" s="711" t="s">
        <v>204</v>
      </c>
      <c r="L70" s="912"/>
    </row>
    <row r="71" spans="1:12" ht="15.6">
      <c r="A71" s="940" t="s">
        <v>355</v>
      </c>
      <c r="B71" s="708">
        <v>3331556892</v>
      </c>
      <c r="C71" s="945" t="s">
        <v>27</v>
      </c>
      <c r="D71" s="480">
        <v>24141041</v>
      </c>
      <c r="E71" s="480" t="s">
        <v>158</v>
      </c>
      <c r="F71" s="707" t="s">
        <v>340</v>
      </c>
      <c r="G71" s="481">
        <v>24638.269</v>
      </c>
      <c r="H71" s="480" t="s">
        <v>200</v>
      </c>
      <c r="I71" s="887">
        <v>1</v>
      </c>
      <c r="J71" s="946">
        <v>1</v>
      </c>
      <c r="K71" s="711" t="s">
        <v>204</v>
      </c>
      <c r="L71" s="912"/>
    </row>
    <row r="72" spans="1:12" ht="15.6">
      <c r="A72" s="940" t="s">
        <v>355</v>
      </c>
      <c r="B72" s="887">
        <v>3331556894</v>
      </c>
      <c r="C72" s="945" t="s">
        <v>11</v>
      </c>
      <c r="D72" s="480">
        <v>24141042</v>
      </c>
      <c r="E72" s="480" t="s">
        <v>158</v>
      </c>
      <c r="F72" s="707" t="s">
        <v>340</v>
      </c>
      <c r="G72" s="481">
        <v>24638.269</v>
      </c>
      <c r="H72" s="480" t="s">
        <v>200</v>
      </c>
      <c r="I72" s="887">
        <v>1</v>
      </c>
      <c r="J72" s="946">
        <v>1</v>
      </c>
      <c r="K72" s="711" t="s">
        <v>204</v>
      </c>
      <c r="L72" s="912"/>
    </row>
    <row r="73" spans="1:12" ht="15.6">
      <c r="A73" s="940" t="s">
        <v>355</v>
      </c>
      <c r="B73" s="887">
        <v>3331556899</v>
      </c>
      <c r="C73" s="945" t="s">
        <v>27</v>
      </c>
      <c r="D73" s="480">
        <v>24141043</v>
      </c>
      <c r="E73" s="480" t="s">
        <v>158</v>
      </c>
      <c r="F73" s="707" t="s">
        <v>340</v>
      </c>
      <c r="G73" s="481">
        <v>26067.202000000001</v>
      </c>
      <c r="H73" s="480" t="s">
        <v>200</v>
      </c>
      <c r="I73" s="887">
        <v>1</v>
      </c>
      <c r="J73" s="946">
        <v>1</v>
      </c>
      <c r="K73" s="711" t="s">
        <v>204</v>
      </c>
      <c r="L73" s="912"/>
    </row>
    <row r="74" spans="1:12" ht="15.6">
      <c r="A74" s="940" t="s">
        <v>355</v>
      </c>
      <c r="B74" s="887">
        <v>3331556905</v>
      </c>
      <c r="C74" s="945" t="s">
        <v>287</v>
      </c>
      <c r="D74" s="480">
        <v>24141044</v>
      </c>
      <c r="E74" s="480" t="s">
        <v>158</v>
      </c>
      <c r="F74" s="707" t="s">
        <v>340</v>
      </c>
      <c r="G74" s="481">
        <v>25417.687000000002</v>
      </c>
      <c r="H74" s="480" t="s">
        <v>200</v>
      </c>
      <c r="I74" s="887">
        <v>1</v>
      </c>
      <c r="J74" s="946">
        <v>1</v>
      </c>
      <c r="K74" s="711" t="s">
        <v>204</v>
      </c>
      <c r="L74" s="912"/>
    </row>
    <row r="75" spans="1:12" ht="15.6">
      <c r="A75" s="940" t="s">
        <v>355</v>
      </c>
      <c r="B75" s="708">
        <v>3331556907</v>
      </c>
      <c r="C75" s="947" t="s">
        <v>34</v>
      </c>
      <c r="D75" s="480">
        <v>24141045</v>
      </c>
      <c r="E75" s="480" t="s">
        <v>158</v>
      </c>
      <c r="F75" s="707" t="s">
        <v>340</v>
      </c>
      <c r="G75" s="481">
        <v>25893.998</v>
      </c>
      <c r="H75" s="480" t="s">
        <v>200</v>
      </c>
      <c r="I75" s="887">
        <v>1</v>
      </c>
      <c r="J75" s="946">
        <v>1</v>
      </c>
      <c r="K75" s="711" t="s">
        <v>204</v>
      </c>
      <c r="L75" s="912"/>
    </row>
    <row r="76" spans="1:12" ht="15.6">
      <c r="A76" s="940" t="s">
        <v>355</v>
      </c>
      <c r="B76" s="887">
        <v>3331556910</v>
      </c>
      <c r="C76" s="947" t="s">
        <v>27</v>
      </c>
      <c r="D76" s="480">
        <v>24141046</v>
      </c>
      <c r="E76" s="480" t="s">
        <v>158</v>
      </c>
      <c r="F76" s="707" t="s">
        <v>340</v>
      </c>
      <c r="G76" s="481">
        <v>26104.946</v>
      </c>
      <c r="H76" s="480" t="s">
        <v>200</v>
      </c>
      <c r="I76" s="887">
        <v>1</v>
      </c>
      <c r="J76" s="946">
        <v>1</v>
      </c>
      <c r="K76" s="711" t="s">
        <v>204</v>
      </c>
      <c r="L76" s="912"/>
    </row>
    <row r="77" spans="1:12" ht="15.6">
      <c r="A77" s="940" t="s">
        <v>355</v>
      </c>
      <c r="B77" s="887">
        <v>3331556952</v>
      </c>
      <c r="C77" s="945" t="s">
        <v>11</v>
      </c>
      <c r="D77" s="480">
        <v>24141051</v>
      </c>
      <c r="E77" s="480" t="s">
        <v>150</v>
      </c>
      <c r="F77" s="707" t="s">
        <v>340</v>
      </c>
      <c r="G77" s="481">
        <v>25201.182000000001</v>
      </c>
      <c r="H77" s="480" t="s">
        <v>200</v>
      </c>
      <c r="I77" s="887">
        <v>1</v>
      </c>
      <c r="J77" s="946">
        <v>1</v>
      </c>
      <c r="K77" s="711" t="s">
        <v>204</v>
      </c>
      <c r="L77" s="912"/>
    </row>
    <row r="78" spans="1:12" ht="15.6">
      <c r="A78" s="940" t="s">
        <v>355</v>
      </c>
      <c r="B78" s="708">
        <v>3331556962</v>
      </c>
      <c r="C78" s="947" t="s">
        <v>27</v>
      </c>
      <c r="D78" s="480">
        <v>24141052</v>
      </c>
      <c r="E78" s="480" t="s">
        <v>150</v>
      </c>
      <c r="F78" s="707" t="s">
        <v>340</v>
      </c>
      <c r="G78" s="481">
        <v>22343.315999999999</v>
      </c>
      <c r="H78" s="480" t="s">
        <v>200</v>
      </c>
      <c r="I78" s="887">
        <v>1</v>
      </c>
      <c r="J78" s="946">
        <v>1</v>
      </c>
      <c r="K78" s="711" t="s">
        <v>204</v>
      </c>
      <c r="L78" s="912"/>
    </row>
    <row r="79" spans="1:12" ht="15.6">
      <c r="A79" s="940" t="s">
        <v>355</v>
      </c>
      <c r="B79" s="887">
        <v>3331556983</v>
      </c>
      <c r="C79" s="945" t="s">
        <v>27</v>
      </c>
      <c r="D79" s="480">
        <v>24141055</v>
      </c>
      <c r="E79" s="480" t="s">
        <v>150</v>
      </c>
      <c r="F79" s="707" t="s">
        <v>340</v>
      </c>
      <c r="G79" s="481">
        <v>25893.998</v>
      </c>
      <c r="H79" s="480" t="s">
        <v>200</v>
      </c>
      <c r="I79" s="887">
        <v>1</v>
      </c>
      <c r="J79" s="946">
        <v>1</v>
      </c>
      <c r="K79" s="711" t="s">
        <v>204</v>
      </c>
      <c r="L79" s="912"/>
    </row>
    <row r="80" spans="1:12" ht="15.6">
      <c r="A80" s="940"/>
      <c r="B80" s="887"/>
      <c r="C80" s="887"/>
      <c r="D80" s="480"/>
      <c r="E80" s="480"/>
      <c r="F80" s="548" t="s">
        <v>546</v>
      </c>
      <c r="G80" s="481"/>
      <c r="H80" s="480"/>
      <c r="I80" s="887"/>
      <c r="J80" s="946"/>
      <c r="K80" s="711" t="str">
        <f>SUBSTITUTE(Table1346578910111412[[#This Row],[AREA]], "JABODETABE", "BELUM MASU")</f>
        <v>DIATAS JAM 15.00</v>
      </c>
      <c r="L80" s="912"/>
    </row>
    <row r="81" spans="1:12" ht="15.6">
      <c r="A81" s="887" t="s">
        <v>623</v>
      </c>
      <c r="B81" s="887">
        <v>3331557000</v>
      </c>
      <c r="C81" s="947" t="s">
        <v>359</v>
      </c>
      <c r="D81" s="548">
        <v>24141060</v>
      </c>
      <c r="E81" s="506" t="s">
        <v>590</v>
      </c>
      <c r="F81" s="887" t="s">
        <v>362</v>
      </c>
      <c r="G81" s="914">
        <v>24797.9</v>
      </c>
      <c r="H81" s="502" t="s">
        <v>200</v>
      </c>
      <c r="I81" s="887">
        <v>1</v>
      </c>
      <c r="J81" s="946">
        <v>0</v>
      </c>
      <c r="K81" s="711" t="s">
        <v>923</v>
      </c>
      <c r="L81" s="912"/>
    </row>
    <row r="82" spans="1:12" ht="15.6">
      <c r="A82" s="887" t="s">
        <v>623</v>
      </c>
      <c r="B82" s="887">
        <v>3331557001</v>
      </c>
      <c r="C82" s="947" t="s">
        <v>359</v>
      </c>
      <c r="D82" s="548">
        <v>24141061</v>
      </c>
      <c r="E82" s="506" t="s">
        <v>590</v>
      </c>
      <c r="F82" s="887" t="s">
        <v>362</v>
      </c>
      <c r="G82" s="914">
        <v>25054.43</v>
      </c>
      <c r="H82" s="502" t="s">
        <v>200</v>
      </c>
      <c r="I82" s="887">
        <v>1</v>
      </c>
      <c r="J82" s="946">
        <v>0</v>
      </c>
      <c r="K82" s="711" t="s">
        <v>923</v>
      </c>
      <c r="L82" s="912"/>
    </row>
    <row r="83" spans="1:12" ht="15.6">
      <c r="A83" s="887" t="s">
        <v>623</v>
      </c>
      <c r="B83" s="887">
        <v>3331557002</v>
      </c>
      <c r="C83" s="947" t="s">
        <v>359</v>
      </c>
      <c r="D83" s="548">
        <v>24141062</v>
      </c>
      <c r="E83" s="506" t="s">
        <v>590</v>
      </c>
      <c r="F83" s="887" t="s">
        <v>362</v>
      </c>
      <c r="G83" s="914">
        <v>25114.58</v>
      </c>
      <c r="H83" s="502" t="s">
        <v>200</v>
      </c>
      <c r="I83" s="887">
        <v>1</v>
      </c>
      <c r="J83" s="946">
        <v>0</v>
      </c>
      <c r="K83" s="711" t="s">
        <v>923</v>
      </c>
      <c r="L83" s="912"/>
    </row>
    <row r="84" spans="1:12" ht="15.6">
      <c r="A84" s="940" t="s">
        <v>623</v>
      </c>
      <c r="B84" s="887">
        <v>3331557003</v>
      </c>
      <c r="C84" s="947" t="s">
        <v>359</v>
      </c>
      <c r="D84" s="480">
        <v>24141063</v>
      </c>
      <c r="E84" s="480" t="s">
        <v>590</v>
      </c>
      <c r="F84" s="887" t="s">
        <v>362</v>
      </c>
      <c r="G84" s="481">
        <v>25504.289000000001</v>
      </c>
      <c r="H84" s="502" t="s">
        <v>200</v>
      </c>
      <c r="I84" s="887">
        <v>1</v>
      </c>
      <c r="J84" s="946">
        <v>0</v>
      </c>
      <c r="K84" s="711" t="s">
        <v>923</v>
      </c>
      <c r="L84" s="912"/>
    </row>
    <row r="85" spans="1:12" ht="15.6">
      <c r="A85" s="940" t="s">
        <v>623</v>
      </c>
      <c r="B85" s="887">
        <v>3331557004</v>
      </c>
      <c r="C85" s="947" t="s">
        <v>359</v>
      </c>
      <c r="D85" s="480">
        <v>24141064</v>
      </c>
      <c r="E85" s="480" t="s">
        <v>590</v>
      </c>
      <c r="F85" s="887" t="s">
        <v>362</v>
      </c>
      <c r="G85" s="481">
        <v>25932.919000000002</v>
      </c>
      <c r="H85" s="502" t="s">
        <v>200</v>
      </c>
      <c r="I85" s="887">
        <v>1</v>
      </c>
      <c r="J85" s="946">
        <v>0</v>
      </c>
      <c r="K85" s="711" t="s">
        <v>923</v>
      </c>
      <c r="L85" s="912"/>
    </row>
    <row r="86" spans="1:12" ht="15.6">
      <c r="A86" s="940" t="s">
        <v>623</v>
      </c>
      <c r="B86" s="887">
        <v>3331557005</v>
      </c>
      <c r="C86" s="947" t="s">
        <v>924</v>
      </c>
      <c r="D86" s="480">
        <v>24141066</v>
      </c>
      <c r="E86" s="480" t="s">
        <v>590</v>
      </c>
      <c r="F86" s="887" t="s">
        <v>362</v>
      </c>
      <c r="G86" s="481">
        <v>25975.927</v>
      </c>
      <c r="H86" s="502" t="s">
        <v>200</v>
      </c>
      <c r="I86" s="887">
        <v>1</v>
      </c>
      <c r="J86" s="946">
        <v>0</v>
      </c>
      <c r="K86" s="711" t="s">
        <v>204</v>
      </c>
      <c r="L86" s="912"/>
    </row>
    <row r="87" spans="1:12" ht="15.6">
      <c r="A87" s="940" t="s">
        <v>623</v>
      </c>
      <c r="B87" s="887">
        <v>3331557042</v>
      </c>
      <c r="C87" s="945" t="s">
        <v>27</v>
      </c>
      <c r="D87" s="480">
        <v>24141070</v>
      </c>
      <c r="E87" s="480" t="s">
        <v>491</v>
      </c>
      <c r="F87" s="707" t="s">
        <v>199</v>
      </c>
      <c r="G87" s="481">
        <v>25269.714</v>
      </c>
      <c r="H87" s="480" t="s">
        <v>200</v>
      </c>
      <c r="I87" s="887">
        <v>1</v>
      </c>
      <c r="J87" s="946">
        <v>1</v>
      </c>
      <c r="K87" s="711" t="s">
        <v>204</v>
      </c>
      <c r="L87" s="912"/>
    </row>
    <row r="88" spans="1:12" ht="15.6">
      <c r="A88" s="897" t="s">
        <v>623</v>
      </c>
      <c r="B88" s="592">
        <v>3331557051</v>
      </c>
      <c r="C88" s="862" t="s">
        <v>27</v>
      </c>
      <c r="D88" s="452">
        <v>24141071</v>
      </c>
      <c r="E88" s="452" t="s">
        <v>491</v>
      </c>
      <c r="F88" s="612" t="s">
        <v>199</v>
      </c>
      <c r="G88" s="456">
        <v>25033.304</v>
      </c>
      <c r="H88" s="452" t="s">
        <v>200</v>
      </c>
      <c r="I88" s="592">
        <v>1</v>
      </c>
      <c r="J88" s="944">
        <v>1</v>
      </c>
      <c r="K88" s="613" t="s">
        <v>204</v>
      </c>
      <c r="L88" s="912"/>
    </row>
    <row r="89" spans="1:12" ht="15.6">
      <c r="A89" s="897" t="s">
        <v>623</v>
      </c>
      <c r="B89" s="592">
        <v>3331557057</v>
      </c>
      <c r="C89" s="862" t="s">
        <v>27</v>
      </c>
      <c r="D89" s="452">
        <v>24141072</v>
      </c>
      <c r="E89" s="452" t="s">
        <v>491</v>
      </c>
      <c r="F89" s="612" t="s">
        <v>199</v>
      </c>
      <c r="G89" s="456">
        <v>24223.473999999998</v>
      </c>
      <c r="H89" s="452" t="s">
        <v>200</v>
      </c>
      <c r="I89" s="592">
        <v>1</v>
      </c>
      <c r="J89" s="944">
        <v>1</v>
      </c>
      <c r="K89" s="613" t="s">
        <v>204</v>
      </c>
      <c r="L89" s="912"/>
    </row>
    <row r="90" spans="1:12" ht="15.6">
      <c r="A90" s="897" t="s">
        <v>355</v>
      </c>
      <c r="B90" s="592">
        <v>3331557065</v>
      </c>
      <c r="C90" s="884" t="s">
        <v>27</v>
      </c>
      <c r="D90" s="452">
        <v>24141073</v>
      </c>
      <c r="E90" s="452" t="s">
        <v>491</v>
      </c>
      <c r="F90" s="612" t="s">
        <v>199</v>
      </c>
      <c r="G90" s="456">
        <v>23339.200000000001</v>
      </c>
      <c r="H90" s="452" t="s">
        <v>200</v>
      </c>
      <c r="I90" s="592">
        <v>1</v>
      </c>
      <c r="J90" s="944">
        <v>1</v>
      </c>
      <c r="K90" s="613" t="s">
        <v>204</v>
      </c>
      <c r="L90" s="912"/>
    </row>
    <row r="91" spans="1:12" ht="15.6">
      <c r="A91" s="940"/>
      <c r="B91" s="887"/>
      <c r="C91" s="887"/>
      <c r="D91" s="480"/>
      <c r="E91" s="480"/>
      <c r="F91" s="548"/>
      <c r="G91" s="481"/>
      <c r="H91" s="480"/>
      <c r="I91" s="887"/>
      <c r="J91" s="887"/>
      <c r="K91" s="718" t="str">
        <f>SUBSTITUTE(Table1346578910111412[[#This Row],[AREA]], "JABODETABE", "BELUM MASU")</f>
        <v/>
      </c>
      <c r="L91" s="912"/>
    </row>
    <row r="92" spans="1:12" ht="15.6">
      <c r="A92" s="940"/>
      <c r="B92" s="887"/>
      <c r="C92" s="887"/>
      <c r="D92" s="480"/>
      <c r="E92" s="480"/>
      <c r="F92" s="548"/>
      <c r="G92" s="481"/>
      <c r="H92" s="480"/>
      <c r="I92" s="887"/>
      <c r="J92" s="887"/>
      <c r="K92" s="482" t="str">
        <f>SUBSTITUTE(Table1346578910111412[[#This Row],[AREA]], "JABODETABE", "BELUM MASU")</f>
        <v/>
      </c>
      <c r="L92" s="912"/>
    </row>
    <row r="93" spans="1:12" s="584" customFormat="1" ht="15.6">
      <c r="A93" s="582"/>
      <c r="B93" s="577"/>
      <c r="C93" s="577"/>
      <c r="D93" s="579"/>
      <c r="E93" s="579"/>
      <c r="F93" s="579"/>
      <c r="G93" s="610"/>
      <c r="H93" s="579"/>
      <c r="I93" s="577"/>
      <c r="J93" s="577"/>
      <c r="K93" s="583" t="str">
        <f>SUBSTITUTE(Table1346578910111412[[#This Row],[AREA]], "JABODETABE", "BELUM MASU")</f>
        <v/>
      </c>
    </row>
    <row r="94" spans="1:12" s="584" customFormat="1" ht="15.6">
      <c r="A94" s="582"/>
      <c r="B94" s="577"/>
      <c r="C94" s="577"/>
      <c r="D94" s="579"/>
      <c r="E94" s="579"/>
      <c r="F94" s="579"/>
      <c r="G94" s="610"/>
      <c r="H94" s="579"/>
      <c r="I94" s="577"/>
      <c r="J94" s="577"/>
      <c r="K94" s="583" t="str">
        <f>SUBSTITUTE(Table1346578910111412[[#This Row],[AREA]], "JABODETABE", "BELUM MASU")</f>
        <v/>
      </c>
    </row>
    <row r="97" spans="1:12" ht="21">
      <c r="A97"/>
      <c r="B97" s="422" t="s">
        <v>244</v>
      </c>
      <c r="C97"/>
      <c r="D97"/>
      <c r="F97"/>
      <c r="G97"/>
      <c r="H97"/>
      <c r="I97"/>
      <c r="J97"/>
      <c r="K97"/>
      <c r="L97"/>
    </row>
    <row r="98" spans="1:12" ht="18">
      <c r="B98" s="251" t="s">
        <v>304</v>
      </c>
      <c r="C98"/>
      <c r="D98"/>
      <c r="F98"/>
      <c r="G98"/>
      <c r="H98"/>
      <c r="I98" s="373"/>
      <c r="J98"/>
      <c r="K98"/>
      <c r="L98"/>
    </row>
    <row r="99" spans="1:12" ht="18">
      <c r="A99"/>
      <c r="B99" s="251" t="s">
        <v>361</v>
      </c>
      <c r="C99"/>
      <c r="D99"/>
      <c r="F99"/>
      <c r="G99"/>
      <c r="H99"/>
      <c r="I99"/>
      <c r="J99"/>
      <c r="K99"/>
      <c r="L99"/>
    </row>
    <row r="100" spans="1:12">
      <c r="A100"/>
      <c r="B100"/>
      <c r="C100"/>
      <c r="D100"/>
      <c r="F100"/>
      <c r="G100">
        <f>4200*59</f>
        <v>247800</v>
      </c>
      <c r="H100"/>
      <c r="I100"/>
      <c r="J100"/>
      <c r="K100"/>
      <c r="L100"/>
    </row>
    <row r="101" spans="1:12">
      <c r="A101"/>
      <c r="B101"/>
      <c r="C101"/>
      <c r="D101"/>
      <c r="F101"/>
      <c r="G101">
        <f>G100+30000</f>
        <v>277800</v>
      </c>
      <c r="H101"/>
      <c r="I101"/>
      <c r="J101"/>
      <c r="K101"/>
      <c r="L101"/>
    </row>
  </sheetData>
  <autoFilter ref="A1:F16" xr:uid="{455A03CA-89FF-4485-B032-080DA22FFE43}">
    <filterColumn colId="4" showButton="0"/>
  </autoFilter>
  <mergeCells count="20">
    <mergeCell ref="N27:N28"/>
    <mergeCell ref="O27:Q27"/>
    <mergeCell ref="AA17:AC17"/>
    <mergeCell ref="N18:N19"/>
    <mergeCell ref="O18:Q18"/>
    <mergeCell ref="S18:U18"/>
    <mergeCell ref="W18:Y18"/>
    <mergeCell ref="AA18:AC18"/>
    <mergeCell ref="AA10:AC10"/>
    <mergeCell ref="N11:N12"/>
    <mergeCell ref="O11:Q11"/>
    <mergeCell ref="S11:U11"/>
    <mergeCell ref="W11:X11"/>
    <mergeCell ref="AA11:AC11"/>
    <mergeCell ref="A9:B9"/>
    <mergeCell ref="A1:B2"/>
    <mergeCell ref="D1:F1"/>
    <mergeCell ref="H1:J1"/>
    <mergeCell ref="H6:J6"/>
    <mergeCell ref="D8:F8"/>
  </mergeCell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78B-CCF7-4582-9727-E9F6CE5B50A6}">
  <dimension ref="B1:I34"/>
  <sheetViews>
    <sheetView workbookViewId="0">
      <selection activeCell="E1" sqref="E1"/>
    </sheetView>
  </sheetViews>
  <sheetFormatPr defaultRowHeight="14.4"/>
  <cols>
    <col min="2" max="2" width="11.6640625" customWidth="1"/>
    <col min="3" max="3" width="12" bestFit="1" customWidth="1"/>
    <col min="4" max="4" width="12.88671875" bestFit="1" customWidth="1"/>
    <col min="5" max="5" width="35" customWidth="1"/>
    <col min="6" max="6" width="14.88671875" bestFit="1" customWidth="1"/>
    <col min="9" max="9" width="13.33203125" bestFit="1" customWidth="1"/>
  </cols>
  <sheetData>
    <row r="1" spans="2:6">
      <c r="B1" s="1280" t="s">
        <v>925</v>
      </c>
      <c r="C1" s="1255" t="s">
        <v>2</v>
      </c>
      <c r="D1" s="1255" t="s">
        <v>211</v>
      </c>
      <c r="E1" s="1255" t="s">
        <v>5</v>
      </c>
      <c r="F1" s="1255" t="s">
        <v>212</v>
      </c>
    </row>
    <row r="2" spans="2:6" hidden="1">
      <c r="B2" s="1282">
        <v>1</v>
      </c>
      <c r="C2" s="1283">
        <v>3331562081</v>
      </c>
      <c r="D2" s="1284">
        <v>24141667</v>
      </c>
      <c r="E2" s="1284" t="s">
        <v>429</v>
      </c>
      <c r="F2" s="1285">
        <v>24298.671999999999</v>
      </c>
    </row>
    <row r="3" spans="2:6" hidden="1">
      <c r="B3" s="1286">
        <v>2</v>
      </c>
      <c r="C3" s="1201">
        <v>3331562083</v>
      </c>
      <c r="D3" s="1227">
        <v>24141668</v>
      </c>
      <c r="E3" s="1227" t="s">
        <v>429</v>
      </c>
      <c r="F3" s="1229">
        <v>24298.672999999999</v>
      </c>
    </row>
    <row r="4" spans="2:6" hidden="1">
      <c r="B4" s="1286">
        <v>3</v>
      </c>
      <c r="C4" s="1227">
        <v>3331562085</v>
      </c>
      <c r="D4" s="1227">
        <v>24141669</v>
      </c>
      <c r="E4" s="1227" t="s">
        <v>429</v>
      </c>
      <c r="F4" s="1229">
        <v>24771.743999999999</v>
      </c>
    </row>
    <row r="5" spans="2:6" hidden="1">
      <c r="B5" s="1282">
        <v>4</v>
      </c>
      <c r="C5" s="1227">
        <v>3331562089</v>
      </c>
      <c r="D5" s="1227">
        <v>24141672</v>
      </c>
      <c r="E5" s="1227" t="s">
        <v>429</v>
      </c>
      <c r="F5" s="1229">
        <v>25373.834999999999</v>
      </c>
    </row>
    <row r="6" spans="2:6" hidden="1">
      <c r="B6" s="1273">
        <v>5</v>
      </c>
      <c r="C6" s="1224">
        <v>3331562091</v>
      </c>
      <c r="D6" s="1224">
        <v>24141674</v>
      </c>
      <c r="E6" s="1224" t="s">
        <v>429</v>
      </c>
      <c r="F6" s="1225">
        <v>25373.834999999999</v>
      </c>
    </row>
    <row r="7" spans="2:6" hidden="1">
      <c r="B7" s="1286">
        <v>6</v>
      </c>
      <c r="C7" s="1227">
        <v>3331562093</v>
      </c>
      <c r="D7" s="1227">
        <v>24141675</v>
      </c>
      <c r="E7" s="1227" t="s">
        <v>429</v>
      </c>
      <c r="F7" s="1229">
        <v>25373.834999999999</v>
      </c>
    </row>
    <row r="8" spans="2:6" hidden="1">
      <c r="B8" s="1272">
        <v>7</v>
      </c>
      <c r="C8" s="1224">
        <v>3331562096</v>
      </c>
      <c r="D8" s="1224">
        <v>24141676</v>
      </c>
      <c r="E8" s="1224" t="s">
        <v>429</v>
      </c>
      <c r="F8" s="1225">
        <v>25373.834999999999</v>
      </c>
    </row>
    <row r="9" spans="2:6" hidden="1">
      <c r="B9" s="1273">
        <v>8</v>
      </c>
      <c r="C9" s="1224">
        <v>3331562099</v>
      </c>
      <c r="D9" s="1224">
        <v>24141677</v>
      </c>
      <c r="E9" s="1224" t="s">
        <v>429</v>
      </c>
      <c r="F9" s="1225">
        <v>25373.834999999999</v>
      </c>
    </row>
    <row r="10" spans="2:6" hidden="1">
      <c r="B10" s="1273">
        <v>9</v>
      </c>
      <c r="C10" s="1224">
        <v>3331562100</v>
      </c>
      <c r="D10" s="1224">
        <v>24141678</v>
      </c>
      <c r="E10" s="1224" t="s">
        <v>429</v>
      </c>
      <c r="F10" s="1225">
        <v>23997.627</v>
      </c>
    </row>
    <row r="11" spans="2:6" hidden="1">
      <c r="B11" s="1272">
        <v>10</v>
      </c>
      <c r="C11" s="1224">
        <v>3331562101</v>
      </c>
      <c r="D11" s="1224">
        <v>24141680</v>
      </c>
      <c r="E11" s="1224" t="s">
        <v>429</v>
      </c>
      <c r="F11" s="1225">
        <v>24771.743999999999</v>
      </c>
    </row>
    <row r="12" spans="2:6" hidden="1">
      <c r="B12" s="1273">
        <v>11</v>
      </c>
      <c r="C12" s="1224">
        <v>3331562102</v>
      </c>
      <c r="D12" s="1224">
        <v>24141681</v>
      </c>
      <c r="E12" s="1224" t="s">
        <v>429</v>
      </c>
      <c r="F12" s="1225">
        <v>25072.79</v>
      </c>
    </row>
    <row r="13" spans="2:6" hidden="1">
      <c r="B13" s="1273">
        <v>12</v>
      </c>
      <c r="C13" s="1224">
        <v>3331562104</v>
      </c>
      <c r="D13" s="1224">
        <v>24141682</v>
      </c>
      <c r="E13" s="1224" t="s">
        <v>429</v>
      </c>
      <c r="F13" s="1225">
        <v>25416.842000000001</v>
      </c>
    </row>
    <row r="14" spans="2:6" hidden="1">
      <c r="B14" s="1272">
        <v>13</v>
      </c>
      <c r="C14" s="1224">
        <v>3331562105</v>
      </c>
      <c r="D14" s="1224">
        <v>24141683</v>
      </c>
      <c r="E14" s="1224" t="s">
        <v>429</v>
      </c>
      <c r="F14" s="1225">
        <v>25244.815999999999</v>
      </c>
    </row>
    <row r="15" spans="2:6" hidden="1">
      <c r="B15" s="1273">
        <v>14</v>
      </c>
      <c r="C15" s="1224">
        <v>3331562106</v>
      </c>
      <c r="D15" s="1224">
        <v>24141684</v>
      </c>
      <c r="E15" s="1224" t="s">
        <v>429</v>
      </c>
      <c r="F15" s="1225">
        <v>24728.738000000001</v>
      </c>
    </row>
    <row r="16" spans="2:6" hidden="1">
      <c r="B16" s="1273">
        <v>15</v>
      </c>
      <c r="C16" s="1224">
        <v>3331562107</v>
      </c>
      <c r="D16" s="1224">
        <v>24141685</v>
      </c>
      <c r="E16" s="1224" t="s">
        <v>429</v>
      </c>
      <c r="F16" s="1225">
        <v>24298.671999999999</v>
      </c>
    </row>
    <row r="17" spans="2:9" hidden="1">
      <c r="B17" s="1272">
        <v>16</v>
      </c>
      <c r="C17" s="1224">
        <v>3331562108</v>
      </c>
      <c r="D17" s="1224">
        <v>24141686</v>
      </c>
      <c r="E17" s="1224" t="s">
        <v>429</v>
      </c>
      <c r="F17" s="1225">
        <v>25547.59</v>
      </c>
    </row>
    <row r="18" spans="2:9" hidden="1">
      <c r="B18" s="1273">
        <v>17</v>
      </c>
      <c r="C18" s="1224">
        <v>3331562109</v>
      </c>
      <c r="D18" s="1224">
        <v>24141687</v>
      </c>
      <c r="E18" s="1224" t="s">
        <v>429</v>
      </c>
      <c r="F18" s="1225">
        <v>25201.182000000001</v>
      </c>
    </row>
    <row r="19" spans="2:9" hidden="1">
      <c r="B19" s="1273">
        <v>18</v>
      </c>
      <c r="C19" s="1224">
        <v>3331562110</v>
      </c>
      <c r="D19" s="1224">
        <v>24141688</v>
      </c>
      <c r="E19" s="1224" t="s">
        <v>429</v>
      </c>
      <c r="F19" s="1225">
        <v>24421.763999999999</v>
      </c>
    </row>
    <row r="20" spans="2:9" hidden="1">
      <c r="B20" s="1272">
        <v>19</v>
      </c>
      <c r="C20" s="1224">
        <v>3331562111</v>
      </c>
      <c r="D20" s="1224">
        <v>24141689</v>
      </c>
      <c r="E20" s="1224" t="s">
        <v>429</v>
      </c>
      <c r="F20" s="1225">
        <v>24768.171999999999</v>
      </c>
    </row>
    <row r="21" spans="2:9" hidden="1">
      <c r="B21" s="1273">
        <v>20</v>
      </c>
      <c r="C21" s="1224">
        <v>3331562116</v>
      </c>
      <c r="D21" s="1224">
        <v>24141691</v>
      </c>
      <c r="E21" s="1224" t="s">
        <v>429</v>
      </c>
      <c r="F21" s="1225">
        <v>23209.335999999999</v>
      </c>
    </row>
    <row r="22" spans="2:9">
      <c r="B22" s="1273">
        <v>21</v>
      </c>
      <c r="C22" s="1224">
        <v>3331562125</v>
      </c>
      <c r="D22" s="1224">
        <v>24141693</v>
      </c>
      <c r="E22" s="1224" t="s">
        <v>429</v>
      </c>
      <c r="F22" s="1225">
        <v>22745.66</v>
      </c>
    </row>
    <row r="23" spans="2:9">
      <c r="B23" s="1272">
        <v>22</v>
      </c>
      <c r="C23" s="1224">
        <v>3331562128</v>
      </c>
      <c r="D23" s="1224">
        <v>24141694</v>
      </c>
      <c r="E23" s="1224" t="s">
        <v>429</v>
      </c>
      <c r="F23" s="1225">
        <v>22745.66</v>
      </c>
    </row>
    <row r="24" spans="2:9">
      <c r="B24" s="1273">
        <v>23</v>
      </c>
      <c r="C24" s="1224">
        <v>3331562145</v>
      </c>
      <c r="D24" s="1224">
        <v>24141695</v>
      </c>
      <c r="E24" s="1224" t="s">
        <v>429</v>
      </c>
      <c r="F24" s="1225">
        <v>24797.9</v>
      </c>
      <c r="I24">
        <v>87886839783</v>
      </c>
    </row>
    <row r="25" spans="2:9">
      <c r="B25" s="1273">
        <v>24</v>
      </c>
      <c r="C25" s="1224">
        <v>3331562146</v>
      </c>
      <c r="D25" s="1224">
        <v>24141696</v>
      </c>
      <c r="E25" s="1224" t="s">
        <v>429</v>
      </c>
      <c r="F25" s="1225">
        <v>23087.7</v>
      </c>
    </row>
    <row r="26" spans="2:9">
      <c r="B26" s="1608">
        <v>25</v>
      </c>
      <c r="C26" s="1224">
        <v>3331562148</v>
      </c>
      <c r="D26" s="1609">
        <v>24141698</v>
      </c>
      <c r="E26" s="1609" t="s">
        <v>429</v>
      </c>
      <c r="F26" s="1611">
        <f>19352.925+5771.925</f>
        <v>25124.85</v>
      </c>
    </row>
    <row r="27" spans="2:9">
      <c r="B27" s="1603"/>
      <c r="C27" s="1224">
        <v>3331562151</v>
      </c>
      <c r="D27" s="1610"/>
      <c r="E27" s="1610"/>
      <c r="F27" s="1612"/>
    </row>
    <row r="28" spans="2:9">
      <c r="B28" s="1602">
        <v>26</v>
      </c>
      <c r="C28" s="1190">
        <v>3331562080</v>
      </c>
      <c r="D28" s="1604">
        <v>24141665</v>
      </c>
      <c r="E28" s="1604" t="s">
        <v>425</v>
      </c>
      <c r="F28" s="1606">
        <f>18470.16+5848.884</f>
        <v>24319.044000000002</v>
      </c>
    </row>
    <row r="29" spans="2:9">
      <c r="B29" s="1603"/>
      <c r="C29" s="1190">
        <v>3331562082</v>
      </c>
      <c r="D29" s="1605"/>
      <c r="E29" s="1605"/>
      <c r="F29" s="1607"/>
    </row>
    <row r="30" spans="2:9">
      <c r="B30" s="1273">
        <v>27</v>
      </c>
      <c r="C30" s="1190">
        <v>3331562084</v>
      </c>
      <c r="D30" s="1190">
        <v>24141666</v>
      </c>
      <c r="E30" s="1190" t="s">
        <v>425</v>
      </c>
      <c r="F30" s="1191">
        <v>22862.928</v>
      </c>
    </row>
    <row r="31" spans="2:9">
      <c r="B31" s="1602">
        <v>28</v>
      </c>
      <c r="C31" s="1190">
        <v>3331562086</v>
      </c>
      <c r="D31" s="1604">
        <v>24141670</v>
      </c>
      <c r="E31" s="1604" t="s">
        <v>425</v>
      </c>
      <c r="F31" s="1606">
        <f>10175.69+12860.397</f>
        <v>23036.087</v>
      </c>
    </row>
    <row r="32" spans="2:9">
      <c r="B32" s="1603"/>
      <c r="C32" s="1190">
        <v>3331562087</v>
      </c>
      <c r="D32" s="1605"/>
      <c r="E32" s="1605"/>
      <c r="F32" s="1607"/>
    </row>
    <row r="33" spans="2:6">
      <c r="B33" s="1273">
        <v>29</v>
      </c>
      <c r="C33" s="1190">
        <v>3331562090</v>
      </c>
      <c r="D33" s="1190">
        <v>24141671</v>
      </c>
      <c r="E33" s="1190" t="s">
        <v>425</v>
      </c>
      <c r="F33" s="1191">
        <v>23429.74</v>
      </c>
    </row>
    <row r="34" spans="2:6">
      <c r="B34" s="1273">
        <v>30</v>
      </c>
      <c r="C34" s="1276">
        <v>3331562094</v>
      </c>
      <c r="D34" s="1276">
        <v>24141679</v>
      </c>
      <c r="E34" s="1276" t="s">
        <v>425</v>
      </c>
      <c r="F34" s="1277">
        <v>23942.799999999999</v>
      </c>
    </row>
  </sheetData>
  <mergeCells count="12">
    <mergeCell ref="B31:B32"/>
    <mergeCell ref="D31:D32"/>
    <mergeCell ref="E31:E32"/>
    <mergeCell ref="F31:F32"/>
    <mergeCell ref="B26:B27"/>
    <mergeCell ref="B28:B29"/>
    <mergeCell ref="D26:D27"/>
    <mergeCell ref="E26:E27"/>
    <mergeCell ref="F26:F27"/>
    <mergeCell ref="D28:D29"/>
    <mergeCell ref="E28:E29"/>
    <mergeCell ref="F28:F2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3F51-6CAB-4F47-8375-C2EE6E1243B0}">
  <dimension ref="A1:M36"/>
  <sheetViews>
    <sheetView workbookViewId="0">
      <selection activeCell="C5" sqref="C5"/>
    </sheetView>
  </sheetViews>
  <sheetFormatPr defaultRowHeight="14.4"/>
  <cols>
    <col min="1" max="1" width="14.88671875" customWidth="1"/>
    <col min="2" max="2" width="18.88671875" bestFit="1" customWidth="1"/>
    <col min="3" max="3" width="12" bestFit="1" customWidth="1"/>
    <col min="4" max="4" width="16.88671875" bestFit="1" customWidth="1"/>
    <col min="5" max="5" width="12.88671875" bestFit="1" customWidth="1"/>
    <col min="6" max="6" width="42.44140625" bestFit="1" customWidth="1"/>
    <col min="8" max="8" width="14.88671875" bestFit="1" customWidth="1"/>
    <col min="9" max="9" width="6.33203125" bestFit="1" customWidth="1"/>
    <col min="10" max="10" width="3.33203125" bestFit="1" customWidth="1"/>
    <col min="11" max="11" width="2.33203125" bestFit="1" customWidth="1"/>
    <col min="12" max="12" width="15.5546875" bestFit="1" customWidth="1"/>
  </cols>
  <sheetData>
    <row r="1" spans="2:12">
      <c r="B1" s="1280" t="s">
        <v>925</v>
      </c>
      <c r="C1" s="1255" t="s">
        <v>2</v>
      </c>
      <c r="D1" s="1255" t="s">
        <v>3</v>
      </c>
      <c r="E1" s="1255" t="s">
        <v>211</v>
      </c>
      <c r="F1" s="1255" t="s">
        <v>5</v>
      </c>
      <c r="G1" s="1255" t="s">
        <v>194</v>
      </c>
      <c r="H1" s="1255" t="s">
        <v>212</v>
      </c>
      <c r="I1" s="1255" t="s">
        <v>213</v>
      </c>
      <c r="J1" s="1255" t="s">
        <v>406</v>
      </c>
      <c r="K1" s="1255" t="s">
        <v>215</v>
      </c>
      <c r="L1" s="1255" t="s">
        <v>216</v>
      </c>
    </row>
    <row r="2" spans="2:12" ht="15.6">
      <c r="B2" s="1286" t="s">
        <v>428</v>
      </c>
      <c r="C2" s="1283">
        <v>3331562081</v>
      </c>
      <c r="D2" s="1287" t="s">
        <v>424</v>
      </c>
      <c r="E2" s="1284">
        <v>24141667</v>
      </c>
      <c r="F2" s="1284" t="s">
        <v>429</v>
      </c>
      <c r="G2" s="1284"/>
      <c r="H2" s="1285">
        <v>24298.671999999999</v>
      </c>
      <c r="I2" s="1288" t="s">
        <v>426</v>
      </c>
      <c r="J2" s="1288">
        <v>1</v>
      </c>
      <c r="K2" s="1288">
        <v>1</v>
      </c>
      <c r="L2" s="1289" t="s">
        <v>204</v>
      </c>
    </row>
    <row r="3" spans="2:12" ht="15.6">
      <c r="B3" s="1273" t="s">
        <v>428</v>
      </c>
      <c r="C3" s="1189">
        <v>3331562083</v>
      </c>
      <c r="D3" s="1278" t="s">
        <v>189</v>
      </c>
      <c r="E3" s="1224">
        <v>24141668</v>
      </c>
      <c r="F3" s="1224" t="s">
        <v>429</v>
      </c>
      <c r="G3" s="1224"/>
      <c r="H3" s="1225">
        <v>24298.672999999999</v>
      </c>
      <c r="I3" s="1190" t="s">
        <v>426</v>
      </c>
      <c r="J3" s="1190">
        <v>1</v>
      </c>
      <c r="K3" s="1190">
        <v>1</v>
      </c>
      <c r="L3" s="1275" t="s">
        <v>207</v>
      </c>
    </row>
    <row r="4" spans="2:12" ht="15.6">
      <c r="B4" s="1273" t="s">
        <v>428</v>
      </c>
      <c r="C4" s="1224">
        <v>3331562085</v>
      </c>
      <c r="D4" s="1278" t="s">
        <v>189</v>
      </c>
      <c r="E4" s="1224">
        <v>24141669</v>
      </c>
      <c r="F4" s="1224" t="s">
        <v>429</v>
      </c>
      <c r="G4" s="1224"/>
      <c r="H4" s="1225">
        <v>24771.743999999999</v>
      </c>
      <c r="I4" s="1190" t="s">
        <v>426</v>
      </c>
      <c r="J4" s="1190">
        <v>1</v>
      </c>
      <c r="K4" s="1190">
        <v>1</v>
      </c>
      <c r="L4" s="1275" t="s">
        <v>207</v>
      </c>
    </row>
    <row r="5" spans="2:12" ht="15.6">
      <c r="B5" s="1273" t="s">
        <v>428</v>
      </c>
      <c r="C5" s="1224">
        <v>3331562089</v>
      </c>
      <c r="D5" s="1278" t="s">
        <v>189</v>
      </c>
      <c r="E5" s="1224">
        <v>24141672</v>
      </c>
      <c r="F5" s="1224" t="s">
        <v>429</v>
      </c>
      <c r="G5" s="1224"/>
      <c r="H5" s="1225">
        <v>25373.834999999999</v>
      </c>
      <c r="I5" s="1190" t="s">
        <v>426</v>
      </c>
      <c r="J5" s="1190">
        <v>1</v>
      </c>
      <c r="K5" s="1190">
        <v>1</v>
      </c>
      <c r="L5" s="1275" t="s">
        <v>207</v>
      </c>
    </row>
    <row r="6" spans="2:12" ht="15.6">
      <c r="B6" s="1286" t="s">
        <v>428</v>
      </c>
      <c r="C6" s="1227">
        <v>3331562091</v>
      </c>
      <c r="D6" s="1290" t="s">
        <v>424</v>
      </c>
      <c r="E6" s="1227">
        <v>24141674</v>
      </c>
      <c r="F6" s="1227" t="s">
        <v>429</v>
      </c>
      <c r="G6" s="1227"/>
      <c r="H6" s="1229">
        <v>25373.834999999999</v>
      </c>
      <c r="I6" s="1202" t="s">
        <v>426</v>
      </c>
      <c r="J6" s="1202">
        <v>1</v>
      </c>
      <c r="K6" s="1202">
        <v>1</v>
      </c>
      <c r="L6" s="1291" t="s">
        <v>204</v>
      </c>
    </row>
    <row r="7" spans="2:12" ht="15.6">
      <c r="B7" s="1273" t="s">
        <v>452</v>
      </c>
      <c r="C7" s="1224">
        <v>3331562093</v>
      </c>
      <c r="D7" s="1278" t="s">
        <v>189</v>
      </c>
      <c r="E7" s="1224">
        <v>24141675</v>
      </c>
      <c r="F7" s="1224" t="s">
        <v>429</v>
      </c>
      <c r="G7" s="1224"/>
      <c r="H7" s="1225">
        <v>25373.834999999999</v>
      </c>
      <c r="I7" s="1190" t="s">
        <v>426</v>
      </c>
      <c r="J7" s="1190">
        <v>1</v>
      </c>
      <c r="K7" s="1190">
        <v>1</v>
      </c>
      <c r="L7" s="1275" t="s">
        <v>207</v>
      </c>
    </row>
    <row r="8" spans="2:12" ht="15.6">
      <c r="B8" s="1286" t="s">
        <v>428</v>
      </c>
      <c r="C8" s="1227">
        <v>3331562096</v>
      </c>
      <c r="D8" s="1290" t="s">
        <v>424</v>
      </c>
      <c r="E8" s="1227">
        <v>24141676</v>
      </c>
      <c r="F8" s="1227" t="s">
        <v>429</v>
      </c>
      <c r="G8" s="1227"/>
      <c r="H8" s="1229">
        <v>25373.834999999999</v>
      </c>
      <c r="I8" s="1202" t="s">
        <v>426</v>
      </c>
      <c r="J8" s="1202">
        <v>1</v>
      </c>
      <c r="K8" s="1202">
        <v>1</v>
      </c>
      <c r="L8" s="1291" t="s">
        <v>204</v>
      </c>
    </row>
    <row r="9" spans="2:12" ht="15.6">
      <c r="B9" s="1286" t="s">
        <v>428</v>
      </c>
      <c r="C9" s="1227">
        <v>3331562099</v>
      </c>
      <c r="D9" s="1290" t="s">
        <v>424</v>
      </c>
      <c r="E9" s="1227">
        <v>24141677</v>
      </c>
      <c r="F9" s="1227" t="s">
        <v>429</v>
      </c>
      <c r="G9" s="1227"/>
      <c r="H9" s="1229">
        <v>25373.834999999999</v>
      </c>
      <c r="I9" s="1202" t="s">
        <v>426</v>
      </c>
      <c r="J9" s="1202">
        <v>1</v>
      </c>
      <c r="K9" s="1202">
        <v>1</v>
      </c>
      <c r="L9" s="1291" t="s">
        <v>204</v>
      </c>
    </row>
    <row r="10" spans="2:12" ht="15.6">
      <c r="B10" s="1286" t="s">
        <v>428</v>
      </c>
      <c r="C10" s="1227">
        <v>3331562100</v>
      </c>
      <c r="D10" s="1290" t="s">
        <v>424</v>
      </c>
      <c r="E10" s="1227">
        <v>24141678</v>
      </c>
      <c r="F10" s="1227" t="s">
        <v>429</v>
      </c>
      <c r="G10" s="1227"/>
      <c r="H10" s="1229">
        <v>23997.627</v>
      </c>
      <c r="I10" s="1202" t="s">
        <v>426</v>
      </c>
      <c r="J10" s="1202">
        <v>1</v>
      </c>
      <c r="K10" s="1202">
        <v>1</v>
      </c>
      <c r="L10" s="1291" t="s">
        <v>204</v>
      </c>
    </row>
    <row r="11" spans="2:12" ht="15.6">
      <c r="B11" s="1286" t="s">
        <v>428</v>
      </c>
      <c r="C11" s="1227">
        <v>3331562101</v>
      </c>
      <c r="D11" s="1290" t="s">
        <v>424</v>
      </c>
      <c r="E11" s="1227">
        <v>24141680</v>
      </c>
      <c r="F11" s="1227" t="s">
        <v>429</v>
      </c>
      <c r="G11" s="1227"/>
      <c r="H11" s="1229">
        <v>24771.743999999999</v>
      </c>
      <c r="I11" s="1202" t="s">
        <v>426</v>
      </c>
      <c r="J11" s="1202">
        <v>1</v>
      </c>
      <c r="K11" s="1202">
        <v>1</v>
      </c>
      <c r="L11" s="1291" t="s">
        <v>204</v>
      </c>
    </row>
    <row r="12" spans="2:12" ht="15.6">
      <c r="B12" s="1286" t="s">
        <v>428</v>
      </c>
      <c r="C12" s="1227">
        <v>3331562102</v>
      </c>
      <c r="D12" s="1290" t="s">
        <v>424</v>
      </c>
      <c r="E12" s="1227">
        <v>24141681</v>
      </c>
      <c r="F12" s="1227" t="s">
        <v>429</v>
      </c>
      <c r="G12" s="1227"/>
      <c r="H12" s="1229">
        <v>25072.79</v>
      </c>
      <c r="I12" s="1202" t="s">
        <v>426</v>
      </c>
      <c r="J12" s="1202">
        <v>1</v>
      </c>
      <c r="K12" s="1202">
        <v>1</v>
      </c>
      <c r="L12" s="1291" t="s">
        <v>204</v>
      </c>
    </row>
    <row r="13" spans="2:12" ht="15.6">
      <c r="B13" s="1286" t="s">
        <v>428</v>
      </c>
      <c r="C13" s="1227">
        <v>3331562104</v>
      </c>
      <c r="D13" s="1290" t="s">
        <v>424</v>
      </c>
      <c r="E13" s="1227">
        <v>24141682</v>
      </c>
      <c r="F13" s="1227" t="s">
        <v>429</v>
      </c>
      <c r="G13" s="1227"/>
      <c r="H13" s="1229">
        <v>25416.842000000001</v>
      </c>
      <c r="I13" s="1202" t="s">
        <v>426</v>
      </c>
      <c r="J13" s="1202">
        <v>1</v>
      </c>
      <c r="K13" s="1202">
        <v>1</v>
      </c>
      <c r="L13" s="1291" t="s">
        <v>204</v>
      </c>
    </row>
    <row r="14" spans="2:12" ht="15.6">
      <c r="B14" s="1286" t="s">
        <v>428</v>
      </c>
      <c r="C14" s="1227">
        <v>3331562105</v>
      </c>
      <c r="D14" s="1290" t="s">
        <v>424</v>
      </c>
      <c r="E14" s="1227">
        <v>24141683</v>
      </c>
      <c r="F14" s="1227" t="s">
        <v>429</v>
      </c>
      <c r="G14" s="1227"/>
      <c r="H14" s="1229">
        <v>25244.815999999999</v>
      </c>
      <c r="I14" s="1202" t="s">
        <v>426</v>
      </c>
      <c r="J14" s="1202">
        <v>1</v>
      </c>
      <c r="K14" s="1202">
        <v>1</v>
      </c>
      <c r="L14" s="1291" t="s">
        <v>204</v>
      </c>
    </row>
    <row r="15" spans="2:12" ht="15.6">
      <c r="B15" s="1286" t="s">
        <v>428</v>
      </c>
      <c r="C15" s="1227">
        <v>3331562106</v>
      </c>
      <c r="D15" s="1290" t="s">
        <v>424</v>
      </c>
      <c r="E15" s="1227">
        <v>24141684</v>
      </c>
      <c r="F15" s="1227" t="s">
        <v>429</v>
      </c>
      <c r="G15" s="1227"/>
      <c r="H15" s="1229">
        <v>24728.738000000001</v>
      </c>
      <c r="I15" s="1202" t="s">
        <v>426</v>
      </c>
      <c r="J15" s="1202">
        <v>1</v>
      </c>
      <c r="K15" s="1202">
        <v>1</v>
      </c>
      <c r="L15" s="1291" t="s">
        <v>204</v>
      </c>
    </row>
    <row r="16" spans="2:12" ht="15.6">
      <c r="B16" s="1286" t="s">
        <v>428</v>
      </c>
      <c r="C16" s="1227">
        <v>3331562107</v>
      </c>
      <c r="D16" s="1290" t="s">
        <v>424</v>
      </c>
      <c r="E16" s="1227">
        <v>24141685</v>
      </c>
      <c r="F16" s="1227" t="s">
        <v>429</v>
      </c>
      <c r="G16" s="1227"/>
      <c r="H16" s="1229">
        <v>24298.671999999999</v>
      </c>
      <c r="I16" s="1202" t="s">
        <v>426</v>
      </c>
      <c r="J16" s="1202">
        <v>1</v>
      </c>
      <c r="K16" s="1202">
        <v>1</v>
      </c>
      <c r="L16" s="1291" t="s">
        <v>204</v>
      </c>
    </row>
    <row r="17" spans="2:12" ht="15.6">
      <c r="B17" s="1286" t="s">
        <v>428</v>
      </c>
      <c r="C17" s="1227">
        <v>3331562108</v>
      </c>
      <c r="D17" s="1290" t="s">
        <v>424</v>
      </c>
      <c r="E17" s="1227">
        <v>24141686</v>
      </c>
      <c r="F17" s="1227" t="s">
        <v>429</v>
      </c>
      <c r="G17" s="1227"/>
      <c r="H17" s="1229">
        <v>25547.59</v>
      </c>
      <c r="I17" s="1202" t="s">
        <v>426</v>
      </c>
      <c r="J17" s="1202">
        <v>1</v>
      </c>
      <c r="K17" s="1202">
        <v>1</v>
      </c>
      <c r="L17" s="1291" t="s">
        <v>204</v>
      </c>
    </row>
    <row r="18" spans="2:12" ht="15.6">
      <c r="B18" s="1286" t="s">
        <v>452</v>
      </c>
      <c r="C18" s="1227">
        <v>3331562109</v>
      </c>
      <c r="D18" s="1290" t="s">
        <v>424</v>
      </c>
      <c r="E18" s="1227">
        <v>24141687</v>
      </c>
      <c r="F18" s="1227" t="s">
        <v>429</v>
      </c>
      <c r="G18" s="1227"/>
      <c r="H18" s="1229">
        <v>25201.182000000001</v>
      </c>
      <c r="I18" s="1202" t="s">
        <v>426</v>
      </c>
      <c r="J18" s="1202">
        <v>1</v>
      </c>
      <c r="K18" s="1202">
        <v>1</v>
      </c>
      <c r="L18" s="1291" t="s">
        <v>204</v>
      </c>
    </row>
    <row r="19" spans="2:12" ht="15.6">
      <c r="B19" s="1286" t="s">
        <v>428</v>
      </c>
      <c r="C19" s="1227">
        <v>3331562110</v>
      </c>
      <c r="D19" s="1290" t="s">
        <v>424</v>
      </c>
      <c r="E19" s="1227">
        <v>24141688</v>
      </c>
      <c r="F19" s="1227" t="s">
        <v>429</v>
      </c>
      <c r="G19" s="1227"/>
      <c r="H19" s="1229">
        <v>24421.763999999999</v>
      </c>
      <c r="I19" s="1202" t="s">
        <v>426</v>
      </c>
      <c r="J19" s="1202">
        <v>1</v>
      </c>
      <c r="K19" s="1202">
        <v>1</v>
      </c>
      <c r="L19" s="1291" t="s">
        <v>204</v>
      </c>
    </row>
    <row r="20" spans="2:12" ht="15.6">
      <c r="B20" s="1286" t="s">
        <v>428</v>
      </c>
      <c r="C20" s="1227">
        <v>3331562111</v>
      </c>
      <c r="D20" s="1290" t="s">
        <v>424</v>
      </c>
      <c r="E20" s="1227">
        <v>24141689</v>
      </c>
      <c r="F20" s="1227" t="s">
        <v>429</v>
      </c>
      <c r="G20" s="1227"/>
      <c r="H20" s="1229">
        <v>24768.171999999999</v>
      </c>
      <c r="I20" s="1202" t="s">
        <v>426</v>
      </c>
      <c r="J20" s="1202">
        <v>1</v>
      </c>
      <c r="K20" s="1202">
        <v>1</v>
      </c>
      <c r="L20" s="1291" t="s">
        <v>204</v>
      </c>
    </row>
    <row r="21" spans="2:12" ht="15.6">
      <c r="B21" s="1286" t="s">
        <v>428</v>
      </c>
      <c r="C21" s="1227">
        <v>3331562116</v>
      </c>
      <c r="D21" s="1290" t="s">
        <v>424</v>
      </c>
      <c r="E21" s="1227">
        <v>24141691</v>
      </c>
      <c r="F21" s="1227" t="s">
        <v>429</v>
      </c>
      <c r="G21" s="1227"/>
      <c r="H21" s="1229">
        <v>23209.335999999999</v>
      </c>
      <c r="I21" s="1202" t="s">
        <v>426</v>
      </c>
      <c r="J21" s="1202">
        <v>1</v>
      </c>
      <c r="K21" s="1202">
        <v>1</v>
      </c>
      <c r="L21" s="1291" t="s">
        <v>204</v>
      </c>
    </row>
    <row r="22" spans="2:12" ht="15.6">
      <c r="B22" s="1286" t="s">
        <v>428</v>
      </c>
      <c r="C22" s="1227">
        <v>3331562125</v>
      </c>
      <c r="D22" s="1290" t="s">
        <v>424</v>
      </c>
      <c r="E22" s="1227">
        <v>24141693</v>
      </c>
      <c r="F22" s="1227" t="s">
        <v>429</v>
      </c>
      <c r="G22" s="1227"/>
      <c r="H22" s="1229">
        <v>22745.66</v>
      </c>
      <c r="I22" s="1202" t="s">
        <v>426</v>
      </c>
      <c r="J22" s="1202">
        <v>1</v>
      </c>
      <c r="K22" s="1202">
        <v>1</v>
      </c>
      <c r="L22" s="1291" t="s">
        <v>204</v>
      </c>
    </row>
    <row r="23" spans="2:12" ht="15.6">
      <c r="B23" s="1286" t="s">
        <v>428</v>
      </c>
      <c r="C23" s="1227">
        <v>3331562128</v>
      </c>
      <c r="D23" s="1290" t="s">
        <v>424</v>
      </c>
      <c r="E23" s="1227">
        <v>24141694</v>
      </c>
      <c r="F23" s="1227" t="s">
        <v>429</v>
      </c>
      <c r="G23" s="1227"/>
      <c r="H23" s="1229">
        <v>22745.66</v>
      </c>
      <c r="I23" s="1202" t="s">
        <v>426</v>
      </c>
      <c r="J23" s="1202">
        <v>1</v>
      </c>
      <c r="K23" s="1202">
        <v>1</v>
      </c>
      <c r="L23" s="1291" t="s">
        <v>204</v>
      </c>
    </row>
    <row r="24" spans="2:12" ht="15.6">
      <c r="B24" s="1286" t="s">
        <v>428</v>
      </c>
      <c r="C24" s="1227">
        <v>3331562145</v>
      </c>
      <c r="D24" s="1290" t="s">
        <v>424</v>
      </c>
      <c r="E24" s="1227">
        <v>24141695</v>
      </c>
      <c r="F24" s="1227" t="s">
        <v>429</v>
      </c>
      <c r="G24" s="1227"/>
      <c r="H24" s="1229">
        <v>24797.9</v>
      </c>
      <c r="I24" s="1202" t="s">
        <v>426</v>
      </c>
      <c r="J24" s="1202">
        <v>1</v>
      </c>
      <c r="K24" s="1202">
        <v>1</v>
      </c>
      <c r="L24" s="1291" t="s">
        <v>204</v>
      </c>
    </row>
    <row r="25" spans="2:12" ht="15.6">
      <c r="B25" s="1286" t="s">
        <v>428</v>
      </c>
      <c r="C25" s="1227">
        <v>3331562146</v>
      </c>
      <c r="D25" s="1290" t="s">
        <v>424</v>
      </c>
      <c r="E25" s="1227">
        <v>24141696</v>
      </c>
      <c r="F25" s="1227" t="s">
        <v>429</v>
      </c>
      <c r="G25" s="1227"/>
      <c r="H25" s="1229">
        <v>23087.7</v>
      </c>
      <c r="I25" s="1202" t="s">
        <v>426</v>
      </c>
      <c r="J25" s="1202">
        <v>1</v>
      </c>
      <c r="K25" s="1202">
        <v>1</v>
      </c>
      <c r="L25" s="1291" t="s">
        <v>204</v>
      </c>
    </row>
    <row r="26" spans="2:12" ht="15.6">
      <c r="B26" s="1286" t="s">
        <v>428</v>
      </c>
      <c r="C26" s="1227">
        <v>3331562148</v>
      </c>
      <c r="D26" s="1290" t="s">
        <v>424</v>
      </c>
      <c r="E26" s="1227">
        <v>24141698</v>
      </c>
      <c r="F26" s="1227" t="s">
        <v>429</v>
      </c>
      <c r="G26" s="1227"/>
      <c r="H26" s="1229">
        <f>19352.925+5771.925</f>
        <v>25124.85</v>
      </c>
      <c r="I26" s="1202" t="s">
        <v>426</v>
      </c>
      <c r="J26" s="1202">
        <v>1</v>
      </c>
      <c r="K26" s="1202">
        <v>1</v>
      </c>
      <c r="L26" s="1291" t="s">
        <v>204</v>
      </c>
    </row>
    <row r="27" spans="2:12" ht="15.6">
      <c r="B27" s="1286" t="s">
        <v>428</v>
      </c>
      <c r="C27" s="1227">
        <v>3331562151</v>
      </c>
      <c r="D27" s="1290" t="s">
        <v>256</v>
      </c>
      <c r="E27" s="1227" t="s">
        <v>256</v>
      </c>
      <c r="F27" s="1227" t="s">
        <v>256</v>
      </c>
      <c r="G27" s="1227"/>
      <c r="H27" s="1229" t="s">
        <v>256</v>
      </c>
      <c r="I27" s="1202" t="s">
        <v>256</v>
      </c>
      <c r="J27" s="1202" t="s">
        <v>256</v>
      </c>
      <c r="K27" s="1202" t="s">
        <v>256</v>
      </c>
      <c r="L27" s="1291" t="s">
        <v>256</v>
      </c>
    </row>
    <row r="28" spans="2:12" ht="15.6">
      <c r="B28" s="1286" t="s">
        <v>418</v>
      </c>
      <c r="C28" s="1202">
        <v>3331562080</v>
      </c>
      <c r="D28" s="1290" t="s">
        <v>424</v>
      </c>
      <c r="E28" s="1202">
        <v>24141665</v>
      </c>
      <c r="F28" s="1202" t="s">
        <v>425</v>
      </c>
      <c r="G28" s="1202"/>
      <c r="H28" s="1203">
        <f>18470.16+5848.884</f>
        <v>24319.044000000002</v>
      </c>
      <c r="I28" s="1202" t="s">
        <v>426</v>
      </c>
      <c r="J28" s="1077">
        <v>1</v>
      </c>
      <c r="K28" s="1077">
        <v>1</v>
      </c>
      <c r="L28" s="1310" t="s">
        <v>204</v>
      </c>
    </row>
    <row r="29" spans="2:12" ht="15.6">
      <c r="B29" s="1286" t="s">
        <v>418</v>
      </c>
      <c r="C29" s="1202">
        <v>3331562082</v>
      </c>
      <c r="D29" s="1290" t="s">
        <v>256</v>
      </c>
      <c r="E29" s="1202" t="s">
        <v>256</v>
      </c>
      <c r="F29" s="1202" t="s">
        <v>256</v>
      </c>
      <c r="G29" s="1202"/>
      <c r="H29" s="1203" t="s">
        <v>256</v>
      </c>
      <c r="I29" s="1202" t="s">
        <v>256</v>
      </c>
      <c r="J29" s="1077" t="s">
        <v>256</v>
      </c>
      <c r="K29" s="1077" t="s">
        <v>256</v>
      </c>
      <c r="L29" s="1310" t="s">
        <v>256</v>
      </c>
    </row>
    <row r="30" spans="2:12" ht="15.6">
      <c r="B30" s="1286" t="s">
        <v>418</v>
      </c>
      <c r="C30" s="1202">
        <v>3331562084</v>
      </c>
      <c r="D30" s="1290" t="s">
        <v>424</v>
      </c>
      <c r="E30" s="1202">
        <v>24141666</v>
      </c>
      <c r="F30" s="1202" t="s">
        <v>425</v>
      </c>
      <c r="G30" s="1202"/>
      <c r="H30" s="1203">
        <v>22862.928</v>
      </c>
      <c r="I30" s="1202" t="s">
        <v>426</v>
      </c>
      <c r="J30" s="1077">
        <v>1</v>
      </c>
      <c r="K30" s="1077">
        <v>1</v>
      </c>
      <c r="L30" s="1310" t="s">
        <v>204</v>
      </c>
    </row>
    <row r="31" spans="2:12" ht="15.6">
      <c r="B31" s="1286" t="s">
        <v>418</v>
      </c>
      <c r="C31" s="1202">
        <v>3331562086</v>
      </c>
      <c r="D31" s="1290" t="s">
        <v>424</v>
      </c>
      <c r="E31" s="1202">
        <v>24141670</v>
      </c>
      <c r="F31" s="1202" t="s">
        <v>425</v>
      </c>
      <c r="G31" s="1202"/>
      <c r="H31" s="1203">
        <f>10175.69+12860.397</f>
        <v>23036.087</v>
      </c>
      <c r="I31" s="1202" t="s">
        <v>426</v>
      </c>
      <c r="J31" s="1077">
        <v>1</v>
      </c>
      <c r="K31" s="1077">
        <v>1</v>
      </c>
      <c r="L31" s="1310" t="s">
        <v>204</v>
      </c>
    </row>
    <row r="32" spans="2:12" ht="15.6">
      <c r="B32" s="1286" t="s">
        <v>418</v>
      </c>
      <c r="C32" s="1202">
        <v>3331562087</v>
      </c>
      <c r="D32" s="1317" t="s">
        <v>256</v>
      </c>
      <c r="E32" s="1202" t="s">
        <v>256</v>
      </c>
      <c r="F32" s="1202" t="s">
        <v>256</v>
      </c>
      <c r="G32" s="1202"/>
      <c r="H32" s="1203" t="s">
        <v>256</v>
      </c>
      <c r="I32" s="1202" t="s">
        <v>256</v>
      </c>
      <c r="J32" s="1202" t="s">
        <v>256</v>
      </c>
      <c r="K32" s="1202" t="s">
        <v>256</v>
      </c>
      <c r="L32" s="1310" t="s">
        <v>256</v>
      </c>
    </row>
    <row r="33" spans="1:13" ht="15.6">
      <c r="B33" s="1286" t="s">
        <v>418</v>
      </c>
      <c r="C33" s="1202">
        <v>3331562090</v>
      </c>
      <c r="D33" s="1290" t="s">
        <v>424</v>
      </c>
      <c r="E33" s="1202">
        <v>24141671</v>
      </c>
      <c r="F33" s="1202" t="s">
        <v>425</v>
      </c>
      <c r="G33" s="1202"/>
      <c r="H33" s="1203">
        <v>23429.74</v>
      </c>
      <c r="I33" s="1202" t="s">
        <v>426</v>
      </c>
      <c r="J33" s="1077">
        <v>1</v>
      </c>
      <c r="K33" s="1077">
        <v>1</v>
      </c>
      <c r="L33" s="1310" t="s">
        <v>204</v>
      </c>
    </row>
    <row r="34" spans="1:13" ht="15.6">
      <c r="B34" s="1314" t="s">
        <v>418</v>
      </c>
      <c r="C34" s="1257">
        <v>3331562094</v>
      </c>
      <c r="D34" s="1290" t="s">
        <v>424</v>
      </c>
      <c r="E34" s="1257">
        <v>24141679</v>
      </c>
      <c r="F34" s="1257" t="s">
        <v>425</v>
      </c>
      <c r="G34" s="1257"/>
      <c r="H34" s="1258">
        <v>23942.799999999999</v>
      </c>
      <c r="I34" s="1257" t="s">
        <v>426</v>
      </c>
      <c r="J34" s="1248">
        <v>1</v>
      </c>
      <c r="K34" s="1248">
        <v>1</v>
      </c>
      <c r="L34" s="1315" t="s">
        <v>204</v>
      </c>
    </row>
    <row r="35" spans="1:13" ht="15.6">
      <c r="A35" t="s">
        <v>926</v>
      </c>
      <c r="B35" s="105" t="s">
        <v>443</v>
      </c>
      <c r="C35" s="105">
        <v>3331563654</v>
      </c>
      <c r="D35" s="1290" t="s">
        <v>424</v>
      </c>
      <c r="E35" s="105">
        <v>24141829</v>
      </c>
      <c r="F35" s="1202" t="s">
        <v>425</v>
      </c>
      <c r="G35" s="105"/>
      <c r="H35" s="401">
        <v>22617.395</v>
      </c>
      <c r="I35" s="105" t="s">
        <v>812</v>
      </c>
      <c r="J35" s="105">
        <v>1</v>
      </c>
      <c r="K35" s="105">
        <v>1</v>
      </c>
      <c r="L35" s="1310" t="s">
        <v>204</v>
      </c>
      <c r="M35" t="s">
        <v>310</v>
      </c>
    </row>
    <row r="36" spans="1:13">
      <c r="A36" t="s">
        <v>926</v>
      </c>
      <c r="B36" s="55" t="s">
        <v>443</v>
      </c>
      <c r="C36" s="55">
        <v>3331563747</v>
      </c>
      <c r="D36" s="1278" t="s">
        <v>189</v>
      </c>
      <c r="E36" s="55">
        <v>24141844</v>
      </c>
      <c r="F36" s="55" t="s">
        <v>354</v>
      </c>
      <c r="G36" s="55"/>
      <c r="H36" s="1316">
        <v>24712.39</v>
      </c>
      <c r="I36" s="55" t="s">
        <v>426</v>
      </c>
      <c r="J36" s="55">
        <v>1</v>
      </c>
      <c r="K36" s="55">
        <v>1</v>
      </c>
      <c r="L36" s="26" t="s">
        <v>207</v>
      </c>
      <c r="M36" t="s">
        <v>310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55E6-7F02-40AE-A6C5-190B2DE3BFB3}">
  <dimension ref="A2:W31"/>
  <sheetViews>
    <sheetView topLeftCell="A11" workbookViewId="0">
      <selection activeCell="T20" sqref="T20"/>
    </sheetView>
  </sheetViews>
  <sheetFormatPr defaultRowHeight="14.4"/>
  <cols>
    <col min="1" max="1" width="18.33203125" bestFit="1" customWidth="1"/>
    <col min="2" max="2" width="12" bestFit="1" customWidth="1"/>
    <col min="3" max="3" width="20.88671875" bestFit="1" customWidth="1"/>
  </cols>
  <sheetData>
    <row r="2" spans="1:23">
      <c r="A2" s="183" t="s">
        <v>5</v>
      </c>
      <c r="B2" t="s">
        <v>927</v>
      </c>
      <c r="E2" s="1628"/>
      <c r="F2" s="1629"/>
      <c r="G2" s="1629"/>
      <c r="H2" s="1629"/>
      <c r="I2" s="1629"/>
      <c r="J2" s="1629"/>
      <c r="K2" s="1629"/>
      <c r="L2" s="1629"/>
      <c r="M2" s="1629"/>
      <c r="N2" s="1629"/>
      <c r="O2" s="1629"/>
      <c r="P2" s="1629"/>
      <c r="Q2" s="1629"/>
      <c r="R2" s="1629"/>
      <c r="S2" s="1629"/>
      <c r="T2" s="1629"/>
      <c r="U2" s="1629"/>
      <c r="V2" s="1629"/>
      <c r="W2" s="1630"/>
    </row>
    <row r="3" spans="1:23">
      <c r="A3" s="183" t="s">
        <v>194</v>
      </c>
      <c r="B3" t="s">
        <v>927</v>
      </c>
      <c r="E3" s="1631"/>
      <c r="F3" s="1632"/>
      <c r="G3" s="1632"/>
      <c r="H3" s="1632"/>
      <c r="I3" s="1632"/>
      <c r="J3" s="1632"/>
      <c r="K3" s="1632"/>
      <c r="L3" s="1632"/>
      <c r="M3" s="1632"/>
      <c r="N3" s="1632"/>
      <c r="O3" s="1632"/>
      <c r="P3" s="1632"/>
      <c r="Q3" s="1632"/>
      <c r="R3" s="1632"/>
      <c r="S3" s="1632"/>
      <c r="T3" s="1632"/>
      <c r="U3" s="1632"/>
      <c r="V3" s="1632"/>
      <c r="W3" s="1633"/>
    </row>
    <row r="4" spans="1:23">
      <c r="A4" s="183" t="s">
        <v>213</v>
      </c>
      <c r="B4" t="s">
        <v>927</v>
      </c>
      <c r="E4" s="1631"/>
      <c r="F4" s="1632"/>
      <c r="G4" s="1632"/>
      <c r="H4" s="1632"/>
      <c r="I4" s="1632"/>
      <c r="J4" s="1632"/>
      <c r="K4" s="1632"/>
      <c r="L4" s="1632"/>
      <c r="M4" s="1632"/>
      <c r="N4" s="1632"/>
      <c r="O4" s="1632"/>
      <c r="P4" s="1632"/>
      <c r="Q4" s="1632"/>
      <c r="R4" s="1632"/>
      <c r="S4" s="1632"/>
      <c r="T4" s="1632"/>
      <c r="U4" s="1632"/>
      <c r="V4" s="1632"/>
      <c r="W4" s="1633"/>
    </row>
    <row r="5" spans="1:23">
      <c r="A5" s="183" t="s">
        <v>216</v>
      </c>
      <c r="B5" t="s">
        <v>927</v>
      </c>
      <c r="E5" s="1631"/>
      <c r="F5" s="1632"/>
      <c r="G5" s="1632"/>
      <c r="H5" s="1632"/>
      <c r="I5" s="1632"/>
      <c r="J5" s="1632"/>
      <c r="K5" s="1632"/>
      <c r="L5" s="1632"/>
      <c r="M5" s="1632"/>
      <c r="N5" s="1632"/>
      <c r="O5" s="1632"/>
      <c r="P5" s="1632"/>
      <c r="Q5" s="1632"/>
      <c r="R5" s="1632"/>
      <c r="S5" s="1632"/>
      <c r="T5" s="1632"/>
      <c r="U5" s="1632"/>
      <c r="V5" s="1632"/>
      <c r="W5" s="1633"/>
    </row>
    <row r="6" spans="1:23">
      <c r="E6" s="1631"/>
      <c r="F6" s="1632"/>
      <c r="G6" s="1632"/>
      <c r="H6" s="1632"/>
      <c r="I6" s="1632"/>
      <c r="J6" s="1632"/>
      <c r="K6" s="1632"/>
      <c r="L6" s="1632"/>
      <c r="M6" s="1632"/>
      <c r="N6" s="1632"/>
      <c r="O6" s="1632"/>
      <c r="P6" s="1632"/>
      <c r="Q6" s="1632"/>
      <c r="R6" s="1632"/>
      <c r="S6" s="1632"/>
      <c r="T6" s="1632"/>
      <c r="U6" s="1632"/>
      <c r="V6" s="1632"/>
      <c r="W6" s="1633"/>
    </row>
    <row r="7" spans="1:23">
      <c r="A7" s="183" t="s">
        <v>3</v>
      </c>
      <c r="B7" s="183" t="s">
        <v>2</v>
      </c>
      <c r="C7" t="s">
        <v>928</v>
      </c>
      <c r="E7" s="1631"/>
      <c r="F7" s="1632"/>
      <c r="G7" s="1632"/>
      <c r="H7" s="1632"/>
      <c r="I7" s="1632"/>
      <c r="J7" s="1632"/>
      <c r="K7" s="1632"/>
      <c r="L7" s="1632"/>
      <c r="M7" s="1632"/>
      <c r="N7" s="1632"/>
      <c r="O7" s="1632"/>
      <c r="P7" s="1632"/>
      <c r="Q7" s="1632"/>
      <c r="R7" s="1632"/>
      <c r="S7" s="1632"/>
      <c r="T7" s="1632"/>
      <c r="U7" s="1632"/>
      <c r="V7" s="1632"/>
      <c r="W7" s="1633"/>
    </row>
    <row r="8" spans="1:23">
      <c r="A8" t="s">
        <v>459</v>
      </c>
      <c r="B8">
        <v>3331571321</v>
      </c>
      <c r="C8">
        <v>1</v>
      </c>
      <c r="E8" s="1631"/>
      <c r="F8" s="1632"/>
      <c r="G8" s="1632"/>
      <c r="H8" s="1632"/>
      <c r="I8" s="1632"/>
      <c r="J8" s="1632"/>
      <c r="K8" s="1632"/>
      <c r="L8" s="1632"/>
      <c r="M8" s="1632"/>
      <c r="N8" s="1632"/>
      <c r="O8" s="1632"/>
      <c r="P8" s="1632"/>
      <c r="Q8" s="1632"/>
      <c r="R8" s="1632"/>
      <c r="S8" s="1632"/>
      <c r="T8" s="1632"/>
      <c r="U8" s="1632"/>
      <c r="V8" s="1632"/>
      <c r="W8" s="1633"/>
    </row>
    <row r="9" spans="1:23">
      <c r="A9" t="s">
        <v>929</v>
      </c>
      <c r="C9">
        <v>1</v>
      </c>
      <c r="E9" s="1631"/>
      <c r="F9" s="1632"/>
      <c r="G9" s="1632"/>
      <c r="H9" s="1632"/>
      <c r="I9" s="1632"/>
      <c r="J9" s="1632"/>
      <c r="K9" s="1632"/>
      <c r="L9" s="1632"/>
      <c r="M9" s="1632"/>
      <c r="N9" s="1632"/>
      <c r="O9" s="1632"/>
      <c r="P9" s="1632"/>
      <c r="Q9" s="1632"/>
      <c r="R9" s="1632"/>
      <c r="S9" s="1632"/>
      <c r="T9" s="1632"/>
      <c r="U9" s="1632"/>
      <c r="V9" s="1632"/>
      <c r="W9" s="1633"/>
    </row>
    <row r="10" spans="1:23">
      <c r="A10" t="s">
        <v>385</v>
      </c>
      <c r="C10">
        <v>1</v>
      </c>
      <c r="E10" s="1631"/>
      <c r="F10" s="1632"/>
      <c r="G10" s="1632"/>
      <c r="H10" s="1632"/>
      <c r="I10" s="1632"/>
      <c r="J10" s="1632"/>
      <c r="K10" s="1632"/>
      <c r="L10" s="1632"/>
      <c r="M10" s="1632"/>
      <c r="N10" s="1632"/>
      <c r="O10" s="1632"/>
      <c r="P10" s="1632"/>
      <c r="Q10" s="1632"/>
      <c r="R10" s="1632"/>
      <c r="S10" s="1632"/>
      <c r="T10" s="1632"/>
      <c r="U10" s="1632"/>
      <c r="V10" s="1632"/>
      <c r="W10" s="1633"/>
    </row>
    <row r="11" spans="1:23">
      <c r="E11" s="1631"/>
      <c r="F11" s="1632"/>
      <c r="G11" s="1632"/>
      <c r="H11" s="1632"/>
      <c r="I11" s="1632"/>
      <c r="J11" s="1632"/>
      <c r="K11" s="1632"/>
      <c r="L11" s="1632"/>
      <c r="M11" s="1632"/>
      <c r="N11" s="1632"/>
      <c r="O11" s="1632"/>
      <c r="P11" s="1632"/>
      <c r="Q11" s="1632"/>
      <c r="R11" s="1632"/>
      <c r="S11" s="1632"/>
      <c r="T11" s="1632"/>
      <c r="U11" s="1632"/>
      <c r="V11" s="1632"/>
      <c r="W11" s="1633"/>
    </row>
    <row r="12" spans="1:23">
      <c r="E12" s="1631"/>
      <c r="F12" s="1632"/>
      <c r="G12" s="1632"/>
      <c r="H12" s="1632"/>
      <c r="I12" s="1632"/>
      <c r="J12" s="1632"/>
      <c r="K12" s="1632"/>
      <c r="L12" s="1632"/>
      <c r="M12" s="1632"/>
      <c r="N12" s="1632"/>
      <c r="O12" s="1632"/>
      <c r="P12" s="1632"/>
      <c r="Q12" s="1632"/>
      <c r="R12" s="1632"/>
      <c r="S12" s="1632"/>
      <c r="T12" s="1632"/>
      <c r="U12" s="1632"/>
      <c r="V12" s="1632"/>
      <c r="W12" s="1633"/>
    </row>
    <row r="13" spans="1:23">
      <c r="E13" s="1631"/>
      <c r="F13" s="1632"/>
      <c r="G13" s="1632"/>
      <c r="H13" s="1632"/>
      <c r="I13" s="1632"/>
      <c r="J13" s="1632"/>
      <c r="K13" s="1632"/>
      <c r="L13" s="1632"/>
      <c r="M13" s="1632"/>
      <c r="N13" s="1632"/>
      <c r="O13" s="1632"/>
      <c r="P13" s="1632"/>
      <c r="Q13" s="1632"/>
      <c r="R13" s="1632"/>
      <c r="S13" s="1632"/>
      <c r="T13" s="1632"/>
      <c r="U13" s="1632"/>
      <c r="V13" s="1632"/>
      <c r="W13" s="1633"/>
    </row>
    <row r="14" spans="1:23">
      <c r="E14" s="1631"/>
      <c r="F14" s="1632"/>
      <c r="G14" s="1632"/>
      <c r="H14" s="1632"/>
      <c r="I14" s="1632"/>
      <c r="J14" s="1632"/>
      <c r="K14" s="1632"/>
      <c r="L14" s="1632"/>
      <c r="M14" s="1632"/>
      <c r="N14" s="1632"/>
      <c r="O14" s="1632"/>
      <c r="P14" s="1632"/>
      <c r="Q14" s="1632"/>
      <c r="R14" s="1632"/>
      <c r="S14" s="1632"/>
      <c r="T14" s="1632"/>
      <c r="U14" s="1632"/>
      <c r="V14" s="1632"/>
      <c r="W14" s="1633"/>
    </row>
    <row r="15" spans="1:23">
      <c r="E15" s="1631"/>
      <c r="F15" s="1632"/>
      <c r="G15" s="1632"/>
      <c r="H15" s="1632"/>
      <c r="I15" s="1632"/>
      <c r="J15" s="1632"/>
      <c r="K15" s="1632"/>
      <c r="L15" s="1632"/>
      <c r="M15" s="1632"/>
      <c r="N15" s="1632"/>
      <c r="O15" s="1632"/>
      <c r="P15" s="1632"/>
      <c r="Q15" s="1632"/>
      <c r="R15" s="1632"/>
      <c r="S15" s="1632"/>
      <c r="T15" s="1632"/>
      <c r="U15" s="1632"/>
      <c r="V15" s="1632"/>
      <c r="W15" s="1633"/>
    </row>
    <row r="16" spans="1:23">
      <c r="E16" s="1631"/>
      <c r="F16" s="1632"/>
      <c r="G16" s="1632"/>
      <c r="H16" s="1632"/>
      <c r="I16" s="1632"/>
      <c r="J16" s="1632"/>
      <c r="K16" s="1632"/>
      <c r="L16" s="1632"/>
      <c r="M16" s="1632"/>
      <c r="N16" s="1632"/>
      <c r="O16" s="1632"/>
      <c r="P16" s="1632"/>
      <c r="Q16" s="1632"/>
      <c r="R16" s="1632"/>
      <c r="S16" s="1632"/>
      <c r="T16" s="1632"/>
      <c r="U16" s="1632"/>
      <c r="V16" s="1632"/>
      <c r="W16" s="1633"/>
    </row>
    <row r="17" spans="5:23">
      <c r="E17" s="1631"/>
      <c r="F17" s="1632"/>
      <c r="G17" s="1632"/>
      <c r="H17" s="1632"/>
      <c r="I17" s="1632"/>
      <c r="J17" s="1632"/>
      <c r="K17" s="1632"/>
      <c r="L17" s="1632"/>
      <c r="M17" s="1632"/>
      <c r="N17" s="1632"/>
      <c r="O17" s="1632"/>
      <c r="P17" s="1632"/>
      <c r="Q17" s="1632"/>
      <c r="R17" s="1632"/>
      <c r="S17" s="1632"/>
      <c r="T17" s="1632"/>
      <c r="U17" s="1632"/>
      <c r="V17" s="1632"/>
      <c r="W17" s="1633"/>
    </row>
    <row r="18" spans="5:23">
      <c r="E18" s="1634"/>
      <c r="F18" s="1635"/>
      <c r="G18" s="1635"/>
      <c r="H18" s="1635"/>
      <c r="I18" s="1635"/>
      <c r="J18" s="1635"/>
      <c r="K18" s="1635"/>
      <c r="L18" s="1635"/>
      <c r="M18" s="1635"/>
      <c r="N18" s="1635"/>
      <c r="O18" s="1635"/>
      <c r="P18" s="1635"/>
      <c r="Q18" s="1635"/>
      <c r="R18" s="1635"/>
      <c r="S18" s="1635"/>
      <c r="T18" s="1635"/>
      <c r="U18" s="1635"/>
      <c r="V18" s="1635"/>
      <c r="W18" s="1636"/>
    </row>
    <row r="19" spans="5:23">
      <c r="E19" s="1457"/>
      <c r="T19" s="1458"/>
    </row>
    <row r="20" spans="5:23" ht="15" customHeight="1">
      <c r="E20" s="1457"/>
      <c r="F20" s="1613" t="s">
        <v>930</v>
      </c>
      <c r="G20" s="1614"/>
      <c r="H20" s="1615"/>
      <c r="J20" s="1613" t="s">
        <v>931</v>
      </c>
      <c r="K20" s="1614"/>
      <c r="L20" s="1615"/>
      <c r="N20" s="1637" t="s">
        <v>310</v>
      </c>
      <c r="O20" s="1638"/>
      <c r="P20" s="1639"/>
      <c r="T20" s="1458"/>
    </row>
    <row r="21" spans="5:23" ht="15" customHeight="1">
      <c r="E21" s="1457"/>
      <c r="F21" s="1616"/>
      <c r="G21" s="1617"/>
      <c r="H21" s="1618"/>
      <c r="J21" s="1616"/>
      <c r="K21" s="1617"/>
      <c r="L21" s="1618"/>
      <c r="N21" s="1640">
        <f>SUM('14.11.2025'!J16)</f>
        <v>18</v>
      </c>
      <c r="O21" s="1641"/>
      <c r="P21" s="1642"/>
      <c r="T21" s="1458"/>
    </row>
    <row r="22" spans="5:23" ht="15" customHeight="1">
      <c r="E22" s="1457"/>
      <c r="F22" s="1619">
        <f>_xlfn.XLOOKUP("Grand Total",A:A,C:C)</f>
        <v>1</v>
      </c>
      <c r="G22" s="1620"/>
      <c r="H22" s="1621"/>
      <c r="J22" s="1619">
        <f>SUM('14.11.2025'!B13:B15)</f>
        <v>56</v>
      </c>
      <c r="K22" s="1620"/>
      <c r="L22" s="1621"/>
      <c r="N22" s="1643"/>
      <c r="O22" s="1644"/>
      <c r="P22" s="1645"/>
      <c r="T22" s="1458"/>
    </row>
    <row r="23" spans="5:23" ht="15" customHeight="1">
      <c r="E23" s="1457"/>
      <c r="F23" s="1622"/>
      <c r="G23" s="1623"/>
      <c r="H23" s="1624"/>
      <c r="J23" s="1622"/>
      <c r="K23" s="1623"/>
      <c r="L23" s="1624"/>
      <c r="T23" s="1458"/>
    </row>
    <row r="24" spans="5:23" ht="15" customHeight="1">
      <c r="E24" s="1457"/>
      <c r="F24" s="1625"/>
      <c r="G24" s="1626"/>
      <c r="H24" s="1627"/>
      <c r="J24" s="1625"/>
      <c r="K24" s="1626"/>
      <c r="L24" s="1627"/>
      <c r="T24" s="1458"/>
    </row>
    <row r="25" spans="5:23">
      <c r="E25" s="1457"/>
      <c r="T25" s="1458"/>
    </row>
    <row r="26" spans="5:23" ht="15" customHeight="1">
      <c r="E26" s="1457"/>
      <c r="F26" s="1613" t="s">
        <v>216</v>
      </c>
      <c r="G26" s="1614"/>
      <c r="H26" s="1615"/>
      <c r="J26" s="1613" t="s">
        <v>932</v>
      </c>
      <c r="K26" s="1614"/>
      <c r="L26" s="1615"/>
      <c r="T26" s="1458"/>
    </row>
    <row r="27" spans="5:23" ht="15" customHeight="1">
      <c r="E27" s="1457"/>
      <c r="F27" s="1616"/>
      <c r="G27" s="1617"/>
      <c r="H27" s="1618"/>
      <c r="J27" s="1616"/>
      <c r="K27" s="1617"/>
      <c r="L27" s="1618"/>
      <c r="T27" s="1458"/>
    </row>
    <row r="28" spans="5:23" ht="15" customHeight="1">
      <c r="E28" s="1457"/>
      <c r="F28" s="1619">
        <f>SUMIF('14.11.2025'!AB:AB,"MASUK",'14.11.2025'!Z:Z)</f>
        <v>88</v>
      </c>
      <c r="G28" s="1620"/>
      <c r="H28" s="1621"/>
      <c r="J28" s="1619">
        <f>SUM('14.11.2025'!B12)</f>
        <v>13</v>
      </c>
      <c r="K28" s="1620"/>
      <c r="L28" s="1621"/>
      <c r="T28" s="1458"/>
    </row>
    <row r="29" spans="5:23" ht="15" customHeight="1">
      <c r="E29" s="1457"/>
      <c r="F29" s="1622"/>
      <c r="G29" s="1623"/>
      <c r="H29" s="1624"/>
      <c r="J29" s="1622"/>
      <c r="K29" s="1623"/>
      <c r="L29" s="1624"/>
      <c r="T29" s="1458"/>
    </row>
    <row r="30" spans="5:23" ht="15" customHeight="1">
      <c r="E30" s="1457"/>
      <c r="F30" s="1625"/>
      <c r="G30" s="1626"/>
      <c r="H30" s="1627"/>
      <c r="J30" s="1625"/>
      <c r="K30" s="1626"/>
      <c r="L30" s="1627"/>
      <c r="T30" s="1458"/>
    </row>
    <row r="31" spans="5:23">
      <c r="E31" s="1459"/>
      <c r="F31" s="1460"/>
      <c r="G31" s="1460"/>
      <c r="H31" s="1460"/>
      <c r="I31" s="1460"/>
      <c r="J31" s="1460"/>
      <c r="K31" s="1460"/>
      <c r="L31" s="1460"/>
      <c r="M31" s="1460"/>
      <c r="N31" s="1460"/>
      <c r="O31" s="1460"/>
      <c r="P31" s="1460"/>
      <c r="Q31" s="1460"/>
      <c r="R31" s="1460"/>
      <c r="S31" s="1460"/>
      <c r="T31" s="1461"/>
    </row>
  </sheetData>
  <mergeCells count="11">
    <mergeCell ref="F26:H27"/>
    <mergeCell ref="J26:L27"/>
    <mergeCell ref="F28:H30"/>
    <mergeCell ref="J28:L30"/>
    <mergeCell ref="E2:W18"/>
    <mergeCell ref="F20:H21"/>
    <mergeCell ref="J20:L21"/>
    <mergeCell ref="N20:P20"/>
    <mergeCell ref="N21:P22"/>
    <mergeCell ref="F22:H24"/>
    <mergeCell ref="J22:L2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0BEB-D1EA-454D-B626-CA40CB353D5C}">
  <dimension ref="A1:AA86"/>
  <sheetViews>
    <sheetView workbookViewId="0">
      <selection activeCell="A4" sqref="A4"/>
    </sheetView>
  </sheetViews>
  <sheetFormatPr defaultRowHeight="14.4"/>
  <cols>
    <col min="1" max="1" width="9.88671875" bestFit="1" customWidth="1"/>
    <col min="3" max="3" width="15" bestFit="1" customWidth="1"/>
    <col min="11" max="11" width="9.88671875" bestFit="1" customWidth="1"/>
    <col min="13" max="13" width="15" bestFit="1" customWidth="1"/>
    <col min="15" max="15" width="15" bestFit="1" customWidth="1"/>
    <col min="18" max="18" width="12" bestFit="1" customWidth="1"/>
    <col min="19" max="19" width="16.33203125" bestFit="1" customWidth="1"/>
    <col min="26" max="26" width="9.88671875" bestFit="1" customWidth="1"/>
  </cols>
  <sheetData>
    <row r="1" spans="1:27">
      <c r="A1" s="1451"/>
      <c r="B1" s="1451"/>
      <c r="C1" s="1451"/>
      <c r="D1" s="1451"/>
      <c r="E1" s="1451"/>
      <c r="F1" s="1451"/>
      <c r="G1" s="1451"/>
      <c r="H1" s="1451"/>
      <c r="I1" s="1451"/>
      <c r="J1" s="1451"/>
      <c r="K1" s="1451"/>
      <c r="L1" s="1451"/>
      <c r="M1" s="1451"/>
      <c r="N1" s="1451"/>
      <c r="O1" s="1451"/>
      <c r="P1" s="1451"/>
      <c r="Q1" s="1451"/>
      <c r="R1" s="1451"/>
      <c r="S1" s="1451"/>
      <c r="T1" s="1451"/>
      <c r="U1" s="1451"/>
      <c r="V1" s="1451"/>
      <c r="W1" s="1451"/>
      <c r="X1" s="1451"/>
      <c r="Y1" s="1451"/>
      <c r="Z1" s="1451"/>
      <c r="AA1" s="1451"/>
    </row>
    <row r="2" spans="1:27">
      <c r="A2" s="1452"/>
      <c r="B2" s="1452"/>
      <c r="C2" s="1453"/>
      <c r="D2" s="1452"/>
      <c r="E2" s="1452"/>
      <c r="F2" s="1452"/>
      <c r="G2" s="1452"/>
      <c r="H2" s="1452"/>
      <c r="I2" s="1452"/>
      <c r="J2" s="1452"/>
      <c r="K2" s="1452"/>
      <c r="L2" s="1452"/>
      <c r="M2" s="1453"/>
      <c r="N2" s="1452"/>
      <c r="O2" s="1453"/>
      <c r="P2" s="1452"/>
      <c r="Q2" s="1452"/>
      <c r="R2" s="1452"/>
      <c r="S2" s="1452"/>
      <c r="T2" s="1452"/>
      <c r="U2" s="1452"/>
      <c r="V2" s="1452"/>
      <c r="W2" s="1452"/>
      <c r="X2" s="1452"/>
      <c r="Y2" s="1452"/>
      <c r="Z2" s="1452"/>
      <c r="AA2" s="1452"/>
    </row>
    <row r="3" spans="1:27">
      <c r="A3" s="1452"/>
      <c r="B3" s="1452"/>
      <c r="C3" s="1453"/>
      <c r="D3" s="1452"/>
      <c r="E3" s="1452"/>
      <c r="F3" s="1452"/>
      <c r="G3" s="1452"/>
      <c r="H3" s="1452"/>
      <c r="I3" s="1452"/>
      <c r="J3" s="1452"/>
      <c r="K3" s="1452"/>
      <c r="L3" s="1452"/>
      <c r="M3" s="1453"/>
      <c r="N3" s="1452"/>
      <c r="O3" s="1453"/>
      <c r="P3" s="1452"/>
      <c r="Q3" s="1452"/>
      <c r="R3" s="1452"/>
      <c r="S3" s="1452"/>
      <c r="T3" s="1452"/>
      <c r="U3" s="1452"/>
      <c r="V3" s="1452"/>
      <c r="W3" s="1452"/>
      <c r="X3" s="1452"/>
      <c r="Y3" s="1452"/>
      <c r="Z3" s="1452"/>
      <c r="AA3" s="1452"/>
    </row>
    <row r="4" spans="1:27">
      <c r="A4" s="1452"/>
      <c r="B4" s="1452"/>
      <c r="C4" s="1453"/>
      <c r="D4" s="1452"/>
      <c r="E4" s="1452"/>
      <c r="F4" s="1452"/>
      <c r="G4" s="1452"/>
      <c r="H4" s="1452"/>
      <c r="I4" s="1452"/>
      <c r="J4" s="1452"/>
      <c r="K4" s="1452"/>
      <c r="L4" s="1452"/>
      <c r="M4" s="1453"/>
      <c r="N4" s="1452"/>
      <c r="O4" s="1453"/>
      <c r="P4" s="1452"/>
      <c r="Q4" s="1452"/>
      <c r="R4" s="1452"/>
      <c r="S4" s="1452"/>
      <c r="T4" s="1452"/>
      <c r="U4" s="1452"/>
      <c r="V4" s="1452"/>
      <c r="W4" s="1452"/>
      <c r="X4" s="1452"/>
      <c r="Y4" s="1452"/>
      <c r="Z4" s="1452"/>
      <c r="AA4" s="1452"/>
    </row>
    <row r="5" spans="1:27">
      <c r="A5" s="1452"/>
      <c r="B5" s="1452"/>
      <c r="C5" s="1453"/>
      <c r="D5" s="1452"/>
      <c r="E5" s="1452"/>
      <c r="F5" s="1452"/>
      <c r="G5" s="1452"/>
      <c r="H5" s="1452"/>
      <c r="I5" s="1452"/>
      <c r="J5" s="1452"/>
      <c r="K5" s="1452"/>
      <c r="L5" s="1452"/>
      <c r="M5" s="1453"/>
      <c r="N5" s="1452"/>
      <c r="O5" s="1453"/>
      <c r="P5" s="1452"/>
      <c r="Q5" s="1452"/>
      <c r="R5" s="1452"/>
      <c r="S5" s="1452"/>
      <c r="T5" s="1452"/>
      <c r="U5" s="1452"/>
      <c r="V5" s="1452"/>
      <c r="W5" s="1452"/>
      <c r="X5" s="1452"/>
      <c r="Y5" s="1452"/>
      <c r="Z5" s="1452"/>
      <c r="AA5" s="1452"/>
    </row>
    <row r="6" spans="1:27">
      <c r="A6" s="1452"/>
      <c r="B6" s="1452"/>
      <c r="C6" s="1453"/>
      <c r="D6" s="1452"/>
      <c r="E6" s="1452"/>
      <c r="F6" s="1452"/>
      <c r="G6" s="1452"/>
      <c r="H6" s="1452"/>
      <c r="I6" s="1452"/>
      <c r="J6" s="1452"/>
      <c r="K6" s="1452"/>
      <c r="L6" s="1452"/>
      <c r="M6" s="1453"/>
      <c r="N6" s="1452"/>
      <c r="O6" s="1453"/>
      <c r="P6" s="1452"/>
      <c r="Q6" s="1452"/>
      <c r="R6" s="1452"/>
      <c r="S6" s="1452"/>
      <c r="T6" s="1452"/>
      <c r="U6" s="1452"/>
      <c r="V6" s="1452"/>
      <c r="W6" s="1452"/>
      <c r="X6" s="1452"/>
      <c r="Y6" s="1452"/>
      <c r="Z6" s="1452"/>
      <c r="AA6" s="1452"/>
    </row>
    <row r="7" spans="1:27">
      <c r="A7" s="1452"/>
      <c r="B7" s="1452"/>
      <c r="C7" s="1453"/>
      <c r="D7" s="1452"/>
      <c r="E7" s="1452"/>
      <c r="F7" s="1452"/>
      <c r="G7" s="1452"/>
      <c r="H7" s="1452"/>
      <c r="I7" s="1452"/>
      <c r="J7" s="1452"/>
      <c r="K7" s="1452"/>
      <c r="L7" s="1452"/>
      <c r="M7" s="1453"/>
      <c r="N7" s="1452"/>
      <c r="O7" s="1453"/>
      <c r="P7" s="1452"/>
      <c r="Q7" s="1452"/>
      <c r="R7" s="1452"/>
      <c r="S7" s="1452"/>
      <c r="T7" s="1452"/>
      <c r="U7" s="1452"/>
      <c r="V7" s="1452"/>
      <c r="W7" s="1452"/>
      <c r="X7" s="1452"/>
      <c r="Y7" s="1452"/>
      <c r="Z7" s="1452"/>
      <c r="AA7" s="1452"/>
    </row>
    <row r="8" spans="1:27">
      <c r="A8" s="1452"/>
      <c r="B8" s="1452"/>
      <c r="C8" s="1453"/>
      <c r="D8" s="1452"/>
      <c r="E8" s="1452"/>
      <c r="F8" s="1452"/>
      <c r="G8" s="1452"/>
      <c r="H8" s="1452"/>
      <c r="I8" s="1452"/>
      <c r="J8" s="1452"/>
      <c r="K8" s="1452"/>
      <c r="L8" s="1452"/>
      <c r="M8" s="1453"/>
      <c r="N8" s="1452"/>
      <c r="O8" s="1453"/>
      <c r="P8" s="1452"/>
      <c r="Q8" s="1452"/>
      <c r="R8" s="1452"/>
      <c r="S8" s="1452"/>
      <c r="T8" s="1452"/>
      <c r="U8" s="1452"/>
      <c r="V8" s="1452"/>
      <c r="W8" s="1452"/>
      <c r="X8" s="1452"/>
      <c r="Y8" s="1452"/>
      <c r="Z8" s="1452"/>
      <c r="AA8" s="1452"/>
    </row>
    <row r="9" spans="1:27">
      <c r="A9" s="1452"/>
      <c r="B9" s="1452"/>
      <c r="C9" s="1453"/>
      <c r="D9" s="1452"/>
      <c r="E9" s="1452"/>
      <c r="F9" s="1452"/>
      <c r="G9" s="1452"/>
      <c r="H9" s="1452"/>
      <c r="I9" s="1452"/>
      <c r="J9" s="1452"/>
      <c r="K9" s="1452"/>
      <c r="L9" s="1452"/>
      <c r="M9" s="1453"/>
      <c r="N9" s="1452"/>
      <c r="O9" s="1452"/>
      <c r="P9" s="1452"/>
      <c r="Q9" s="1452"/>
      <c r="R9" s="1452"/>
      <c r="S9" s="1452"/>
      <c r="T9" s="1452"/>
      <c r="U9" s="1452"/>
      <c r="V9" s="1452"/>
      <c r="W9" s="1452"/>
      <c r="X9" s="1452"/>
      <c r="Y9" s="1452"/>
      <c r="Z9" s="1452"/>
      <c r="AA9" s="1452"/>
    </row>
    <row r="10" spans="1:27">
      <c r="A10" s="1452"/>
      <c r="B10" s="1452"/>
      <c r="C10" s="1453"/>
      <c r="D10" s="1452"/>
      <c r="E10" s="1452"/>
      <c r="F10" s="1452"/>
      <c r="G10" s="1452"/>
      <c r="H10" s="1452"/>
      <c r="I10" s="1452"/>
      <c r="J10" s="1452"/>
      <c r="K10" s="1452"/>
      <c r="L10" s="1452"/>
      <c r="M10" s="1453"/>
      <c r="N10" s="1452"/>
      <c r="O10" s="1452"/>
      <c r="P10" s="1452"/>
      <c r="Q10" s="1452"/>
      <c r="R10" s="1452"/>
      <c r="S10" s="1452"/>
      <c r="T10" s="1452"/>
      <c r="U10" s="1452"/>
      <c r="V10" s="1452"/>
      <c r="W10" s="1452"/>
      <c r="X10" s="1452"/>
      <c r="Y10" s="1452"/>
      <c r="Z10" s="1452"/>
      <c r="AA10" s="1452"/>
    </row>
    <row r="11" spans="1:27">
      <c r="A11" s="1452"/>
      <c r="B11" s="1452"/>
      <c r="C11" s="1453"/>
      <c r="D11" s="1452"/>
      <c r="E11" s="1452"/>
      <c r="F11" s="1452"/>
      <c r="G11" s="1452"/>
      <c r="H11" s="1452"/>
      <c r="I11" s="1452"/>
      <c r="J11" s="1452"/>
      <c r="K11" s="1452"/>
      <c r="L11" s="1452"/>
      <c r="M11" s="1453"/>
      <c r="N11" s="1452"/>
      <c r="O11" s="1452"/>
      <c r="P11" s="1452"/>
      <c r="Q11" s="1452"/>
      <c r="R11" s="1452"/>
      <c r="S11" s="1452"/>
      <c r="T11" s="1452"/>
      <c r="U11" s="1452"/>
      <c r="V11" s="1452"/>
      <c r="W11" s="1452"/>
      <c r="X11" s="1452"/>
      <c r="Y11" s="1452"/>
      <c r="Z11" s="1452"/>
      <c r="AA11" s="1452"/>
    </row>
    <row r="12" spans="1:27">
      <c r="A12" s="1452"/>
      <c r="B12" s="1452"/>
      <c r="C12" s="1453"/>
      <c r="D12" s="1452"/>
      <c r="E12" s="1452"/>
      <c r="F12" s="1452"/>
      <c r="G12" s="1452"/>
      <c r="H12" s="1452"/>
      <c r="I12" s="1452"/>
      <c r="J12" s="1452"/>
      <c r="K12" s="1452"/>
      <c r="L12" s="1452"/>
      <c r="M12" s="1453"/>
      <c r="N12" s="1452"/>
      <c r="O12" s="1452"/>
      <c r="P12" s="1452"/>
      <c r="Q12" s="1452"/>
      <c r="R12" s="1452"/>
      <c r="S12" s="1452"/>
      <c r="T12" s="1452"/>
      <c r="U12" s="1452"/>
      <c r="V12" s="1452"/>
      <c r="W12" s="1452"/>
      <c r="X12" s="1452"/>
      <c r="Y12" s="1452"/>
      <c r="Z12" s="1452"/>
      <c r="AA12" s="1452"/>
    </row>
    <row r="13" spans="1:27">
      <c r="A13" s="1452"/>
      <c r="B13" s="1452"/>
      <c r="C13" s="1453"/>
      <c r="D13" s="1452"/>
      <c r="E13" s="1452"/>
      <c r="F13" s="1452"/>
      <c r="G13" s="1452"/>
      <c r="H13" s="1452"/>
      <c r="I13" s="1452"/>
      <c r="J13" s="1452"/>
      <c r="K13" s="1452"/>
      <c r="L13" s="1452"/>
      <c r="M13" s="1453"/>
      <c r="N13" s="1452"/>
      <c r="O13" s="1452"/>
      <c r="P13" s="1452"/>
      <c r="Q13" s="1452"/>
      <c r="R13" s="1452"/>
      <c r="S13" s="1452"/>
      <c r="T13" s="1452"/>
      <c r="U13" s="1452"/>
      <c r="V13" s="1452"/>
      <c r="W13" s="1452"/>
      <c r="X13" s="1452"/>
      <c r="Y13" s="1452"/>
      <c r="Z13" s="1452"/>
      <c r="AA13" s="1452"/>
    </row>
    <row r="14" spans="1:27">
      <c r="A14" s="1452"/>
      <c r="B14" s="1452"/>
      <c r="C14" s="1453"/>
      <c r="D14" s="1452"/>
      <c r="E14" s="1452"/>
      <c r="F14" s="1452"/>
      <c r="G14" s="1452"/>
      <c r="H14" s="1452"/>
      <c r="I14" s="1452"/>
      <c r="J14" s="1452"/>
      <c r="K14" s="1452"/>
      <c r="L14" s="1452"/>
      <c r="M14" s="1453"/>
      <c r="N14" s="1452"/>
      <c r="O14" s="1452"/>
      <c r="P14" s="1452"/>
      <c r="Q14" s="1452"/>
      <c r="R14" s="1452"/>
      <c r="S14" s="1452"/>
      <c r="T14" s="1452"/>
      <c r="U14" s="1452"/>
      <c r="V14" s="1452"/>
      <c r="W14" s="1452"/>
      <c r="X14" s="1452"/>
      <c r="Y14" s="1452"/>
      <c r="Z14" s="1452"/>
      <c r="AA14" s="1452"/>
    </row>
    <row r="15" spans="1:27">
      <c r="A15" s="1452"/>
      <c r="B15" s="1452"/>
      <c r="C15" s="1453"/>
      <c r="D15" s="1452"/>
      <c r="E15" s="1452"/>
      <c r="F15" s="1452"/>
      <c r="G15" s="1452"/>
      <c r="H15" s="1452"/>
      <c r="I15" s="1452"/>
      <c r="J15" s="1452"/>
      <c r="K15" s="1452"/>
      <c r="L15" s="1452"/>
      <c r="M15" s="1453"/>
      <c r="N15" s="1452"/>
      <c r="O15" s="1452"/>
      <c r="P15" s="1452"/>
      <c r="Q15" s="1452"/>
      <c r="R15" s="1452"/>
      <c r="S15" s="1452"/>
      <c r="T15" s="1452"/>
      <c r="U15" s="1452"/>
      <c r="V15" s="1452"/>
      <c r="W15" s="1452"/>
      <c r="X15" s="1452"/>
      <c r="Y15" s="1452"/>
      <c r="Z15" s="1452"/>
      <c r="AA15" s="1452"/>
    </row>
    <row r="16" spans="1:27">
      <c r="A16" s="1452"/>
      <c r="B16" s="1452"/>
      <c r="C16" s="1453"/>
      <c r="D16" s="1452"/>
      <c r="E16" s="1452"/>
      <c r="F16" s="1452"/>
      <c r="G16" s="1452"/>
      <c r="H16" s="1452"/>
      <c r="I16" s="1452"/>
      <c r="J16" s="1452"/>
      <c r="K16" s="1452"/>
      <c r="L16" s="1452"/>
      <c r="M16" s="1453"/>
      <c r="N16" s="1452"/>
      <c r="O16" s="1452"/>
      <c r="P16" s="1452"/>
      <c r="Q16" s="1452"/>
      <c r="R16" s="1452"/>
      <c r="S16" s="1452"/>
      <c r="T16" s="1452"/>
      <c r="U16" s="1452"/>
      <c r="V16" s="1452"/>
      <c r="W16" s="1452"/>
      <c r="X16" s="1452"/>
      <c r="Y16" s="1452"/>
      <c r="Z16" s="1452"/>
      <c r="AA16" s="1452"/>
    </row>
    <row r="17" spans="1:27">
      <c r="A17" s="1452"/>
      <c r="B17" s="1452"/>
      <c r="C17" s="1453"/>
      <c r="D17" s="1452"/>
      <c r="E17" s="1452"/>
      <c r="F17" s="1452"/>
      <c r="G17" s="1452"/>
      <c r="H17" s="1452"/>
      <c r="I17" s="1452"/>
      <c r="J17" s="1452"/>
      <c r="K17" s="1452"/>
      <c r="L17" s="1452"/>
      <c r="M17" s="1453"/>
      <c r="N17" s="1452"/>
      <c r="O17" s="1452"/>
      <c r="P17" s="1452"/>
      <c r="Q17" s="1452"/>
      <c r="R17" s="1452"/>
      <c r="S17" s="1452"/>
      <c r="T17" s="1452"/>
      <c r="U17" s="1452"/>
      <c r="V17" s="1452"/>
      <c r="W17" s="1452"/>
      <c r="X17" s="1452"/>
      <c r="Y17" s="1452"/>
      <c r="Z17" s="1452"/>
      <c r="AA17" s="1452"/>
    </row>
    <row r="18" spans="1:27">
      <c r="A18" s="1452"/>
      <c r="B18" s="1452"/>
      <c r="C18" s="1453"/>
      <c r="D18" s="1452"/>
      <c r="E18" s="1452"/>
      <c r="F18" s="1452"/>
      <c r="G18" s="1452"/>
      <c r="H18" s="1452"/>
      <c r="I18" s="1452"/>
      <c r="J18" s="1452"/>
      <c r="K18" s="1452"/>
      <c r="L18" s="1452"/>
      <c r="M18" s="1453"/>
      <c r="N18" s="1452"/>
      <c r="O18" s="1452"/>
      <c r="P18" s="1452"/>
      <c r="Q18" s="1452"/>
      <c r="R18" s="1452"/>
      <c r="S18" s="1452"/>
      <c r="T18" s="1452"/>
      <c r="U18" s="1452"/>
      <c r="V18" s="1452"/>
      <c r="W18" s="1452"/>
      <c r="X18" s="1452"/>
      <c r="Y18" s="1452"/>
      <c r="Z18" s="1452"/>
      <c r="AA18" s="1452"/>
    </row>
    <row r="19" spans="1:27">
      <c r="A19" s="1452"/>
      <c r="B19" s="1452"/>
      <c r="C19" s="1453"/>
      <c r="D19" s="1452"/>
      <c r="E19" s="1452"/>
      <c r="F19" s="1452"/>
      <c r="G19" s="1452"/>
      <c r="H19" s="1452"/>
      <c r="I19" s="1452"/>
      <c r="J19" s="1452"/>
      <c r="K19" s="1452"/>
      <c r="L19" s="1452"/>
      <c r="M19" s="1453"/>
      <c r="N19" s="1452"/>
      <c r="O19" s="1452"/>
      <c r="P19" s="1452"/>
      <c r="Q19" s="1452"/>
      <c r="R19" s="1452"/>
      <c r="S19" s="1452"/>
      <c r="T19" s="1452"/>
      <c r="U19" s="1452"/>
      <c r="V19" s="1452"/>
      <c r="W19" s="1452"/>
      <c r="X19" s="1452"/>
      <c r="Y19" s="1452"/>
      <c r="Z19" s="1452"/>
      <c r="AA19" s="1452"/>
    </row>
    <row r="20" spans="1:27">
      <c r="A20" s="1452"/>
      <c r="B20" s="1452"/>
      <c r="C20" s="1453"/>
      <c r="D20" s="1452"/>
      <c r="E20" s="1452"/>
      <c r="F20" s="1452"/>
      <c r="G20" s="1452"/>
      <c r="H20" s="1452"/>
      <c r="I20" s="1452"/>
      <c r="J20" s="1452"/>
      <c r="K20" s="1452"/>
      <c r="L20" s="1452"/>
      <c r="M20" s="1453"/>
      <c r="N20" s="1452"/>
      <c r="O20" s="1452"/>
      <c r="P20" s="1452"/>
      <c r="Q20" s="1452"/>
      <c r="R20" s="1452"/>
      <c r="S20" s="1452"/>
      <c r="T20" s="1452"/>
      <c r="U20" s="1452"/>
      <c r="V20" s="1452"/>
      <c r="W20" s="1452"/>
      <c r="X20" s="1452"/>
      <c r="Y20" s="1452"/>
      <c r="Z20" s="1452"/>
      <c r="AA20" s="1452"/>
    </row>
    <row r="21" spans="1:27">
      <c r="A21" s="1452"/>
      <c r="B21" s="1452"/>
      <c r="C21" s="1453"/>
      <c r="D21" s="1452"/>
      <c r="E21" s="1452"/>
      <c r="F21" s="1452"/>
      <c r="G21" s="1452"/>
      <c r="H21" s="1452"/>
      <c r="I21" s="1452"/>
      <c r="J21" s="1452"/>
      <c r="K21" s="1452"/>
      <c r="L21" s="1452"/>
      <c r="M21" s="1453"/>
      <c r="N21" s="1452"/>
      <c r="O21" s="1452"/>
      <c r="P21" s="1452"/>
      <c r="Q21" s="1452"/>
      <c r="R21" s="1452"/>
      <c r="S21" s="1452"/>
      <c r="T21" s="1452"/>
      <c r="U21" s="1452"/>
      <c r="V21" s="1452"/>
      <c r="W21" s="1452"/>
      <c r="X21" s="1452"/>
      <c r="Y21" s="1452"/>
      <c r="Z21" s="1452"/>
      <c r="AA21" s="1452"/>
    </row>
    <row r="22" spans="1:27">
      <c r="A22" s="1452"/>
      <c r="B22" s="1452"/>
      <c r="C22" s="1453"/>
      <c r="D22" s="1452"/>
      <c r="E22" s="1452"/>
      <c r="F22" s="1452"/>
      <c r="G22" s="1452"/>
      <c r="H22" s="1452"/>
      <c r="I22" s="1452"/>
      <c r="J22" s="1452"/>
      <c r="K22" s="1452"/>
      <c r="L22" s="1452"/>
      <c r="M22" s="1453"/>
      <c r="N22" s="1452"/>
      <c r="O22" s="1452"/>
      <c r="P22" s="1452"/>
      <c r="Q22" s="1452"/>
      <c r="R22" s="1452"/>
      <c r="S22" s="1452"/>
      <c r="T22" s="1452"/>
      <c r="U22" s="1452"/>
      <c r="V22" s="1452"/>
      <c r="W22" s="1452"/>
      <c r="X22" s="1452"/>
      <c r="Y22" s="1452"/>
      <c r="Z22" s="1452"/>
      <c r="AA22" s="1452"/>
    </row>
    <row r="23" spans="1:27">
      <c r="A23" s="1452"/>
      <c r="B23" s="1452"/>
      <c r="C23" s="1453"/>
      <c r="D23" s="1452"/>
      <c r="E23" s="1452"/>
      <c r="F23" s="1452"/>
      <c r="G23" s="1452"/>
      <c r="H23" s="1452"/>
      <c r="I23" s="1452"/>
      <c r="J23" s="1452"/>
      <c r="K23" s="1452"/>
      <c r="L23" s="1452"/>
      <c r="M23" s="1453"/>
      <c r="N23" s="1452"/>
      <c r="O23" s="1452"/>
      <c r="P23" s="1452"/>
      <c r="Q23" s="1452"/>
      <c r="R23" s="1452"/>
      <c r="S23" s="1452"/>
      <c r="T23" s="1452"/>
      <c r="U23" s="1452"/>
      <c r="V23" s="1452"/>
      <c r="W23" s="1452"/>
      <c r="X23" s="1452"/>
      <c r="Y23" s="1452"/>
      <c r="Z23" s="1452"/>
      <c r="AA23" s="1452"/>
    </row>
    <row r="24" spans="1:27">
      <c r="A24" s="1452"/>
      <c r="B24" s="1452"/>
      <c r="C24" s="1453"/>
      <c r="D24" s="1452"/>
      <c r="E24" s="1452"/>
      <c r="F24" s="1452"/>
      <c r="G24" s="1452"/>
      <c r="H24" s="1452"/>
      <c r="I24" s="1452"/>
      <c r="J24" s="1452"/>
      <c r="K24" s="1452"/>
      <c r="L24" s="1452"/>
      <c r="M24" s="1453"/>
      <c r="N24" s="1452"/>
      <c r="O24" s="1452"/>
      <c r="P24" s="1452"/>
      <c r="Q24" s="1452"/>
      <c r="R24" s="1452"/>
      <c r="S24" s="1452"/>
      <c r="T24" s="1452"/>
      <c r="U24" s="1452"/>
      <c r="V24" s="1452"/>
      <c r="W24" s="1452"/>
      <c r="X24" s="1452"/>
      <c r="Y24" s="1452"/>
      <c r="Z24" s="1452"/>
      <c r="AA24" s="1452"/>
    </row>
    <row r="25" spans="1:27">
      <c r="A25" s="1452"/>
      <c r="B25" s="1452"/>
      <c r="C25" s="1453"/>
      <c r="D25" s="1452"/>
      <c r="E25" s="1452"/>
      <c r="F25" s="1452"/>
      <c r="G25" s="1452"/>
      <c r="H25" s="1452"/>
      <c r="I25" s="1452"/>
      <c r="J25" s="1452"/>
      <c r="K25" s="1452"/>
      <c r="L25" s="1452"/>
      <c r="M25" s="1453"/>
      <c r="N25" s="1452"/>
      <c r="O25" s="1452"/>
      <c r="P25" s="1452"/>
      <c r="Q25" s="1452"/>
      <c r="R25" s="1452"/>
      <c r="S25" s="1452"/>
      <c r="T25" s="1452"/>
      <c r="U25" s="1452"/>
      <c r="V25" s="1452"/>
      <c r="W25" s="1452"/>
      <c r="X25" s="1452"/>
      <c r="Y25" s="1452"/>
      <c r="Z25" s="1452"/>
      <c r="AA25" s="1452"/>
    </row>
    <row r="26" spans="1:27">
      <c r="A26" s="1452"/>
      <c r="B26" s="1452"/>
      <c r="C26" s="1453"/>
      <c r="D26" s="1452"/>
      <c r="E26" s="1452"/>
      <c r="F26" s="1452"/>
      <c r="G26" s="1452"/>
      <c r="H26" s="1452"/>
      <c r="I26" s="1452"/>
      <c r="J26" s="1452"/>
      <c r="K26" s="1452"/>
      <c r="L26" s="1452"/>
      <c r="M26" s="1453"/>
      <c r="N26" s="1452"/>
      <c r="O26" s="1452"/>
      <c r="P26" s="1452"/>
      <c r="Q26" s="1452"/>
      <c r="R26" s="1452"/>
      <c r="S26" s="1452"/>
      <c r="T26" s="1452"/>
      <c r="U26" s="1452"/>
      <c r="V26" s="1452"/>
      <c r="W26" s="1452"/>
      <c r="X26" s="1452"/>
      <c r="Y26" s="1452"/>
      <c r="Z26" s="1452"/>
      <c r="AA26" s="1452"/>
    </row>
    <row r="27" spans="1:27">
      <c r="A27" s="1452"/>
      <c r="B27" s="1452"/>
      <c r="C27" s="1453"/>
      <c r="D27" s="1452"/>
      <c r="E27" s="1452"/>
      <c r="F27" s="1452"/>
      <c r="G27" s="1452"/>
      <c r="H27" s="1452"/>
      <c r="I27" s="1452"/>
      <c r="J27" s="1452"/>
      <c r="K27" s="1452"/>
      <c r="L27" s="1452"/>
      <c r="M27" s="1453"/>
      <c r="N27" s="1452"/>
      <c r="O27" s="1452"/>
      <c r="P27" s="1452"/>
      <c r="Q27" s="1452"/>
      <c r="R27" s="1452"/>
      <c r="S27" s="1452"/>
      <c r="T27" s="1452"/>
      <c r="U27" s="1452"/>
      <c r="V27" s="1452"/>
      <c r="W27" s="1452"/>
      <c r="X27" s="1452"/>
      <c r="Y27" s="1452"/>
      <c r="Z27" s="1452"/>
      <c r="AA27" s="1452"/>
    </row>
    <row r="28" spans="1:27">
      <c r="A28" s="1452"/>
      <c r="B28" s="1452"/>
      <c r="C28" s="1453"/>
      <c r="D28" s="1452"/>
      <c r="E28" s="1452"/>
      <c r="F28" s="1452"/>
      <c r="G28" s="1452"/>
      <c r="H28" s="1452"/>
      <c r="I28" s="1452"/>
      <c r="J28" s="1452"/>
      <c r="K28" s="1452"/>
      <c r="L28" s="1452"/>
      <c r="M28" s="1453"/>
      <c r="N28" s="1452"/>
      <c r="O28" s="1452"/>
      <c r="P28" s="1452"/>
      <c r="Q28" s="1452"/>
      <c r="R28" s="1452"/>
      <c r="S28" s="1452"/>
      <c r="T28" s="1452"/>
      <c r="U28" s="1452"/>
      <c r="V28" s="1452"/>
      <c r="W28" s="1452"/>
      <c r="X28" s="1452"/>
      <c r="Y28" s="1452"/>
      <c r="Z28" s="1452"/>
      <c r="AA28" s="1452"/>
    </row>
    <row r="29" spans="1:27">
      <c r="A29" s="1452"/>
      <c r="B29" s="1452"/>
      <c r="C29" s="1453"/>
      <c r="D29" s="1452"/>
      <c r="E29" s="1452"/>
      <c r="F29" s="1452"/>
      <c r="G29" s="1452"/>
      <c r="H29" s="1452"/>
      <c r="I29" s="1452"/>
      <c r="J29" s="1452"/>
      <c r="K29" s="1452"/>
      <c r="L29" s="1452"/>
      <c r="M29" s="1453"/>
      <c r="N29" s="1452"/>
      <c r="O29" s="1452"/>
      <c r="P29" s="1452"/>
      <c r="Q29" s="1452"/>
      <c r="R29" s="1452"/>
      <c r="S29" s="1452"/>
      <c r="T29" s="1452"/>
      <c r="U29" s="1452"/>
      <c r="V29" s="1452"/>
      <c r="W29" s="1452"/>
      <c r="X29" s="1452"/>
      <c r="Y29" s="1452"/>
      <c r="Z29" s="1452"/>
      <c r="AA29" s="1452"/>
    </row>
    <row r="30" spans="1:27">
      <c r="A30" s="1452"/>
      <c r="B30" s="1452"/>
      <c r="C30" s="1453"/>
      <c r="D30" s="1452"/>
      <c r="E30" s="1452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52"/>
      <c r="V30" s="1452"/>
      <c r="W30" s="1452"/>
      <c r="X30" s="1452"/>
      <c r="Y30" s="1452"/>
      <c r="Z30" s="1452"/>
      <c r="AA30" s="1452"/>
    </row>
    <row r="31" spans="1:27">
      <c r="A31" s="1452"/>
      <c r="B31" s="1452"/>
      <c r="C31" s="1453"/>
      <c r="D31" s="1452"/>
      <c r="E31" s="1452"/>
      <c r="F31" s="1452"/>
      <c r="G31" s="1452"/>
      <c r="H31" s="1452"/>
      <c r="I31" s="1452"/>
      <c r="J31" s="1452"/>
      <c r="K31" s="1452"/>
      <c r="L31" s="1452"/>
      <c r="M31" s="1452"/>
      <c r="N31" s="1452"/>
      <c r="O31" s="1452"/>
      <c r="P31" s="1452"/>
      <c r="Q31" s="1452"/>
      <c r="R31" s="1452"/>
      <c r="S31" s="1452"/>
      <c r="T31" s="1452"/>
      <c r="U31" s="1452"/>
      <c r="V31" s="1452"/>
      <c r="W31" s="1452"/>
      <c r="X31" s="1452"/>
      <c r="Y31" s="1452"/>
      <c r="Z31" s="1452"/>
      <c r="AA31" s="1452"/>
    </row>
    <row r="32" spans="1:27">
      <c r="A32" s="1452"/>
      <c r="B32" s="1452"/>
      <c r="C32" s="1453"/>
      <c r="D32" s="1452"/>
      <c r="E32" s="1452"/>
      <c r="F32" s="1452"/>
      <c r="G32" s="1452"/>
      <c r="H32" s="1452"/>
      <c r="I32" s="1452"/>
      <c r="J32" s="1452"/>
      <c r="K32" s="1452"/>
      <c r="L32" s="1452"/>
      <c r="M32" s="1453"/>
      <c r="N32" s="1452"/>
      <c r="O32" s="1453"/>
      <c r="P32" s="1452"/>
      <c r="Q32" s="1452"/>
      <c r="R32" s="1452"/>
      <c r="S32" s="1452"/>
      <c r="T32" s="1452"/>
      <c r="U32" s="1452"/>
      <c r="V32" s="1452"/>
      <c r="W32" s="1452"/>
      <c r="X32" s="1452"/>
      <c r="Y32" s="1452"/>
      <c r="Z32" s="1452"/>
      <c r="AA32" s="1452"/>
    </row>
    <row r="33" spans="1:27">
      <c r="A33" s="1452"/>
      <c r="B33" s="1452"/>
      <c r="C33" s="1453"/>
      <c r="D33" s="1452"/>
      <c r="E33" s="1452"/>
      <c r="F33" s="1452"/>
      <c r="G33" s="1452"/>
      <c r="H33" s="1452"/>
      <c r="I33" s="1452"/>
      <c r="J33" s="1452"/>
      <c r="K33" s="1452"/>
      <c r="L33" s="1452"/>
      <c r="M33" s="1453"/>
      <c r="N33" s="1452"/>
      <c r="O33" s="1453"/>
      <c r="P33" s="1452"/>
      <c r="Q33" s="1452"/>
      <c r="R33" s="1452"/>
      <c r="S33" s="1452"/>
      <c r="T33" s="1452"/>
      <c r="U33" s="1452"/>
      <c r="V33" s="1452"/>
      <c r="W33" s="1452"/>
      <c r="X33" s="1452"/>
      <c r="Y33" s="1452"/>
      <c r="Z33" s="1452"/>
      <c r="AA33" s="1452"/>
    </row>
    <row r="34" spans="1:27">
      <c r="A34" s="1452"/>
      <c r="B34" s="1452"/>
      <c r="C34" s="1453"/>
      <c r="D34" s="1452"/>
      <c r="E34" s="1452"/>
      <c r="F34" s="1452"/>
      <c r="G34" s="1452"/>
      <c r="H34" s="1452"/>
      <c r="I34" s="1452"/>
      <c r="J34" s="1452"/>
      <c r="K34" s="1452"/>
      <c r="L34" s="1452"/>
      <c r="M34" s="1453"/>
      <c r="N34" s="1452"/>
      <c r="O34" s="1453"/>
      <c r="P34" s="1452"/>
      <c r="Q34" s="1452"/>
      <c r="R34" s="1452"/>
      <c r="S34" s="1452"/>
      <c r="T34" s="1452"/>
      <c r="U34" s="1452"/>
      <c r="V34" s="1452"/>
      <c r="W34" s="1452"/>
      <c r="X34" s="1452"/>
      <c r="Y34" s="1452"/>
      <c r="Z34" s="1452"/>
      <c r="AA34" s="1452"/>
    </row>
    <row r="35" spans="1:27">
      <c r="A35" s="1452"/>
      <c r="B35" s="1452"/>
      <c r="C35" s="1453"/>
      <c r="D35" s="1452"/>
      <c r="E35" s="1452"/>
      <c r="F35" s="1452"/>
      <c r="G35" s="1452"/>
      <c r="H35" s="1452"/>
      <c r="I35" s="1452"/>
      <c r="J35" s="1452"/>
      <c r="K35" s="1452"/>
      <c r="L35" s="1452"/>
      <c r="M35" s="1453"/>
      <c r="N35" s="1452"/>
      <c r="O35" s="1453"/>
      <c r="P35" s="1452"/>
      <c r="Q35" s="1452"/>
      <c r="R35" s="1452"/>
      <c r="S35" s="1452"/>
      <c r="T35" s="1452"/>
      <c r="U35" s="1452"/>
      <c r="V35" s="1452"/>
      <c r="W35" s="1452"/>
      <c r="X35" s="1452"/>
      <c r="Y35" s="1452"/>
      <c r="Z35" s="1452"/>
      <c r="AA35" s="1452"/>
    </row>
    <row r="36" spans="1:27">
      <c r="A36" s="1452"/>
      <c r="B36" s="1452"/>
      <c r="C36" s="1453"/>
      <c r="D36" s="1452"/>
      <c r="E36" s="1452"/>
      <c r="F36" s="1452"/>
      <c r="G36" s="1452"/>
      <c r="H36" s="1452"/>
      <c r="I36" s="1452"/>
      <c r="J36" s="1452"/>
      <c r="K36" s="1452"/>
      <c r="L36" s="1452"/>
      <c r="M36" s="1453"/>
      <c r="N36" s="1452"/>
      <c r="O36" s="1453"/>
      <c r="P36" s="1452"/>
      <c r="Q36" s="1452"/>
      <c r="R36" s="1452"/>
      <c r="S36" s="1452"/>
      <c r="T36" s="1452"/>
      <c r="U36" s="1452"/>
      <c r="V36" s="1452"/>
      <c r="W36" s="1452"/>
      <c r="X36" s="1452"/>
      <c r="Y36" s="1452"/>
      <c r="Z36" s="1452"/>
      <c r="AA36" s="1452"/>
    </row>
    <row r="37" spans="1:27">
      <c r="A37" s="1452"/>
      <c r="B37" s="1452"/>
      <c r="C37" s="1453"/>
      <c r="D37" s="1452"/>
      <c r="E37" s="1452"/>
      <c r="F37" s="1452"/>
      <c r="G37" s="1452"/>
      <c r="H37" s="1452"/>
      <c r="I37" s="1452"/>
      <c r="J37" s="1452"/>
      <c r="K37" s="1452"/>
      <c r="L37" s="1452"/>
      <c r="M37" s="1452"/>
      <c r="N37" s="1452"/>
      <c r="O37" s="1452"/>
      <c r="P37" s="1452"/>
      <c r="Q37" s="1452"/>
      <c r="R37" s="1452"/>
      <c r="S37" s="1452"/>
      <c r="T37" s="1452"/>
      <c r="U37" s="1452"/>
      <c r="V37" s="1452"/>
      <c r="W37" s="1452"/>
      <c r="X37" s="1452"/>
      <c r="Y37" s="1452"/>
      <c r="Z37" s="1452"/>
      <c r="AA37" s="1452"/>
    </row>
    <row r="38" spans="1:27">
      <c r="A38" s="1452"/>
      <c r="B38" s="1452"/>
      <c r="C38" s="1453"/>
      <c r="D38" s="1452"/>
      <c r="E38" s="1452"/>
      <c r="F38" s="1452"/>
      <c r="G38" s="1452"/>
      <c r="H38" s="1452"/>
      <c r="I38" s="1452"/>
      <c r="J38" s="1452"/>
      <c r="K38" s="1452"/>
      <c r="L38" s="1452"/>
      <c r="M38" s="1452"/>
      <c r="N38" s="1452"/>
      <c r="O38" s="1452"/>
      <c r="P38" s="1452"/>
      <c r="Q38" s="1452"/>
      <c r="R38" s="1452"/>
      <c r="S38" s="1452"/>
      <c r="T38" s="1452"/>
      <c r="U38" s="1452"/>
      <c r="V38" s="1452"/>
      <c r="W38" s="1452"/>
      <c r="X38" s="1452"/>
      <c r="Y38" s="1452"/>
      <c r="Z38" s="1452"/>
      <c r="AA38" s="1452"/>
    </row>
    <row r="39" spans="1:27">
      <c r="A39" s="1452"/>
      <c r="B39" s="1452"/>
      <c r="C39" s="1453"/>
      <c r="D39" s="1452"/>
      <c r="E39" s="1452"/>
      <c r="F39" s="1452"/>
      <c r="G39" s="1452"/>
      <c r="H39" s="1452"/>
      <c r="I39" s="1452"/>
      <c r="J39" s="1452"/>
      <c r="K39" s="1452"/>
      <c r="L39" s="1452"/>
      <c r="M39" s="1452"/>
      <c r="N39" s="1452"/>
      <c r="O39" s="1452"/>
      <c r="P39" s="1452"/>
      <c r="Q39" s="1452"/>
      <c r="R39" s="1452"/>
      <c r="S39" s="1452"/>
      <c r="T39" s="1452"/>
      <c r="U39" s="1452"/>
      <c r="V39" s="1452"/>
      <c r="W39" s="1452"/>
      <c r="X39" s="1452"/>
      <c r="Y39" s="1452"/>
      <c r="Z39" s="1452"/>
      <c r="AA39" s="1452"/>
    </row>
    <row r="40" spans="1:27">
      <c r="A40" s="1452"/>
      <c r="B40" s="1452"/>
      <c r="C40" s="1453"/>
      <c r="D40" s="1452"/>
      <c r="E40" s="1452"/>
      <c r="F40" s="1452"/>
      <c r="G40" s="1452"/>
      <c r="H40" s="1452"/>
      <c r="I40" s="1452"/>
      <c r="J40" s="1452"/>
      <c r="K40" s="1452"/>
      <c r="L40" s="1452"/>
      <c r="M40" s="1453"/>
      <c r="N40" s="1452"/>
      <c r="O40" s="1452"/>
      <c r="P40" s="1452"/>
      <c r="Q40" s="1452"/>
      <c r="R40" s="1452"/>
      <c r="S40" s="1456"/>
      <c r="T40" s="1452"/>
      <c r="U40" s="1452"/>
      <c r="V40" s="1452"/>
      <c r="W40" s="1452"/>
      <c r="X40" s="1452"/>
      <c r="Y40" s="1452"/>
      <c r="Z40" s="1452"/>
      <c r="AA40" s="1452"/>
    </row>
    <row r="41" spans="1:27">
      <c r="A41" s="1452"/>
      <c r="B41" s="1452"/>
      <c r="C41" s="1453"/>
      <c r="D41" s="1452"/>
      <c r="E41" s="1452"/>
      <c r="F41" s="1452"/>
      <c r="G41" s="1452"/>
      <c r="H41" s="1452"/>
      <c r="I41" s="1452"/>
      <c r="J41" s="1452"/>
      <c r="K41" s="1452"/>
      <c r="L41" s="1452"/>
      <c r="M41" s="1453"/>
      <c r="N41" s="1452"/>
      <c r="O41" s="1452"/>
      <c r="P41" s="1452"/>
      <c r="Q41" s="1452"/>
      <c r="R41" s="1452"/>
      <c r="S41" s="1452"/>
      <c r="T41" s="1452"/>
      <c r="U41" s="1452"/>
      <c r="V41" s="1452"/>
      <c r="W41" s="1452"/>
      <c r="X41" s="1452"/>
      <c r="Y41" s="1452"/>
      <c r="Z41" s="1452"/>
      <c r="AA41" s="1452"/>
    </row>
    <row r="42" spans="1:27">
      <c r="A42" s="1452"/>
      <c r="B42" s="1452"/>
      <c r="C42" s="1453"/>
      <c r="D42" s="1452"/>
      <c r="E42" s="1452"/>
      <c r="F42" s="1452"/>
      <c r="G42" s="1452"/>
      <c r="H42" s="1452"/>
      <c r="I42" s="1452"/>
      <c r="J42" s="1452"/>
      <c r="K42" s="1452"/>
      <c r="L42" s="1452"/>
      <c r="M42" s="1453"/>
      <c r="N42" s="1452"/>
      <c r="O42" s="1452"/>
      <c r="P42" s="1452"/>
      <c r="Q42" s="1452"/>
      <c r="R42" s="1452"/>
      <c r="S42" s="1452"/>
      <c r="T42" s="1452"/>
      <c r="U42" s="1452"/>
      <c r="V42" s="1452"/>
      <c r="W42" s="1452"/>
      <c r="X42" s="1452"/>
      <c r="Y42" s="1452"/>
      <c r="Z42" s="1452"/>
      <c r="AA42" s="1452"/>
    </row>
    <row r="43" spans="1:27">
      <c r="A43" s="1452"/>
      <c r="B43" s="1452"/>
      <c r="C43" s="1453"/>
      <c r="D43" s="1452"/>
      <c r="E43" s="1452"/>
      <c r="F43" s="1452"/>
      <c r="G43" s="1452"/>
      <c r="H43" s="1452"/>
      <c r="I43" s="1452"/>
      <c r="J43" s="1452"/>
      <c r="K43" s="1452"/>
      <c r="L43" s="1452"/>
      <c r="M43" s="1453"/>
      <c r="N43" s="1452"/>
      <c r="O43" s="1452"/>
      <c r="P43" s="1452"/>
      <c r="Q43" s="1452"/>
      <c r="R43" s="1452"/>
      <c r="S43" s="1452"/>
      <c r="T43" s="1452"/>
      <c r="U43" s="1452"/>
      <c r="V43" s="1452"/>
      <c r="W43" s="1452"/>
      <c r="X43" s="1452"/>
      <c r="Y43" s="1452"/>
      <c r="Z43" s="1452"/>
      <c r="AA43" s="1452"/>
    </row>
    <row r="44" spans="1:27">
      <c r="A44" s="1452"/>
      <c r="B44" s="1452"/>
      <c r="C44" s="1453"/>
      <c r="D44" s="1452"/>
      <c r="E44" s="1452"/>
      <c r="F44" s="1452"/>
      <c r="G44" s="1452"/>
      <c r="H44" s="1452"/>
      <c r="I44" s="1452"/>
      <c r="J44" s="1452"/>
      <c r="K44" s="1452"/>
      <c r="L44" s="1452"/>
      <c r="M44" s="1453"/>
      <c r="N44" s="1452"/>
      <c r="O44" s="1452"/>
      <c r="P44" s="1452"/>
      <c r="Q44" s="1452"/>
      <c r="R44" s="1452"/>
      <c r="S44" s="1452"/>
      <c r="T44" s="1452"/>
      <c r="U44" s="1452"/>
      <c r="V44" s="1452"/>
      <c r="W44" s="1452"/>
      <c r="X44" s="1452"/>
      <c r="Y44" s="1452"/>
      <c r="Z44" s="1452"/>
      <c r="AA44" s="1452"/>
    </row>
    <row r="45" spans="1:27">
      <c r="A45" s="1452"/>
      <c r="B45" s="1452"/>
      <c r="C45" s="1453"/>
      <c r="D45" s="1452"/>
      <c r="E45" s="1452"/>
      <c r="F45" s="1452"/>
      <c r="G45" s="1452"/>
      <c r="H45" s="1452"/>
      <c r="I45" s="1452"/>
      <c r="J45" s="1452"/>
      <c r="K45" s="1452"/>
      <c r="L45" s="1452"/>
      <c r="M45" s="1453"/>
      <c r="N45" s="1452"/>
      <c r="O45" s="1452"/>
      <c r="P45" s="1452"/>
      <c r="Q45" s="1452"/>
      <c r="R45" s="1452"/>
      <c r="S45" s="1452"/>
      <c r="T45" s="1452"/>
      <c r="U45" s="1452"/>
      <c r="V45" s="1452"/>
      <c r="W45" s="1452"/>
      <c r="X45" s="1452"/>
      <c r="Y45" s="1452"/>
      <c r="Z45" s="1452"/>
      <c r="AA45" s="1452"/>
    </row>
    <row r="46" spans="1:27">
      <c r="A46" s="1452"/>
      <c r="B46" s="1452"/>
      <c r="C46" s="1453"/>
      <c r="D46" s="1452"/>
      <c r="E46" s="1452"/>
      <c r="F46" s="1452"/>
      <c r="G46" s="1452"/>
      <c r="H46" s="1452"/>
      <c r="I46" s="1452"/>
      <c r="J46" s="1452"/>
      <c r="K46" s="1452"/>
      <c r="L46" s="1452"/>
      <c r="M46" s="1453"/>
      <c r="N46" s="1452"/>
      <c r="O46" s="1452"/>
      <c r="P46" s="1452"/>
      <c r="Q46" s="1452"/>
      <c r="R46" s="1452"/>
      <c r="S46" s="1452"/>
      <c r="T46" s="1452"/>
      <c r="U46" s="1452"/>
      <c r="V46" s="1452"/>
      <c r="W46" s="1452"/>
      <c r="X46" s="1452"/>
      <c r="Y46" s="1452"/>
      <c r="Z46" s="1452"/>
      <c r="AA46" s="1452"/>
    </row>
    <row r="47" spans="1:27">
      <c r="A47" s="1452"/>
      <c r="B47" s="1452"/>
      <c r="C47" s="1453"/>
      <c r="D47" s="1452"/>
      <c r="E47" s="1452"/>
      <c r="F47" s="1452"/>
      <c r="G47" s="1452"/>
      <c r="H47" s="1452"/>
      <c r="I47" s="1452"/>
      <c r="J47" s="1452"/>
      <c r="K47" s="1452"/>
      <c r="L47" s="1452"/>
      <c r="M47" s="1453"/>
      <c r="N47" s="1452"/>
      <c r="O47" s="1453"/>
      <c r="P47" s="1452"/>
      <c r="Q47" s="1452"/>
      <c r="R47" s="1452"/>
      <c r="S47" s="1452"/>
      <c r="T47" s="1452"/>
      <c r="U47" s="1452"/>
      <c r="V47" s="1452"/>
      <c r="W47" s="1452"/>
      <c r="X47" s="1452"/>
      <c r="Y47" s="1452"/>
      <c r="Z47" s="1452"/>
      <c r="AA47" s="1452"/>
    </row>
    <row r="48" spans="1:27">
      <c r="A48" s="1452"/>
      <c r="B48" s="1452"/>
      <c r="C48" s="1453"/>
      <c r="D48" s="1452"/>
      <c r="E48" s="1452"/>
      <c r="F48" s="1452"/>
      <c r="G48" s="1452"/>
      <c r="H48" s="1452"/>
      <c r="I48" s="1452"/>
      <c r="J48" s="1452"/>
      <c r="K48" s="1452"/>
      <c r="L48" s="1452"/>
      <c r="M48" s="1453"/>
      <c r="N48" s="1452"/>
      <c r="O48" s="1453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</row>
    <row r="49" spans="1:27">
      <c r="A49" s="1452"/>
      <c r="B49" s="1452"/>
      <c r="C49" s="1453"/>
      <c r="D49" s="1452"/>
      <c r="E49" s="1452"/>
      <c r="F49" s="1452"/>
      <c r="G49" s="1452"/>
      <c r="H49" s="1452"/>
      <c r="I49" s="1452"/>
      <c r="J49" s="1452"/>
      <c r="K49" s="1452"/>
      <c r="L49" s="1452"/>
      <c r="M49" s="1453"/>
      <c r="N49" s="1452"/>
      <c r="O49" s="1453"/>
      <c r="P49" s="1452"/>
      <c r="Q49" s="1452"/>
      <c r="R49" s="1452"/>
      <c r="S49" s="1452"/>
      <c r="T49" s="1452"/>
      <c r="U49" s="1452"/>
      <c r="V49" s="1452"/>
      <c r="W49" s="1452"/>
      <c r="X49" s="1452"/>
      <c r="Y49" s="1452"/>
      <c r="Z49" s="1452"/>
      <c r="AA49" s="1452"/>
    </row>
    <row r="50" spans="1:27">
      <c r="A50" s="1452"/>
      <c r="B50" s="1452"/>
      <c r="C50" s="1453"/>
      <c r="D50" s="1452"/>
      <c r="E50" s="1452"/>
      <c r="F50" s="1452"/>
      <c r="G50" s="1452"/>
      <c r="H50" s="1452"/>
      <c r="I50" s="1452"/>
      <c r="J50" s="1452"/>
      <c r="K50" s="1452"/>
      <c r="L50" s="1452"/>
      <c r="M50" s="1453"/>
      <c r="N50" s="1452"/>
      <c r="O50" s="1452"/>
      <c r="P50" s="1452"/>
      <c r="Q50" s="1452"/>
      <c r="R50" s="1452"/>
      <c r="S50" s="1452"/>
      <c r="T50" s="1452"/>
      <c r="U50" s="1452"/>
      <c r="V50" s="1452"/>
      <c r="W50" s="1452"/>
      <c r="X50" s="1452"/>
      <c r="Y50" s="1452"/>
      <c r="Z50" s="1452"/>
      <c r="AA50" s="1452"/>
    </row>
    <row r="51" spans="1:27">
      <c r="A51" s="1452"/>
      <c r="B51" s="1452"/>
      <c r="C51" s="1453"/>
      <c r="D51" s="1452"/>
      <c r="E51" s="1452"/>
      <c r="F51" s="1452"/>
      <c r="G51" s="1452"/>
      <c r="H51" s="1452"/>
      <c r="I51" s="1452"/>
      <c r="J51" s="1452"/>
      <c r="K51" s="1452"/>
      <c r="L51" s="1452"/>
      <c r="M51" s="1453"/>
      <c r="N51" s="1452"/>
      <c r="O51" s="1452"/>
      <c r="P51" s="1452"/>
      <c r="Q51" s="1452"/>
      <c r="R51" s="1452"/>
      <c r="S51" s="1452"/>
      <c r="T51" s="1452"/>
      <c r="U51" s="1452"/>
      <c r="V51" s="1452"/>
      <c r="W51" s="1452"/>
      <c r="X51" s="1452"/>
      <c r="Y51" s="1452"/>
      <c r="Z51" s="1452"/>
      <c r="AA51" s="1452"/>
    </row>
    <row r="52" spans="1:27">
      <c r="A52" s="1452"/>
      <c r="B52" s="1452"/>
      <c r="C52" s="1453"/>
      <c r="D52" s="1452"/>
      <c r="E52" s="1452"/>
      <c r="F52" s="1452"/>
      <c r="G52" s="1452"/>
      <c r="H52" s="1452"/>
      <c r="I52" s="1452"/>
      <c r="J52" s="1452"/>
      <c r="K52" s="1452"/>
      <c r="L52" s="1452"/>
      <c r="M52" s="1452"/>
      <c r="N52" s="1452"/>
      <c r="O52" s="1452"/>
      <c r="P52" s="1452"/>
      <c r="Q52" s="1452"/>
      <c r="R52" s="1452"/>
      <c r="S52" s="1452"/>
      <c r="T52" s="1452"/>
      <c r="U52" s="1452"/>
      <c r="V52" s="1452"/>
      <c r="W52" s="1452"/>
      <c r="X52" s="1452"/>
      <c r="Y52" s="1452"/>
      <c r="Z52" s="1452"/>
      <c r="AA52" s="1452"/>
    </row>
    <row r="53" spans="1:27">
      <c r="A53" s="1452"/>
      <c r="B53" s="1452"/>
      <c r="C53" s="1453"/>
      <c r="D53" s="1452"/>
      <c r="E53" s="1452"/>
      <c r="F53" s="1452"/>
      <c r="G53" s="1452"/>
      <c r="H53" s="1452"/>
      <c r="I53" s="1452"/>
      <c r="J53" s="1452"/>
      <c r="K53" s="1452"/>
      <c r="L53" s="1452"/>
      <c r="M53" s="1453"/>
      <c r="N53" s="1452"/>
      <c r="O53" s="1452"/>
      <c r="P53" s="1452"/>
      <c r="Q53" s="1452"/>
      <c r="R53" s="1452"/>
      <c r="S53" s="1452"/>
      <c r="T53" s="1452"/>
      <c r="U53" s="1452"/>
      <c r="V53" s="1452"/>
      <c r="W53" s="1452"/>
      <c r="X53" s="1452"/>
      <c r="Y53" s="1452"/>
      <c r="Z53" s="1452"/>
      <c r="AA53" s="1452"/>
    </row>
    <row r="54" spans="1:27">
      <c r="A54" s="1452"/>
      <c r="B54" s="1452"/>
      <c r="C54" s="1453"/>
      <c r="D54" s="1452"/>
      <c r="E54" s="1452"/>
      <c r="F54" s="1452"/>
      <c r="G54" s="1452"/>
      <c r="H54" s="1452"/>
      <c r="I54" s="1452"/>
      <c r="J54" s="1452"/>
      <c r="K54" s="1452"/>
      <c r="L54" s="1452"/>
      <c r="M54" s="1453"/>
      <c r="N54" s="1452"/>
      <c r="O54" s="1453"/>
      <c r="P54" s="1452"/>
      <c r="Q54" s="1452"/>
      <c r="R54" s="1452"/>
      <c r="S54" s="1452"/>
      <c r="T54" s="1452"/>
      <c r="U54" s="1452"/>
      <c r="V54" s="1452"/>
      <c r="W54" s="1452"/>
      <c r="X54" s="1452"/>
      <c r="Y54" s="1452"/>
      <c r="Z54" s="1452"/>
      <c r="AA54" s="1452"/>
    </row>
    <row r="55" spans="1:27">
      <c r="A55" s="1452"/>
      <c r="B55" s="1452"/>
      <c r="C55" s="1453"/>
      <c r="D55" s="1452"/>
      <c r="E55" s="1452"/>
      <c r="F55" s="1452"/>
      <c r="G55" s="1452"/>
      <c r="H55" s="1452"/>
      <c r="I55" s="1452"/>
      <c r="J55" s="1452"/>
      <c r="K55" s="1452"/>
      <c r="L55" s="1452"/>
      <c r="M55" s="1453"/>
      <c r="N55" s="1452"/>
      <c r="O55" s="1452"/>
      <c r="P55" s="1452"/>
      <c r="Q55" s="1452"/>
      <c r="R55" s="1452"/>
      <c r="S55" s="1452"/>
      <c r="T55" s="1452"/>
      <c r="U55" s="1452"/>
      <c r="V55" s="1452"/>
      <c r="W55" s="1452"/>
      <c r="X55" s="1452"/>
      <c r="Y55" s="1452"/>
      <c r="Z55" s="1452"/>
      <c r="AA55" s="1452"/>
    </row>
    <row r="56" spans="1:27">
      <c r="A56" s="1452"/>
      <c r="B56" s="1452"/>
      <c r="C56" s="1453"/>
      <c r="D56" s="1452"/>
      <c r="E56" s="1452"/>
      <c r="F56" s="1452"/>
      <c r="G56" s="1452"/>
      <c r="H56" s="1452"/>
      <c r="I56" s="1452"/>
      <c r="J56" s="1452"/>
      <c r="K56" s="1452"/>
      <c r="L56" s="1452"/>
      <c r="M56" s="1453"/>
      <c r="N56" s="1452"/>
      <c r="O56" s="1452"/>
      <c r="P56" s="1452"/>
      <c r="Q56" s="1452"/>
      <c r="R56" s="1452"/>
      <c r="S56" s="1452"/>
      <c r="T56" s="1452"/>
      <c r="U56" s="1452"/>
      <c r="V56" s="1452"/>
      <c r="W56" s="1452"/>
      <c r="X56" s="1452"/>
      <c r="Y56" s="1452"/>
      <c r="Z56" s="1452"/>
      <c r="AA56" s="1452"/>
    </row>
    <row r="57" spans="1:27">
      <c r="A57" s="1452"/>
      <c r="B57" s="1452"/>
      <c r="C57" s="1453"/>
      <c r="D57" s="1452"/>
      <c r="E57" s="1452"/>
      <c r="F57" s="1452"/>
      <c r="G57" s="1452"/>
      <c r="H57" s="1452"/>
      <c r="I57" s="1452"/>
      <c r="J57" s="1452"/>
      <c r="K57" s="1452"/>
      <c r="L57" s="1452"/>
      <c r="M57" s="1452"/>
      <c r="N57" s="1452"/>
      <c r="O57" s="1452"/>
      <c r="P57" s="1452"/>
      <c r="Q57" s="1452"/>
      <c r="R57" s="1452"/>
      <c r="S57" s="1452"/>
      <c r="T57" s="1452"/>
      <c r="U57" s="1452"/>
      <c r="V57" s="1452"/>
      <c r="W57" s="1452"/>
      <c r="X57" s="1452"/>
      <c r="Y57" s="1452"/>
      <c r="Z57" s="1452"/>
      <c r="AA57" s="1452"/>
    </row>
    <row r="58" spans="1:27">
      <c r="A58" s="1452"/>
      <c r="B58" s="1452"/>
      <c r="C58" s="1453"/>
      <c r="D58" s="1452"/>
      <c r="E58" s="1452"/>
      <c r="F58" s="1452"/>
      <c r="G58" s="1452"/>
      <c r="H58" s="1452"/>
      <c r="I58" s="1452"/>
      <c r="J58" s="1452"/>
      <c r="K58" s="1452"/>
      <c r="L58" s="1452"/>
      <c r="M58" s="1453"/>
      <c r="N58" s="1452"/>
      <c r="O58" s="1452"/>
      <c r="P58" s="1452"/>
      <c r="Q58" s="1452"/>
      <c r="R58" s="1452"/>
      <c r="S58" s="1452"/>
      <c r="T58" s="1452"/>
      <c r="U58" s="1452"/>
      <c r="V58" s="1452"/>
      <c r="W58" s="1452"/>
      <c r="X58" s="1452"/>
      <c r="Y58" s="1452"/>
      <c r="Z58" s="1452"/>
      <c r="AA58" s="1452"/>
    </row>
    <row r="59" spans="1:27">
      <c r="A59" s="1452"/>
      <c r="B59" s="1452"/>
      <c r="C59" s="1453"/>
      <c r="D59" s="1452"/>
      <c r="E59" s="1452"/>
      <c r="F59" s="1452"/>
      <c r="G59" s="1452"/>
      <c r="H59" s="1452"/>
      <c r="I59" s="1452"/>
      <c r="J59" s="1452"/>
      <c r="K59" s="1452"/>
      <c r="L59" s="1452"/>
      <c r="M59" s="1453"/>
      <c r="N59" s="1452"/>
      <c r="O59" s="1453"/>
      <c r="P59" s="1452"/>
      <c r="Q59" s="1452"/>
      <c r="R59" s="1452"/>
      <c r="S59" s="1452"/>
      <c r="T59" s="1452"/>
      <c r="U59" s="1452"/>
      <c r="V59" s="1452"/>
      <c r="W59" s="1452"/>
      <c r="X59" s="1452"/>
      <c r="Y59" s="1452"/>
      <c r="Z59" s="1452"/>
      <c r="AA59" s="1452"/>
    </row>
    <row r="60" spans="1:27">
      <c r="A60" s="1452"/>
      <c r="B60" s="1452"/>
      <c r="C60" s="1453"/>
      <c r="D60" s="1452"/>
      <c r="E60" s="1452"/>
      <c r="F60" s="1452"/>
      <c r="G60" s="1452"/>
      <c r="H60" s="1452"/>
      <c r="I60" s="1452"/>
      <c r="J60" s="1452"/>
      <c r="K60" s="1452"/>
      <c r="L60" s="1452"/>
      <c r="M60" s="1453"/>
      <c r="N60" s="1452"/>
      <c r="O60" s="1452"/>
      <c r="P60" s="1452"/>
      <c r="Q60" s="1452"/>
      <c r="R60" s="1452"/>
      <c r="S60" s="1452"/>
      <c r="T60" s="1452"/>
      <c r="U60" s="1452"/>
      <c r="V60" s="1452"/>
      <c r="W60" s="1452"/>
      <c r="X60" s="1452"/>
      <c r="Y60" s="1452"/>
      <c r="Z60" s="1452"/>
      <c r="AA60" s="1452"/>
    </row>
    <row r="61" spans="1:27">
      <c r="A61" s="1452"/>
      <c r="B61" s="1452"/>
      <c r="C61" s="1453"/>
      <c r="D61" s="1452"/>
      <c r="E61" s="1452"/>
      <c r="F61" s="1452"/>
      <c r="G61" s="1452"/>
      <c r="H61" s="1452"/>
      <c r="I61" s="1452"/>
      <c r="J61" s="1452"/>
      <c r="K61" s="1452"/>
      <c r="L61" s="1452"/>
      <c r="M61" s="1453"/>
      <c r="N61" s="1452"/>
      <c r="O61" s="1453"/>
      <c r="P61" s="1452"/>
      <c r="Q61" s="1452"/>
      <c r="R61" s="1452"/>
      <c r="S61" s="1452"/>
      <c r="T61" s="1452"/>
      <c r="U61" s="1452"/>
      <c r="V61" s="1452"/>
      <c r="W61" s="1452"/>
      <c r="X61" s="1452"/>
      <c r="Y61" s="1452"/>
      <c r="Z61" s="1452"/>
      <c r="AA61" s="1452"/>
    </row>
    <row r="62" spans="1:27">
      <c r="A62" s="1452"/>
      <c r="B62" s="1452"/>
      <c r="C62" s="1453"/>
      <c r="D62" s="1452"/>
      <c r="E62" s="1452"/>
      <c r="F62" s="1452"/>
      <c r="G62" s="1452"/>
      <c r="H62" s="1452"/>
      <c r="I62" s="1452"/>
      <c r="J62" s="1452"/>
      <c r="K62" s="1452"/>
      <c r="L62" s="1452"/>
      <c r="M62" s="1453"/>
      <c r="N62" s="1452"/>
      <c r="O62" s="1453"/>
      <c r="P62" s="1452"/>
      <c r="Q62" s="1452"/>
      <c r="R62" s="1452"/>
      <c r="S62" s="1452"/>
      <c r="T62" s="1452"/>
      <c r="U62" s="1452"/>
      <c r="V62" s="1452"/>
      <c r="W62" s="1452"/>
      <c r="X62" s="1452"/>
      <c r="Y62" s="1452"/>
      <c r="Z62" s="1452"/>
      <c r="AA62" s="1452"/>
    </row>
    <row r="63" spans="1:27">
      <c r="A63" s="1452"/>
      <c r="B63" s="1452"/>
      <c r="C63" s="1453"/>
      <c r="D63" s="1452"/>
      <c r="E63" s="1452"/>
      <c r="F63" s="1452"/>
      <c r="G63" s="1452"/>
      <c r="H63" s="1452"/>
      <c r="I63" s="1452"/>
      <c r="J63" s="1452"/>
      <c r="K63" s="1452"/>
      <c r="L63" s="1452"/>
      <c r="M63" s="1453"/>
      <c r="N63" s="1452"/>
      <c r="O63" s="1453"/>
      <c r="P63" s="1452"/>
      <c r="Q63" s="1452"/>
      <c r="R63" s="1452"/>
      <c r="S63" s="1452"/>
      <c r="T63" s="1452"/>
      <c r="U63" s="1452"/>
      <c r="V63" s="1452"/>
      <c r="W63" s="1452"/>
      <c r="X63" s="1452"/>
      <c r="Y63" s="1452"/>
      <c r="Z63" s="1452"/>
      <c r="AA63" s="1452"/>
    </row>
    <row r="64" spans="1:27">
      <c r="A64" s="1452"/>
      <c r="B64" s="1452"/>
      <c r="C64" s="1453"/>
      <c r="D64" s="1452"/>
      <c r="E64" s="1452"/>
      <c r="F64" s="1452"/>
      <c r="G64" s="1452"/>
      <c r="H64" s="1452"/>
      <c r="I64" s="1452"/>
      <c r="J64" s="1452"/>
      <c r="K64" s="1452"/>
      <c r="L64" s="1452"/>
      <c r="M64" s="1452"/>
      <c r="N64" s="1452"/>
      <c r="O64" s="1452"/>
      <c r="P64" s="1452"/>
      <c r="Q64" s="1452"/>
      <c r="R64" s="1452"/>
      <c r="S64" s="1452"/>
      <c r="T64" s="1452"/>
      <c r="U64" s="1452"/>
      <c r="V64" s="1452"/>
      <c r="W64" s="1452"/>
      <c r="X64" s="1452"/>
      <c r="Y64" s="1452"/>
      <c r="Z64" s="1452"/>
      <c r="AA64" s="1452"/>
    </row>
    <row r="65" spans="1:27">
      <c r="A65" s="1452"/>
      <c r="B65" s="1452"/>
      <c r="C65" s="1453"/>
      <c r="D65" s="1452"/>
      <c r="E65" s="1452"/>
      <c r="F65" s="1452"/>
      <c r="G65" s="1452"/>
      <c r="H65" s="1452"/>
      <c r="I65" s="1452"/>
      <c r="J65" s="1452"/>
      <c r="K65" s="1452"/>
      <c r="L65" s="1452"/>
      <c r="M65" s="1453"/>
      <c r="N65" s="1452"/>
      <c r="O65" s="1452"/>
      <c r="P65" s="1452"/>
      <c r="Q65" s="1452"/>
      <c r="R65" s="1452"/>
      <c r="S65" s="1452"/>
      <c r="T65" s="1452"/>
      <c r="U65" s="1452"/>
      <c r="V65" s="1452"/>
      <c r="W65" s="1452"/>
      <c r="X65" s="1452"/>
      <c r="Y65" s="1452"/>
      <c r="Z65" s="1452"/>
      <c r="AA65" s="1452"/>
    </row>
    <row r="66" spans="1:27">
      <c r="A66" s="1452"/>
      <c r="B66" s="1452"/>
      <c r="C66" s="1453"/>
      <c r="D66" s="1452"/>
      <c r="E66" s="1452"/>
      <c r="F66" s="1452"/>
      <c r="G66" s="1452"/>
      <c r="H66" s="1452"/>
      <c r="I66" s="1452"/>
      <c r="J66" s="1452"/>
      <c r="K66" s="1452"/>
      <c r="L66" s="1452"/>
      <c r="M66" s="1453"/>
      <c r="N66" s="1452"/>
      <c r="O66" s="1452"/>
      <c r="P66" s="1452"/>
      <c r="Q66" s="1452"/>
      <c r="R66" s="1452"/>
      <c r="S66" s="1452"/>
      <c r="T66" s="1452"/>
      <c r="U66" s="1452"/>
      <c r="V66" s="1452"/>
      <c r="W66" s="1452"/>
      <c r="X66" s="1452"/>
      <c r="Y66" s="1452"/>
      <c r="Z66" s="1452"/>
      <c r="AA66" s="1452"/>
    </row>
    <row r="67" spans="1:27">
      <c r="A67" s="1452"/>
      <c r="B67" s="1452"/>
      <c r="C67" s="1453"/>
      <c r="D67" s="1452"/>
      <c r="E67" s="1452"/>
      <c r="F67" s="1452"/>
      <c r="G67" s="1452"/>
      <c r="H67" s="1452"/>
      <c r="I67" s="1452"/>
      <c r="J67" s="1452"/>
      <c r="K67" s="1452"/>
      <c r="L67" s="1452"/>
      <c r="M67" s="1452"/>
      <c r="N67" s="1452"/>
      <c r="O67" s="1452"/>
      <c r="P67" s="1452"/>
      <c r="Q67" s="1452"/>
      <c r="R67" s="1452"/>
      <c r="S67" s="1452"/>
      <c r="T67" s="1452"/>
      <c r="U67" s="1452"/>
      <c r="V67" s="1452"/>
      <c r="W67" s="1452"/>
      <c r="X67" s="1452"/>
      <c r="Y67" s="1452"/>
      <c r="Z67" s="1452"/>
      <c r="AA67" s="1452"/>
    </row>
    <row r="68" spans="1:27">
      <c r="A68" s="1452"/>
      <c r="B68" s="1452"/>
      <c r="C68" s="1453"/>
      <c r="D68" s="1452"/>
      <c r="E68" s="1452"/>
      <c r="F68" s="1452"/>
      <c r="G68" s="1452"/>
      <c r="H68" s="1452"/>
      <c r="I68" s="1452"/>
      <c r="J68" s="1452"/>
      <c r="K68" s="1452"/>
      <c r="L68" s="1452"/>
      <c r="M68" s="1452"/>
      <c r="N68" s="1452"/>
      <c r="O68" s="1452"/>
      <c r="P68" s="1452"/>
      <c r="Q68" s="1452"/>
      <c r="R68" s="1452"/>
      <c r="S68" s="1452"/>
      <c r="T68" s="1452"/>
      <c r="U68" s="1452"/>
      <c r="V68" s="1452"/>
      <c r="W68" s="1452"/>
      <c r="X68" s="1452"/>
      <c r="Y68" s="1452"/>
      <c r="Z68" s="1452"/>
      <c r="AA68" s="1452"/>
    </row>
    <row r="69" spans="1:27">
      <c r="A69" s="1452"/>
      <c r="B69" s="1452"/>
      <c r="C69" s="1453"/>
      <c r="D69" s="1452"/>
      <c r="E69" s="1452"/>
      <c r="F69" s="1452"/>
      <c r="G69" s="1452"/>
      <c r="H69" s="1452"/>
      <c r="I69" s="1452"/>
      <c r="J69" s="1452"/>
      <c r="K69" s="1452"/>
      <c r="L69" s="1452"/>
      <c r="M69" s="1452"/>
      <c r="N69" s="1452"/>
      <c r="O69" s="1452"/>
      <c r="P69" s="1452"/>
      <c r="Q69" s="1452"/>
      <c r="R69" s="1452"/>
      <c r="S69" s="1452"/>
      <c r="T69" s="1452"/>
      <c r="U69" s="1452"/>
      <c r="V69" s="1452"/>
      <c r="W69" s="1452"/>
      <c r="X69" s="1452"/>
      <c r="Y69" s="1452"/>
      <c r="Z69" s="1452"/>
      <c r="AA69" s="1452"/>
    </row>
    <row r="70" spans="1:27">
      <c r="A70" s="1452"/>
      <c r="B70" s="1452"/>
      <c r="C70" s="1453"/>
      <c r="D70" s="1452"/>
      <c r="E70" s="1452"/>
      <c r="F70" s="1452"/>
      <c r="G70" s="1452"/>
      <c r="H70" s="1452"/>
      <c r="I70" s="1452"/>
      <c r="J70" s="1452"/>
      <c r="K70" s="1452"/>
      <c r="L70" s="1452"/>
      <c r="M70" s="1452"/>
      <c r="N70" s="1452"/>
      <c r="O70" s="1452"/>
      <c r="P70" s="1452"/>
      <c r="Q70" s="1452"/>
      <c r="R70" s="1452"/>
      <c r="S70" s="1452"/>
      <c r="T70" s="1452"/>
      <c r="U70" s="1452"/>
      <c r="V70" s="1452"/>
      <c r="W70" s="1452"/>
      <c r="X70" s="1452"/>
      <c r="Y70" s="1452"/>
      <c r="Z70" s="1452"/>
      <c r="AA70" s="1452"/>
    </row>
    <row r="71" spans="1:27">
      <c r="A71" s="1452"/>
      <c r="B71" s="1452"/>
      <c r="C71" s="1453"/>
      <c r="D71" s="1452"/>
      <c r="E71" s="1452"/>
      <c r="F71" s="1452"/>
      <c r="G71" s="1452"/>
      <c r="H71" s="1452"/>
      <c r="I71" s="1452"/>
      <c r="J71" s="1452"/>
      <c r="K71" s="1452"/>
      <c r="L71" s="1452"/>
      <c r="M71" s="1452"/>
      <c r="N71" s="1452"/>
      <c r="O71" s="1452"/>
      <c r="P71" s="1452"/>
      <c r="Q71" s="1452"/>
      <c r="R71" s="1452"/>
      <c r="S71" s="1452"/>
      <c r="T71" s="1452"/>
      <c r="U71" s="1452"/>
      <c r="V71" s="1452"/>
      <c r="W71" s="1452"/>
      <c r="X71" s="1452"/>
      <c r="Y71" s="1452"/>
      <c r="Z71" s="1452"/>
      <c r="AA71" s="1452"/>
    </row>
    <row r="72" spans="1:27">
      <c r="A72" s="1452"/>
      <c r="B72" s="1452"/>
      <c r="C72" s="1453"/>
      <c r="D72" s="1452"/>
      <c r="E72" s="1452"/>
      <c r="F72" s="1452"/>
      <c r="G72" s="1452"/>
      <c r="H72" s="1452"/>
      <c r="I72" s="1452"/>
      <c r="J72" s="1452"/>
      <c r="K72" s="1452"/>
      <c r="L72" s="1452"/>
      <c r="M72" s="1452"/>
      <c r="N72" s="1452"/>
      <c r="O72" s="1452"/>
      <c r="P72" s="1452"/>
      <c r="Q72" s="1452"/>
      <c r="R72" s="1452"/>
      <c r="S72" s="1452"/>
      <c r="T72" s="1452"/>
      <c r="U72" s="1452"/>
      <c r="V72" s="1452"/>
      <c r="W72" s="1452"/>
      <c r="X72" s="1452"/>
      <c r="Y72" s="1452"/>
      <c r="Z72" s="1452"/>
      <c r="AA72" s="1452"/>
    </row>
    <row r="73" spans="1:27">
      <c r="A73" s="1452"/>
      <c r="B73" s="1452"/>
      <c r="C73" s="1453"/>
      <c r="D73" s="1452"/>
      <c r="E73" s="1452"/>
      <c r="F73" s="1452"/>
      <c r="G73" s="1452"/>
      <c r="H73" s="1452"/>
      <c r="I73" s="1452"/>
      <c r="J73" s="1452"/>
      <c r="K73" s="1452"/>
      <c r="L73" s="1452"/>
      <c r="M73" s="1453"/>
      <c r="N73" s="1452"/>
      <c r="O73" s="1452"/>
      <c r="P73" s="1452"/>
      <c r="Q73" s="1452"/>
      <c r="R73" s="1452"/>
      <c r="S73" s="1452"/>
      <c r="T73" s="1452"/>
      <c r="U73" s="1452"/>
      <c r="V73" s="1452"/>
      <c r="W73" s="1452"/>
      <c r="X73" s="1452"/>
      <c r="Y73" s="1452"/>
      <c r="Z73" s="1452"/>
      <c r="AA73" s="1452"/>
    </row>
    <row r="74" spans="1:27">
      <c r="A74" s="1452"/>
      <c r="B74" s="1452"/>
      <c r="C74" s="1453"/>
      <c r="D74" s="1452"/>
      <c r="E74" s="1452"/>
      <c r="F74" s="1452"/>
      <c r="G74" s="1452"/>
      <c r="H74" s="1452"/>
      <c r="I74" s="1452"/>
      <c r="J74" s="1452"/>
      <c r="K74" s="1452"/>
      <c r="L74" s="1452"/>
      <c r="M74" s="1452"/>
      <c r="N74" s="1452"/>
      <c r="O74" s="1452"/>
      <c r="P74" s="1452"/>
      <c r="Q74" s="1452"/>
      <c r="R74" s="1452"/>
      <c r="S74" s="1452"/>
      <c r="T74" s="1452"/>
      <c r="U74" s="1452"/>
      <c r="V74" s="1452"/>
      <c r="W74" s="1452"/>
      <c r="X74" s="1452"/>
      <c r="Y74" s="1452"/>
      <c r="Z74" s="1452"/>
      <c r="AA74" s="1452"/>
    </row>
    <row r="75" spans="1:27">
      <c r="A75" s="1452"/>
      <c r="B75" s="1452"/>
      <c r="C75" s="1453"/>
      <c r="D75" s="1452"/>
      <c r="E75" s="1452"/>
      <c r="F75" s="1452"/>
      <c r="G75" s="1452"/>
      <c r="H75" s="1452"/>
      <c r="I75" s="1452"/>
      <c r="J75" s="1452"/>
      <c r="K75" s="1452"/>
      <c r="L75" s="1452"/>
      <c r="M75" s="1452"/>
      <c r="N75" s="1452"/>
      <c r="O75" s="1452"/>
      <c r="P75" s="1452"/>
      <c r="Q75" s="1452"/>
      <c r="R75" s="1452"/>
      <c r="S75" s="1452"/>
      <c r="T75" s="1452"/>
      <c r="U75" s="1452"/>
      <c r="V75" s="1452"/>
      <c r="W75" s="1452"/>
      <c r="X75" s="1452"/>
      <c r="Y75" s="1452"/>
      <c r="Z75" s="1452"/>
      <c r="AA75" s="1452"/>
    </row>
    <row r="76" spans="1:27">
      <c r="A76" s="1452"/>
      <c r="B76" s="1452"/>
      <c r="C76" s="1453"/>
      <c r="D76" s="1452"/>
      <c r="E76" s="1452"/>
      <c r="F76" s="1452"/>
      <c r="G76" s="1452"/>
      <c r="H76" s="1452"/>
      <c r="I76" s="1452"/>
      <c r="J76" s="1452"/>
      <c r="K76" s="1452"/>
      <c r="L76" s="1452"/>
      <c r="M76" s="1452"/>
      <c r="N76" s="1452"/>
      <c r="O76" s="1452"/>
      <c r="P76" s="1452"/>
      <c r="Q76" s="1452"/>
      <c r="R76" s="1452"/>
      <c r="S76" s="1452"/>
      <c r="T76" s="1452"/>
      <c r="U76" s="1452"/>
      <c r="V76" s="1452"/>
      <c r="W76" s="1452"/>
      <c r="X76" s="1452"/>
      <c r="Y76" s="1452"/>
      <c r="Z76" s="1452"/>
      <c r="AA76" s="1452"/>
    </row>
    <row r="77" spans="1:27">
      <c r="A77" s="1452"/>
      <c r="B77" s="1452"/>
      <c r="C77" s="1453"/>
      <c r="D77" s="1452"/>
      <c r="E77" s="1452"/>
      <c r="F77" s="1452"/>
      <c r="G77" s="1452"/>
      <c r="H77" s="1452"/>
      <c r="I77" s="1452"/>
      <c r="J77" s="1452"/>
      <c r="K77" s="1452"/>
      <c r="L77" s="1452"/>
      <c r="M77" s="1452"/>
      <c r="N77" s="1452"/>
      <c r="O77" s="1452"/>
      <c r="P77" s="1452"/>
      <c r="Q77" s="1452"/>
      <c r="R77" s="1452"/>
      <c r="S77" s="1452"/>
      <c r="T77" s="1452"/>
      <c r="U77" s="1452"/>
      <c r="V77" s="1452"/>
      <c r="W77" s="1452"/>
      <c r="X77" s="1452"/>
      <c r="Y77" s="1452"/>
      <c r="Z77" s="1452"/>
      <c r="AA77" s="1452"/>
    </row>
    <row r="78" spans="1:27">
      <c r="A78" s="1452"/>
      <c r="B78" s="1452"/>
      <c r="C78" s="1453"/>
      <c r="D78" s="1452"/>
      <c r="E78" s="1452"/>
      <c r="F78" s="1452"/>
      <c r="G78" s="1452"/>
      <c r="H78" s="1452"/>
      <c r="I78" s="1452"/>
      <c r="J78" s="1452"/>
      <c r="K78" s="1452"/>
      <c r="L78" s="1452"/>
      <c r="M78" s="1452"/>
      <c r="N78" s="1452"/>
      <c r="O78" s="1452"/>
      <c r="P78" s="1452"/>
      <c r="Q78" s="1452"/>
      <c r="R78" s="1452"/>
      <c r="S78" s="1452"/>
      <c r="T78" s="1452"/>
      <c r="U78" s="1452"/>
      <c r="V78" s="1452"/>
      <c r="W78" s="1452"/>
      <c r="X78" s="1452"/>
      <c r="Y78" s="1452"/>
      <c r="Z78" s="1452"/>
      <c r="AA78" s="1452"/>
    </row>
    <row r="79" spans="1:27">
      <c r="A79" s="1452"/>
      <c r="B79" s="1452"/>
      <c r="C79" s="1453"/>
      <c r="D79" s="1452"/>
      <c r="E79" s="1452"/>
      <c r="F79" s="1452"/>
      <c r="G79" s="1452"/>
      <c r="H79" s="1452"/>
      <c r="I79" s="1452"/>
      <c r="J79" s="1452"/>
      <c r="K79" s="1452"/>
      <c r="L79" s="1452"/>
      <c r="M79" s="1453"/>
      <c r="N79" s="1452"/>
      <c r="O79" s="1452"/>
      <c r="P79" s="1452"/>
      <c r="Q79" s="1452"/>
      <c r="R79" s="1452"/>
      <c r="S79" s="1452"/>
      <c r="T79" s="1452"/>
      <c r="U79" s="1452"/>
      <c r="V79" s="1452"/>
      <c r="W79" s="1452"/>
      <c r="X79" s="1452"/>
      <c r="Y79" s="1452"/>
      <c r="Z79" s="1452"/>
      <c r="AA79" s="1452"/>
    </row>
    <row r="80" spans="1:27">
      <c r="A80" s="1452"/>
      <c r="B80" s="1452"/>
      <c r="C80" s="1453"/>
      <c r="D80" s="1452"/>
      <c r="E80" s="1452"/>
      <c r="F80" s="1452"/>
      <c r="G80" s="1452"/>
      <c r="H80" s="1452"/>
      <c r="I80" s="1452"/>
      <c r="J80" s="1452"/>
      <c r="K80" s="1452"/>
      <c r="L80" s="1452"/>
      <c r="M80" s="1452"/>
      <c r="N80" s="1452"/>
      <c r="O80" s="1452"/>
      <c r="P80" s="1452"/>
      <c r="Q80" s="1452"/>
      <c r="R80" s="1452"/>
      <c r="S80" s="1452"/>
      <c r="T80" s="1452"/>
      <c r="U80" s="1452"/>
      <c r="V80" s="1452"/>
      <c r="W80" s="1452"/>
      <c r="X80" s="1452"/>
      <c r="Y80" s="1452"/>
      <c r="Z80" s="1452"/>
      <c r="AA80" s="1452"/>
    </row>
    <row r="81" spans="1:27">
      <c r="A81" s="1452"/>
      <c r="B81" s="1452"/>
      <c r="C81" s="1453"/>
      <c r="D81" s="1452"/>
      <c r="E81" s="1452"/>
      <c r="F81" s="1452"/>
      <c r="G81" s="1452"/>
      <c r="H81" s="1452"/>
      <c r="I81" s="1452"/>
      <c r="J81" s="1452"/>
      <c r="K81" s="1452"/>
      <c r="L81" s="1452"/>
      <c r="M81" s="1453"/>
      <c r="N81" s="1452"/>
      <c r="O81" s="1453"/>
      <c r="P81" s="1452"/>
      <c r="Q81" s="1452"/>
      <c r="R81" s="1452"/>
      <c r="S81" s="1452"/>
      <c r="T81" s="1452"/>
      <c r="U81" s="1452"/>
      <c r="V81" s="1452"/>
      <c r="W81" s="1452"/>
      <c r="X81" s="1452"/>
      <c r="Y81" s="1452"/>
      <c r="Z81" s="1452"/>
      <c r="AA81" s="1452"/>
    </row>
    <row r="82" spans="1:27">
      <c r="A82" s="1452"/>
      <c r="B82" s="1452"/>
      <c r="C82" s="1453"/>
      <c r="D82" s="1452"/>
      <c r="E82" s="1452"/>
      <c r="F82" s="1452"/>
      <c r="G82" s="1452"/>
      <c r="H82" s="1452"/>
      <c r="I82" s="1452"/>
      <c r="J82" s="1452"/>
      <c r="K82" s="1452"/>
      <c r="L82" s="1452"/>
      <c r="M82" s="1453"/>
      <c r="N82" s="1452"/>
      <c r="O82" s="1452"/>
      <c r="P82" s="1452"/>
      <c r="Q82" s="1452"/>
      <c r="R82" s="1452"/>
      <c r="S82" s="1452"/>
      <c r="T82" s="1452"/>
      <c r="U82" s="1452"/>
      <c r="V82" s="1452"/>
      <c r="W82" s="1452"/>
      <c r="X82" s="1452"/>
      <c r="Y82" s="1452"/>
      <c r="Z82" s="1452"/>
      <c r="AA82" s="1452"/>
    </row>
    <row r="83" spans="1:27">
      <c r="A83" s="1452"/>
      <c r="B83" s="1452"/>
      <c r="C83" s="1453"/>
      <c r="D83" s="1452"/>
      <c r="E83" s="1452"/>
      <c r="F83" s="1452"/>
      <c r="G83" s="1452"/>
      <c r="H83" s="1452"/>
      <c r="I83" s="1452"/>
      <c r="J83" s="1452"/>
      <c r="K83" s="1452"/>
      <c r="L83" s="1452"/>
      <c r="M83" s="1453"/>
      <c r="N83" s="1452"/>
      <c r="O83" s="1452"/>
      <c r="P83" s="1452"/>
      <c r="Q83" s="1452"/>
      <c r="R83" s="1452"/>
      <c r="S83" s="1452"/>
      <c r="T83" s="1452"/>
      <c r="U83" s="1452"/>
      <c r="V83" s="1452"/>
      <c r="W83" s="1452"/>
      <c r="X83" s="1452"/>
      <c r="Y83" s="1452"/>
      <c r="Z83" s="1452"/>
      <c r="AA83" s="1452"/>
    </row>
    <row r="84" spans="1:27">
      <c r="A84" s="1452"/>
      <c r="B84" s="1452"/>
      <c r="C84" s="1453"/>
      <c r="D84" s="1452"/>
      <c r="E84" s="1452"/>
      <c r="F84" s="1452"/>
      <c r="G84" s="1452"/>
      <c r="H84" s="1452"/>
      <c r="I84" s="1452"/>
      <c r="J84" s="1452"/>
      <c r="K84" s="1452"/>
      <c r="L84" s="1452"/>
      <c r="M84" s="1452"/>
      <c r="N84" s="1452"/>
      <c r="O84" s="1452"/>
      <c r="P84" s="1452"/>
      <c r="Q84" s="1452"/>
      <c r="R84" s="1452"/>
      <c r="S84" s="1452"/>
      <c r="T84" s="1452"/>
      <c r="U84" s="1452"/>
      <c r="V84" s="1452"/>
      <c r="W84" s="1452"/>
      <c r="X84" s="1452"/>
      <c r="Y84" s="1452"/>
      <c r="Z84" s="1452"/>
      <c r="AA84" s="1452"/>
    </row>
    <row r="85" spans="1:27">
      <c r="A85" s="1452"/>
      <c r="B85" s="1452"/>
      <c r="C85" s="1453"/>
      <c r="D85" s="1452"/>
      <c r="E85" s="1452"/>
      <c r="F85" s="1452"/>
      <c r="G85" s="1452"/>
      <c r="H85" s="1452"/>
      <c r="I85" s="1452"/>
      <c r="J85" s="1452"/>
      <c r="K85" s="1452"/>
      <c r="L85" s="1452"/>
      <c r="M85" s="1452"/>
      <c r="N85" s="1452"/>
      <c r="O85" s="1452"/>
      <c r="P85" s="1452"/>
      <c r="Q85" s="1452"/>
      <c r="R85" s="1452"/>
      <c r="S85" s="1452"/>
      <c r="T85" s="1452"/>
      <c r="U85" s="1452"/>
      <c r="V85" s="1452"/>
      <c r="W85" s="1452"/>
      <c r="X85" s="1452"/>
      <c r="Y85" s="1452"/>
      <c r="Z85" s="1452"/>
      <c r="AA85" s="1452"/>
    </row>
    <row r="86" spans="1:27">
      <c r="A86" s="1452"/>
      <c r="B86" s="1452"/>
      <c r="C86" s="1453"/>
      <c r="D86" s="1452"/>
      <c r="E86" s="1452"/>
      <c r="F86" s="1452"/>
      <c r="G86" s="1452"/>
      <c r="H86" s="1452"/>
      <c r="I86" s="1452"/>
      <c r="J86" s="1452"/>
      <c r="K86" s="1452"/>
      <c r="L86" s="1452"/>
      <c r="M86" s="1452"/>
      <c r="N86" s="1452"/>
      <c r="O86" s="1452"/>
      <c r="P86" s="1452"/>
      <c r="Q86" s="1452"/>
      <c r="R86" s="1452"/>
      <c r="S86" s="1452"/>
      <c r="T86" s="1452"/>
      <c r="U86" s="1452"/>
      <c r="V86" s="1452"/>
      <c r="W86" s="1452"/>
      <c r="X86" s="1452"/>
      <c r="Y86" s="1452"/>
      <c r="Z86" s="1452"/>
      <c r="AA86" s="145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E082CA1058346BEF8C9CA297F4BF8" ma:contentTypeVersion="11" ma:contentTypeDescription="Create a new document." ma:contentTypeScope="" ma:versionID="9150e0e86a64fb5d5e1d3a575e93fbdf">
  <xsd:schema xmlns:xsd="http://www.w3.org/2001/XMLSchema" xmlns:xs="http://www.w3.org/2001/XMLSchema" xmlns:p="http://schemas.microsoft.com/office/2006/metadata/properties" xmlns:ns2="39cb4c38-20d7-4bac-8467-a877bb7f7d18" xmlns:ns3="610cd242-5870-445b-a0fc-ed42810ecb49" targetNamespace="http://schemas.microsoft.com/office/2006/metadata/properties" ma:root="true" ma:fieldsID="4e611e40268dddb680536a21264e918d" ns2:_="" ns3:_="">
    <xsd:import namespace="39cb4c38-20d7-4bac-8467-a877bb7f7d18"/>
    <xsd:import namespace="610cd242-5870-445b-a0fc-ed42810ec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b4c38-20d7-4bac-8467-a877bb7f7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8024d9-3804-4fba-a71c-f2a8081d64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cd242-5870-445b-a0fc-ed42810ecb4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3e7f667-8ff9-4590-b7a7-3bb2c6377438}" ma:internalName="TaxCatchAll" ma:showField="CatchAllData" ma:web="610cd242-5870-445b-a0fc-ed42810ec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0cd242-5870-445b-a0fc-ed42810ecb49" xsi:nil="true"/>
    <lcf76f155ced4ddcb4097134ff3c332f xmlns="39cb4c38-20d7-4bac-8467-a877bb7f7d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823A5A-EEB6-454F-A45C-C977DB307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cb4c38-20d7-4bac-8467-a877bb7f7d18"/>
    <ds:schemaRef ds:uri="610cd242-5870-445b-a0fc-ed42810ec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046EC5-FAF7-4682-B59C-F8376D256149}">
  <ds:schemaRefs>
    <ds:schemaRef ds:uri="http://schemas.microsoft.com/office/2006/metadata/properties"/>
    <ds:schemaRef ds:uri="http://schemas.microsoft.com/office/infopath/2007/PartnerControls"/>
    <ds:schemaRef ds:uri="610cd242-5870-445b-a0fc-ed42810ecb49"/>
    <ds:schemaRef ds:uri="39cb4c38-20d7-4bac-8467-a877bb7f7d18"/>
  </ds:schemaRefs>
</ds:datastoreItem>
</file>

<file path=customXml/itemProps3.xml><?xml version="1.0" encoding="utf-8"?>
<ds:datastoreItem xmlns:ds="http://schemas.openxmlformats.org/officeDocument/2006/customXml" ds:itemID="{EA3003D2-E5A7-41C5-B2AF-B44A7CC41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Aug</vt:lpstr>
      <vt:lpstr>SEP  (2)</vt:lpstr>
      <vt:lpstr>LONG WEEKEND</vt:lpstr>
      <vt:lpstr>11.09.25</vt:lpstr>
      <vt:lpstr>12.09.25</vt:lpstr>
      <vt:lpstr>15.09.25</vt:lpstr>
      <vt:lpstr>IN OUT</vt:lpstr>
      <vt:lpstr>OVERNIGHT </vt:lpstr>
      <vt:lpstr>PROJECT</vt:lpstr>
      <vt:lpstr>20.10.25</vt:lpstr>
      <vt:lpstr>17.10.25</vt:lpstr>
      <vt:lpstr>16.09.25</vt:lpstr>
      <vt:lpstr>17.09.25</vt:lpstr>
      <vt:lpstr>19.09.25</vt:lpstr>
      <vt:lpstr>22.09.25</vt:lpstr>
      <vt:lpstr>23.09.25</vt:lpstr>
      <vt:lpstr>24.09.25</vt:lpstr>
      <vt:lpstr>18.09.25</vt:lpstr>
      <vt:lpstr>25.09.25</vt:lpstr>
      <vt:lpstr>26.09.25</vt:lpstr>
      <vt:lpstr>13.10.25</vt:lpstr>
      <vt:lpstr>14.10.25</vt:lpstr>
      <vt:lpstr>16.10.25</vt:lpstr>
      <vt:lpstr>15.10.25</vt:lpstr>
      <vt:lpstr>Sheet2</vt:lpstr>
      <vt:lpstr>10.10.25</vt:lpstr>
      <vt:lpstr>30.09.25</vt:lpstr>
      <vt:lpstr>01.10.25</vt:lpstr>
      <vt:lpstr>02.10.25</vt:lpstr>
      <vt:lpstr>03.10.25</vt:lpstr>
      <vt:lpstr>06.10.25</vt:lpstr>
      <vt:lpstr>07.10.25</vt:lpstr>
      <vt:lpstr>08.10.25</vt:lpstr>
      <vt:lpstr>Sheet3</vt:lpstr>
      <vt:lpstr>14.11.2025</vt:lpstr>
      <vt:lpstr>Sheet6</vt:lpstr>
      <vt:lpstr>13.11.2025</vt:lpstr>
      <vt:lpstr>12.11.2025</vt:lpstr>
      <vt:lpstr>11.11.2025</vt:lpstr>
      <vt:lpstr>10.11.2025</vt:lpstr>
      <vt:lpstr>07.11.2025</vt:lpstr>
      <vt:lpstr>06.11.2025</vt:lpstr>
      <vt:lpstr>05.11.2025</vt:lpstr>
      <vt:lpstr>04.11.2025</vt:lpstr>
      <vt:lpstr>03.11.2025</vt:lpstr>
      <vt:lpstr>31.10.2025</vt:lpstr>
      <vt:lpstr>30.12.2025</vt:lpstr>
      <vt:lpstr>29.10.2025</vt:lpstr>
      <vt:lpstr>28.10.2025</vt:lpstr>
      <vt:lpstr>23.10.25</vt:lpstr>
      <vt:lpstr>22.10.25</vt:lpstr>
      <vt:lpstr>21.10.25</vt:lpstr>
      <vt:lpstr>Sheet4</vt:lpstr>
      <vt:lpstr>27.10.2025</vt:lpstr>
      <vt:lpstr>09.10.25</vt:lpstr>
      <vt:lpstr>24.10.2025</vt:lpstr>
      <vt:lpstr>Sheet1</vt:lpstr>
      <vt:lpstr>29.09.25</vt:lpstr>
      <vt:lpstr>CON</vt:lpstr>
      <vt:lpstr>CONTAINER</vt:lpstr>
      <vt:lpstr>OUTSTANDING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Jagaddhita Arya Koswara</cp:lastModifiedBy>
  <cp:revision>1</cp:revision>
  <dcterms:created xsi:type="dcterms:W3CDTF">2025-08-20T06:16:23Z</dcterms:created>
  <dcterms:modified xsi:type="dcterms:W3CDTF">2025-11-16T03:13:11Z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0x010100CB8E082CA1058346BEF8C9CA297F4BF8</vt:lpwstr>
  </property>
  <property fmtid="{D5CDD505-2E9C-101B-9397-08002B2CF9AE}" pid="4" name="MediaServiceImageTags">
    <vt:lpwstr/>
  </property>
</Properties>
</file>