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04" i="1" l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C404" i="1"/>
  <c r="B404" i="1"/>
  <c r="A404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2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4"/>
  <sheetViews>
    <sheetView tabSelected="1" workbookViewId="0"/>
  </sheetViews>
  <sheetFormatPr defaultRowHeight="15" x14ac:dyDescent="0.25"/>
  <sheetData>
    <row r="1" spans="1:53" x14ac:dyDescent="0.25">
      <c r="A1">
        <f ca="1">(A1)+(1)</f>
        <v>1</v>
      </c>
      <c r="B1" t="str">
        <f ca="1">"store"</f>
        <v>store</v>
      </c>
      <c r="C1" t="str">
        <f ca="1">"F"</f>
        <v>F</v>
      </c>
      <c r="D1" t="str">
        <f ca="1">"store"</f>
        <v>store</v>
      </c>
      <c r="E1" t="str">
        <f ca="1">"G"</f>
        <v>G</v>
      </c>
      <c r="F1" t="str">
        <f ca="1">"store"</f>
        <v>store</v>
      </c>
      <c r="G1" t="str">
        <f ca="1">"R"</f>
        <v>R</v>
      </c>
      <c r="H1" t="str">
        <f ca="1">"store"</f>
        <v>store</v>
      </c>
      <c r="I1" t="str">
        <f ca="1">"X"</f>
        <v>X</v>
      </c>
      <c r="J1" t="str">
        <f ca="1">"store"</f>
        <v>store</v>
      </c>
      <c r="K1" t="str">
        <f ca="1">"Y"</f>
        <v>Y</v>
      </c>
      <c r="L1" t="str">
        <f ca="1">"store"</f>
        <v>store</v>
      </c>
      <c r="M1" t="str">
        <f ca="1">"Z"</f>
        <v>Z</v>
      </c>
      <c r="N1" t="str">
        <f ca="1">"store"</f>
        <v>store</v>
      </c>
      <c r="O1" t="str">
        <f ca="1">"["</f>
        <v>[</v>
      </c>
      <c r="P1" t="str">
        <f ca="1">"store"</f>
        <v>store</v>
      </c>
      <c r="Q1" t="str">
        <f ca="1">"\"</f>
        <v>\</v>
      </c>
      <c r="R1" t="str">
        <f ca="1">"store"</f>
        <v>store</v>
      </c>
      <c r="S1" t="str">
        <f ca="1">"]"</f>
        <v>]</v>
      </c>
      <c r="T1" t="str">
        <f ca="1">"store"</f>
        <v>store</v>
      </c>
      <c r="U1" t="str">
        <f ca="1">"^"</f>
        <v>^</v>
      </c>
      <c r="V1" t="str">
        <f ca="1">"store"</f>
        <v>store</v>
      </c>
      <c r="W1" t="str">
        <f ca="1">"H"</f>
        <v>H</v>
      </c>
      <c r="X1" t="str">
        <f ca="1">"store"</f>
        <v>store</v>
      </c>
      <c r="Y1" t="str">
        <f ca="1">"I"</f>
        <v>I</v>
      </c>
      <c r="Z1" t="str">
        <f ca="1">"store"</f>
        <v>store</v>
      </c>
      <c r="AA1" t="str">
        <f ca="1">"J"</f>
        <v>J</v>
      </c>
      <c r="AB1" t="str">
        <f ca="1">"store"</f>
        <v>store</v>
      </c>
      <c r="AC1" t="str">
        <f ca="1">"K"</f>
        <v>K</v>
      </c>
      <c r="AD1" t="str">
        <f ca="1">"store"</f>
        <v>store</v>
      </c>
      <c r="AE1" t="str">
        <f ca="1">"L"</f>
        <v>L</v>
      </c>
      <c r="AF1" t="str">
        <f ca="1">"store"</f>
        <v>store</v>
      </c>
      <c r="AG1" t="str">
        <f ca="1">"M"</f>
        <v>M</v>
      </c>
      <c r="AH1" t="str">
        <f ca="1">"store"</f>
        <v>store</v>
      </c>
      <c r="AI1" t="str">
        <f ca="1">"N"</f>
        <v>N</v>
      </c>
      <c r="AJ1" t="str">
        <f ca="1">"store"</f>
        <v>store</v>
      </c>
      <c r="AK1" t="str">
        <f ca="1">"O"</f>
        <v>O</v>
      </c>
      <c r="AL1" t="str">
        <f ca="1">"store"</f>
        <v>store</v>
      </c>
      <c r="AM1" t="str">
        <f ca="1">"P"</f>
        <v>P</v>
      </c>
      <c r="AN1" t="str">
        <f ca="1">"store"</f>
        <v>store</v>
      </c>
      <c r="AO1" t="str">
        <f ca="1">"Q"</f>
        <v>Q</v>
      </c>
      <c r="AP1" t="str">
        <f ca="1">"store"</f>
        <v>store</v>
      </c>
      <c r="AQ1" t="str">
        <f ca="1">"S"</f>
        <v>S</v>
      </c>
      <c r="AR1" t="str">
        <f ca="1">"store"</f>
        <v>store</v>
      </c>
      <c r="AS1" t="str">
        <f ca="1">"T"</f>
        <v>T</v>
      </c>
      <c r="AT1" t="str">
        <f ca="1">"store"</f>
        <v>store</v>
      </c>
      <c r="AU1" t="str">
        <f ca="1">"U"</f>
        <v>U</v>
      </c>
      <c r="AV1" t="str">
        <f ca="1">"store"</f>
        <v>store</v>
      </c>
      <c r="AW1" t="str">
        <f ca="1">"V"</f>
        <v>V</v>
      </c>
      <c r="AX1" t="str">
        <f ca="1">"store"</f>
        <v>store</v>
      </c>
      <c r="AY1" t="str">
        <f ca="1">"W"</f>
        <v>W</v>
      </c>
      <c r="AZ1" t="str">
        <f ca="1">"goto"</f>
        <v>goto</v>
      </c>
      <c r="BA1">
        <f ca="1">25</f>
        <v>25</v>
      </c>
    </row>
    <row r="2" spans="1:53" ht="399.95" customHeight="1" x14ac:dyDescent="0.25">
      <c r="B2" s="1">
        <f ca="1">E3</f>
        <v>0</v>
      </c>
    </row>
    <row r="3" spans="1:53" x14ac:dyDescent="0.25">
      <c r="A3" t="e">
        <f ca="1">IF((INDEX(A5:A404,A4))=(""),0,INDEX(A5:A404,A4))</f>
        <v>#VALUE!</v>
      </c>
      <c r="B3" t="e">
        <f ca="1">IF((INDEX(B5:B404,B4))=(""),0,INDEX(B5:B404,B4))</f>
        <v>#VALUE!</v>
      </c>
      <c r="C3" t="e">
        <f ca="1">IF((INDEX(C5:C404,C4))=(""),0,INDEX(C5:C404,C4))</f>
        <v>#VALUE!</v>
      </c>
      <c r="D3" t="e">
        <f ca="1">IF((INDEX(D5:D24,D4))=(""),0,INDEX(D5:D24,D4))</f>
        <v>#VALUE!</v>
      </c>
      <c r="E3" t="e">
        <f ca="1">IF((A1)=(2),"stdout:",IF((INDEX(B1:XFD1,((A3)+(1))+(0)))=("outputline"),CONCATENATE(E3,CHAR(10),B3),E3))</f>
        <v>#VALUE!</v>
      </c>
      <c r="F3" t="e">
        <f ca="1">IF((INDEX(F5:F404,F4))=(""),0,INDEX(F5:F404,F4))</f>
        <v>#VALUE!</v>
      </c>
      <c r="G3" t="e">
        <f ca="1">IF((INDEX(G5:G404,G4))=(""),0,INDEX(G5:G404,G4))</f>
        <v>#VALUE!</v>
      </c>
      <c r="H3" t="e">
        <f ca="1">IF((INDEX(H5:H404,H4))=(""),0,INDEX(H5:H404,H4))</f>
        <v>#VALUE!</v>
      </c>
      <c r="I3" t="e">
        <f ca="1">IF((INDEX(I5:I404,I4))=(""),0,INDEX(I5:I404,I4))</f>
        <v>#VALUE!</v>
      </c>
      <c r="J3" t="e">
        <f ca="1">IF((INDEX(J5:J404,J4))=(""),0,INDEX(J5:J404,J4))</f>
        <v>#VALUE!</v>
      </c>
      <c r="K3" t="e">
        <f ca="1">IF((INDEX(K5:K404,K4))=(""),0,INDEX(K5:K404,K4))</f>
        <v>#VALUE!</v>
      </c>
      <c r="L3" t="e">
        <f ca="1">IF((INDEX(L5:L404,L4))=(""),0,INDEX(L5:L404,L4))</f>
        <v>#VALUE!</v>
      </c>
      <c r="M3" t="e">
        <f ca="1">IF((INDEX(M5:M404,M4))=(""),0,INDEX(M5:M404,M4))</f>
        <v>#VALUE!</v>
      </c>
      <c r="N3" t="e">
        <f ca="1">IF((INDEX(N5:N404,N4))=(""),0,INDEX(N5:N404,N4))</f>
        <v>#VALUE!</v>
      </c>
      <c r="O3" t="e">
        <f ca="1">IF((INDEX(O5:O404,O4))=(""),0,INDEX(O5:O404,O4))</f>
        <v>#VALUE!</v>
      </c>
      <c r="P3" t="e">
        <f ca="1">IF((INDEX(P5:P404,P4))=(""),0,INDEX(P5:P404,P4))</f>
        <v>#VALUE!</v>
      </c>
      <c r="Q3" t="e">
        <f ca="1">IF((INDEX(Q5:Q404,Q4))=(""),0,INDEX(Q5:Q404,Q4))</f>
        <v>#VALUE!</v>
      </c>
      <c r="R3" t="e">
        <f ca="1">IF((INDEX(R5:R404,R4))=(""),0,INDEX(R5:R404,R4))</f>
        <v>#VALUE!</v>
      </c>
      <c r="S3" t="e">
        <f ca="1">IF((INDEX(S5:S404,S4))=(""),0,INDEX(S5:S404,S4))</f>
        <v>#VALUE!</v>
      </c>
      <c r="T3" t="e">
        <f ca="1">IF((INDEX(T5:T404,T4))=(""),0,INDEX(T5:T404,T4))</f>
        <v>#VALUE!</v>
      </c>
      <c r="U3" t="e">
        <f ca="1">IF((INDEX(U5:U404,U4))=(""),0,INDEX(U5:U404,U4))</f>
        <v>#VALUE!</v>
      </c>
      <c r="V3" t="e">
        <f ca="1">IF((INDEX(V5:V404,V4))=(""),0,INDEX(V5:V404,V4))</f>
        <v>#VALUE!</v>
      </c>
      <c r="W3" t="e">
        <f ca="1">IF((INDEX(W5:W404,W4))=(""),0,INDEX(W5:W404,W4))</f>
        <v>#VALUE!</v>
      </c>
      <c r="X3" t="e">
        <f ca="1">IF((INDEX(X5:X404,X4))=(""),0,INDEX(X5:X404,X4))</f>
        <v>#VALUE!</v>
      </c>
      <c r="Y3" t="e">
        <f ca="1">IF((INDEX(Y5:Y404,Y4))=(""),0,INDEX(Y5:Y404,Y4))</f>
        <v>#VALUE!</v>
      </c>
      <c r="Z3" t="e">
        <f ca="1">IF((INDEX(Z5:Z404,Z4))=(""),0,INDEX(Z5:Z404,Z4))</f>
        <v>#VALUE!</v>
      </c>
      <c r="AA3" t="e">
        <f ca="1">IF((INDEX(AA5:AA404,AA4))=(""),0,INDEX(AA5:AA404,AA4))</f>
        <v>#VALUE!</v>
      </c>
      <c r="AB3" t="e">
        <f ca="1">IF((INDEX(AB5:AB404,AB4))=(""),0,INDEX(AB5:AB404,AB4))</f>
        <v>#VALUE!</v>
      </c>
      <c r="AC3" t="e">
        <f ca="1">IF((INDEX(AC5:AC404,AC4))=(""),0,INDEX(AC5:AC404,AC4))</f>
        <v>#VALUE!</v>
      </c>
      <c r="AD3" t="e">
        <f ca="1">IF((INDEX(AD5:AD404,AD4))=(""),0,INDEX(AD5:AD404,AD4))</f>
        <v>#VALUE!</v>
      </c>
    </row>
    <row r="4" spans="1:53" x14ac:dyDescent="0.25">
      <c r="A4" t="e">
        <f ca="1">IF((A1)=(2),1,(A4)+(IF(("call")=(INDEX(B1:XFD1,((A3)+(1))+(0))),1,IF(("return")=(INDEX(B1:XFD1,((A3)+(1))+(0))),-1,0))))</f>
        <v>#VALUE!</v>
      </c>
      <c r="B4" t="e">
        <f ca="1">IF((A1)=(2),1,(B4)+(IF(("push")=(INDEX(B1:XFD1,((A3)+(1))+(0))),1,IF(("pop")=(INDEX(B1:XFD1,((A3)+(1))+(0))),-1,IF(("load")=(INDEX(B1:XFD1,((A3)+(1))+(0))),1,IF(("store")=(INDEX(B1:XFD1,((A3)+(1))+(0))),-1,IF(("call")=(INDEX(B1:XFD1,((A3)+(1))+(0))),-1,IF(("newheap")=(INDEX(B1:XFD1,((A3)+(1))+(0))),1,IF(("writeheap")=(INDEX(B1:XFD1,((A3)+(1))+(0))),-2,IF(("inputline")=(INDEX(B1:XFD1,((A3)+(1))+(0))),1,IF(("outputline")=(INDEX(B1:XFD1,((A3)+(1))+(0))),-1,IF(("gotoiftrue")=(INDEX(B1:XFD1,((A3)+(1))+(0))),-1,IF(("add")=(INDEX(B1:XFD1,((A3)+(1))+(0))),-1,IF(("equals")=(INDEX(B1:XFD1,((A3)+(1))+(0))),-1,IF(("leq")=(INDEX(B1:XFD1,((A3)+(1))+(0))),-1,IF(("greater")=(INDEX(B1:XFD1,((A3)+(1))+(0))),-1,IF(("mod")=(INDEX(B1:XFD1,((A3)+(1))+(0))),-1,0)))))))))))))))))</f>
        <v>#VALUE!</v>
      </c>
      <c r="C4" t="e">
        <f ca="1">IF((A1)=(2),1,(C4)+(IF(("newheap")=(INDEX(B1:XFD1,((A3)+(1))+(0))),1,0)))</f>
        <v>#VALUE!</v>
      </c>
      <c r="D4" t="e">
        <f ca="1">IF((A1)=(2),1,(D4)+(IF(("inputline")=(INDEX(B1:XFD1,((A3)+(1))+(0))),1,0)))</f>
        <v>#VALUE!</v>
      </c>
      <c r="F4" t="e">
        <f ca="1">IF((A1)=(2),1,(F4)+(IF(IF((INDEX(B1:XFD1,((A3)+(1))+(0)))=("store"),(INDEX(B1:XFD1,((A3)+(1))+(1)))=("F"),"false"),1,IF(IF((INDEX(B1:XFD1,((A3)+(1))+(0)))=("popv"),(INDEX(B1:XFD1,((A3)+(1))+(1)))=("F"),"false"),-1,0))))</f>
        <v>#VALUE!</v>
      </c>
      <c r="G4" t="e">
        <f ca="1">IF((A1)=(2),1,(G4)+(IF(IF((INDEX(B1:XFD1,((A3)+(1))+(0)))=("store"),(INDEX(B1:XFD1,((A3)+(1))+(1)))=("G"),"false"),1,IF(IF((INDEX(B1:XFD1,((A3)+(1))+(0)))=("popv"),(INDEX(B1:XFD1,((A3)+(1))+(1)))=("G"),"false"),-1,0))))</f>
        <v>#VALUE!</v>
      </c>
      <c r="H4" t="e">
        <f ca="1">IF((A1)=(2),1,(H4)+(IF(IF((INDEX(B1:XFD1,((A3)+(1))+(0)))=("store"),(INDEX(B1:XFD1,((A3)+(1))+(1)))=("H"),"false"),1,IF(IF((INDEX(B1:XFD1,((A3)+(1))+(0)))=("popv"),(INDEX(B1:XFD1,((A3)+(1))+(1)))=("H"),"false"),-1,0))))</f>
        <v>#VALUE!</v>
      </c>
      <c r="I4" t="e">
        <f ca="1">IF((A1)=(2),1,(I4)+(IF(IF((INDEX(B1:XFD1,((A3)+(1))+(0)))=("store"),(INDEX(B1:XFD1,((A3)+(1))+(1)))=("I"),"false"),1,IF(IF((INDEX(B1:XFD1,((A3)+(1))+(0)))=("popv"),(INDEX(B1:XFD1,((A3)+(1))+(1)))=("I"),"false"),-1,0))))</f>
        <v>#VALUE!</v>
      </c>
      <c r="J4" t="e">
        <f ca="1">IF((A1)=(2),1,(J4)+(IF(IF((INDEX(B1:XFD1,((A3)+(1))+(0)))=("store"),(INDEX(B1:XFD1,((A3)+(1))+(1)))=("J"),"false"),1,IF(IF((INDEX(B1:XFD1,((A3)+(1))+(0)))=("popv"),(INDEX(B1:XFD1,((A3)+(1))+(1)))=("J"),"false"),-1,0))))</f>
        <v>#VALUE!</v>
      </c>
      <c r="K4" t="e">
        <f ca="1">IF((A1)=(2),1,(K4)+(IF(IF((INDEX(B1:XFD1,((A3)+(1))+(0)))=("store"),(INDEX(B1:XFD1,((A3)+(1))+(1)))=("K"),"false"),1,IF(IF((INDEX(B1:XFD1,((A3)+(1))+(0)))=("popv"),(INDEX(B1:XFD1,((A3)+(1))+(1)))=("K"),"false"),-1,0))))</f>
        <v>#VALUE!</v>
      </c>
      <c r="L4" t="e">
        <f ca="1">IF((A1)=(2),1,(L4)+(IF(IF((INDEX(B1:XFD1,((A3)+(1))+(0)))=("store"),(INDEX(B1:XFD1,((A3)+(1))+(1)))=("L"),"false"),1,IF(IF((INDEX(B1:XFD1,((A3)+(1))+(0)))=("popv"),(INDEX(B1:XFD1,((A3)+(1))+(1)))=("L"),"false"),-1,0))))</f>
        <v>#VALUE!</v>
      </c>
      <c r="M4" t="e">
        <f ca="1">IF((A1)=(2),1,(M4)+(IF(IF((INDEX(B1:XFD1,((A3)+(1))+(0)))=("store"),(INDEX(B1:XFD1,((A3)+(1))+(1)))=("M"),"false"),1,IF(IF((INDEX(B1:XFD1,((A3)+(1))+(0)))=("popv"),(INDEX(B1:XFD1,((A3)+(1))+(1)))=("M"),"false"),-1,0))))</f>
        <v>#VALUE!</v>
      </c>
      <c r="N4" t="e">
        <f ca="1">IF((A1)=(2),1,(N4)+(IF(IF((INDEX(B1:XFD1,((A3)+(1))+(0)))=("store"),(INDEX(B1:XFD1,((A3)+(1))+(1)))=("N"),"false"),1,IF(IF((INDEX(B1:XFD1,((A3)+(1))+(0)))=("popv"),(INDEX(B1:XFD1,((A3)+(1))+(1)))=("N"),"false"),-1,0))))</f>
        <v>#VALUE!</v>
      </c>
      <c r="O4" t="e">
        <f ca="1">IF((A1)=(2),1,(O4)+(IF(IF((INDEX(B1:XFD1,((A3)+(1))+(0)))=("store"),(INDEX(B1:XFD1,((A3)+(1))+(1)))=("O"),"false"),1,IF(IF((INDEX(B1:XFD1,((A3)+(1))+(0)))=("popv"),(INDEX(B1:XFD1,((A3)+(1))+(1)))=("O"),"false"),-1,0))))</f>
        <v>#VALUE!</v>
      </c>
      <c r="P4" t="e">
        <f ca="1">IF((A1)=(2),1,(P4)+(IF(IF((INDEX(B1:XFD1,((A3)+(1))+(0)))=("store"),(INDEX(B1:XFD1,((A3)+(1))+(1)))=("P"),"false"),1,IF(IF((INDEX(B1:XFD1,((A3)+(1))+(0)))=("popv"),(INDEX(B1:XFD1,((A3)+(1))+(1)))=("P"),"false"),-1,0))))</f>
        <v>#VALUE!</v>
      </c>
      <c r="Q4" t="e">
        <f ca="1">IF((A1)=(2),1,(Q4)+(IF(IF((INDEX(B1:XFD1,((A3)+(1))+(0)))=("store"),(INDEX(B1:XFD1,((A3)+(1))+(1)))=("Q"),"false"),1,IF(IF((INDEX(B1:XFD1,((A3)+(1))+(0)))=("popv"),(INDEX(B1:XFD1,((A3)+(1))+(1)))=("Q"),"false"),-1,0))))</f>
        <v>#VALUE!</v>
      </c>
      <c r="R4" t="e">
        <f ca="1">IF((A1)=(2),1,(R4)+(IF(IF((INDEX(B1:XFD1,((A3)+(1))+(0)))=("store"),(INDEX(B1:XFD1,((A3)+(1))+(1)))=("R"),"false"),1,IF(IF((INDEX(B1:XFD1,((A3)+(1))+(0)))=("popv"),(INDEX(B1:XFD1,((A3)+(1))+(1)))=("R"),"false"),-1,0))))</f>
        <v>#VALUE!</v>
      </c>
      <c r="S4" t="e">
        <f ca="1">IF((A1)=(2),1,(S4)+(IF(IF((INDEX(B1:XFD1,((A3)+(1))+(0)))=("store"),(INDEX(B1:XFD1,((A3)+(1))+(1)))=("S"),"false"),1,IF(IF((INDEX(B1:XFD1,((A3)+(1))+(0)))=("popv"),(INDEX(B1:XFD1,((A3)+(1))+(1)))=("S"),"false"),-1,0))))</f>
        <v>#VALUE!</v>
      </c>
      <c r="T4" t="e">
        <f ca="1">IF((A1)=(2),1,(T4)+(IF(IF((INDEX(B1:XFD1,((A3)+(1))+(0)))=("store"),(INDEX(B1:XFD1,((A3)+(1))+(1)))=("T"),"false"),1,IF(IF((INDEX(B1:XFD1,((A3)+(1))+(0)))=("popv"),(INDEX(B1:XFD1,((A3)+(1))+(1)))=("T"),"false"),-1,0))))</f>
        <v>#VALUE!</v>
      </c>
      <c r="U4" t="e">
        <f ca="1">IF((A1)=(2),1,(U4)+(IF(IF((INDEX(B1:XFD1,((A3)+(1))+(0)))=("store"),(INDEX(B1:XFD1,((A3)+(1))+(1)))=("U"),"false"),1,IF(IF((INDEX(B1:XFD1,((A3)+(1))+(0)))=("popv"),(INDEX(B1:XFD1,((A3)+(1))+(1)))=("U"),"false"),-1,0))))</f>
        <v>#VALUE!</v>
      </c>
      <c r="V4" t="e">
        <f ca="1">IF((A1)=(2),1,(V4)+(IF(IF((INDEX(B1:XFD1,((A3)+(1))+(0)))=("store"),(INDEX(B1:XFD1,((A3)+(1))+(1)))=("V"),"false"),1,IF(IF((INDEX(B1:XFD1,((A3)+(1))+(0)))=("popv"),(INDEX(B1:XFD1,((A3)+(1))+(1)))=("V"),"false"),-1,0))))</f>
        <v>#VALUE!</v>
      </c>
      <c r="W4" t="e">
        <f ca="1">IF((A1)=(2),1,(W4)+(IF(IF((INDEX(B1:XFD1,((A3)+(1))+(0)))=("store"),(INDEX(B1:XFD1,((A3)+(1))+(1)))=("W"),"false"),1,IF(IF((INDEX(B1:XFD1,((A3)+(1))+(0)))=("popv"),(INDEX(B1:XFD1,((A3)+(1))+(1)))=("W"),"false"),-1,0))))</f>
        <v>#VALUE!</v>
      </c>
      <c r="X4" t="e">
        <f ca="1">IF((A1)=(2),1,(X4)+(IF(IF((INDEX(B1:XFD1,((A3)+(1))+(0)))=("store"),(INDEX(B1:XFD1,((A3)+(1))+(1)))=("X"),"false"),1,IF(IF((INDEX(B1:XFD1,((A3)+(1))+(0)))=("popv"),(INDEX(B1:XFD1,((A3)+(1))+(1)))=("X"),"false"),-1,0))))</f>
        <v>#VALUE!</v>
      </c>
      <c r="Y4" t="e">
        <f ca="1">IF((A1)=(2),1,(Y4)+(IF(IF((INDEX(B1:XFD1,((A3)+(1))+(0)))=("store"),(INDEX(B1:XFD1,((A3)+(1))+(1)))=("Y"),"false"),1,IF(IF((INDEX(B1:XFD1,((A3)+(1))+(0)))=("popv"),(INDEX(B1:XFD1,((A3)+(1))+(1)))=("Y"),"false"),-1,0))))</f>
        <v>#VALUE!</v>
      </c>
      <c r="Z4" t="e">
        <f ca="1">IF((A1)=(2),1,(Z4)+(IF(IF((INDEX(B1:XFD1,((A3)+(1))+(0)))=("store"),(INDEX(B1:XFD1,((A3)+(1))+(1)))=("Z"),"false"),1,IF(IF((INDEX(B1:XFD1,((A3)+(1))+(0)))=("popv"),(INDEX(B1:XFD1,((A3)+(1))+(1)))=("Z"),"false"),-1,0))))</f>
        <v>#VALUE!</v>
      </c>
      <c r="AA4" t="e">
        <f ca="1">IF((A1)=(2),1,(AA4)+(IF(IF((INDEX(B1:XFD1,((A3)+(1))+(0)))=("store"),(INDEX(B1:XFD1,((A3)+(1))+(1)))=("AA"),"false"),1,IF(IF((INDEX(B1:XFD1,((A3)+(1))+(0)))=("popv"),(INDEX(B1:XFD1,((A3)+(1))+(1)))=("AA"),"false"),-1,0))))</f>
        <v>#VALUE!</v>
      </c>
      <c r="AB4" t="e">
        <f ca="1">IF((A1)=(2),1,(AB4)+(IF(IF((INDEX(B1:XFD1,((A3)+(1))+(0)))=("store"),(INDEX(B1:XFD1,((A3)+(1))+(1)))=("AB"),"false"),1,IF(IF((INDEX(B1:XFD1,((A3)+(1))+(0)))=("popv"),(INDEX(B1:XFD1,((A3)+(1))+(1)))=("AB"),"false"),-1,0))))</f>
        <v>#VALUE!</v>
      </c>
      <c r="AC4" t="e">
        <f ca="1">IF((A1)=(2),1,(AC4)+(IF(IF((INDEX(B1:XFD1,((A3)+(1))+(0)))=("store"),(INDEX(B1:XFD1,((A3)+(1))+(1)))=("AC"),"false"),1,IF(IF((INDEX(B1:XFD1,((A3)+(1))+(0)))=("popv"),(INDEX(B1:XFD1,((A3)+(1))+(1)))=("AC"),"false"),-1,0))))</f>
        <v>#VALUE!</v>
      </c>
      <c r="AD4" t="e">
        <f ca="1">IF((A1)=(2),1,(AD4)+(IF(IF((INDEX(B1:XFD1,((A3)+(1))+(0)))=("store"),(INDEX(B1:XFD1,((A3)+(1))+(1)))=("AD"),"false"),1,IF(IF((INDEX(B1:XFD1,((A3)+(1))+(0)))=("popv"),(INDEX(B1:XFD1,((A3)+(1))+(1)))=("AD"),"false"),-1,0))))</f>
        <v>#VALUE!</v>
      </c>
    </row>
    <row r="5" spans="1:53" x14ac:dyDescent="0.25">
      <c r="A5" t="e">
        <f ca="1">IF((A1)=(2),"",IF((1)=(A4),IF(("call")=(INDEX(B1:XFD1,((A3)+(1))+(0))),(B3)*(2),IF(("goto")=(INDEX(B1:XFD1,((A3)+(1))+(0))),(INDEX(B1:XFD1,((A3)+(1))+(1)))*(2),IF(("gotoiftrue")=(INDEX(B1:XFD1,((A3)+(1))+(0))),IF(B3,(INDEX(B1:XFD1,((A3)+(1))+(1)))*(2),(A5)+(2)),(A5)+(2)))),A5))</f>
        <v>#VALUE!</v>
      </c>
      <c r="B5" t="e">
        <f ca="1">IF((A1)=(2),"",IF((1)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5)+(1)),IF(("add")=(INDEX(B1:XFD1,((A3)+(1))+(0))),(INDEX(B5:B405,(B4)+(1)))+(B5),IF(("equals")=(INDEX(B1:XFD1,((A3)+(1))+(0))),(INDEX(B5:B405,(B4)+(1)))=(B5),IF(("leq")=(INDEX(B1:XFD1,((A3)+(1))+(0))),(INDEX(B5:B405,(B4)+(1)))&lt;=(B5),IF(("greater")=(INDEX(B1:XFD1,((A3)+(1))+(0))),(INDEX(B5:B405,(B4)+(1)))&gt;(B5),IF(("mod")=(INDEX(B1:XFD1,((A3)+(1))+(0))),MOD(INDEX(B5:B405,(B4)+(1)),B5),B5))))))))),B5))</f>
        <v>#VALUE!</v>
      </c>
      <c r="C5" t="e">
        <f ca="1">IF((A1)=(2),1,IF(AND((INDEX(B1:XFD1,((A3)+(1))+(0)))=("writeheap"),(INDEX(B5:B405,(B4)+(1)))=(0)),INDEX(B5:B405,(B4)+(2)),IF((A1)=(2),"",IF((1)=(C4),C5,C5))))</f>
        <v>#VALUE!</v>
      </c>
      <c r="D5" t="e">
        <f ca="1">IF((A1)=(2),"",IF((1)=(D4),D5,D5))</f>
        <v>#VALUE!</v>
      </c>
      <c r="F5" t="e">
        <f ca="1">IF((A1)=(2),"",IF((1)=(F4),IF(IF((INDEX(B1:XFD1,((A3)+(1))+(0)))=("store"),(INDEX(B1:XFD1,((A3)+(1))+(1)))=("F"),"false"),B3,F5),F5))</f>
        <v>#VALUE!</v>
      </c>
      <c r="G5" t="e">
        <f ca="1">IF((A1)=(2),"",IF((1)=(G4),IF(IF((INDEX(B1:XFD1,((A3)+(1))+(0)))=("store"),(INDEX(B1:XFD1,((A3)+(1))+(1)))=("G"),"false"),B3,G5),G5))</f>
        <v>#VALUE!</v>
      </c>
      <c r="H5" t="e">
        <f ca="1">IF((A1)=(2),"",IF((1)=(H4),IF(IF((INDEX(B1:XFD1,((A3)+(1))+(0)))=("store"),(INDEX(B1:XFD1,((A3)+(1))+(1)))=("H"),"false"),B3,H5),H5))</f>
        <v>#VALUE!</v>
      </c>
      <c r="I5" t="e">
        <f ca="1">IF((A1)=(2),"",IF((1)=(I4),IF(IF((INDEX(B1:XFD1,((A3)+(1))+(0)))=("store"),(INDEX(B1:XFD1,((A3)+(1))+(1)))=("I"),"false"),B3,I5),I5))</f>
        <v>#VALUE!</v>
      </c>
      <c r="J5" t="e">
        <f ca="1">IF((A1)=(2),"",IF((1)=(J4),IF(IF((INDEX(B1:XFD1,((A3)+(1))+(0)))=("store"),(INDEX(B1:XFD1,((A3)+(1))+(1)))=("J"),"false"),B3,J5),J5))</f>
        <v>#VALUE!</v>
      </c>
      <c r="K5" t="e">
        <f ca="1">IF((A1)=(2),"",IF((1)=(K4),IF(IF((INDEX(B1:XFD1,((A3)+(1))+(0)))=("store"),(INDEX(B1:XFD1,((A3)+(1))+(1)))=("K"),"false"),B3,K5),K5))</f>
        <v>#VALUE!</v>
      </c>
      <c r="L5" t="e">
        <f ca="1">IF((A1)=(2),"",IF((1)=(L4),IF(IF((INDEX(B1:XFD1,((A3)+(1))+(0)))=("store"),(INDEX(B1:XFD1,((A3)+(1))+(1)))=("L"),"false"),B3,L5),L5))</f>
        <v>#VALUE!</v>
      </c>
      <c r="M5" t="e">
        <f ca="1">IF((A1)=(2),"",IF((1)=(M4),IF(IF((INDEX(B1:XFD1,((A3)+(1))+(0)))=("store"),(INDEX(B1:XFD1,((A3)+(1))+(1)))=("M"),"false"),B3,M5),M5))</f>
        <v>#VALUE!</v>
      </c>
      <c r="N5" t="e">
        <f ca="1">IF((A1)=(2),"",IF((1)=(N4),IF(IF((INDEX(B1:XFD1,((A3)+(1))+(0)))=("store"),(INDEX(B1:XFD1,((A3)+(1))+(1)))=("N"),"false"),B3,N5),N5))</f>
        <v>#VALUE!</v>
      </c>
      <c r="O5" t="e">
        <f ca="1">IF((A1)=(2),"",IF((1)=(O4),IF(IF((INDEX(B1:XFD1,((A3)+(1))+(0)))=("store"),(INDEX(B1:XFD1,((A3)+(1))+(1)))=("O"),"false"),B3,O5),O5))</f>
        <v>#VALUE!</v>
      </c>
      <c r="P5" t="e">
        <f ca="1">IF((A1)=(2),"",IF((1)=(P4),IF(IF((INDEX(B1:XFD1,((A3)+(1))+(0)))=("store"),(INDEX(B1:XFD1,((A3)+(1))+(1)))=("P"),"false"),B3,P5),P5))</f>
        <v>#VALUE!</v>
      </c>
      <c r="Q5" t="e">
        <f ca="1">IF((A1)=(2),"",IF((1)=(Q4),IF(IF((INDEX(B1:XFD1,((A3)+(1))+(0)))=("store"),(INDEX(B1:XFD1,((A3)+(1))+(1)))=("Q"),"false"),B3,Q5),Q5))</f>
        <v>#VALUE!</v>
      </c>
      <c r="R5" t="e">
        <f ca="1">IF((A1)=(2),"",IF((1)=(R4),IF(IF((INDEX(B1:XFD1,((A3)+(1))+(0)))=("store"),(INDEX(B1:XFD1,((A3)+(1))+(1)))=("R"),"false"),B3,R5),R5))</f>
        <v>#VALUE!</v>
      </c>
      <c r="S5" t="e">
        <f ca="1">IF((A1)=(2),"",IF((1)=(S4),IF(IF((INDEX(B1:XFD1,((A3)+(1))+(0)))=("store"),(INDEX(B1:XFD1,((A3)+(1))+(1)))=("S"),"false"),B3,S5),S5))</f>
        <v>#VALUE!</v>
      </c>
      <c r="T5" t="e">
        <f ca="1">IF((A1)=(2),"",IF((1)=(T4),IF(IF((INDEX(B1:XFD1,((A3)+(1))+(0)))=("store"),(INDEX(B1:XFD1,((A3)+(1))+(1)))=("T"),"false"),B3,T5),T5))</f>
        <v>#VALUE!</v>
      </c>
      <c r="U5" t="e">
        <f ca="1">IF((A1)=(2),"",IF((1)=(U4),IF(IF((INDEX(B1:XFD1,((A3)+(1))+(0)))=("store"),(INDEX(B1:XFD1,((A3)+(1))+(1)))=("U"),"false"),B3,U5),U5))</f>
        <v>#VALUE!</v>
      </c>
      <c r="V5" t="e">
        <f ca="1">IF((A1)=(2),"",IF((1)=(V4),IF(IF((INDEX(B1:XFD1,((A3)+(1))+(0)))=("store"),(INDEX(B1:XFD1,((A3)+(1))+(1)))=("V"),"false"),B3,V5),V5))</f>
        <v>#VALUE!</v>
      </c>
      <c r="W5" t="e">
        <f ca="1">IF((A1)=(2),"",IF((1)=(W4),IF(IF((INDEX(B1:XFD1,((A3)+(1))+(0)))=("store"),(INDEX(B1:XFD1,((A3)+(1))+(1)))=("W"),"false"),B3,W5),W5))</f>
        <v>#VALUE!</v>
      </c>
      <c r="X5" t="e">
        <f ca="1">IF((A1)=(2),"",IF((1)=(X4),IF(IF((INDEX(B1:XFD1,((A3)+(1))+(0)))=("store"),(INDEX(B1:XFD1,((A3)+(1))+(1)))=("X"),"false"),B3,X5),X5))</f>
        <v>#VALUE!</v>
      </c>
      <c r="Y5" t="e">
        <f ca="1">IF((A1)=(2),"",IF((1)=(Y4),IF(IF((INDEX(B1:XFD1,((A3)+(1))+(0)))=("store"),(INDEX(B1:XFD1,((A3)+(1))+(1)))=("Y"),"false"),B3,Y5),Y5))</f>
        <v>#VALUE!</v>
      </c>
      <c r="Z5" t="e">
        <f ca="1">IF((A1)=(2),"",IF((1)=(Z4),IF(IF((INDEX(B1:XFD1,((A3)+(1))+(0)))=("store"),(INDEX(B1:XFD1,((A3)+(1))+(1)))=("Z"),"false"),B3,Z5),Z5))</f>
        <v>#VALUE!</v>
      </c>
      <c r="AA5" t="e">
        <f ca="1">IF((A1)=(2),"",IF((1)=(AA4),IF(IF((INDEX(B1:XFD1,((A3)+(1))+(0)))=("store"),(INDEX(B1:XFD1,((A3)+(1))+(1)))=("AA"),"false"),B3,AA5),AA5))</f>
        <v>#VALUE!</v>
      </c>
      <c r="AB5" t="e">
        <f ca="1">IF((A1)=(2),"",IF((1)=(AB4),IF(IF((INDEX(B1:XFD1,((A3)+(1))+(0)))=("store"),(INDEX(B1:XFD1,((A3)+(1))+(1)))=("AB"),"false"),B3,AB5),AB5))</f>
        <v>#VALUE!</v>
      </c>
      <c r="AC5" t="e">
        <f ca="1">IF((A1)=(2),"",IF((1)=(AC4),IF(IF((INDEX(B1:XFD1,((A3)+(1))+(0)))=("store"),(INDEX(B1:XFD1,((A3)+(1))+(1)))=("AC"),"false"),B3,AC5),AC5))</f>
        <v>#VALUE!</v>
      </c>
      <c r="AD5" t="e">
        <f ca="1">IF((A1)=(2),"",IF((1)=(AD4),IF(IF((INDEX(B1:XFD1,((A3)+(1))+(0)))=("store"),(INDEX(B1:XFD1,((A3)+(1))+(1)))=("AD"),"false"),B3,AD5),AD5))</f>
        <v>#VALUE!</v>
      </c>
    </row>
    <row r="6" spans="1:53" x14ac:dyDescent="0.25">
      <c r="A6" t="e">
        <f ca="1">IF((A1)=(2),"",IF((2)=(A4),IF(("call")=(INDEX(B1:XFD1,((A3)+(1))+(0))),(B3)*(2),IF(("goto")=(INDEX(B1:XFD1,((A3)+(1))+(0))),(INDEX(B1:XFD1,((A3)+(1))+(1)))*(2),IF(("gotoiftrue")=(INDEX(B1:XFD1,((A3)+(1))+(0))),IF(B3,(INDEX(B1:XFD1,((A3)+(1))+(1)))*(2),(A6)+(2)),(A6)+(2)))),A6))</f>
        <v>#VALUE!</v>
      </c>
      <c r="B6" t="e">
        <f ca="1">IF((A1)=(2),"",IF((2)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6)+(1)),IF(("add")=(INDEX(B1:XFD1,((A3)+(1))+(0))),(INDEX(B5:B405,(B4)+(1)))+(B6),IF(("equals")=(INDEX(B1:XFD1,((A3)+(1))+(0))),(INDEX(B5:B405,(B4)+(1)))=(B6),IF(("leq")=(INDEX(B1:XFD1,((A3)+(1))+(0))),(INDEX(B5:B405,(B4)+(1)))&lt;=(B6),IF(("greater")=(INDEX(B1:XFD1,((A3)+(1))+(0))),(INDEX(B5:B405,(B4)+(1)))&gt;(B6),IF(("mod")=(INDEX(B1:XFD1,((A3)+(1))+(0))),MOD(INDEX(B5:B405,(B4)+(1)),B6),B6))))))))),B6))</f>
        <v>#VALUE!</v>
      </c>
      <c r="C6" t="e">
        <f ca="1">IF((A1)=(2),1,IF(AND((INDEX(B1:XFD1,((A3)+(1))+(0)))=("writeheap"),(INDEX(B5:B405,(B4)+(1)))=(1)),INDEX(B5:B405,(B4)+(2)),IF((A1)=(2),"",IF((2)=(C4),C6,C6))))</f>
        <v>#VALUE!</v>
      </c>
      <c r="D6" t="e">
        <f ca="1">IF((A1)=(2),"",IF((2)=(D4),D6,D6))</f>
        <v>#VALUE!</v>
      </c>
      <c r="F6" t="e">
        <f ca="1">IF((A1)=(2),"",IF((2)=(F4),IF(IF((INDEX(B1:XFD1,((A3)+(1))+(0)))=("store"),(INDEX(B1:XFD1,((A3)+(1))+(1)))=("F"),"false"),B3,F6),F6))</f>
        <v>#VALUE!</v>
      </c>
      <c r="G6" t="e">
        <f ca="1">IF((A1)=(2),"",IF((2)=(G4),IF(IF((INDEX(B1:XFD1,((A3)+(1))+(0)))=("store"),(INDEX(B1:XFD1,((A3)+(1))+(1)))=("G"),"false"),B3,G6),G6))</f>
        <v>#VALUE!</v>
      </c>
      <c r="H6" t="e">
        <f ca="1">IF((A1)=(2),"",IF((2)=(H4),IF(IF((INDEX(B1:XFD1,((A3)+(1))+(0)))=("store"),(INDEX(B1:XFD1,((A3)+(1))+(1)))=("H"),"false"),B3,H6),H6))</f>
        <v>#VALUE!</v>
      </c>
      <c r="I6" t="e">
        <f ca="1">IF((A1)=(2),"",IF((2)=(I4),IF(IF((INDEX(B1:XFD1,((A3)+(1))+(0)))=("store"),(INDEX(B1:XFD1,((A3)+(1))+(1)))=("I"),"false"),B3,I6),I6))</f>
        <v>#VALUE!</v>
      </c>
      <c r="J6" t="e">
        <f ca="1">IF((A1)=(2),"",IF((2)=(J4),IF(IF((INDEX(B1:XFD1,((A3)+(1))+(0)))=("store"),(INDEX(B1:XFD1,((A3)+(1))+(1)))=("J"),"false"),B3,J6),J6))</f>
        <v>#VALUE!</v>
      </c>
      <c r="K6" t="e">
        <f ca="1">IF((A1)=(2),"",IF((2)=(K4),IF(IF((INDEX(B1:XFD1,((A3)+(1))+(0)))=("store"),(INDEX(B1:XFD1,((A3)+(1))+(1)))=("K"),"false"),B3,K6),K6))</f>
        <v>#VALUE!</v>
      </c>
      <c r="L6" t="e">
        <f ca="1">IF((A1)=(2),"",IF((2)=(L4),IF(IF((INDEX(B1:XFD1,((A3)+(1))+(0)))=("store"),(INDEX(B1:XFD1,((A3)+(1))+(1)))=("L"),"false"),B3,L6),L6))</f>
        <v>#VALUE!</v>
      </c>
      <c r="M6" t="e">
        <f ca="1">IF((A1)=(2),"",IF((2)=(M4),IF(IF((INDEX(B1:XFD1,((A3)+(1))+(0)))=("store"),(INDEX(B1:XFD1,((A3)+(1))+(1)))=("M"),"false"),B3,M6),M6))</f>
        <v>#VALUE!</v>
      </c>
      <c r="N6" t="e">
        <f ca="1">IF((A1)=(2),"",IF((2)=(N4),IF(IF((INDEX(B1:XFD1,((A3)+(1))+(0)))=("store"),(INDEX(B1:XFD1,((A3)+(1))+(1)))=("N"),"false"),B3,N6),N6))</f>
        <v>#VALUE!</v>
      </c>
      <c r="O6" t="e">
        <f ca="1">IF((A1)=(2),"",IF((2)=(O4),IF(IF((INDEX(B1:XFD1,((A3)+(1))+(0)))=("store"),(INDEX(B1:XFD1,((A3)+(1))+(1)))=("O"),"false"),B3,O6),O6))</f>
        <v>#VALUE!</v>
      </c>
      <c r="P6" t="e">
        <f ca="1">IF((A1)=(2),"",IF((2)=(P4),IF(IF((INDEX(B1:XFD1,((A3)+(1))+(0)))=("store"),(INDEX(B1:XFD1,((A3)+(1))+(1)))=("P"),"false"),B3,P6),P6))</f>
        <v>#VALUE!</v>
      </c>
      <c r="Q6" t="e">
        <f ca="1">IF((A1)=(2),"",IF((2)=(Q4),IF(IF((INDEX(B1:XFD1,((A3)+(1))+(0)))=("store"),(INDEX(B1:XFD1,((A3)+(1))+(1)))=("Q"),"false"),B3,Q6),Q6))</f>
        <v>#VALUE!</v>
      </c>
      <c r="R6" t="e">
        <f ca="1">IF((A1)=(2),"",IF((2)=(R4),IF(IF((INDEX(B1:XFD1,((A3)+(1))+(0)))=("store"),(INDEX(B1:XFD1,((A3)+(1))+(1)))=("R"),"false"),B3,R6),R6))</f>
        <v>#VALUE!</v>
      </c>
      <c r="S6" t="e">
        <f ca="1">IF((A1)=(2),"",IF((2)=(S4),IF(IF((INDEX(B1:XFD1,((A3)+(1))+(0)))=("store"),(INDEX(B1:XFD1,((A3)+(1))+(1)))=("S"),"false"),B3,S6),S6))</f>
        <v>#VALUE!</v>
      </c>
      <c r="T6" t="e">
        <f ca="1">IF((A1)=(2),"",IF((2)=(T4),IF(IF((INDEX(B1:XFD1,((A3)+(1))+(0)))=("store"),(INDEX(B1:XFD1,((A3)+(1))+(1)))=("T"),"false"),B3,T6),T6))</f>
        <v>#VALUE!</v>
      </c>
      <c r="U6" t="e">
        <f ca="1">IF((A1)=(2),"",IF((2)=(U4),IF(IF((INDEX(B1:XFD1,((A3)+(1))+(0)))=("store"),(INDEX(B1:XFD1,((A3)+(1))+(1)))=("U"),"false"),B3,U6),U6))</f>
        <v>#VALUE!</v>
      </c>
      <c r="V6" t="e">
        <f ca="1">IF((A1)=(2),"",IF((2)=(V4),IF(IF((INDEX(B1:XFD1,((A3)+(1))+(0)))=("store"),(INDEX(B1:XFD1,((A3)+(1))+(1)))=("V"),"false"),B3,V6),V6))</f>
        <v>#VALUE!</v>
      </c>
      <c r="W6" t="e">
        <f ca="1">IF((A1)=(2),"",IF((2)=(W4),IF(IF((INDEX(B1:XFD1,((A3)+(1))+(0)))=("store"),(INDEX(B1:XFD1,((A3)+(1))+(1)))=("W"),"false"),B3,W6),W6))</f>
        <v>#VALUE!</v>
      </c>
      <c r="X6" t="e">
        <f ca="1">IF((A1)=(2),"",IF((2)=(X4),IF(IF((INDEX(B1:XFD1,((A3)+(1))+(0)))=("store"),(INDEX(B1:XFD1,((A3)+(1))+(1)))=("X"),"false"),B3,X6),X6))</f>
        <v>#VALUE!</v>
      </c>
      <c r="Y6" t="e">
        <f ca="1">IF((A1)=(2),"",IF((2)=(Y4),IF(IF((INDEX(B1:XFD1,((A3)+(1))+(0)))=("store"),(INDEX(B1:XFD1,((A3)+(1))+(1)))=("Y"),"false"),B3,Y6),Y6))</f>
        <v>#VALUE!</v>
      </c>
      <c r="Z6" t="e">
        <f ca="1">IF((A1)=(2),"",IF((2)=(Z4),IF(IF((INDEX(B1:XFD1,((A3)+(1))+(0)))=("store"),(INDEX(B1:XFD1,((A3)+(1))+(1)))=("Z"),"false"),B3,Z6),Z6))</f>
        <v>#VALUE!</v>
      </c>
      <c r="AA6" t="e">
        <f ca="1">IF((A1)=(2),"",IF((2)=(AA4),IF(IF((INDEX(B1:XFD1,((A3)+(1))+(0)))=("store"),(INDEX(B1:XFD1,((A3)+(1))+(1)))=("AA"),"false"),B3,AA6),AA6))</f>
        <v>#VALUE!</v>
      </c>
      <c r="AB6" t="e">
        <f ca="1">IF((A1)=(2),"",IF((2)=(AB4),IF(IF((INDEX(B1:XFD1,((A3)+(1))+(0)))=("store"),(INDEX(B1:XFD1,((A3)+(1))+(1)))=("AB"),"false"),B3,AB6),AB6))</f>
        <v>#VALUE!</v>
      </c>
      <c r="AC6" t="e">
        <f ca="1">IF((A1)=(2),"",IF((2)=(AC4),IF(IF((INDEX(B1:XFD1,((A3)+(1))+(0)))=("store"),(INDEX(B1:XFD1,((A3)+(1))+(1)))=("AC"),"false"),B3,AC6),AC6))</f>
        <v>#VALUE!</v>
      </c>
      <c r="AD6" t="e">
        <f ca="1">IF((A1)=(2),"",IF((2)=(AD4),IF(IF((INDEX(B1:XFD1,((A3)+(1))+(0)))=("store"),(INDEX(B1:XFD1,((A3)+(1))+(1)))=("AD"),"false"),B3,AD6),AD6))</f>
        <v>#VALUE!</v>
      </c>
    </row>
    <row r="7" spans="1:53" x14ac:dyDescent="0.25">
      <c r="A7" t="e">
        <f ca="1">IF((A1)=(2),"",IF((3)=(A4),IF(("call")=(INDEX(B1:XFD1,((A3)+(1))+(0))),(B3)*(2),IF(("goto")=(INDEX(B1:XFD1,((A3)+(1))+(0))),(INDEX(B1:XFD1,((A3)+(1))+(1)))*(2),IF(("gotoiftrue")=(INDEX(B1:XFD1,((A3)+(1))+(0))),IF(B3,(INDEX(B1:XFD1,((A3)+(1))+(1)))*(2),(A7)+(2)),(A7)+(2)))),A7))</f>
        <v>#VALUE!</v>
      </c>
      <c r="B7" t="e">
        <f ca="1">IF((A1)=(2),"",IF((3)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7)+(1)),IF(("add")=(INDEX(B1:XFD1,((A3)+(1))+(0))),(INDEX(B5:B405,(B4)+(1)))+(B7),IF(("equals")=(INDEX(B1:XFD1,((A3)+(1))+(0))),(INDEX(B5:B405,(B4)+(1)))=(B7),IF(("leq")=(INDEX(B1:XFD1,((A3)+(1))+(0))),(INDEX(B5:B405,(B4)+(1)))&lt;=(B7),IF(("greater")=(INDEX(B1:XFD1,((A3)+(1))+(0))),(INDEX(B5:B405,(B4)+(1)))&gt;(B7),IF(("mod")=(INDEX(B1:XFD1,((A3)+(1))+(0))),MOD(INDEX(B5:B405,(B4)+(1)),B7),B7))))))))),B7))</f>
        <v>#VALUE!</v>
      </c>
      <c r="C7" t="e">
        <f ca="1">IF((A1)=(2),1,IF(AND((INDEX(B1:XFD1,((A3)+(1))+(0)))=("writeheap"),(INDEX(B5:B405,(B4)+(1)))=(2)),INDEX(B5:B405,(B4)+(2)),IF((A1)=(2),"",IF((3)=(C4),C7,C7))))</f>
        <v>#VALUE!</v>
      </c>
      <c r="D7" t="e">
        <f ca="1">IF((A1)=(2),"",IF((3)=(D4),D7,D7))</f>
        <v>#VALUE!</v>
      </c>
      <c r="F7" t="e">
        <f ca="1">IF((A1)=(2),"",IF((3)=(F4),IF(IF((INDEX(B1:XFD1,((A3)+(1))+(0)))=("store"),(INDEX(B1:XFD1,((A3)+(1))+(1)))=("F"),"false"),B3,F7),F7))</f>
        <v>#VALUE!</v>
      </c>
      <c r="G7" t="e">
        <f ca="1">IF((A1)=(2),"",IF((3)=(G4),IF(IF((INDEX(B1:XFD1,((A3)+(1))+(0)))=("store"),(INDEX(B1:XFD1,((A3)+(1))+(1)))=("G"),"false"),B3,G7),G7))</f>
        <v>#VALUE!</v>
      </c>
      <c r="H7" t="e">
        <f ca="1">IF((A1)=(2),"",IF((3)=(H4),IF(IF((INDEX(B1:XFD1,((A3)+(1))+(0)))=("store"),(INDEX(B1:XFD1,((A3)+(1))+(1)))=("H"),"false"),B3,H7),H7))</f>
        <v>#VALUE!</v>
      </c>
      <c r="I7" t="e">
        <f ca="1">IF((A1)=(2),"",IF((3)=(I4),IF(IF((INDEX(B1:XFD1,((A3)+(1))+(0)))=("store"),(INDEX(B1:XFD1,((A3)+(1))+(1)))=("I"),"false"),B3,I7),I7))</f>
        <v>#VALUE!</v>
      </c>
      <c r="J7" t="e">
        <f ca="1">IF((A1)=(2),"",IF((3)=(J4),IF(IF((INDEX(B1:XFD1,((A3)+(1))+(0)))=("store"),(INDEX(B1:XFD1,((A3)+(1))+(1)))=("J"),"false"),B3,J7),J7))</f>
        <v>#VALUE!</v>
      </c>
      <c r="K7" t="e">
        <f ca="1">IF((A1)=(2),"",IF((3)=(K4),IF(IF((INDEX(B1:XFD1,((A3)+(1))+(0)))=("store"),(INDEX(B1:XFD1,((A3)+(1))+(1)))=("K"),"false"),B3,K7),K7))</f>
        <v>#VALUE!</v>
      </c>
      <c r="L7" t="e">
        <f ca="1">IF((A1)=(2),"",IF((3)=(L4),IF(IF((INDEX(B1:XFD1,((A3)+(1))+(0)))=("store"),(INDEX(B1:XFD1,((A3)+(1))+(1)))=("L"),"false"),B3,L7),L7))</f>
        <v>#VALUE!</v>
      </c>
      <c r="M7" t="e">
        <f ca="1">IF((A1)=(2),"",IF((3)=(M4),IF(IF((INDEX(B1:XFD1,((A3)+(1))+(0)))=("store"),(INDEX(B1:XFD1,((A3)+(1))+(1)))=("M"),"false"),B3,M7),M7))</f>
        <v>#VALUE!</v>
      </c>
      <c r="N7" t="e">
        <f ca="1">IF((A1)=(2),"",IF((3)=(N4),IF(IF((INDEX(B1:XFD1,((A3)+(1))+(0)))=("store"),(INDEX(B1:XFD1,((A3)+(1))+(1)))=("N"),"false"),B3,N7),N7))</f>
        <v>#VALUE!</v>
      </c>
      <c r="O7" t="e">
        <f ca="1">IF((A1)=(2),"",IF((3)=(O4),IF(IF((INDEX(B1:XFD1,((A3)+(1))+(0)))=("store"),(INDEX(B1:XFD1,((A3)+(1))+(1)))=("O"),"false"),B3,O7),O7))</f>
        <v>#VALUE!</v>
      </c>
      <c r="P7" t="e">
        <f ca="1">IF((A1)=(2),"",IF((3)=(P4),IF(IF((INDEX(B1:XFD1,((A3)+(1))+(0)))=("store"),(INDEX(B1:XFD1,((A3)+(1))+(1)))=("P"),"false"),B3,P7),P7))</f>
        <v>#VALUE!</v>
      </c>
      <c r="Q7" t="e">
        <f ca="1">IF((A1)=(2),"",IF((3)=(Q4),IF(IF((INDEX(B1:XFD1,((A3)+(1))+(0)))=("store"),(INDEX(B1:XFD1,((A3)+(1))+(1)))=("Q"),"false"),B3,Q7),Q7))</f>
        <v>#VALUE!</v>
      </c>
      <c r="R7" t="e">
        <f ca="1">IF((A1)=(2),"",IF((3)=(R4),IF(IF((INDEX(B1:XFD1,((A3)+(1))+(0)))=("store"),(INDEX(B1:XFD1,((A3)+(1))+(1)))=("R"),"false"),B3,R7),R7))</f>
        <v>#VALUE!</v>
      </c>
      <c r="S7" t="e">
        <f ca="1">IF((A1)=(2),"",IF((3)=(S4),IF(IF((INDEX(B1:XFD1,((A3)+(1))+(0)))=("store"),(INDEX(B1:XFD1,((A3)+(1))+(1)))=("S"),"false"),B3,S7),S7))</f>
        <v>#VALUE!</v>
      </c>
      <c r="T7" t="e">
        <f ca="1">IF((A1)=(2),"",IF((3)=(T4),IF(IF((INDEX(B1:XFD1,((A3)+(1))+(0)))=("store"),(INDEX(B1:XFD1,((A3)+(1))+(1)))=("T"),"false"),B3,T7),T7))</f>
        <v>#VALUE!</v>
      </c>
      <c r="U7" t="e">
        <f ca="1">IF((A1)=(2),"",IF((3)=(U4),IF(IF((INDEX(B1:XFD1,((A3)+(1))+(0)))=("store"),(INDEX(B1:XFD1,((A3)+(1))+(1)))=("U"),"false"),B3,U7),U7))</f>
        <v>#VALUE!</v>
      </c>
      <c r="V7" t="e">
        <f ca="1">IF((A1)=(2),"",IF((3)=(V4),IF(IF((INDEX(B1:XFD1,((A3)+(1))+(0)))=("store"),(INDEX(B1:XFD1,((A3)+(1))+(1)))=("V"),"false"),B3,V7),V7))</f>
        <v>#VALUE!</v>
      </c>
      <c r="W7" t="e">
        <f ca="1">IF((A1)=(2),"",IF((3)=(W4),IF(IF((INDEX(B1:XFD1,((A3)+(1))+(0)))=("store"),(INDEX(B1:XFD1,((A3)+(1))+(1)))=("W"),"false"),B3,W7),W7))</f>
        <v>#VALUE!</v>
      </c>
      <c r="X7" t="e">
        <f ca="1">IF((A1)=(2),"",IF((3)=(X4),IF(IF((INDEX(B1:XFD1,((A3)+(1))+(0)))=("store"),(INDEX(B1:XFD1,((A3)+(1))+(1)))=("X"),"false"),B3,X7),X7))</f>
        <v>#VALUE!</v>
      </c>
      <c r="Y7" t="e">
        <f ca="1">IF((A1)=(2),"",IF((3)=(Y4),IF(IF((INDEX(B1:XFD1,((A3)+(1))+(0)))=("store"),(INDEX(B1:XFD1,((A3)+(1))+(1)))=("Y"),"false"),B3,Y7),Y7))</f>
        <v>#VALUE!</v>
      </c>
      <c r="Z7" t="e">
        <f ca="1">IF((A1)=(2),"",IF((3)=(Z4),IF(IF((INDEX(B1:XFD1,((A3)+(1))+(0)))=("store"),(INDEX(B1:XFD1,((A3)+(1))+(1)))=("Z"),"false"),B3,Z7),Z7))</f>
        <v>#VALUE!</v>
      </c>
      <c r="AA7" t="e">
        <f ca="1">IF((A1)=(2),"",IF((3)=(AA4),IF(IF((INDEX(B1:XFD1,((A3)+(1))+(0)))=("store"),(INDEX(B1:XFD1,((A3)+(1))+(1)))=("AA"),"false"),B3,AA7),AA7))</f>
        <v>#VALUE!</v>
      </c>
      <c r="AB7" t="e">
        <f ca="1">IF((A1)=(2),"",IF((3)=(AB4),IF(IF((INDEX(B1:XFD1,((A3)+(1))+(0)))=("store"),(INDEX(B1:XFD1,((A3)+(1))+(1)))=("AB"),"false"),B3,AB7),AB7))</f>
        <v>#VALUE!</v>
      </c>
      <c r="AC7" t="e">
        <f ca="1">IF((A1)=(2),"",IF((3)=(AC4),IF(IF((INDEX(B1:XFD1,((A3)+(1))+(0)))=("store"),(INDEX(B1:XFD1,((A3)+(1))+(1)))=("AC"),"false"),B3,AC7),AC7))</f>
        <v>#VALUE!</v>
      </c>
      <c r="AD7" t="e">
        <f ca="1">IF((A1)=(2),"",IF((3)=(AD4),IF(IF((INDEX(B1:XFD1,((A3)+(1))+(0)))=("store"),(INDEX(B1:XFD1,((A3)+(1))+(1)))=("AD"),"false"),B3,AD7),AD7))</f>
        <v>#VALUE!</v>
      </c>
    </row>
    <row r="8" spans="1:53" x14ac:dyDescent="0.25">
      <c r="A8" t="e">
        <f ca="1">IF((A1)=(2),"",IF((4)=(A4),IF(("call")=(INDEX(B1:XFD1,((A3)+(1))+(0))),(B3)*(2),IF(("goto")=(INDEX(B1:XFD1,((A3)+(1))+(0))),(INDEX(B1:XFD1,((A3)+(1))+(1)))*(2),IF(("gotoiftrue")=(INDEX(B1:XFD1,((A3)+(1))+(0))),IF(B3,(INDEX(B1:XFD1,((A3)+(1))+(1)))*(2),(A8)+(2)),(A8)+(2)))),A8))</f>
        <v>#VALUE!</v>
      </c>
      <c r="B8" t="e">
        <f ca="1">IF((A1)=(2),"",IF((4)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8)+(1)),IF(("add")=(INDEX(B1:XFD1,((A3)+(1))+(0))),(INDEX(B5:B405,(B4)+(1)))+(B8),IF(("equals")=(INDEX(B1:XFD1,((A3)+(1))+(0))),(INDEX(B5:B405,(B4)+(1)))=(B8),IF(("leq")=(INDEX(B1:XFD1,((A3)+(1))+(0))),(INDEX(B5:B405,(B4)+(1)))&lt;=(B8),IF(("greater")=(INDEX(B1:XFD1,((A3)+(1))+(0))),(INDEX(B5:B405,(B4)+(1)))&gt;(B8),IF(("mod")=(INDEX(B1:XFD1,((A3)+(1))+(0))),MOD(INDEX(B5:B405,(B4)+(1)),B8),B8))))))))),B8))</f>
        <v>#VALUE!</v>
      </c>
      <c r="C8" t="e">
        <f ca="1">IF((A1)=(2),1,IF(AND((INDEX(B1:XFD1,((A3)+(1))+(0)))=("writeheap"),(INDEX(B5:B405,(B4)+(1)))=(3)),INDEX(B5:B405,(B4)+(2)),IF((A1)=(2),"",IF((4)=(C4),C8,C8))))</f>
        <v>#VALUE!</v>
      </c>
      <c r="D8" t="e">
        <f ca="1">IF((A1)=(2),"",IF((4)=(D4),D8,D8))</f>
        <v>#VALUE!</v>
      </c>
      <c r="F8" t="e">
        <f ca="1">IF((A1)=(2),"",IF((4)=(F4),IF(IF((INDEX(B1:XFD1,((A3)+(1))+(0)))=("store"),(INDEX(B1:XFD1,((A3)+(1))+(1)))=("F"),"false"),B3,F8),F8))</f>
        <v>#VALUE!</v>
      </c>
      <c r="G8" t="e">
        <f ca="1">IF((A1)=(2),"",IF((4)=(G4),IF(IF((INDEX(B1:XFD1,((A3)+(1))+(0)))=("store"),(INDEX(B1:XFD1,((A3)+(1))+(1)))=("G"),"false"),B3,G8),G8))</f>
        <v>#VALUE!</v>
      </c>
      <c r="H8" t="e">
        <f ca="1">IF((A1)=(2),"",IF((4)=(H4),IF(IF((INDEX(B1:XFD1,((A3)+(1))+(0)))=("store"),(INDEX(B1:XFD1,((A3)+(1))+(1)))=("H"),"false"),B3,H8),H8))</f>
        <v>#VALUE!</v>
      </c>
      <c r="I8" t="e">
        <f ca="1">IF((A1)=(2),"",IF((4)=(I4),IF(IF((INDEX(B1:XFD1,((A3)+(1))+(0)))=("store"),(INDEX(B1:XFD1,((A3)+(1))+(1)))=("I"),"false"),B3,I8),I8))</f>
        <v>#VALUE!</v>
      </c>
      <c r="J8" t="e">
        <f ca="1">IF((A1)=(2),"",IF((4)=(J4),IF(IF((INDEX(B1:XFD1,((A3)+(1))+(0)))=("store"),(INDEX(B1:XFD1,((A3)+(1))+(1)))=("J"),"false"),B3,J8),J8))</f>
        <v>#VALUE!</v>
      </c>
      <c r="K8" t="e">
        <f ca="1">IF((A1)=(2),"",IF((4)=(K4),IF(IF((INDEX(B1:XFD1,((A3)+(1))+(0)))=("store"),(INDEX(B1:XFD1,((A3)+(1))+(1)))=("K"),"false"),B3,K8),K8))</f>
        <v>#VALUE!</v>
      </c>
      <c r="L8" t="e">
        <f ca="1">IF((A1)=(2),"",IF((4)=(L4),IF(IF((INDEX(B1:XFD1,((A3)+(1))+(0)))=("store"),(INDEX(B1:XFD1,((A3)+(1))+(1)))=("L"),"false"),B3,L8),L8))</f>
        <v>#VALUE!</v>
      </c>
      <c r="M8" t="e">
        <f ca="1">IF((A1)=(2),"",IF((4)=(M4),IF(IF((INDEX(B1:XFD1,((A3)+(1))+(0)))=("store"),(INDEX(B1:XFD1,((A3)+(1))+(1)))=("M"),"false"),B3,M8),M8))</f>
        <v>#VALUE!</v>
      </c>
      <c r="N8" t="e">
        <f ca="1">IF((A1)=(2),"",IF((4)=(N4),IF(IF((INDEX(B1:XFD1,((A3)+(1))+(0)))=("store"),(INDEX(B1:XFD1,((A3)+(1))+(1)))=("N"),"false"),B3,N8),N8))</f>
        <v>#VALUE!</v>
      </c>
      <c r="O8" t="e">
        <f ca="1">IF((A1)=(2),"",IF((4)=(O4),IF(IF((INDEX(B1:XFD1,((A3)+(1))+(0)))=("store"),(INDEX(B1:XFD1,((A3)+(1))+(1)))=("O"),"false"),B3,O8),O8))</f>
        <v>#VALUE!</v>
      </c>
      <c r="P8" t="e">
        <f ca="1">IF((A1)=(2),"",IF((4)=(P4),IF(IF((INDEX(B1:XFD1,((A3)+(1))+(0)))=("store"),(INDEX(B1:XFD1,((A3)+(1))+(1)))=("P"),"false"),B3,P8),P8))</f>
        <v>#VALUE!</v>
      </c>
      <c r="Q8" t="e">
        <f ca="1">IF((A1)=(2),"",IF((4)=(Q4),IF(IF((INDEX(B1:XFD1,((A3)+(1))+(0)))=("store"),(INDEX(B1:XFD1,((A3)+(1))+(1)))=("Q"),"false"),B3,Q8),Q8))</f>
        <v>#VALUE!</v>
      </c>
      <c r="R8" t="e">
        <f ca="1">IF((A1)=(2),"",IF((4)=(R4),IF(IF((INDEX(B1:XFD1,((A3)+(1))+(0)))=("store"),(INDEX(B1:XFD1,((A3)+(1))+(1)))=("R"),"false"),B3,R8),R8))</f>
        <v>#VALUE!</v>
      </c>
      <c r="S8" t="e">
        <f ca="1">IF((A1)=(2),"",IF((4)=(S4),IF(IF((INDEX(B1:XFD1,((A3)+(1))+(0)))=("store"),(INDEX(B1:XFD1,((A3)+(1))+(1)))=("S"),"false"),B3,S8),S8))</f>
        <v>#VALUE!</v>
      </c>
      <c r="T8" t="e">
        <f ca="1">IF((A1)=(2),"",IF((4)=(T4),IF(IF((INDEX(B1:XFD1,((A3)+(1))+(0)))=("store"),(INDEX(B1:XFD1,((A3)+(1))+(1)))=("T"),"false"),B3,T8),T8))</f>
        <v>#VALUE!</v>
      </c>
      <c r="U8" t="e">
        <f ca="1">IF((A1)=(2),"",IF((4)=(U4),IF(IF((INDEX(B1:XFD1,((A3)+(1))+(0)))=("store"),(INDEX(B1:XFD1,((A3)+(1))+(1)))=("U"),"false"),B3,U8),U8))</f>
        <v>#VALUE!</v>
      </c>
      <c r="V8" t="e">
        <f ca="1">IF((A1)=(2),"",IF((4)=(V4),IF(IF((INDEX(B1:XFD1,((A3)+(1))+(0)))=("store"),(INDEX(B1:XFD1,((A3)+(1))+(1)))=("V"),"false"),B3,V8),V8))</f>
        <v>#VALUE!</v>
      </c>
      <c r="W8" t="e">
        <f ca="1">IF((A1)=(2),"",IF((4)=(W4),IF(IF((INDEX(B1:XFD1,((A3)+(1))+(0)))=("store"),(INDEX(B1:XFD1,((A3)+(1))+(1)))=("W"),"false"),B3,W8),W8))</f>
        <v>#VALUE!</v>
      </c>
      <c r="X8" t="e">
        <f ca="1">IF((A1)=(2),"",IF((4)=(X4),IF(IF((INDEX(B1:XFD1,((A3)+(1))+(0)))=("store"),(INDEX(B1:XFD1,((A3)+(1))+(1)))=("X"),"false"),B3,X8),X8))</f>
        <v>#VALUE!</v>
      </c>
      <c r="Y8" t="e">
        <f ca="1">IF((A1)=(2),"",IF((4)=(Y4),IF(IF((INDEX(B1:XFD1,((A3)+(1))+(0)))=("store"),(INDEX(B1:XFD1,((A3)+(1))+(1)))=("Y"),"false"),B3,Y8),Y8))</f>
        <v>#VALUE!</v>
      </c>
      <c r="Z8" t="e">
        <f ca="1">IF((A1)=(2),"",IF((4)=(Z4),IF(IF((INDEX(B1:XFD1,((A3)+(1))+(0)))=("store"),(INDEX(B1:XFD1,((A3)+(1))+(1)))=("Z"),"false"),B3,Z8),Z8))</f>
        <v>#VALUE!</v>
      </c>
      <c r="AA8" t="e">
        <f ca="1">IF((A1)=(2),"",IF((4)=(AA4),IF(IF((INDEX(B1:XFD1,((A3)+(1))+(0)))=("store"),(INDEX(B1:XFD1,((A3)+(1))+(1)))=("AA"),"false"),B3,AA8),AA8))</f>
        <v>#VALUE!</v>
      </c>
      <c r="AB8" t="e">
        <f ca="1">IF((A1)=(2),"",IF((4)=(AB4),IF(IF((INDEX(B1:XFD1,((A3)+(1))+(0)))=("store"),(INDEX(B1:XFD1,((A3)+(1))+(1)))=("AB"),"false"),B3,AB8),AB8))</f>
        <v>#VALUE!</v>
      </c>
      <c r="AC8" t="e">
        <f ca="1">IF((A1)=(2),"",IF((4)=(AC4),IF(IF((INDEX(B1:XFD1,((A3)+(1))+(0)))=("store"),(INDEX(B1:XFD1,((A3)+(1))+(1)))=("AC"),"false"),B3,AC8),AC8))</f>
        <v>#VALUE!</v>
      </c>
      <c r="AD8" t="e">
        <f ca="1">IF((A1)=(2),"",IF((4)=(AD4),IF(IF((INDEX(B1:XFD1,((A3)+(1))+(0)))=("store"),(INDEX(B1:XFD1,((A3)+(1))+(1)))=("AD"),"false"),B3,AD8),AD8))</f>
        <v>#VALUE!</v>
      </c>
    </row>
    <row r="9" spans="1:53" x14ac:dyDescent="0.25">
      <c r="A9" t="e">
        <f ca="1">IF((A1)=(2),"",IF((5)=(A4),IF(("call")=(INDEX(B1:XFD1,((A3)+(1))+(0))),(B3)*(2),IF(("goto")=(INDEX(B1:XFD1,((A3)+(1))+(0))),(INDEX(B1:XFD1,((A3)+(1))+(1)))*(2),IF(("gotoiftrue")=(INDEX(B1:XFD1,((A3)+(1))+(0))),IF(B3,(INDEX(B1:XFD1,((A3)+(1))+(1)))*(2),(A9)+(2)),(A9)+(2)))),A9))</f>
        <v>#VALUE!</v>
      </c>
      <c r="B9" t="e">
        <f ca="1">IF((A1)=(2),"",IF((5)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9)+(1)),IF(("add")=(INDEX(B1:XFD1,((A3)+(1))+(0))),(INDEX(B5:B405,(B4)+(1)))+(B9),IF(("equals")=(INDEX(B1:XFD1,((A3)+(1))+(0))),(INDEX(B5:B405,(B4)+(1)))=(B9),IF(("leq")=(INDEX(B1:XFD1,((A3)+(1))+(0))),(INDEX(B5:B405,(B4)+(1)))&lt;=(B9),IF(("greater")=(INDEX(B1:XFD1,((A3)+(1))+(0))),(INDEX(B5:B405,(B4)+(1)))&gt;(B9),IF(("mod")=(INDEX(B1:XFD1,((A3)+(1))+(0))),MOD(INDEX(B5:B405,(B4)+(1)),B9),B9))))))))),B9))</f>
        <v>#VALUE!</v>
      </c>
      <c r="C9" t="e">
        <f ca="1">IF((A1)=(2),1,IF(AND((INDEX(B1:XFD1,((A3)+(1))+(0)))=("writeheap"),(INDEX(B5:B405,(B4)+(1)))=(4)),INDEX(B5:B405,(B4)+(2)),IF((A1)=(2),"",IF((5)=(C4),C9,C9))))</f>
        <v>#VALUE!</v>
      </c>
      <c r="D9" t="e">
        <f ca="1">IF((A1)=(2),"",IF((5)=(D4),D9,D9))</f>
        <v>#VALUE!</v>
      </c>
      <c r="F9" t="e">
        <f ca="1">IF((A1)=(2),"",IF((5)=(F4),IF(IF((INDEX(B1:XFD1,((A3)+(1))+(0)))=("store"),(INDEX(B1:XFD1,((A3)+(1))+(1)))=("F"),"false"),B3,F9),F9))</f>
        <v>#VALUE!</v>
      </c>
      <c r="G9" t="e">
        <f ca="1">IF((A1)=(2),"",IF((5)=(G4),IF(IF((INDEX(B1:XFD1,((A3)+(1))+(0)))=("store"),(INDEX(B1:XFD1,((A3)+(1))+(1)))=("G"),"false"),B3,G9),G9))</f>
        <v>#VALUE!</v>
      </c>
      <c r="H9" t="e">
        <f ca="1">IF((A1)=(2),"",IF((5)=(H4),IF(IF((INDEX(B1:XFD1,((A3)+(1))+(0)))=("store"),(INDEX(B1:XFD1,((A3)+(1))+(1)))=("H"),"false"),B3,H9),H9))</f>
        <v>#VALUE!</v>
      </c>
      <c r="I9" t="e">
        <f ca="1">IF((A1)=(2),"",IF((5)=(I4),IF(IF((INDEX(B1:XFD1,((A3)+(1))+(0)))=("store"),(INDEX(B1:XFD1,((A3)+(1))+(1)))=("I"),"false"),B3,I9),I9))</f>
        <v>#VALUE!</v>
      </c>
      <c r="J9" t="e">
        <f ca="1">IF((A1)=(2),"",IF((5)=(J4),IF(IF((INDEX(B1:XFD1,((A3)+(1))+(0)))=("store"),(INDEX(B1:XFD1,((A3)+(1))+(1)))=("J"),"false"),B3,J9),J9))</f>
        <v>#VALUE!</v>
      </c>
      <c r="K9" t="e">
        <f ca="1">IF((A1)=(2),"",IF((5)=(K4),IF(IF((INDEX(B1:XFD1,((A3)+(1))+(0)))=("store"),(INDEX(B1:XFD1,((A3)+(1))+(1)))=("K"),"false"),B3,K9),K9))</f>
        <v>#VALUE!</v>
      </c>
      <c r="L9" t="e">
        <f ca="1">IF((A1)=(2),"",IF((5)=(L4),IF(IF((INDEX(B1:XFD1,((A3)+(1))+(0)))=("store"),(INDEX(B1:XFD1,((A3)+(1))+(1)))=("L"),"false"),B3,L9),L9))</f>
        <v>#VALUE!</v>
      </c>
      <c r="M9" t="e">
        <f ca="1">IF((A1)=(2),"",IF((5)=(M4),IF(IF((INDEX(B1:XFD1,((A3)+(1))+(0)))=("store"),(INDEX(B1:XFD1,((A3)+(1))+(1)))=("M"),"false"),B3,M9),M9))</f>
        <v>#VALUE!</v>
      </c>
      <c r="N9" t="e">
        <f ca="1">IF((A1)=(2),"",IF((5)=(N4),IF(IF((INDEX(B1:XFD1,((A3)+(1))+(0)))=("store"),(INDEX(B1:XFD1,((A3)+(1))+(1)))=("N"),"false"),B3,N9),N9))</f>
        <v>#VALUE!</v>
      </c>
      <c r="O9" t="e">
        <f ca="1">IF((A1)=(2),"",IF((5)=(O4),IF(IF((INDEX(B1:XFD1,((A3)+(1))+(0)))=("store"),(INDEX(B1:XFD1,((A3)+(1))+(1)))=("O"),"false"),B3,O9),O9))</f>
        <v>#VALUE!</v>
      </c>
      <c r="P9" t="e">
        <f ca="1">IF((A1)=(2),"",IF((5)=(P4),IF(IF((INDEX(B1:XFD1,((A3)+(1))+(0)))=("store"),(INDEX(B1:XFD1,((A3)+(1))+(1)))=("P"),"false"),B3,P9),P9))</f>
        <v>#VALUE!</v>
      </c>
      <c r="Q9" t="e">
        <f ca="1">IF((A1)=(2),"",IF((5)=(Q4),IF(IF((INDEX(B1:XFD1,((A3)+(1))+(0)))=("store"),(INDEX(B1:XFD1,((A3)+(1))+(1)))=("Q"),"false"),B3,Q9),Q9))</f>
        <v>#VALUE!</v>
      </c>
      <c r="R9" t="e">
        <f ca="1">IF((A1)=(2),"",IF((5)=(R4),IF(IF((INDEX(B1:XFD1,((A3)+(1))+(0)))=("store"),(INDEX(B1:XFD1,((A3)+(1))+(1)))=("R"),"false"),B3,R9),R9))</f>
        <v>#VALUE!</v>
      </c>
      <c r="S9" t="e">
        <f ca="1">IF((A1)=(2),"",IF((5)=(S4),IF(IF((INDEX(B1:XFD1,((A3)+(1))+(0)))=("store"),(INDEX(B1:XFD1,((A3)+(1))+(1)))=("S"),"false"),B3,S9),S9))</f>
        <v>#VALUE!</v>
      </c>
      <c r="T9" t="e">
        <f ca="1">IF((A1)=(2),"",IF((5)=(T4),IF(IF((INDEX(B1:XFD1,((A3)+(1))+(0)))=("store"),(INDEX(B1:XFD1,((A3)+(1))+(1)))=("T"),"false"),B3,T9),T9))</f>
        <v>#VALUE!</v>
      </c>
      <c r="U9" t="e">
        <f ca="1">IF((A1)=(2),"",IF((5)=(U4),IF(IF((INDEX(B1:XFD1,((A3)+(1))+(0)))=("store"),(INDEX(B1:XFD1,((A3)+(1))+(1)))=("U"),"false"),B3,U9),U9))</f>
        <v>#VALUE!</v>
      </c>
      <c r="V9" t="e">
        <f ca="1">IF((A1)=(2),"",IF((5)=(V4),IF(IF((INDEX(B1:XFD1,((A3)+(1))+(0)))=("store"),(INDEX(B1:XFD1,((A3)+(1))+(1)))=("V"),"false"),B3,V9),V9))</f>
        <v>#VALUE!</v>
      </c>
      <c r="W9" t="e">
        <f ca="1">IF((A1)=(2),"",IF((5)=(W4),IF(IF((INDEX(B1:XFD1,((A3)+(1))+(0)))=("store"),(INDEX(B1:XFD1,((A3)+(1))+(1)))=("W"),"false"),B3,W9),W9))</f>
        <v>#VALUE!</v>
      </c>
      <c r="X9" t="e">
        <f ca="1">IF((A1)=(2),"",IF((5)=(X4),IF(IF((INDEX(B1:XFD1,((A3)+(1))+(0)))=("store"),(INDEX(B1:XFD1,((A3)+(1))+(1)))=("X"),"false"),B3,X9),X9))</f>
        <v>#VALUE!</v>
      </c>
      <c r="Y9" t="e">
        <f ca="1">IF((A1)=(2),"",IF((5)=(Y4),IF(IF((INDEX(B1:XFD1,((A3)+(1))+(0)))=("store"),(INDEX(B1:XFD1,((A3)+(1))+(1)))=("Y"),"false"),B3,Y9),Y9))</f>
        <v>#VALUE!</v>
      </c>
      <c r="Z9" t="e">
        <f ca="1">IF((A1)=(2),"",IF((5)=(Z4),IF(IF((INDEX(B1:XFD1,((A3)+(1))+(0)))=("store"),(INDEX(B1:XFD1,((A3)+(1))+(1)))=("Z"),"false"),B3,Z9),Z9))</f>
        <v>#VALUE!</v>
      </c>
      <c r="AA9" t="e">
        <f ca="1">IF((A1)=(2),"",IF((5)=(AA4),IF(IF((INDEX(B1:XFD1,((A3)+(1))+(0)))=("store"),(INDEX(B1:XFD1,((A3)+(1))+(1)))=("AA"),"false"),B3,AA9),AA9))</f>
        <v>#VALUE!</v>
      </c>
      <c r="AB9" t="e">
        <f ca="1">IF((A1)=(2),"",IF((5)=(AB4),IF(IF((INDEX(B1:XFD1,((A3)+(1))+(0)))=("store"),(INDEX(B1:XFD1,((A3)+(1))+(1)))=("AB"),"false"),B3,AB9),AB9))</f>
        <v>#VALUE!</v>
      </c>
      <c r="AC9" t="e">
        <f ca="1">IF((A1)=(2),"",IF((5)=(AC4),IF(IF((INDEX(B1:XFD1,((A3)+(1))+(0)))=("store"),(INDEX(B1:XFD1,((A3)+(1))+(1)))=("AC"),"false"),B3,AC9),AC9))</f>
        <v>#VALUE!</v>
      </c>
      <c r="AD9" t="e">
        <f ca="1">IF((A1)=(2),"",IF((5)=(AD4),IF(IF((INDEX(B1:XFD1,((A3)+(1))+(0)))=("store"),(INDEX(B1:XFD1,((A3)+(1))+(1)))=("AD"),"false"),B3,AD9),AD9))</f>
        <v>#VALUE!</v>
      </c>
    </row>
    <row r="10" spans="1:53" x14ac:dyDescent="0.25">
      <c r="A10" t="e">
        <f ca="1">IF((A1)=(2),"",IF((6)=(A4),IF(("call")=(INDEX(B1:XFD1,((A3)+(1))+(0))),(B3)*(2),IF(("goto")=(INDEX(B1:XFD1,((A3)+(1))+(0))),(INDEX(B1:XFD1,((A3)+(1))+(1)))*(2),IF(("gotoiftrue")=(INDEX(B1:XFD1,((A3)+(1))+(0))),IF(B3,(INDEX(B1:XFD1,((A3)+(1))+(1)))*(2),(A10)+(2)),(A10)+(2)))),A10))</f>
        <v>#VALUE!</v>
      </c>
      <c r="B10" t="e">
        <f ca="1">IF((A1)=(2),"",IF((6)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10)+(1)),IF(("add")=(INDEX(B1:XFD1,((A3)+(1))+(0))),(INDEX(B5:B405,(B4)+(1)))+(B10),IF(("equals")=(INDEX(B1:XFD1,((A3)+(1))+(0))),(INDEX(B5:B405,(B4)+(1)))=(B10),IF(("leq")=(INDEX(B1:XFD1,((A3)+(1))+(0))),(INDEX(B5:B405,(B4)+(1)))&lt;=(B10),IF(("greater")=(INDEX(B1:XFD1,((A3)+(1))+(0))),(INDEX(B5:B405,(B4)+(1)))&gt;(B10),IF(("mod")=(INDEX(B1:XFD1,((A3)+(1))+(0))),MOD(INDEX(B5:B405,(B4)+(1)),B10),B10))))))))),B10))</f>
        <v>#VALUE!</v>
      </c>
      <c r="C10" t="e">
        <f ca="1">IF((A1)=(2),1,IF(AND((INDEX(B1:XFD1,((A3)+(1))+(0)))=("writeheap"),(INDEX(B5:B405,(B4)+(1)))=(5)),INDEX(B5:B405,(B4)+(2)),IF((A1)=(2),"",IF((6)=(C4),C10,C10))))</f>
        <v>#VALUE!</v>
      </c>
      <c r="D10" t="e">
        <f ca="1">IF((A1)=(2),"",IF((6)=(D4),D10,D10))</f>
        <v>#VALUE!</v>
      </c>
      <c r="F10" t="e">
        <f ca="1">IF((A1)=(2),"",IF((6)=(F4),IF(IF((INDEX(B1:XFD1,((A3)+(1))+(0)))=("store"),(INDEX(B1:XFD1,((A3)+(1))+(1)))=("F"),"false"),B3,F10),F10))</f>
        <v>#VALUE!</v>
      </c>
      <c r="G10" t="e">
        <f ca="1">IF((A1)=(2),"",IF((6)=(G4),IF(IF((INDEX(B1:XFD1,((A3)+(1))+(0)))=("store"),(INDEX(B1:XFD1,((A3)+(1))+(1)))=("G"),"false"),B3,G10),G10))</f>
        <v>#VALUE!</v>
      </c>
      <c r="H10" t="e">
        <f ca="1">IF((A1)=(2),"",IF((6)=(H4),IF(IF((INDEX(B1:XFD1,((A3)+(1))+(0)))=("store"),(INDEX(B1:XFD1,((A3)+(1))+(1)))=("H"),"false"),B3,H10),H10))</f>
        <v>#VALUE!</v>
      </c>
      <c r="I10" t="e">
        <f ca="1">IF((A1)=(2),"",IF((6)=(I4),IF(IF((INDEX(B1:XFD1,((A3)+(1))+(0)))=("store"),(INDEX(B1:XFD1,((A3)+(1))+(1)))=("I"),"false"),B3,I10),I10))</f>
        <v>#VALUE!</v>
      </c>
      <c r="J10" t="e">
        <f ca="1">IF((A1)=(2),"",IF((6)=(J4),IF(IF((INDEX(B1:XFD1,((A3)+(1))+(0)))=("store"),(INDEX(B1:XFD1,((A3)+(1))+(1)))=("J"),"false"),B3,J10),J10))</f>
        <v>#VALUE!</v>
      </c>
      <c r="K10" t="e">
        <f ca="1">IF((A1)=(2),"",IF((6)=(K4),IF(IF((INDEX(B1:XFD1,((A3)+(1))+(0)))=("store"),(INDEX(B1:XFD1,((A3)+(1))+(1)))=("K"),"false"),B3,K10),K10))</f>
        <v>#VALUE!</v>
      </c>
      <c r="L10" t="e">
        <f ca="1">IF((A1)=(2),"",IF((6)=(L4),IF(IF((INDEX(B1:XFD1,((A3)+(1))+(0)))=("store"),(INDEX(B1:XFD1,((A3)+(1))+(1)))=("L"),"false"),B3,L10),L10))</f>
        <v>#VALUE!</v>
      </c>
      <c r="M10" t="e">
        <f ca="1">IF((A1)=(2),"",IF((6)=(M4),IF(IF((INDEX(B1:XFD1,((A3)+(1))+(0)))=("store"),(INDEX(B1:XFD1,((A3)+(1))+(1)))=("M"),"false"),B3,M10),M10))</f>
        <v>#VALUE!</v>
      </c>
      <c r="N10" t="e">
        <f ca="1">IF((A1)=(2),"",IF((6)=(N4),IF(IF((INDEX(B1:XFD1,((A3)+(1))+(0)))=("store"),(INDEX(B1:XFD1,((A3)+(1))+(1)))=("N"),"false"),B3,N10),N10))</f>
        <v>#VALUE!</v>
      </c>
      <c r="O10" t="e">
        <f ca="1">IF((A1)=(2),"",IF((6)=(O4),IF(IF((INDEX(B1:XFD1,((A3)+(1))+(0)))=("store"),(INDEX(B1:XFD1,((A3)+(1))+(1)))=("O"),"false"),B3,O10),O10))</f>
        <v>#VALUE!</v>
      </c>
      <c r="P10" t="e">
        <f ca="1">IF((A1)=(2),"",IF((6)=(P4),IF(IF((INDEX(B1:XFD1,((A3)+(1))+(0)))=("store"),(INDEX(B1:XFD1,((A3)+(1))+(1)))=("P"),"false"),B3,P10),P10))</f>
        <v>#VALUE!</v>
      </c>
      <c r="Q10" t="e">
        <f ca="1">IF((A1)=(2),"",IF((6)=(Q4),IF(IF((INDEX(B1:XFD1,((A3)+(1))+(0)))=("store"),(INDEX(B1:XFD1,((A3)+(1))+(1)))=("Q"),"false"),B3,Q10),Q10))</f>
        <v>#VALUE!</v>
      </c>
      <c r="R10" t="e">
        <f ca="1">IF((A1)=(2),"",IF((6)=(R4),IF(IF((INDEX(B1:XFD1,((A3)+(1))+(0)))=("store"),(INDEX(B1:XFD1,((A3)+(1))+(1)))=("R"),"false"),B3,R10),R10))</f>
        <v>#VALUE!</v>
      </c>
      <c r="S10" t="e">
        <f ca="1">IF((A1)=(2),"",IF((6)=(S4),IF(IF((INDEX(B1:XFD1,((A3)+(1))+(0)))=("store"),(INDEX(B1:XFD1,((A3)+(1))+(1)))=("S"),"false"),B3,S10),S10))</f>
        <v>#VALUE!</v>
      </c>
      <c r="T10" t="e">
        <f ca="1">IF((A1)=(2),"",IF((6)=(T4),IF(IF((INDEX(B1:XFD1,((A3)+(1))+(0)))=("store"),(INDEX(B1:XFD1,((A3)+(1))+(1)))=("T"),"false"),B3,T10),T10))</f>
        <v>#VALUE!</v>
      </c>
      <c r="U10" t="e">
        <f ca="1">IF((A1)=(2),"",IF((6)=(U4),IF(IF((INDEX(B1:XFD1,((A3)+(1))+(0)))=("store"),(INDEX(B1:XFD1,((A3)+(1))+(1)))=("U"),"false"),B3,U10),U10))</f>
        <v>#VALUE!</v>
      </c>
      <c r="V10" t="e">
        <f ca="1">IF((A1)=(2),"",IF((6)=(V4),IF(IF((INDEX(B1:XFD1,((A3)+(1))+(0)))=("store"),(INDEX(B1:XFD1,((A3)+(1))+(1)))=("V"),"false"),B3,V10),V10))</f>
        <v>#VALUE!</v>
      </c>
      <c r="W10" t="e">
        <f ca="1">IF((A1)=(2),"",IF((6)=(W4),IF(IF((INDEX(B1:XFD1,((A3)+(1))+(0)))=("store"),(INDEX(B1:XFD1,((A3)+(1))+(1)))=("W"),"false"),B3,W10),W10))</f>
        <v>#VALUE!</v>
      </c>
      <c r="X10" t="e">
        <f ca="1">IF((A1)=(2),"",IF((6)=(X4),IF(IF((INDEX(B1:XFD1,((A3)+(1))+(0)))=("store"),(INDEX(B1:XFD1,((A3)+(1))+(1)))=("X"),"false"),B3,X10),X10))</f>
        <v>#VALUE!</v>
      </c>
      <c r="Y10" t="e">
        <f ca="1">IF((A1)=(2),"",IF((6)=(Y4),IF(IF((INDEX(B1:XFD1,((A3)+(1))+(0)))=("store"),(INDEX(B1:XFD1,((A3)+(1))+(1)))=("Y"),"false"),B3,Y10),Y10))</f>
        <v>#VALUE!</v>
      </c>
      <c r="Z10" t="e">
        <f ca="1">IF((A1)=(2),"",IF((6)=(Z4),IF(IF((INDEX(B1:XFD1,((A3)+(1))+(0)))=("store"),(INDEX(B1:XFD1,((A3)+(1))+(1)))=("Z"),"false"),B3,Z10),Z10))</f>
        <v>#VALUE!</v>
      </c>
      <c r="AA10" t="e">
        <f ca="1">IF((A1)=(2),"",IF((6)=(AA4),IF(IF((INDEX(B1:XFD1,((A3)+(1))+(0)))=("store"),(INDEX(B1:XFD1,((A3)+(1))+(1)))=("AA"),"false"),B3,AA10),AA10))</f>
        <v>#VALUE!</v>
      </c>
      <c r="AB10" t="e">
        <f ca="1">IF((A1)=(2),"",IF((6)=(AB4),IF(IF((INDEX(B1:XFD1,((A3)+(1))+(0)))=("store"),(INDEX(B1:XFD1,((A3)+(1))+(1)))=("AB"),"false"),B3,AB10),AB10))</f>
        <v>#VALUE!</v>
      </c>
      <c r="AC10" t="e">
        <f ca="1">IF((A1)=(2),"",IF((6)=(AC4),IF(IF((INDEX(B1:XFD1,((A3)+(1))+(0)))=("store"),(INDEX(B1:XFD1,((A3)+(1))+(1)))=("AC"),"false"),B3,AC10),AC10))</f>
        <v>#VALUE!</v>
      </c>
      <c r="AD10" t="e">
        <f ca="1">IF((A1)=(2),"",IF((6)=(AD4),IF(IF((INDEX(B1:XFD1,((A3)+(1))+(0)))=("store"),(INDEX(B1:XFD1,((A3)+(1))+(1)))=("AD"),"false"),B3,AD10),AD10))</f>
        <v>#VALUE!</v>
      </c>
    </row>
    <row r="11" spans="1:53" x14ac:dyDescent="0.25">
      <c r="A11" t="e">
        <f ca="1">IF((A1)=(2),"",IF((7)=(A4),IF(("call")=(INDEX(B1:XFD1,((A3)+(1))+(0))),(B3)*(2),IF(("goto")=(INDEX(B1:XFD1,((A3)+(1))+(0))),(INDEX(B1:XFD1,((A3)+(1))+(1)))*(2),IF(("gotoiftrue")=(INDEX(B1:XFD1,((A3)+(1))+(0))),IF(B3,(INDEX(B1:XFD1,((A3)+(1))+(1)))*(2),(A11)+(2)),(A11)+(2)))),A11))</f>
        <v>#VALUE!</v>
      </c>
      <c r="B11" t="e">
        <f ca="1">IF((A1)=(2),"",IF((7)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11)+(1)),IF(("add")=(INDEX(B1:XFD1,((A3)+(1))+(0))),(INDEX(B5:B405,(B4)+(1)))+(B11),IF(("equals")=(INDEX(B1:XFD1,((A3)+(1))+(0))),(INDEX(B5:B405,(B4)+(1)))=(B11),IF(("leq")=(INDEX(B1:XFD1,((A3)+(1))+(0))),(INDEX(B5:B405,(B4)+(1)))&lt;=(B11),IF(("greater")=(INDEX(B1:XFD1,((A3)+(1))+(0))),(INDEX(B5:B405,(B4)+(1)))&gt;(B11),IF(("mod")=(INDEX(B1:XFD1,((A3)+(1))+(0))),MOD(INDEX(B5:B405,(B4)+(1)),B11),B11))))))))),B11))</f>
        <v>#VALUE!</v>
      </c>
      <c r="C11" t="e">
        <f ca="1">IF((A1)=(2),1,IF(AND((INDEX(B1:XFD1,((A3)+(1))+(0)))=("writeheap"),(INDEX(B5:B405,(B4)+(1)))=(6)),INDEX(B5:B405,(B4)+(2)),IF((A1)=(2),"",IF((7)=(C4),C11,C11))))</f>
        <v>#VALUE!</v>
      </c>
      <c r="D11" t="e">
        <f ca="1">IF((A1)=(2),"",IF((7)=(D4),D11,D11))</f>
        <v>#VALUE!</v>
      </c>
      <c r="F11" t="e">
        <f ca="1">IF((A1)=(2),"",IF((7)=(F4),IF(IF((INDEX(B1:XFD1,((A3)+(1))+(0)))=("store"),(INDEX(B1:XFD1,((A3)+(1))+(1)))=("F"),"false"),B3,F11),F11))</f>
        <v>#VALUE!</v>
      </c>
      <c r="G11" t="e">
        <f ca="1">IF((A1)=(2),"",IF((7)=(G4),IF(IF((INDEX(B1:XFD1,((A3)+(1))+(0)))=("store"),(INDEX(B1:XFD1,((A3)+(1))+(1)))=("G"),"false"),B3,G11),G11))</f>
        <v>#VALUE!</v>
      </c>
      <c r="H11" t="e">
        <f ca="1">IF((A1)=(2),"",IF((7)=(H4),IF(IF((INDEX(B1:XFD1,((A3)+(1))+(0)))=("store"),(INDEX(B1:XFD1,((A3)+(1))+(1)))=("H"),"false"),B3,H11),H11))</f>
        <v>#VALUE!</v>
      </c>
      <c r="I11" t="e">
        <f ca="1">IF((A1)=(2),"",IF((7)=(I4),IF(IF((INDEX(B1:XFD1,((A3)+(1))+(0)))=("store"),(INDEX(B1:XFD1,((A3)+(1))+(1)))=("I"),"false"),B3,I11),I11))</f>
        <v>#VALUE!</v>
      </c>
      <c r="J11" t="e">
        <f ca="1">IF((A1)=(2),"",IF((7)=(J4),IF(IF((INDEX(B1:XFD1,((A3)+(1))+(0)))=("store"),(INDEX(B1:XFD1,((A3)+(1))+(1)))=("J"),"false"),B3,J11),J11))</f>
        <v>#VALUE!</v>
      </c>
      <c r="K11" t="e">
        <f ca="1">IF((A1)=(2),"",IF((7)=(K4),IF(IF((INDEX(B1:XFD1,((A3)+(1))+(0)))=("store"),(INDEX(B1:XFD1,((A3)+(1))+(1)))=("K"),"false"),B3,K11),K11))</f>
        <v>#VALUE!</v>
      </c>
      <c r="L11" t="e">
        <f ca="1">IF((A1)=(2),"",IF((7)=(L4),IF(IF((INDEX(B1:XFD1,((A3)+(1))+(0)))=("store"),(INDEX(B1:XFD1,((A3)+(1))+(1)))=("L"),"false"),B3,L11),L11))</f>
        <v>#VALUE!</v>
      </c>
      <c r="M11" t="e">
        <f ca="1">IF((A1)=(2),"",IF((7)=(M4),IF(IF((INDEX(B1:XFD1,((A3)+(1))+(0)))=("store"),(INDEX(B1:XFD1,((A3)+(1))+(1)))=("M"),"false"),B3,M11),M11))</f>
        <v>#VALUE!</v>
      </c>
      <c r="N11" t="e">
        <f ca="1">IF((A1)=(2),"",IF((7)=(N4),IF(IF((INDEX(B1:XFD1,((A3)+(1))+(0)))=("store"),(INDEX(B1:XFD1,((A3)+(1))+(1)))=("N"),"false"),B3,N11),N11))</f>
        <v>#VALUE!</v>
      </c>
      <c r="O11" t="e">
        <f ca="1">IF((A1)=(2),"",IF((7)=(O4),IF(IF((INDEX(B1:XFD1,((A3)+(1))+(0)))=("store"),(INDEX(B1:XFD1,((A3)+(1))+(1)))=("O"),"false"),B3,O11),O11))</f>
        <v>#VALUE!</v>
      </c>
      <c r="P11" t="e">
        <f ca="1">IF((A1)=(2),"",IF((7)=(P4),IF(IF((INDEX(B1:XFD1,((A3)+(1))+(0)))=("store"),(INDEX(B1:XFD1,((A3)+(1))+(1)))=("P"),"false"),B3,P11),P11))</f>
        <v>#VALUE!</v>
      </c>
      <c r="Q11" t="e">
        <f ca="1">IF((A1)=(2),"",IF((7)=(Q4),IF(IF((INDEX(B1:XFD1,((A3)+(1))+(0)))=("store"),(INDEX(B1:XFD1,((A3)+(1))+(1)))=("Q"),"false"),B3,Q11),Q11))</f>
        <v>#VALUE!</v>
      </c>
      <c r="R11" t="e">
        <f ca="1">IF((A1)=(2),"",IF((7)=(R4),IF(IF((INDEX(B1:XFD1,((A3)+(1))+(0)))=("store"),(INDEX(B1:XFD1,((A3)+(1))+(1)))=("R"),"false"),B3,R11),R11))</f>
        <v>#VALUE!</v>
      </c>
      <c r="S11" t="e">
        <f ca="1">IF((A1)=(2),"",IF((7)=(S4),IF(IF((INDEX(B1:XFD1,((A3)+(1))+(0)))=("store"),(INDEX(B1:XFD1,((A3)+(1))+(1)))=("S"),"false"),B3,S11),S11))</f>
        <v>#VALUE!</v>
      </c>
      <c r="T11" t="e">
        <f ca="1">IF((A1)=(2),"",IF((7)=(T4),IF(IF((INDEX(B1:XFD1,((A3)+(1))+(0)))=("store"),(INDEX(B1:XFD1,((A3)+(1))+(1)))=("T"),"false"),B3,T11),T11))</f>
        <v>#VALUE!</v>
      </c>
      <c r="U11" t="e">
        <f ca="1">IF((A1)=(2),"",IF((7)=(U4),IF(IF((INDEX(B1:XFD1,((A3)+(1))+(0)))=("store"),(INDEX(B1:XFD1,((A3)+(1))+(1)))=("U"),"false"),B3,U11),U11))</f>
        <v>#VALUE!</v>
      </c>
      <c r="V11" t="e">
        <f ca="1">IF((A1)=(2),"",IF((7)=(V4),IF(IF((INDEX(B1:XFD1,((A3)+(1))+(0)))=("store"),(INDEX(B1:XFD1,((A3)+(1))+(1)))=("V"),"false"),B3,V11),V11))</f>
        <v>#VALUE!</v>
      </c>
      <c r="W11" t="e">
        <f ca="1">IF((A1)=(2),"",IF((7)=(W4),IF(IF((INDEX(B1:XFD1,((A3)+(1))+(0)))=("store"),(INDEX(B1:XFD1,((A3)+(1))+(1)))=("W"),"false"),B3,W11),W11))</f>
        <v>#VALUE!</v>
      </c>
      <c r="X11" t="e">
        <f ca="1">IF((A1)=(2),"",IF((7)=(X4),IF(IF((INDEX(B1:XFD1,((A3)+(1))+(0)))=("store"),(INDEX(B1:XFD1,((A3)+(1))+(1)))=("X"),"false"),B3,X11),X11))</f>
        <v>#VALUE!</v>
      </c>
      <c r="Y11" t="e">
        <f ca="1">IF((A1)=(2),"",IF((7)=(Y4),IF(IF((INDEX(B1:XFD1,((A3)+(1))+(0)))=("store"),(INDEX(B1:XFD1,((A3)+(1))+(1)))=("Y"),"false"),B3,Y11),Y11))</f>
        <v>#VALUE!</v>
      </c>
      <c r="Z11" t="e">
        <f ca="1">IF((A1)=(2),"",IF((7)=(Z4),IF(IF((INDEX(B1:XFD1,((A3)+(1))+(0)))=("store"),(INDEX(B1:XFD1,((A3)+(1))+(1)))=("Z"),"false"),B3,Z11),Z11))</f>
        <v>#VALUE!</v>
      </c>
      <c r="AA11" t="e">
        <f ca="1">IF((A1)=(2),"",IF((7)=(AA4),IF(IF((INDEX(B1:XFD1,((A3)+(1))+(0)))=("store"),(INDEX(B1:XFD1,((A3)+(1))+(1)))=("AA"),"false"),B3,AA11),AA11))</f>
        <v>#VALUE!</v>
      </c>
      <c r="AB11" t="e">
        <f ca="1">IF((A1)=(2),"",IF((7)=(AB4),IF(IF((INDEX(B1:XFD1,((A3)+(1))+(0)))=("store"),(INDEX(B1:XFD1,((A3)+(1))+(1)))=("AB"),"false"),B3,AB11),AB11))</f>
        <v>#VALUE!</v>
      </c>
      <c r="AC11" t="e">
        <f ca="1">IF((A1)=(2),"",IF((7)=(AC4),IF(IF((INDEX(B1:XFD1,((A3)+(1))+(0)))=("store"),(INDEX(B1:XFD1,((A3)+(1))+(1)))=("AC"),"false"),B3,AC11),AC11))</f>
        <v>#VALUE!</v>
      </c>
      <c r="AD11" t="e">
        <f ca="1">IF((A1)=(2),"",IF((7)=(AD4),IF(IF((INDEX(B1:XFD1,((A3)+(1))+(0)))=("store"),(INDEX(B1:XFD1,((A3)+(1))+(1)))=("AD"),"false"),B3,AD11),AD11))</f>
        <v>#VALUE!</v>
      </c>
    </row>
    <row r="12" spans="1:53" x14ac:dyDescent="0.25">
      <c r="A12" t="e">
        <f ca="1">IF((A1)=(2),"",IF((8)=(A4),IF(("call")=(INDEX(B1:XFD1,((A3)+(1))+(0))),(B3)*(2),IF(("goto")=(INDEX(B1:XFD1,((A3)+(1))+(0))),(INDEX(B1:XFD1,((A3)+(1))+(1)))*(2),IF(("gotoiftrue")=(INDEX(B1:XFD1,((A3)+(1))+(0))),IF(B3,(INDEX(B1:XFD1,((A3)+(1))+(1)))*(2),(A12)+(2)),(A12)+(2)))),A12))</f>
        <v>#VALUE!</v>
      </c>
      <c r="B12" t="e">
        <f ca="1">IF((A1)=(2),"",IF((8)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12)+(1)),IF(("add")=(INDEX(B1:XFD1,((A3)+(1))+(0))),(INDEX(B5:B405,(B4)+(1)))+(B12),IF(("equals")=(INDEX(B1:XFD1,((A3)+(1))+(0))),(INDEX(B5:B405,(B4)+(1)))=(B12),IF(("leq")=(INDEX(B1:XFD1,((A3)+(1))+(0))),(INDEX(B5:B405,(B4)+(1)))&lt;=(B12),IF(("greater")=(INDEX(B1:XFD1,((A3)+(1))+(0))),(INDEX(B5:B405,(B4)+(1)))&gt;(B12),IF(("mod")=(INDEX(B1:XFD1,((A3)+(1))+(0))),MOD(INDEX(B5:B405,(B4)+(1)),B12),B12))))))))),B12))</f>
        <v>#VALUE!</v>
      </c>
      <c r="C12" t="e">
        <f ca="1">IF((A1)=(2),1,IF(AND((INDEX(B1:XFD1,((A3)+(1))+(0)))=("writeheap"),(INDEX(B5:B405,(B4)+(1)))=(7)),INDEX(B5:B405,(B4)+(2)),IF((A1)=(2),"",IF((8)=(C4),C12,C12))))</f>
        <v>#VALUE!</v>
      </c>
      <c r="D12" t="e">
        <f ca="1">IF((A1)=(2),"",IF((8)=(D4),D12,D12))</f>
        <v>#VALUE!</v>
      </c>
      <c r="F12" t="e">
        <f ca="1">IF((A1)=(2),"",IF((8)=(F4),IF(IF((INDEX(B1:XFD1,((A3)+(1))+(0)))=("store"),(INDEX(B1:XFD1,((A3)+(1))+(1)))=("F"),"false"),B3,F12),F12))</f>
        <v>#VALUE!</v>
      </c>
      <c r="G12" t="e">
        <f ca="1">IF((A1)=(2),"",IF((8)=(G4),IF(IF((INDEX(B1:XFD1,((A3)+(1))+(0)))=("store"),(INDEX(B1:XFD1,((A3)+(1))+(1)))=("G"),"false"),B3,G12),G12))</f>
        <v>#VALUE!</v>
      </c>
      <c r="H12" t="e">
        <f ca="1">IF((A1)=(2),"",IF((8)=(H4),IF(IF((INDEX(B1:XFD1,((A3)+(1))+(0)))=("store"),(INDEX(B1:XFD1,((A3)+(1))+(1)))=("H"),"false"),B3,H12),H12))</f>
        <v>#VALUE!</v>
      </c>
      <c r="I12" t="e">
        <f ca="1">IF((A1)=(2),"",IF((8)=(I4),IF(IF((INDEX(B1:XFD1,((A3)+(1))+(0)))=("store"),(INDEX(B1:XFD1,((A3)+(1))+(1)))=("I"),"false"),B3,I12),I12))</f>
        <v>#VALUE!</v>
      </c>
      <c r="J12" t="e">
        <f ca="1">IF((A1)=(2),"",IF((8)=(J4),IF(IF((INDEX(B1:XFD1,((A3)+(1))+(0)))=("store"),(INDEX(B1:XFD1,((A3)+(1))+(1)))=("J"),"false"),B3,J12),J12))</f>
        <v>#VALUE!</v>
      </c>
      <c r="K12" t="e">
        <f ca="1">IF((A1)=(2),"",IF((8)=(K4),IF(IF((INDEX(B1:XFD1,((A3)+(1))+(0)))=("store"),(INDEX(B1:XFD1,((A3)+(1))+(1)))=("K"),"false"),B3,K12),K12))</f>
        <v>#VALUE!</v>
      </c>
      <c r="L12" t="e">
        <f ca="1">IF((A1)=(2),"",IF((8)=(L4),IF(IF((INDEX(B1:XFD1,((A3)+(1))+(0)))=("store"),(INDEX(B1:XFD1,((A3)+(1))+(1)))=("L"),"false"),B3,L12),L12))</f>
        <v>#VALUE!</v>
      </c>
      <c r="M12" t="e">
        <f ca="1">IF((A1)=(2),"",IF((8)=(M4),IF(IF((INDEX(B1:XFD1,((A3)+(1))+(0)))=("store"),(INDEX(B1:XFD1,((A3)+(1))+(1)))=("M"),"false"),B3,M12),M12))</f>
        <v>#VALUE!</v>
      </c>
      <c r="N12" t="e">
        <f ca="1">IF((A1)=(2),"",IF((8)=(N4),IF(IF((INDEX(B1:XFD1,((A3)+(1))+(0)))=("store"),(INDEX(B1:XFD1,((A3)+(1))+(1)))=("N"),"false"),B3,N12),N12))</f>
        <v>#VALUE!</v>
      </c>
      <c r="O12" t="e">
        <f ca="1">IF((A1)=(2),"",IF((8)=(O4),IF(IF((INDEX(B1:XFD1,((A3)+(1))+(0)))=("store"),(INDEX(B1:XFD1,((A3)+(1))+(1)))=("O"),"false"),B3,O12),O12))</f>
        <v>#VALUE!</v>
      </c>
      <c r="P12" t="e">
        <f ca="1">IF((A1)=(2),"",IF((8)=(P4),IF(IF((INDEX(B1:XFD1,((A3)+(1))+(0)))=("store"),(INDEX(B1:XFD1,((A3)+(1))+(1)))=("P"),"false"),B3,P12),P12))</f>
        <v>#VALUE!</v>
      </c>
      <c r="Q12" t="e">
        <f ca="1">IF((A1)=(2),"",IF((8)=(Q4),IF(IF((INDEX(B1:XFD1,((A3)+(1))+(0)))=("store"),(INDEX(B1:XFD1,((A3)+(1))+(1)))=("Q"),"false"),B3,Q12),Q12))</f>
        <v>#VALUE!</v>
      </c>
      <c r="R12" t="e">
        <f ca="1">IF((A1)=(2),"",IF((8)=(R4),IF(IF((INDEX(B1:XFD1,((A3)+(1))+(0)))=("store"),(INDEX(B1:XFD1,((A3)+(1))+(1)))=("R"),"false"),B3,R12),R12))</f>
        <v>#VALUE!</v>
      </c>
      <c r="S12" t="e">
        <f ca="1">IF((A1)=(2),"",IF((8)=(S4),IF(IF((INDEX(B1:XFD1,((A3)+(1))+(0)))=("store"),(INDEX(B1:XFD1,((A3)+(1))+(1)))=("S"),"false"),B3,S12),S12))</f>
        <v>#VALUE!</v>
      </c>
      <c r="T12" t="e">
        <f ca="1">IF((A1)=(2),"",IF((8)=(T4),IF(IF((INDEX(B1:XFD1,((A3)+(1))+(0)))=("store"),(INDEX(B1:XFD1,((A3)+(1))+(1)))=("T"),"false"),B3,T12),T12))</f>
        <v>#VALUE!</v>
      </c>
      <c r="U12" t="e">
        <f ca="1">IF((A1)=(2),"",IF((8)=(U4),IF(IF((INDEX(B1:XFD1,((A3)+(1))+(0)))=("store"),(INDEX(B1:XFD1,((A3)+(1))+(1)))=("U"),"false"),B3,U12),U12))</f>
        <v>#VALUE!</v>
      </c>
      <c r="V12" t="e">
        <f ca="1">IF((A1)=(2),"",IF((8)=(V4),IF(IF((INDEX(B1:XFD1,((A3)+(1))+(0)))=("store"),(INDEX(B1:XFD1,((A3)+(1))+(1)))=("V"),"false"),B3,V12),V12))</f>
        <v>#VALUE!</v>
      </c>
      <c r="W12" t="e">
        <f ca="1">IF((A1)=(2),"",IF((8)=(W4),IF(IF((INDEX(B1:XFD1,((A3)+(1))+(0)))=("store"),(INDEX(B1:XFD1,((A3)+(1))+(1)))=("W"),"false"),B3,W12),W12))</f>
        <v>#VALUE!</v>
      </c>
      <c r="X12" t="e">
        <f ca="1">IF((A1)=(2),"",IF((8)=(X4),IF(IF((INDEX(B1:XFD1,((A3)+(1))+(0)))=("store"),(INDEX(B1:XFD1,((A3)+(1))+(1)))=("X"),"false"),B3,X12),X12))</f>
        <v>#VALUE!</v>
      </c>
      <c r="Y12" t="e">
        <f ca="1">IF((A1)=(2),"",IF((8)=(Y4),IF(IF((INDEX(B1:XFD1,((A3)+(1))+(0)))=("store"),(INDEX(B1:XFD1,((A3)+(1))+(1)))=("Y"),"false"),B3,Y12),Y12))</f>
        <v>#VALUE!</v>
      </c>
      <c r="Z12" t="e">
        <f ca="1">IF((A1)=(2),"",IF((8)=(Z4),IF(IF((INDEX(B1:XFD1,((A3)+(1))+(0)))=("store"),(INDEX(B1:XFD1,((A3)+(1))+(1)))=("Z"),"false"),B3,Z12),Z12))</f>
        <v>#VALUE!</v>
      </c>
      <c r="AA12" t="e">
        <f ca="1">IF((A1)=(2),"",IF((8)=(AA4),IF(IF((INDEX(B1:XFD1,((A3)+(1))+(0)))=("store"),(INDEX(B1:XFD1,((A3)+(1))+(1)))=("AA"),"false"),B3,AA12),AA12))</f>
        <v>#VALUE!</v>
      </c>
      <c r="AB12" t="e">
        <f ca="1">IF((A1)=(2),"",IF((8)=(AB4),IF(IF((INDEX(B1:XFD1,((A3)+(1))+(0)))=("store"),(INDEX(B1:XFD1,((A3)+(1))+(1)))=("AB"),"false"),B3,AB12),AB12))</f>
        <v>#VALUE!</v>
      </c>
      <c r="AC12" t="e">
        <f ca="1">IF((A1)=(2),"",IF((8)=(AC4),IF(IF((INDEX(B1:XFD1,((A3)+(1))+(0)))=("store"),(INDEX(B1:XFD1,((A3)+(1))+(1)))=("AC"),"false"),B3,AC12),AC12))</f>
        <v>#VALUE!</v>
      </c>
      <c r="AD12" t="e">
        <f ca="1">IF((A1)=(2),"",IF((8)=(AD4),IF(IF((INDEX(B1:XFD1,((A3)+(1))+(0)))=("store"),(INDEX(B1:XFD1,((A3)+(1))+(1)))=("AD"),"false"),B3,AD12),AD12))</f>
        <v>#VALUE!</v>
      </c>
    </row>
    <row r="13" spans="1:53" x14ac:dyDescent="0.25">
      <c r="A13" t="e">
        <f ca="1">IF((A1)=(2),"",IF((9)=(A4),IF(("call")=(INDEX(B1:XFD1,((A3)+(1))+(0))),(B3)*(2),IF(("goto")=(INDEX(B1:XFD1,((A3)+(1))+(0))),(INDEX(B1:XFD1,((A3)+(1))+(1)))*(2),IF(("gotoiftrue")=(INDEX(B1:XFD1,((A3)+(1))+(0))),IF(B3,(INDEX(B1:XFD1,((A3)+(1))+(1)))*(2),(A13)+(2)),(A13)+(2)))),A13))</f>
        <v>#VALUE!</v>
      </c>
      <c r="B13" t="e">
        <f ca="1">IF((A1)=(2),"",IF((9)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13)+(1)),IF(("add")=(INDEX(B1:XFD1,((A3)+(1))+(0))),(INDEX(B5:B405,(B4)+(1)))+(B13),IF(("equals")=(INDEX(B1:XFD1,((A3)+(1))+(0))),(INDEX(B5:B405,(B4)+(1)))=(B13),IF(("leq")=(INDEX(B1:XFD1,((A3)+(1))+(0))),(INDEX(B5:B405,(B4)+(1)))&lt;=(B13),IF(("greater")=(INDEX(B1:XFD1,((A3)+(1))+(0))),(INDEX(B5:B405,(B4)+(1)))&gt;(B13),IF(("mod")=(INDEX(B1:XFD1,((A3)+(1))+(0))),MOD(INDEX(B5:B405,(B4)+(1)),B13),B13))))))))),B13))</f>
        <v>#VALUE!</v>
      </c>
      <c r="C13" t="e">
        <f ca="1">IF((A1)=(2),1,IF(AND((INDEX(B1:XFD1,((A3)+(1))+(0)))=("writeheap"),(INDEX(B5:B405,(B4)+(1)))=(8)),INDEX(B5:B405,(B4)+(2)),IF((A1)=(2),"",IF((9)=(C4),C13,C13))))</f>
        <v>#VALUE!</v>
      </c>
      <c r="D13" t="e">
        <f ca="1">IF((A1)=(2),"",IF((9)=(D4),D13,D13))</f>
        <v>#VALUE!</v>
      </c>
      <c r="F13" t="e">
        <f ca="1">IF((A1)=(2),"",IF((9)=(F4),IF(IF((INDEX(B1:XFD1,((A3)+(1))+(0)))=("store"),(INDEX(B1:XFD1,((A3)+(1))+(1)))=("F"),"false"),B3,F13),F13))</f>
        <v>#VALUE!</v>
      </c>
      <c r="G13" t="e">
        <f ca="1">IF((A1)=(2),"",IF((9)=(G4),IF(IF((INDEX(B1:XFD1,((A3)+(1))+(0)))=("store"),(INDEX(B1:XFD1,((A3)+(1))+(1)))=("G"),"false"),B3,G13),G13))</f>
        <v>#VALUE!</v>
      </c>
      <c r="H13" t="e">
        <f ca="1">IF((A1)=(2),"",IF((9)=(H4),IF(IF((INDEX(B1:XFD1,((A3)+(1))+(0)))=("store"),(INDEX(B1:XFD1,((A3)+(1))+(1)))=("H"),"false"),B3,H13),H13))</f>
        <v>#VALUE!</v>
      </c>
      <c r="I13" t="e">
        <f ca="1">IF((A1)=(2),"",IF((9)=(I4),IF(IF((INDEX(B1:XFD1,((A3)+(1))+(0)))=("store"),(INDEX(B1:XFD1,((A3)+(1))+(1)))=("I"),"false"),B3,I13),I13))</f>
        <v>#VALUE!</v>
      </c>
      <c r="J13" t="e">
        <f ca="1">IF((A1)=(2),"",IF((9)=(J4),IF(IF((INDEX(B1:XFD1,((A3)+(1))+(0)))=("store"),(INDEX(B1:XFD1,((A3)+(1))+(1)))=("J"),"false"),B3,J13),J13))</f>
        <v>#VALUE!</v>
      </c>
      <c r="K13" t="e">
        <f ca="1">IF((A1)=(2),"",IF((9)=(K4),IF(IF((INDEX(B1:XFD1,((A3)+(1))+(0)))=("store"),(INDEX(B1:XFD1,((A3)+(1))+(1)))=("K"),"false"),B3,K13),K13))</f>
        <v>#VALUE!</v>
      </c>
      <c r="L13" t="e">
        <f ca="1">IF((A1)=(2),"",IF((9)=(L4),IF(IF((INDEX(B1:XFD1,((A3)+(1))+(0)))=("store"),(INDEX(B1:XFD1,((A3)+(1))+(1)))=("L"),"false"),B3,L13),L13))</f>
        <v>#VALUE!</v>
      </c>
      <c r="M13" t="e">
        <f ca="1">IF((A1)=(2),"",IF((9)=(M4),IF(IF((INDEX(B1:XFD1,((A3)+(1))+(0)))=("store"),(INDEX(B1:XFD1,((A3)+(1))+(1)))=("M"),"false"),B3,M13),M13))</f>
        <v>#VALUE!</v>
      </c>
      <c r="N13" t="e">
        <f ca="1">IF((A1)=(2),"",IF((9)=(N4),IF(IF((INDEX(B1:XFD1,((A3)+(1))+(0)))=("store"),(INDEX(B1:XFD1,((A3)+(1))+(1)))=("N"),"false"),B3,N13),N13))</f>
        <v>#VALUE!</v>
      </c>
      <c r="O13" t="e">
        <f ca="1">IF((A1)=(2),"",IF((9)=(O4),IF(IF((INDEX(B1:XFD1,((A3)+(1))+(0)))=("store"),(INDEX(B1:XFD1,((A3)+(1))+(1)))=("O"),"false"),B3,O13),O13))</f>
        <v>#VALUE!</v>
      </c>
      <c r="P13" t="e">
        <f ca="1">IF((A1)=(2),"",IF((9)=(P4),IF(IF((INDEX(B1:XFD1,((A3)+(1))+(0)))=("store"),(INDEX(B1:XFD1,((A3)+(1))+(1)))=("P"),"false"),B3,P13),P13))</f>
        <v>#VALUE!</v>
      </c>
      <c r="Q13" t="e">
        <f ca="1">IF((A1)=(2),"",IF((9)=(Q4),IF(IF((INDEX(B1:XFD1,((A3)+(1))+(0)))=("store"),(INDEX(B1:XFD1,((A3)+(1))+(1)))=("Q"),"false"),B3,Q13),Q13))</f>
        <v>#VALUE!</v>
      </c>
      <c r="R13" t="e">
        <f ca="1">IF((A1)=(2),"",IF((9)=(R4),IF(IF((INDEX(B1:XFD1,((A3)+(1))+(0)))=("store"),(INDEX(B1:XFD1,((A3)+(1))+(1)))=("R"),"false"),B3,R13),R13))</f>
        <v>#VALUE!</v>
      </c>
      <c r="S13" t="e">
        <f ca="1">IF((A1)=(2),"",IF((9)=(S4),IF(IF((INDEX(B1:XFD1,((A3)+(1))+(0)))=("store"),(INDEX(B1:XFD1,((A3)+(1))+(1)))=("S"),"false"),B3,S13),S13))</f>
        <v>#VALUE!</v>
      </c>
      <c r="T13" t="e">
        <f ca="1">IF((A1)=(2),"",IF((9)=(T4),IF(IF((INDEX(B1:XFD1,((A3)+(1))+(0)))=("store"),(INDEX(B1:XFD1,((A3)+(1))+(1)))=("T"),"false"),B3,T13),T13))</f>
        <v>#VALUE!</v>
      </c>
      <c r="U13" t="e">
        <f ca="1">IF((A1)=(2),"",IF((9)=(U4),IF(IF((INDEX(B1:XFD1,((A3)+(1))+(0)))=("store"),(INDEX(B1:XFD1,((A3)+(1))+(1)))=("U"),"false"),B3,U13),U13))</f>
        <v>#VALUE!</v>
      </c>
      <c r="V13" t="e">
        <f ca="1">IF((A1)=(2),"",IF((9)=(V4),IF(IF((INDEX(B1:XFD1,((A3)+(1))+(0)))=("store"),(INDEX(B1:XFD1,((A3)+(1))+(1)))=("V"),"false"),B3,V13),V13))</f>
        <v>#VALUE!</v>
      </c>
      <c r="W13" t="e">
        <f ca="1">IF((A1)=(2),"",IF((9)=(W4),IF(IF((INDEX(B1:XFD1,((A3)+(1))+(0)))=("store"),(INDEX(B1:XFD1,((A3)+(1))+(1)))=("W"),"false"),B3,W13),W13))</f>
        <v>#VALUE!</v>
      </c>
      <c r="X13" t="e">
        <f ca="1">IF((A1)=(2),"",IF((9)=(X4),IF(IF((INDEX(B1:XFD1,((A3)+(1))+(0)))=("store"),(INDEX(B1:XFD1,((A3)+(1))+(1)))=("X"),"false"),B3,X13),X13))</f>
        <v>#VALUE!</v>
      </c>
      <c r="Y13" t="e">
        <f ca="1">IF((A1)=(2),"",IF((9)=(Y4),IF(IF((INDEX(B1:XFD1,((A3)+(1))+(0)))=("store"),(INDEX(B1:XFD1,((A3)+(1))+(1)))=("Y"),"false"),B3,Y13),Y13))</f>
        <v>#VALUE!</v>
      </c>
      <c r="Z13" t="e">
        <f ca="1">IF((A1)=(2),"",IF((9)=(Z4),IF(IF((INDEX(B1:XFD1,((A3)+(1))+(0)))=("store"),(INDEX(B1:XFD1,((A3)+(1))+(1)))=("Z"),"false"),B3,Z13),Z13))</f>
        <v>#VALUE!</v>
      </c>
      <c r="AA13" t="e">
        <f ca="1">IF((A1)=(2),"",IF((9)=(AA4),IF(IF((INDEX(B1:XFD1,((A3)+(1))+(0)))=("store"),(INDEX(B1:XFD1,((A3)+(1))+(1)))=("AA"),"false"),B3,AA13),AA13))</f>
        <v>#VALUE!</v>
      </c>
      <c r="AB13" t="e">
        <f ca="1">IF((A1)=(2),"",IF((9)=(AB4),IF(IF((INDEX(B1:XFD1,((A3)+(1))+(0)))=("store"),(INDEX(B1:XFD1,((A3)+(1))+(1)))=("AB"),"false"),B3,AB13),AB13))</f>
        <v>#VALUE!</v>
      </c>
      <c r="AC13" t="e">
        <f ca="1">IF((A1)=(2),"",IF((9)=(AC4),IF(IF((INDEX(B1:XFD1,((A3)+(1))+(0)))=("store"),(INDEX(B1:XFD1,((A3)+(1))+(1)))=("AC"),"false"),B3,AC13),AC13))</f>
        <v>#VALUE!</v>
      </c>
      <c r="AD13" t="e">
        <f ca="1">IF((A1)=(2),"",IF((9)=(AD4),IF(IF((INDEX(B1:XFD1,((A3)+(1))+(0)))=("store"),(INDEX(B1:XFD1,((A3)+(1))+(1)))=("AD"),"false"),B3,AD13),AD13))</f>
        <v>#VALUE!</v>
      </c>
    </row>
    <row r="14" spans="1:53" x14ac:dyDescent="0.25">
      <c r="A14" t="e">
        <f ca="1">IF((A1)=(2),"",IF((10)=(A4),IF(("call")=(INDEX(B1:XFD1,((A3)+(1))+(0))),(B3)*(2),IF(("goto")=(INDEX(B1:XFD1,((A3)+(1))+(0))),(INDEX(B1:XFD1,((A3)+(1))+(1)))*(2),IF(("gotoiftrue")=(INDEX(B1:XFD1,((A3)+(1))+(0))),IF(B3,(INDEX(B1:XFD1,((A3)+(1))+(1)))*(2),(A14)+(2)),(A14)+(2)))),A14))</f>
        <v>#VALUE!</v>
      </c>
      <c r="B14" t="e">
        <f ca="1">IF((A1)=(2),"",IF((10)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14)+(1)),IF(("add")=(INDEX(B1:XFD1,((A3)+(1))+(0))),(INDEX(B5:B405,(B4)+(1)))+(B14),IF(("equals")=(INDEX(B1:XFD1,((A3)+(1))+(0))),(INDEX(B5:B405,(B4)+(1)))=(B14),IF(("leq")=(INDEX(B1:XFD1,((A3)+(1))+(0))),(INDEX(B5:B405,(B4)+(1)))&lt;=(B14),IF(("greater")=(INDEX(B1:XFD1,((A3)+(1))+(0))),(INDEX(B5:B405,(B4)+(1)))&gt;(B14),IF(("mod")=(INDEX(B1:XFD1,((A3)+(1))+(0))),MOD(INDEX(B5:B405,(B4)+(1)),B14),B14))))))))),B14))</f>
        <v>#VALUE!</v>
      </c>
      <c r="C14" t="e">
        <f ca="1">IF((A1)=(2),1,IF(AND((INDEX(B1:XFD1,((A3)+(1))+(0)))=("writeheap"),(INDEX(B5:B405,(B4)+(1)))=(9)),INDEX(B5:B405,(B4)+(2)),IF((A1)=(2),"",IF((10)=(C4),C14,C14))))</f>
        <v>#VALUE!</v>
      </c>
      <c r="D14" t="e">
        <f ca="1">IF((A1)=(2),"",IF((10)=(D4),D14,D14))</f>
        <v>#VALUE!</v>
      </c>
      <c r="F14" t="e">
        <f ca="1">IF((A1)=(2),"",IF((10)=(F4),IF(IF((INDEX(B1:XFD1,((A3)+(1))+(0)))=("store"),(INDEX(B1:XFD1,((A3)+(1))+(1)))=("F"),"false"),B3,F14),F14))</f>
        <v>#VALUE!</v>
      </c>
      <c r="G14" t="e">
        <f ca="1">IF((A1)=(2),"",IF((10)=(G4),IF(IF((INDEX(B1:XFD1,((A3)+(1))+(0)))=("store"),(INDEX(B1:XFD1,((A3)+(1))+(1)))=("G"),"false"),B3,G14),G14))</f>
        <v>#VALUE!</v>
      </c>
      <c r="H14" t="e">
        <f ca="1">IF((A1)=(2),"",IF((10)=(H4),IF(IF((INDEX(B1:XFD1,((A3)+(1))+(0)))=("store"),(INDEX(B1:XFD1,((A3)+(1))+(1)))=("H"),"false"),B3,H14),H14))</f>
        <v>#VALUE!</v>
      </c>
      <c r="I14" t="e">
        <f ca="1">IF((A1)=(2),"",IF((10)=(I4),IF(IF((INDEX(B1:XFD1,((A3)+(1))+(0)))=("store"),(INDEX(B1:XFD1,((A3)+(1))+(1)))=("I"),"false"),B3,I14),I14))</f>
        <v>#VALUE!</v>
      </c>
      <c r="J14" t="e">
        <f ca="1">IF((A1)=(2),"",IF((10)=(J4),IF(IF((INDEX(B1:XFD1,((A3)+(1))+(0)))=("store"),(INDEX(B1:XFD1,((A3)+(1))+(1)))=("J"),"false"),B3,J14),J14))</f>
        <v>#VALUE!</v>
      </c>
      <c r="K14" t="e">
        <f ca="1">IF((A1)=(2),"",IF((10)=(K4),IF(IF((INDEX(B1:XFD1,((A3)+(1))+(0)))=("store"),(INDEX(B1:XFD1,((A3)+(1))+(1)))=("K"),"false"),B3,K14),K14))</f>
        <v>#VALUE!</v>
      </c>
      <c r="L14" t="e">
        <f ca="1">IF((A1)=(2),"",IF((10)=(L4),IF(IF((INDEX(B1:XFD1,((A3)+(1))+(0)))=("store"),(INDEX(B1:XFD1,((A3)+(1))+(1)))=("L"),"false"),B3,L14),L14))</f>
        <v>#VALUE!</v>
      </c>
      <c r="M14" t="e">
        <f ca="1">IF((A1)=(2),"",IF((10)=(M4),IF(IF((INDEX(B1:XFD1,((A3)+(1))+(0)))=("store"),(INDEX(B1:XFD1,((A3)+(1))+(1)))=("M"),"false"),B3,M14),M14))</f>
        <v>#VALUE!</v>
      </c>
      <c r="N14" t="e">
        <f ca="1">IF((A1)=(2),"",IF((10)=(N4),IF(IF((INDEX(B1:XFD1,((A3)+(1))+(0)))=("store"),(INDEX(B1:XFD1,((A3)+(1))+(1)))=("N"),"false"),B3,N14),N14))</f>
        <v>#VALUE!</v>
      </c>
      <c r="O14" t="e">
        <f ca="1">IF((A1)=(2),"",IF((10)=(O4),IF(IF((INDEX(B1:XFD1,((A3)+(1))+(0)))=("store"),(INDEX(B1:XFD1,((A3)+(1))+(1)))=("O"),"false"),B3,O14),O14))</f>
        <v>#VALUE!</v>
      </c>
      <c r="P14" t="e">
        <f ca="1">IF((A1)=(2),"",IF((10)=(P4),IF(IF((INDEX(B1:XFD1,((A3)+(1))+(0)))=("store"),(INDEX(B1:XFD1,((A3)+(1))+(1)))=("P"),"false"),B3,P14),P14))</f>
        <v>#VALUE!</v>
      </c>
      <c r="Q14" t="e">
        <f ca="1">IF((A1)=(2),"",IF((10)=(Q4),IF(IF((INDEX(B1:XFD1,((A3)+(1))+(0)))=("store"),(INDEX(B1:XFD1,((A3)+(1))+(1)))=("Q"),"false"),B3,Q14),Q14))</f>
        <v>#VALUE!</v>
      </c>
      <c r="R14" t="e">
        <f ca="1">IF((A1)=(2),"",IF((10)=(R4),IF(IF((INDEX(B1:XFD1,((A3)+(1))+(0)))=("store"),(INDEX(B1:XFD1,((A3)+(1))+(1)))=("R"),"false"),B3,R14),R14))</f>
        <v>#VALUE!</v>
      </c>
      <c r="S14" t="e">
        <f ca="1">IF((A1)=(2),"",IF((10)=(S4),IF(IF((INDEX(B1:XFD1,((A3)+(1))+(0)))=("store"),(INDEX(B1:XFD1,((A3)+(1))+(1)))=("S"),"false"),B3,S14),S14))</f>
        <v>#VALUE!</v>
      </c>
      <c r="T14" t="e">
        <f ca="1">IF((A1)=(2),"",IF((10)=(T4),IF(IF((INDEX(B1:XFD1,((A3)+(1))+(0)))=("store"),(INDEX(B1:XFD1,((A3)+(1))+(1)))=("T"),"false"),B3,T14),T14))</f>
        <v>#VALUE!</v>
      </c>
      <c r="U14" t="e">
        <f ca="1">IF((A1)=(2),"",IF((10)=(U4),IF(IF((INDEX(B1:XFD1,((A3)+(1))+(0)))=("store"),(INDEX(B1:XFD1,((A3)+(1))+(1)))=("U"),"false"),B3,U14),U14))</f>
        <v>#VALUE!</v>
      </c>
      <c r="V14" t="e">
        <f ca="1">IF((A1)=(2),"",IF((10)=(V4),IF(IF((INDEX(B1:XFD1,((A3)+(1))+(0)))=("store"),(INDEX(B1:XFD1,((A3)+(1))+(1)))=("V"),"false"),B3,V14),V14))</f>
        <v>#VALUE!</v>
      </c>
      <c r="W14" t="e">
        <f ca="1">IF((A1)=(2),"",IF((10)=(W4),IF(IF((INDEX(B1:XFD1,((A3)+(1))+(0)))=("store"),(INDEX(B1:XFD1,((A3)+(1))+(1)))=("W"),"false"),B3,W14),W14))</f>
        <v>#VALUE!</v>
      </c>
      <c r="X14" t="e">
        <f ca="1">IF((A1)=(2),"",IF((10)=(X4),IF(IF((INDEX(B1:XFD1,((A3)+(1))+(0)))=("store"),(INDEX(B1:XFD1,((A3)+(1))+(1)))=("X"),"false"),B3,X14),X14))</f>
        <v>#VALUE!</v>
      </c>
      <c r="Y14" t="e">
        <f ca="1">IF((A1)=(2),"",IF((10)=(Y4),IF(IF((INDEX(B1:XFD1,((A3)+(1))+(0)))=("store"),(INDEX(B1:XFD1,((A3)+(1))+(1)))=("Y"),"false"),B3,Y14),Y14))</f>
        <v>#VALUE!</v>
      </c>
      <c r="Z14" t="e">
        <f ca="1">IF((A1)=(2),"",IF((10)=(Z4),IF(IF((INDEX(B1:XFD1,((A3)+(1))+(0)))=("store"),(INDEX(B1:XFD1,((A3)+(1))+(1)))=("Z"),"false"),B3,Z14),Z14))</f>
        <v>#VALUE!</v>
      </c>
      <c r="AA14" t="e">
        <f ca="1">IF((A1)=(2),"",IF((10)=(AA4),IF(IF((INDEX(B1:XFD1,((A3)+(1))+(0)))=("store"),(INDEX(B1:XFD1,((A3)+(1))+(1)))=("AA"),"false"),B3,AA14),AA14))</f>
        <v>#VALUE!</v>
      </c>
      <c r="AB14" t="e">
        <f ca="1">IF((A1)=(2),"",IF((10)=(AB4),IF(IF((INDEX(B1:XFD1,((A3)+(1))+(0)))=("store"),(INDEX(B1:XFD1,((A3)+(1))+(1)))=("AB"),"false"),B3,AB14),AB14))</f>
        <v>#VALUE!</v>
      </c>
      <c r="AC14" t="e">
        <f ca="1">IF((A1)=(2),"",IF((10)=(AC4),IF(IF((INDEX(B1:XFD1,((A3)+(1))+(0)))=("store"),(INDEX(B1:XFD1,((A3)+(1))+(1)))=("AC"),"false"),B3,AC14),AC14))</f>
        <v>#VALUE!</v>
      </c>
      <c r="AD14" t="e">
        <f ca="1">IF((A1)=(2),"",IF((10)=(AD4),IF(IF((INDEX(B1:XFD1,((A3)+(1))+(0)))=("store"),(INDEX(B1:XFD1,((A3)+(1))+(1)))=("AD"),"false"),B3,AD14),AD14))</f>
        <v>#VALUE!</v>
      </c>
    </row>
    <row r="15" spans="1:53" x14ac:dyDescent="0.25">
      <c r="A15" t="e">
        <f ca="1">IF((A1)=(2),"",IF((11)=(A4),IF(("call")=(INDEX(B1:XFD1,((A3)+(1))+(0))),(B3)*(2),IF(("goto")=(INDEX(B1:XFD1,((A3)+(1))+(0))),(INDEX(B1:XFD1,((A3)+(1))+(1)))*(2),IF(("gotoiftrue")=(INDEX(B1:XFD1,((A3)+(1))+(0))),IF(B3,(INDEX(B1:XFD1,((A3)+(1))+(1)))*(2),(A15)+(2)),(A15)+(2)))),A15))</f>
        <v>#VALUE!</v>
      </c>
      <c r="B15" t="e">
        <f ca="1">IF((A1)=(2),"",IF((11)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15)+(1)),IF(("add")=(INDEX(B1:XFD1,((A3)+(1))+(0))),(INDEX(B5:B405,(B4)+(1)))+(B15),IF(("equals")=(INDEX(B1:XFD1,((A3)+(1))+(0))),(INDEX(B5:B405,(B4)+(1)))=(B15),IF(("leq")=(INDEX(B1:XFD1,((A3)+(1))+(0))),(INDEX(B5:B405,(B4)+(1)))&lt;=(B15),IF(("greater")=(INDEX(B1:XFD1,((A3)+(1))+(0))),(INDEX(B5:B405,(B4)+(1)))&gt;(B15),IF(("mod")=(INDEX(B1:XFD1,((A3)+(1))+(0))),MOD(INDEX(B5:B405,(B4)+(1)),B15),B15))))))))),B15))</f>
        <v>#VALUE!</v>
      </c>
      <c r="C15" t="e">
        <f ca="1">IF((A1)=(2),1,IF(AND((INDEX(B1:XFD1,((A3)+(1))+(0)))=("writeheap"),(INDEX(B5:B405,(B4)+(1)))=(10)),INDEX(B5:B405,(B4)+(2)),IF((A1)=(2),"",IF((11)=(C4),C15,C15))))</f>
        <v>#VALUE!</v>
      </c>
      <c r="D15" t="e">
        <f ca="1">IF((A1)=(2),"",IF((11)=(D4),D15,D15))</f>
        <v>#VALUE!</v>
      </c>
      <c r="F15" t="e">
        <f ca="1">IF((A1)=(2),"",IF((11)=(F4),IF(IF((INDEX(B1:XFD1,((A3)+(1))+(0)))=("store"),(INDEX(B1:XFD1,((A3)+(1))+(1)))=("F"),"false"),B3,F15),F15))</f>
        <v>#VALUE!</v>
      </c>
      <c r="G15" t="e">
        <f ca="1">IF((A1)=(2),"",IF((11)=(G4),IF(IF((INDEX(B1:XFD1,((A3)+(1))+(0)))=("store"),(INDEX(B1:XFD1,((A3)+(1))+(1)))=("G"),"false"),B3,G15),G15))</f>
        <v>#VALUE!</v>
      </c>
      <c r="H15" t="e">
        <f ca="1">IF((A1)=(2),"",IF((11)=(H4),IF(IF((INDEX(B1:XFD1,((A3)+(1))+(0)))=("store"),(INDEX(B1:XFD1,((A3)+(1))+(1)))=("H"),"false"),B3,H15),H15))</f>
        <v>#VALUE!</v>
      </c>
      <c r="I15" t="e">
        <f ca="1">IF((A1)=(2),"",IF((11)=(I4),IF(IF((INDEX(B1:XFD1,((A3)+(1))+(0)))=("store"),(INDEX(B1:XFD1,((A3)+(1))+(1)))=("I"),"false"),B3,I15),I15))</f>
        <v>#VALUE!</v>
      </c>
      <c r="J15" t="e">
        <f ca="1">IF((A1)=(2),"",IF((11)=(J4),IF(IF((INDEX(B1:XFD1,((A3)+(1))+(0)))=("store"),(INDEX(B1:XFD1,((A3)+(1))+(1)))=("J"),"false"),B3,J15),J15))</f>
        <v>#VALUE!</v>
      </c>
      <c r="K15" t="e">
        <f ca="1">IF((A1)=(2),"",IF((11)=(K4),IF(IF((INDEX(B1:XFD1,((A3)+(1))+(0)))=("store"),(INDEX(B1:XFD1,((A3)+(1))+(1)))=("K"),"false"),B3,K15),K15))</f>
        <v>#VALUE!</v>
      </c>
      <c r="L15" t="e">
        <f ca="1">IF((A1)=(2),"",IF((11)=(L4),IF(IF((INDEX(B1:XFD1,((A3)+(1))+(0)))=("store"),(INDEX(B1:XFD1,((A3)+(1))+(1)))=("L"),"false"),B3,L15),L15))</f>
        <v>#VALUE!</v>
      </c>
      <c r="M15" t="e">
        <f ca="1">IF((A1)=(2),"",IF((11)=(M4),IF(IF((INDEX(B1:XFD1,((A3)+(1))+(0)))=("store"),(INDEX(B1:XFD1,((A3)+(1))+(1)))=("M"),"false"),B3,M15),M15))</f>
        <v>#VALUE!</v>
      </c>
      <c r="N15" t="e">
        <f ca="1">IF((A1)=(2),"",IF((11)=(N4),IF(IF((INDEX(B1:XFD1,((A3)+(1))+(0)))=("store"),(INDEX(B1:XFD1,((A3)+(1))+(1)))=("N"),"false"),B3,N15),N15))</f>
        <v>#VALUE!</v>
      </c>
      <c r="O15" t="e">
        <f ca="1">IF((A1)=(2),"",IF((11)=(O4),IF(IF((INDEX(B1:XFD1,((A3)+(1))+(0)))=("store"),(INDEX(B1:XFD1,((A3)+(1))+(1)))=("O"),"false"),B3,O15),O15))</f>
        <v>#VALUE!</v>
      </c>
      <c r="P15" t="e">
        <f ca="1">IF((A1)=(2),"",IF((11)=(P4),IF(IF((INDEX(B1:XFD1,((A3)+(1))+(0)))=("store"),(INDEX(B1:XFD1,((A3)+(1))+(1)))=("P"),"false"),B3,P15),P15))</f>
        <v>#VALUE!</v>
      </c>
      <c r="Q15" t="e">
        <f ca="1">IF((A1)=(2),"",IF((11)=(Q4),IF(IF((INDEX(B1:XFD1,((A3)+(1))+(0)))=("store"),(INDEX(B1:XFD1,((A3)+(1))+(1)))=("Q"),"false"),B3,Q15),Q15))</f>
        <v>#VALUE!</v>
      </c>
      <c r="R15" t="e">
        <f ca="1">IF((A1)=(2),"",IF((11)=(R4),IF(IF((INDEX(B1:XFD1,((A3)+(1))+(0)))=("store"),(INDEX(B1:XFD1,((A3)+(1))+(1)))=("R"),"false"),B3,R15),R15))</f>
        <v>#VALUE!</v>
      </c>
      <c r="S15" t="e">
        <f ca="1">IF((A1)=(2),"",IF((11)=(S4),IF(IF((INDEX(B1:XFD1,((A3)+(1))+(0)))=("store"),(INDEX(B1:XFD1,((A3)+(1))+(1)))=("S"),"false"),B3,S15),S15))</f>
        <v>#VALUE!</v>
      </c>
      <c r="T15" t="e">
        <f ca="1">IF((A1)=(2),"",IF((11)=(T4),IF(IF((INDEX(B1:XFD1,((A3)+(1))+(0)))=("store"),(INDEX(B1:XFD1,((A3)+(1))+(1)))=("T"),"false"),B3,T15),T15))</f>
        <v>#VALUE!</v>
      </c>
      <c r="U15" t="e">
        <f ca="1">IF((A1)=(2),"",IF((11)=(U4),IF(IF((INDEX(B1:XFD1,((A3)+(1))+(0)))=("store"),(INDEX(B1:XFD1,((A3)+(1))+(1)))=("U"),"false"),B3,U15),U15))</f>
        <v>#VALUE!</v>
      </c>
      <c r="V15" t="e">
        <f ca="1">IF((A1)=(2),"",IF((11)=(V4),IF(IF((INDEX(B1:XFD1,((A3)+(1))+(0)))=("store"),(INDEX(B1:XFD1,((A3)+(1))+(1)))=("V"),"false"),B3,V15),V15))</f>
        <v>#VALUE!</v>
      </c>
      <c r="W15" t="e">
        <f ca="1">IF((A1)=(2),"",IF((11)=(W4),IF(IF((INDEX(B1:XFD1,((A3)+(1))+(0)))=("store"),(INDEX(B1:XFD1,((A3)+(1))+(1)))=("W"),"false"),B3,W15),W15))</f>
        <v>#VALUE!</v>
      </c>
      <c r="X15" t="e">
        <f ca="1">IF((A1)=(2),"",IF((11)=(X4),IF(IF((INDEX(B1:XFD1,((A3)+(1))+(0)))=("store"),(INDEX(B1:XFD1,((A3)+(1))+(1)))=("X"),"false"),B3,X15),X15))</f>
        <v>#VALUE!</v>
      </c>
      <c r="Y15" t="e">
        <f ca="1">IF((A1)=(2),"",IF((11)=(Y4),IF(IF((INDEX(B1:XFD1,((A3)+(1))+(0)))=("store"),(INDEX(B1:XFD1,((A3)+(1))+(1)))=("Y"),"false"),B3,Y15),Y15))</f>
        <v>#VALUE!</v>
      </c>
      <c r="Z15" t="e">
        <f ca="1">IF((A1)=(2),"",IF((11)=(Z4),IF(IF((INDEX(B1:XFD1,((A3)+(1))+(0)))=("store"),(INDEX(B1:XFD1,((A3)+(1))+(1)))=("Z"),"false"),B3,Z15),Z15))</f>
        <v>#VALUE!</v>
      </c>
      <c r="AA15" t="e">
        <f ca="1">IF((A1)=(2),"",IF((11)=(AA4),IF(IF((INDEX(B1:XFD1,((A3)+(1))+(0)))=("store"),(INDEX(B1:XFD1,((A3)+(1))+(1)))=("AA"),"false"),B3,AA15),AA15))</f>
        <v>#VALUE!</v>
      </c>
      <c r="AB15" t="e">
        <f ca="1">IF((A1)=(2),"",IF((11)=(AB4),IF(IF((INDEX(B1:XFD1,((A3)+(1))+(0)))=("store"),(INDEX(B1:XFD1,((A3)+(1))+(1)))=("AB"),"false"),B3,AB15),AB15))</f>
        <v>#VALUE!</v>
      </c>
      <c r="AC15" t="e">
        <f ca="1">IF((A1)=(2),"",IF((11)=(AC4),IF(IF((INDEX(B1:XFD1,((A3)+(1))+(0)))=("store"),(INDEX(B1:XFD1,((A3)+(1))+(1)))=("AC"),"false"),B3,AC15),AC15))</f>
        <v>#VALUE!</v>
      </c>
      <c r="AD15" t="e">
        <f ca="1">IF((A1)=(2),"",IF((11)=(AD4),IF(IF((INDEX(B1:XFD1,((A3)+(1))+(0)))=("store"),(INDEX(B1:XFD1,((A3)+(1))+(1)))=("AD"),"false"),B3,AD15),AD15))</f>
        <v>#VALUE!</v>
      </c>
    </row>
    <row r="16" spans="1:53" x14ac:dyDescent="0.25">
      <c r="A16" t="e">
        <f ca="1">IF((A1)=(2),"",IF((12)=(A4),IF(("call")=(INDEX(B1:XFD1,((A3)+(1))+(0))),(B3)*(2),IF(("goto")=(INDEX(B1:XFD1,((A3)+(1))+(0))),(INDEX(B1:XFD1,((A3)+(1))+(1)))*(2),IF(("gotoiftrue")=(INDEX(B1:XFD1,((A3)+(1))+(0))),IF(B3,(INDEX(B1:XFD1,((A3)+(1))+(1)))*(2),(A16)+(2)),(A16)+(2)))),A16))</f>
        <v>#VALUE!</v>
      </c>
      <c r="B16" t="e">
        <f ca="1">IF((A1)=(2),"",IF((12)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16)+(1)),IF(("add")=(INDEX(B1:XFD1,((A3)+(1))+(0))),(INDEX(B5:B405,(B4)+(1)))+(B16),IF(("equals")=(INDEX(B1:XFD1,((A3)+(1))+(0))),(INDEX(B5:B405,(B4)+(1)))=(B16),IF(("leq")=(INDEX(B1:XFD1,((A3)+(1))+(0))),(INDEX(B5:B405,(B4)+(1)))&lt;=(B16),IF(("greater")=(INDEX(B1:XFD1,((A3)+(1))+(0))),(INDEX(B5:B405,(B4)+(1)))&gt;(B16),IF(("mod")=(INDEX(B1:XFD1,((A3)+(1))+(0))),MOD(INDEX(B5:B405,(B4)+(1)),B16),B16))))))))),B16))</f>
        <v>#VALUE!</v>
      </c>
      <c r="C16" t="e">
        <f ca="1">IF((A1)=(2),1,IF(AND((INDEX(B1:XFD1,((A3)+(1))+(0)))=("writeheap"),(INDEX(B5:B405,(B4)+(1)))=(11)),INDEX(B5:B405,(B4)+(2)),IF((A1)=(2),"",IF((12)=(C4),C16,C16))))</f>
        <v>#VALUE!</v>
      </c>
      <c r="D16" t="e">
        <f ca="1">IF((A1)=(2),"",IF((12)=(D4),D16,D16))</f>
        <v>#VALUE!</v>
      </c>
      <c r="F16" t="e">
        <f ca="1">IF((A1)=(2),"",IF((12)=(F4),IF(IF((INDEX(B1:XFD1,((A3)+(1))+(0)))=("store"),(INDEX(B1:XFD1,((A3)+(1))+(1)))=("F"),"false"),B3,F16),F16))</f>
        <v>#VALUE!</v>
      </c>
      <c r="G16" t="e">
        <f ca="1">IF((A1)=(2),"",IF((12)=(G4),IF(IF((INDEX(B1:XFD1,((A3)+(1))+(0)))=("store"),(INDEX(B1:XFD1,((A3)+(1))+(1)))=("G"),"false"),B3,G16),G16))</f>
        <v>#VALUE!</v>
      </c>
      <c r="H16" t="e">
        <f ca="1">IF((A1)=(2),"",IF((12)=(H4),IF(IF((INDEX(B1:XFD1,((A3)+(1))+(0)))=("store"),(INDEX(B1:XFD1,((A3)+(1))+(1)))=("H"),"false"),B3,H16),H16))</f>
        <v>#VALUE!</v>
      </c>
      <c r="I16" t="e">
        <f ca="1">IF((A1)=(2),"",IF((12)=(I4),IF(IF((INDEX(B1:XFD1,((A3)+(1))+(0)))=("store"),(INDEX(B1:XFD1,((A3)+(1))+(1)))=("I"),"false"),B3,I16),I16))</f>
        <v>#VALUE!</v>
      </c>
      <c r="J16" t="e">
        <f ca="1">IF((A1)=(2),"",IF((12)=(J4),IF(IF((INDEX(B1:XFD1,((A3)+(1))+(0)))=("store"),(INDEX(B1:XFD1,((A3)+(1))+(1)))=("J"),"false"),B3,J16),J16))</f>
        <v>#VALUE!</v>
      </c>
      <c r="K16" t="e">
        <f ca="1">IF((A1)=(2),"",IF((12)=(K4),IF(IF((INDEX(B1:XFD1,((A3)+(1))+(0)))=("store"),(INDEX(B1:XFD1,((A3)+(1))+(1)))=("K"),"false"),B3,K16),K16))</f>
        <v>#VALUE!</v>
      </c>
      <c r="L16" t="e">
        <f ca="1">IF((A1)=(2),"",IF((12)=(L4),IF(IF((INDEX(B1:XFD1,((A3)+(1))+(0)))=("store"),(INDEX(B1:XFD1,((A3)+(1))+(1)))=("L"),"false"),B3,L16),L16))</f>
        <v>#VALUE!</v>
      </c>
      <c r="M16" t="e">
        <f ca="1">IF((A1)=(2),"",IF((12)=(M4),IF(IF((INDEX(B1:XFD1,((A3)+(1))+(0)))=("store"),(INDEX(B1:XFD1,((A3)+(1))+(1)))=("M"),"false"),B3,M16),M16))</f>
        <v>#VALUE!</v>
      </c>
      <c r="N16" t="e">
        <f ca="1">IF((A1)=(2),"",IF((12)=(N4),IF(IF((INDEX(B1:XFD1,((A3)+(1))+(0)))=("store"),(INDEX(B1:XFD1,((A3)+(1))+(1)))=("N"),"false"),B3,N16),N16))</f>
        <v>#VALUE!</v>
      </c>
      <c r="O16" t="e">
        <f ca="1">IF((A1)=(2),"",IF((12)=(O4),IF(IF((INDEX(B1:XFD1,((A3)+(1))+(0)))=("store"),(INDEX(B1:XFD1,((A3)+(1))+(1)))=("O"),"false"),B3,O16),O16))</f>
        <v>#VALUE!</v>
      </c>
      <c r="P16" t="e">
        <f ca="1">IF((A1)=(2),"",IF((12)=(P4),IF(IF((INDEX(B1:XFD1,((A3)+(1))+(0)))=("store"),(INDEX(B1:XFD1,((A3)+(1))+(1)))=("P"),"false"),B3,P16),P16))</f>
        <v>#VALUE!</v>
      </c>
      <c r="Q16" t="e">
        <f ca="1">IF((A1)=(2),"",IF((12)=(Q4),IF(IF((INDEX(B1:XFD1,((A3)+(1))+(0)))=("store"),(INDEX(B1:XFD1,((A3)+(1))+(1)))=("Q"),"false"),B3,Q16),Q16))</f>
        <v>#VALUE!</v>
      </c>
      <c r="R16" t="e">
        <f ca="1">IF((A1)=(2),"",IF((12)=(R4),IF(IF((INDEX(B1:XFD1,((A3)+(1))+(0)))=("store"),(INDEX(B1:XFD1,((A3)+(1))+(1)))=("R"),"false"),B3,R16),R16))</f>
        <v>#VALUE!</v>
      </c>
      <c r="S16" t="e">
        <f ca="1">IF((A1)=(2),"",IF((12)=(S4),IF(IF((INDEX(B1:XFD1,((A3)+(1))+(0)))=("store"),(INDEX(B1:XFD1,((A3)+(1))+(1)))=("S"),"false"),B3,S16),S16))</f>
        <v>#VALUE!</v>
      </c>
      <c r="T16" t="e">
        <f ca="1">IF((A1)=(2),"",IF((12)=(T4),IF(IF((INDEX(B1:XFD1,((A3)+(1))+(0)))=("store"),(INDEX(B1:XFD1,((A3)+(1))+(1)))=("T"),"false"),B3,T16),T16))</f>
        <v>#VALUE!</v>
      </c>
      <c r="U16" t="e">
        <f ca="1">IF((A1)=(2),"",IF((12)=(U4),IF(IF((INDEX(B1:XFD1,((A3)+(1))+(0)))=("store"),(INDEX(B1:XFD1,((A3)+(1))+(1)))=("U"),"false"),B3,U16),U16))</f>
        <v>#VALUE!</v>
      </c>
      <c r="V16" t="e">
        <f ca="1">IF((A1)=(2),"",IF((12)=(V4),IF(IF((INDEX(B1:XFD1,((A3)+(1))+(0)))=("store"),(INDEX(B1:XFD1,((A3)+(1))+(1)))=("V"),"false"),B3,V16),V16))</f>
        <v>#VALUE!</v>
      </c>
      <c r="W16" t="e">
        <f ca="1">IF((A1)=(2),"",IF((12)=(W4),IF(IF((INDEX(B1:XFD1,((A3)+(1))+(0)))=("store"),(INDEX(B1:XFD1,((A3)+(1))+(1)))=("W"),"false"),B3,W16),W16))</f>
        <v>#VALUE!</v>
      </c>
      <c r="X16" t="e">
        <f ca="1">IF((A1)=(2),"",IF((12)=(X4),IF(IF((INDEX(B1:XFD1,((A3)+(1))+(0)))=("store"),(INDEX(B1:XFD1,((A3)+(1))+(1)))=("X"),"false"),B3,X16),X16))</f>
        <v>#VALUE!</v>
      </c>
      <c r="Y16" t="e">
        <f ca="1">IF((A1)=(2),"",IF((12)=(Y4),IF(IF((INDEX(B1:XFD1,((A3)+(1))+(0)))=("store"),(INDEX(B1:XFD1,((A3)+(1))+(1)))=("Y"),"false"),B3,Y16),Y16))</f>
        <v>#VALUE!</v>
      </c>
      <c r="Z16" t="e">
        <f ca="1">IF((A1)=(2),"",IF((12)=(Z4),IF(IF((INDEX(B1:XFD1,((A3)+(1))+(0)))=("store"),(INDEX(B1:XFD1,((A3)+(1))+(1)))=("Z"),"false"),B3,Z16),Z16))</f>
        <v>#VALUE!</v>
      </c>
      <c r="AA16" t="e">
        <f ca="1">IF((A1)=(2),"",IF((12)=(AA4),IF(IF((INDEX(B1:XFD1,((A3)+(1))+(0)))=("store"),(INDEX(B1:XFD1,((A3)+(1))+(1)))=("AA"),"false"),B3,AA16),AA16))</f>
        <v>#VALUE!</v>
      </c>
      <c r="AB16" t="e">
        <f ca="1">IF((A1)=(2),"",IF((12)=(AB4),IF(IF((INDEX(B1:XFD1,((A3)+(1))+(0)))=("store"),(INDEX(B1:XFD1,((A3)+(1))+(1)))=("AB"),"false"),B3,AB16),AB16))</f>
        <v>#VALUE!</v>
      </c>
      <c r="AC16" t="e">
        <f ca="1">IF((A1)=(2),"",IF((12)=(AC4),IF(IF((INDEX(B1:XFD1,((A3)+(1))+(0)))=("store"),(INDEX(B1:XFD1,((A3)+(1))+(1)))=("AC"),"false"),B3,AC16),AC16))</f>
        <v>#VALUE!</v>
      </c>
      <c r="AD16" t="e">
        <f ca="1">IF((A1)=(2),"",IF((12)=(AD4),IF(IF((INDEX(B1:XFD1,((A3)+(1))+(0)))=("store"),(INDEX(B1:XFD1,((A3)+(1))+(1)))=("AD"),"false"),B3,AD16),AD16))</f>
        <v>#VALUE!</v>
      </c>
    </row>
    <row r="17" spans="1:30" x14ac:dyDescent="0.25">
      <c r="A17" t="e">
        <f ca="1">IF((A1)=(2),"",IF((13)=(A4),IF(("call")=(INDEX(B1:XFD1,((A3)+(1))+(0))),(B3)*(2),IF(("goto")=(INDEX(B1:XFD1,((A3)+(1))+(0))),(INDEX(B1:XFD1,((A3)+(1))+(1)))*(2),IF(("gotoiftrue")=(INDEX(B1:XFD1,((A3)+(1))+(0))),IF(B3,(INDEX(B1:XFD1,((A3)+(1))+(1)))*(2),(A17)+(2)),(A17)+(2)))),A17))</f>
        <v>#VALUE!</v>
      </c>
      <c r="B17" t="e">
        <f ca="1">IF((A1)=(2),"",IF((13)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17)+(1)),IF(("add")=(INDEX(B1:XFD1,((A3)+(1))+(0))),(INDEX(B5:B405,(B4)+(1)))+(B17),IF(("equals")=(INDEX(B1:XFD1,((A3)+(1))+(0))),(INDEX(B5:B405,(B4)+(1)))=(B17),IF(("leq")=(INDEX(B1:XFD1,((A3)+(1))+(0))),(INDEX(B5:B405,(B4)+(1)))&lt;=(B17),IF(("greater")=(INDEX(B1:XFD1,((A3)+(1))+(0))),(INDEX(B5:B405,(B4)+(1)))&gt;(B17),IF(("mod")=(INDEX(B1:XFD1,((A3)+(1))+(0))),MOD(INDEX(B5:B405,(B4)+(1)),B17),B17))))))))),B17))</f>
        <v>#VALUE!</v>
      </c>
      <c r="C17" t="e">
        <f ca="1">IF((A1)=(2),1,IF(AND((INDEX(B1:XFD1,((A3)+(1))+(0)))=("writeheap"),(INDEX(B5:B405,(B4)+(1)))=(12)),INDEX(B5:B405,(B4)+(2)),IF((A1)=(2),"",IF((13)=(C4),C17,C17))))</f>
        <v>#VALUE!</v>
      </c>
      <c r="D17" t="e">
        <f ca="1">IF((A1)=(2),"",IF((13)=(D4),D17,D17))</f>
        <v>#VALUE!</v>
      </c>
      <c r="F17" t="e">
        <f ca="1">IF((A1)=(2),"",IF((13)=(F4),IF(IF((INDEX(B1:XFD1,((A3)+(1))+(0)))=("store"),(INDEX(B1:XFD1,((A3)+(1))+(1)))=("F"),"false"),B3,F17),F17))</f>
        <v>#VALUE!</v>
      </c>
      <c r="G17" t="e">
        <f ca="1">IF((A1)=(2),"",IF((13)=(G4),IF(IF((INDEX(B1:XFD1,((A3)+(1))+(0)))=("store"),(INDEX(B1:XFD1,((A3)+(1))+(1)))=("G"),"false"),B3,G17),G17))</f>
        <v>#VALUE!</v>
      </c>
      <c r="H17" t="e">
        <f ca="1">IF((A1)=(2),"",IF((13)=(H4),IF(IF((INDEX(B1:XFD1,((A3)+(1))+(0)))=("store"),(INDEX(B1:XFD1,((A3)+(1))+(1)))=("H"),"false"),B3,H17),H17))</f>
        <v>#VALUE!</v>
      </c>
      <c r="I17" t="e">
        <f ca="1">IF((A1)=(2),"",IF((13)=(I4),IF(IF((INDEX(B1:XFD1,((A3)+(1))+(0)))=("store"),(INDEX(B1:XFD1,((A3)+(1))+(1)))=("I"),"false"),B3,I17),I17))</f>
        <v>#VALUE!</v>
      </c>
      <c r="J17" t="e">
        <f ca="1">IF((A1)=(2),"",IF((13)=(J4),IF(IF((INDEX(B1:XFD1,((A3)+(1))+(0)))=("store"),(INDEX(B1:XFD1,((A3)+(1))+(1)))=("J"),"false"),B3,J17),J17))</f>
        <v>#VALUE!</v>
      </c>
      <c r="K17" t="e">
        <f ca="1">IF((A1)=(2),"",IF((13)=(K4),IF(IF((INDEX(B1:XFD1,((A3)+(1))+(0)))=("store"),(INDEX(B1:XFD1,((A3)+(1))+(1)))=("K"),"false"),B3,K17),K17))</f>
        <v>#VALUE!</v>
      </c>
      <c r="L17" t="e">
        <f ca="1">IF((A1)=(2),"",IF((13)=(L4),IF(IF((INDEX(B1:XFD1,((A3)+(1))+(0)))=("store"),(INDEX(B1:XFD1,((A3)+(1))+(1)))=("L"),"false"),B3,L17),L17))</f>
        <v>#VALUE!</v>
      </c>
      <c r="M17" t="e">
        <f ca="1">IF((A1)=(2),"",IF((13)=(M4),IF(IF((INDEX(B1:XFD1,((A3)+(1))+(0)))=("store"),(INDEX(B1:XFD1,((A3)+(1))+(1)))=("M"),"false"),B3,M17),M17))</f>
        <v>#VALUE!</v>
      </c>
      <c r="N17" t="e">
        <f ca="1">IF((A1)=(2),"",IF((13)=(N4),IF(IF((INDEX(B1:XFD1,((A3)+(1))+(0)))=("store"),(INDEX(B1:XFD1,((A3)+(1))+(1)))=("N"),"false"),B3,N17),N17))</f>
        <v>#VALUE!</v>
      </c>
      <c r="O17" t="e">
        <f ca="1">IF((A1)=(2),"",IF((13)=(O4),IF(IF((INDEX(B1:XFD1,((A3)+(1))+(0)))=("store"),(INDEX(B1:XFD1,((A3)+(1))+(1)))=("O"),"false"),B3,O17),O17))</f>
        <v>#VALUE!</v>
      </c>
      <c r="P17" t="e">
        <f ca="1">IF((A1)=(2),"",IF((13)=(P4),IF(IF((INDEX(B1:XFD1,((A3)+(1))+(0)))=("store"),(INDEX(B1:XFD1,((A3)+(1))+(1)))=("P"),"false"),B3,P17),P17))</f>
        <v>#VALUE!</v>
      </c>
      <c r="Q17" t="e">
        <f ca="1">IF((A1)=(2),"",IF((13)=(Q4),IF(IF((INDEX(B1:XFD1,((A3)+(1))+(0)))=("store"),(INDEX(B1:XFD1,((A3)+(1))+(1)))=("Q"),"false"),B3,Q17),Q17))</f>
        <v>#VALUE!</v>
      </c>
      <c r="R17" t="e">
        <f ca="1">IF((A1)=(2),"",IF((13)=(R4),IF(IF((INDEX(B1:XFD1,((A3)+(1))+(0)))=("store"),(INDEX(B1:XFD1,((A3)+(1))+(1)))=("R"),"false"),B3,R17),R17))</f>
        <v>#VALUE!</v>
      </c>
      <c r="S17" t="e">
        <f ca="1">IF((A1)=(2),"",IF((13)=(S4),IF(IF((INDEX(B1:XFD1,((A3)+(1))+(0)))=("store"),(INDEX(B1:XFD1,((A3)+(1))+(1)))=("S"),"false"),B3,S17),S17))</f>
        <v>#VALUE!</v>
      </c>
      <c r="T17" t="e">
        <f ca="1">IF((A1)=(2),"",IF((13)=(T4),IF(IF((INDEX(B1:XFD1,((A3)+(1))+(0)))=("store"),(INDEX(B1:XFD1,((A3)+(1))+(1)))=("T"),"false"),B3,T17),T17))</f>
        <v>#VALUE!</v>
      </c>
      <c r="U17" t="e">
        <f ca="1">IF((A1)=(2),"",IF((13)=(U4),IF(IF((INDEX(B1:XFD1,((A3)+(1))+(0)))=("store"),(INDEX(B1:XFD1,((A3)+(1))+(1)))=("U"),"false"),B3,U17),U17))</f>
        <v>#VALUE!</v>
      </c>
      <c r="V17" t="e">
        <f ca="1">IF((A1)=(2),"",IF((13)=(V4),IF(IF((INDEX(B1:XFD1,((A3)+(1))+(0)))=("store"),(INDEX(B1:XFD1,((A3)+(1))+(1)))=("V"),"false"),B3,V17),V17))</f>
        <v>#VALUE!</v>
      </c>
      <c r="W17" t="e">
        <f ca="1">IF((A1)=(2),"",IF((13)=(W4),IF(IF((INDEX(B1:XFD1,((A3)+(1))+(0)))=("store"),(INDEX(B1:XFD1,((A3)+(1))+(1)))=("W"),"false"),B3,W17),W17))</f>
        <v>#VALUE!</v>
      </c>
      <c r="X17" t="e">
        <f ca="1">IF((A1)=(2),"",IF((13)=(X4),IF(IF((INDEX(B1:XFD1,((A3)+(1))+(0)))=("store"),(INDEX(B1:XFD1,((A3)+(1))+(1)))=("X"),"false"),B3,X17),X17))</f>
        <v>#VALUE!</v>
      </c>
      <c r="Y17" t="e">
        <f ca="1">IF((A1)=(2),"",IF((13)=(Y4),IF(IF((INDEX(B1:XFD1,((A3)+(1))+(0)))=("store"),(INDEX(B1:XFD1,((A3)+(1))+(1)))=("Y"),"false"),B3,Y17),Y17))</f>
        <v>#VALUE!</v>
      </c>
      <c r="Z17" t="e">
        <f ca="1">IF((A1)=(2),"",IF((13)=(Z4),IF(IF((INDEX(B1:XFD1,((A3)+(1))+(0)))=("store"),(INDEX(B1:XFD1,((A3)+(1))+(1)))=("Z"),"false"),B3,Z17),Z17))</f>
        <v>#VALUE!</v>
      </c>
      <c r="AA17" t="e">
        <f ca="1">IF((A1)=(2),"",IF((13)=(AA4),IF(IF((INDEX(B1:XFD1,((A3)+(1))+(0)))=("store"),(INDEX(B1:XFD1,((A3)+(1))+(1)))=("AA"),"false"),B3,AA17),AA17))</f>
        <v>#VALUE!</v>
      </c>
      <c r="AB17" t="e">
        <f ca="1">IF((A1)=(2),"",IF((13)=(AB4),IF(IF((INDEX(B1:XFD1,((A3)+(1))+(0)))=("store"),(INDEX(B1:XFD1,((A3)+(1))+(1)))=("AB"),"false"),B3,AB17),AB17))</f>
        <v>#VALUE!</v>
      </c>
      <c r="AC17" t="e">
        <f ca="1">IF((A1)=(2),"",IF((13)=(AC4),IF(IF((INDEX(B1:XFD1,((A3)+(1))+(0)))=("store"),(INDEX(B1:XFD1,((A3)+(1))+(1)))=("AC"),"false"),B3,AC17),AC17))</f>
        <v>#VALUE!</v>
      </c>
      <c r="AD17" t="e">
        <f ca="1">IF((A1)=(2),"",IF((13)=(AD4),IF(IF((INDEX(B1:XFD1,((A3)+(1))+(0)))=("store"),(INDEX(B1:XFD1,((A3)+(1))+(1)))=("AD"),"false"),B3,AD17),AD17))</f>
        <v>#VALUE!</v>
      </c>
    </row>
    <row r="18" spans="1:30" x14ac:dyDescent="0.25">
      <c r="A18" t="e">
        <f ca="1">IF((A1)=(2),"",IF((14)=(A4),IF(("call")=(INDEX(B1:XFD1,((A3)+(1))+(0))),(B3)*(2),IF(("goto")=(INDEX(B1:XFD1,((A3)+(1))+(0))),(INDEX(B1:XFD1,((A3)+(1))+(1)))*(2),IF(("gotoiftrue")=(INDEX(B1:XFD1,((A3)+(1))+(0))),IF(B3,(INDEX(B1:XFD1,((A3)+(1))+(1)))*(2),(A18)+(2)),(A18)+(2)))),A18))</f>
        <v>#VALUE!</v>
      </c>
      <c r="B18" t="e">
        <f ca="1">IF((A1)=(2),"",IF((14)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18)+(1)),IF(("add")=(INDEX(B1:XFD1,((A3)+(1))+(0))),(INDEX(B5:B405,(B4)+(1)))+(B18),IF(("equals")=(INDEX(B1:XFD1,((A3)+(1))+(0))),(INDEX(B5:B405,(B4)+(1)))=(B18),IF(("leq")=(INDEX(B1:XFD1,((A3)+(1))+(0))),(INDEX(B5:B405,(B4)+(1)))&lt;=(B18),IF(("greater")=(INDEX(B1:XFD1,((A3)+(1))+(0))),(INDEX(B5:B405,(B4)+(1)))&gt;(B18),IF(("mod")=(INDEX(B1:XFD1,((A3)+(1))+(0))),MOD(INDEX(B5:B405,(B4)+(1)),B18),B18))))))))),B18))</f>
        <v>#VALUE!</v>
      </c>
      <c r="C18" t="e">
        <f ca="1">IF((A1)=(2),1,IF(AND((INDEX(B1:XFD1,((A3)+(1))+(0)))=("writeheap"),(INDEX(B5:B405,(B4)+(1)))=(13)),INDEX(B5:B405,(B4)+(2)),IF((A1)=(2),"",IF((14)=(C4),C18,C18))))</f>
        <v>#VALUE!</v>
      </c>
      <c r="D18" t="e">
        <f ca="1">IF((A1)=(2),"",IF((14)=(D4),D18,D18))</f>
        <v>#VALUE!</v>
      </c>
      <c r="F18" t="e">
        <f ca="1">IF((A1)=(2),"",IF((14)=(F4),IF(IF((INDEX(B1:XFD1,((A3)+(1))+(0)))=("store"),(INDEX(B1:XFD1,((A3)+(1))+(1)))=("F"),"false"),B3,F18),F18))</f>
        <v>#VALUE!</v>
      </c>
      <c r="G18" t="e">
        <f ca="1">IF((A1)=(2),"",IF((14)=(G4),IF(IF((INDEX(B1:XFD1,((A3)+(1))+(0)))=("store"),(INDEX(B1:XFD1,((A3)+(1))+(1)))=("G"),"false"),B3,G18),G18))</f>
        <v>#VALUE!</v>
      </c>
      <c r="H18" t="e">
        <f ca="1">IF((A1)=(2),"",IF((14)=(H4),IF(IF((INDEX(B1:XFD1,((A3)+(1))+(0)))=("store"),(INDEX(B1:XFD1,((A3)+(1))+(1)))=("H"),"false"),B3,H18),H18))</f>
        <v>#VALUE!</v>
      </c>
      <c r="I18" t="e">
        <f ca="1">IF((A1)=(2),"",IF((14)=(I4),IF(IF((INDEX(B1:XFD1,((A3)+(1))+(0)))=("store"),(INDEX(B1:XFD1,((A3)+(1))+(1)))=("I"),"false"),B3,I18),I18))</f>
        <v>#VALUE!</v>
      </c>
      <c r="J18" t="e">
        <f ca="1">IF((A1)=(2),"",IF((14)=(J4),IF(IF((INDEX(B1:XFD1,((A3)+(1))+(0)))=("store"),(INDEX(B1:XFD1,((A3)+(1))+(1)))=("J"),"false"),B3,J18),J18))</f>
        <v>#VALUE!</v>
      </c>
      <c r="K18" t="e">
        <f ca="1">IF((A1)=(2),"",IF((14)=(K4),IF(IF((INDEX(B1:XFD1,((A3)+(1))+(0)))=("store"),(INDEX(B1:XFD1,((A3)+(1))+(1)))=("K"),"false"),B3,K18),K18))</f>
        <v>#VALUE!</v>
      </c>
      <c r="L18" t="e">
        <f ca="1">IF((A1)=(2),"",IF((14)=(L4),IF(IF((INDEX(B1:XFD1,((A3)+(1))+(0)))=("store"),(INDEX(B1:XFD1,((A3)+(1))+(1)))=("L"),"false"),B3,L18),L18))</f>
        <v>#VALUE!</v>
      </c>
      <c r="M18" t="e">
        <f ca="1">IF((A1)=(2),"",IF((14)=(M4),IF(IF((INDEX(B1:XFD1,((A3)+(1))+(0)))=("store"),(INDEX(B1:XFD1,((A3)+(1))+(1)))=("M"),"false"),B3,M18),M18))</f>
        <v>#VALUE!</v>
      </c>
      <c r="N18" t="e">
        <f ca="1">IF((A1)=(2),"",IF((14)=(N4),IF(IF((INDEX(B1:XFD1,((A3)+(1))+(0)))=("store"),(INDEX(B1:XFD1,((A3)+(1))+(1)))=("N"),"false"),B3,N18),N18))</f>
        <v>#VALUE!</v>
      </c>
      <c r="O18" t="e">
        <f ca="1">IF((A1)=(2),"",IF((14)=(O4),IF(IF((INDEX(B1:XFD1,((A3)+(1))+(0)))=("store"),(INDEX(B1:XFD1,((A3)+(1))+(1)))=("O"),"false"),B3,O18),O18))</f>
        <v>#VALUE!</v>
      </c>
      <c r="P18" t="e">
        <f ca="1">IF((A1)=(2),"",IF((14)=(P4),IF(IF((INDEX(B1:XFD1,((A3)+(1))+(0)))=("store"),(INDEX(B1:XFD1,((A3)+(1))+(1)))=("P"),"false"),B3,P18),P18))</f>
        <v>#VALUE!</v>
      </c>
      <c r="Q18" t="e">
        <f ca="1">IF((A1)=(2),"",IF((14)=(Q4),IF(IF((INDEX(B1:XFD1,((A3)+(1))+(0)))=("store"),(INDEX(B1:XFD1,((A3)+(1))+(1)))=("Q"),"false"),B3,Q18),Q18))</f>
        <v>#VALUE!</v>
      </c>
      <c r="R18" t="e">
        <f ca="1">IF((A1)=(2),"",IF((14)=(R4),IF(IF((INDEX(B1:XFD1,((A3)+(1))+(0)))=("store"),(INDEX(B1:XFD1,((A3)+(1))+(1)))=("R"),"false"),B3,R18),R18))</f>
        <v>#VALUE!</v>
      </c>
      <c r="S18" t="e">
        <f ca="1">IF((A1)=(2),"",IF((14)=(S4),IF(IF((INDEX(B1:XFD1,((A3)+(1))+(0)))=("store"),(INDEX(B1:XFD1,((A3)+(1))+(1)))=("S"),"false"),B3,S18),S18))</f>
        <v>#VALUE!</v>
      </c>
      <c r="T18" t="e">
        <f ca="1">IF((A1)=(2),"",IF((14)=(T4),IF(IF((INDEX(B1:XFD1,((A3)+(1))+(0)))=("store"),(INDEX(B1:XFD1,((A3)+(1))+(1)))=("T"),"false"),B3,T18),T18))</f>
        <v>#VALUE!</v>
      </c>
      <c r="U18" t="e">
        <f ca="1">IF((A1)=(2),"",IF((14)=(U4),IF(IF((INDEX(B1:XFD1,((A3)+(1))+(0)))=("store"),(INDEX(B1:XFD1,((A3)+(1))+(1)))=("U"),"false"),B3,U18),U18))</f>
        <v>#VALUE!</v>
      </c>
      <c r="V18" t="e">
        <f ca="1">IF((A1)=(2),"",IF((14)=(V4),IF(IF((INDEX(B1:XFD1,((A3)+(1))+(0)))=("store"),(INDEX(B1:XFD1,((A3)+(1))+(1)))=("V"),"false"),B3,V18),V18))</f>
        <v>#VALUE!</v>
      </c>
      <c r="W18" t="e">
        <f ca="1">IF((A1)=(2),"",IF((14)=(W4),IF(IF((INDEX(B1:XFD1,((A3)+(1))+(0)))=("store"),(INDEX(B1:XFD1,((A3)+(1))+(1)))=("W"),"false"),B3,W18),W18))</f>
        <v>#VALUE!</v>
      </c>
      <c r="X18" t="e">
        <f ca="1">IF((A1)=(2),"",IF((14)=(X4),IF(IF((INDEX(B1:XFD1,((A3)+(1))+(0)))=("store"),(INDEX(B1:XFD1,((A3)+(1))+(1)))=("X"),"false"),B3,X18),X18))</f>
        <v>#VALUE!</v>
      </c>
      <c r="Y18" t="e">
        <f ca="1">IF((A1)=(2),"",IF((14)=(Y4),IF(IF((INDEX(B1:XFD1,((A3)+(1))+(0)))=("store"),(INDEX(B1:XFD1,((A3)+(1))+(1)))=("Y"),"false"),B3,Y18),Y18))</f>
        <v>#VALUE!</v>
      </c>
      <c r="Z18" t="e">
        <f ca="1">IF((A1)=(2),"",IF((14)=(Z4),IF(IF((INDEX(B1:XFD1,((A3)+(1))+(0)))=("store"),(INDEX(B1:XFD1,((A3)+(1))+(1)))=("Z"),"false"),B3,Z18),Z18))</f>
        <v>#VALUE!</v>
      </c>
      <c r="AA18" t="e">
        <f ca="1">IF((A1)=(2),"",IF((14)=(AA4),IF(IF((INDEX(B1:XFD1,((A3)+(1))+(0)))=("store"),(INDEX(B1:XFD1,((A3)+(1))+(1)))=("AA"),"false"),B3,AA18),AA18))</f>
        <v>#VALUE!</v>
      </c>
      <c r="AB18" t="e">
        <f ca="1">IF((A1)=(2),"",IF((14)=(AB4),IF(IF((INDEX(B1:XFD1,((A3)+(1))+(0)))=("store"),(INDEX(B1:XFD1,((A3)+(1))+(1)))=("AB"),"false"),B3,AB18),AB18))</f>
        <v>#VALUE!</v>
      </c>
      <c r="AC18" t="e">
        <f ca="1">IF((A1)=(2),"",IF((14)=(AC4),IF(IF((INDEX(B1:XFD1,((A3)+(1))+(0)))=("store"),(INDEX(B1:XFD1,((A3)+(1))+(1)))=("AC"),"false"),B3,AC18),AC18))</f>
        <v>#VALUE!</v>
      </c>
      <c r="AD18" t="e">
        <f ca="1">IF((A1)=(2),"",IF((14)=(AD4),IF(IF((INDEX(B1:XFD1,((A3)+(1))+(0)))=("store"),(INDEX(B1:XFD1,((A3)+(1))+(1)))=("AD"),"false"),B3,AD18),AD18))</f>
        <v>#VALUE!</v>
      </c>
    </row>
    <row r="19" spans="1:30" x14ac:dyDescent="0.25">
      <c r="A19" t="e">
        <f ca="1">IF((A1)=(2),"",IF((15)=(A4),IF(("call")=(INDEX(B1:XFD1,((A3)+(1))+(0))),(B3)*(2),IF(("goto")=(INDEX(B1:XFD1,((A3)+(1))+(0))),(INDEX(B1:XFD1,((A3)+(1))+(1)))*(2),IF(("gotoiftrue")=(INDEX(B1:XFD1,((A3)+(1))+(0))),IF(B3,(INDEX(B1:XFD1,((A3)+(1))+(1)))*(2),(A19)+(2)),(A19)+(2)))),A19))</f>
        <v>#VALUE!</v>
      </c>
      <c r="B19" t="e">
        <f ca="1">IF((A1)=(2),"",IF((15)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19)+(1)),IF(("add")=(INDEX(B1:XFD1,((A3)+(1))+(0))),(INDEX(B5:B405,(B4)+(1)))+(B19),IF(("equals")=(INDEX(B1:XFD1,((A3)+(1))+(0))),(INDEX(B5:B405,(B4)+(1)))=(B19),IF(("leq")=(INDEX(B1:XFD1,((A3)+(1))+(0))),(INDEX(B5:B405,(B4)+(1)))&lt;=(B19),IF(("greater")=(INDEX(B1:XFD1,((A3)+(1))+(0))),(INDEX(B5:B405,(B4)+(1)))&gt;(B19),IF(("mod")=(INDEX(B1:XFD1,((A3)+(1))+(0))),MOD(INDEX(B5:B405,(B4)+(1)),B19),B19))))))))),B19))</f>
        <v>#VALUE!</v>
      </c>
      <c r="C19" t="e">
        <f ca="1">IF((A1)=(2),1,IF(AND((INDEX(B1:XFD1,((A3)+(1))+(0)))=("writeheap"),(INDEX(B5:B405,(B4)+(1)))=(14)),INDEX(B5:B405,(B4)+(2)),IF((A1)=(2),"",IF((15)=(C4),C19,C19))))</f>
        <v>#VALUE!</v>
      </c>
      <c r="D19" t="e">
        <f ca="1">IF((A1)=(2),"",IF((15)=(D4),D19,D19))</f>
        <v>#VALUE!</v>
      </c>
      <c r="F19" t="e">
        <f ca="1">IF((A1)=(2),"",IF((15)=(F4),IF(IF((INDEX(B1:XFD1,((A3)+(1))+(0)))=("store"),(INDEX(B1:XFD1,((A3)+(1))+(1)))=("F"),"false"),B3,F19),F19))</f>
        <v>#VALUE!</v>
      </c>
      <c r="G19" t="e">
        <f ca="1">IF((A1)=(2),"",IF((15)=(G4),IF(IF((INDEX(B1:XFD1,((A3)+(1))+(0)))=("store"),(INDEX(B1:XFD1,((A3)+(1))+(1)))=("G"),"false"),B3,G19),G19))</f>
        <v>#VALUE!</v>
      </c>
      <c r="H19" t="e">
        <f ca="1">IF((A1)=(2),"",IF((15)=(H4),IF(IF((INDEX(B1:XFD1,((A3)+(1))+(0)))=("store"),(INDEX(B1:XFD1,((A3)+(1))+(1)))=("H"),"false"),B3,H19),H19))</f>
        <v>#VALUE!</v>
      </c>
      <c r="I19" t="e">
        <f ca="1">IF((A1)=(2),"",IF((15)=(I4),IF(IF((INDEX(B1:XFD1,((A3)+(1))+(0)))=("store"),(INDEX(B1:XFD1,((A3)+(1))+(1)))=("I"),"false"),B3,I19),I19))</f>
        <v>#VALUE!</v>
      </c>
      <c r="J19" t="e">
        <f ca="1">IF((A1)=(2),"",IF((15)=(J4),IF(IF((INDEX(B1:XFD1,((A3)+(1))+(0)))=("store"),(INDEX(B1:XFD1,((A3)+(1))+(1)))=("J"),"false"),B3,J19),J19))</f>
        <v>#VALUE!</v>
      </c>
      <c r="K19" t="e">
        <f ca="1">IF((A1)=(2),"",IF((15)=(K4),IF(IF((INDEX(B1:XFD1,((A3)+(1))+(0)))=("store"),(INDEX(B1:XFD1,((A3)+(1))+(1)))=("K"),"false"),B3,K19),K19))</f>
        <v>#VALUE!</v>
      </c>
      <c r="L19" t="e">
        <f ca="1">IF((A1)=(2),"",IF((15)=(L4),IF(IF((INDEX(B1:XFD1,((A3)+(1))+(0)))=("store"),(INDEX(B1:XFD1,((A3)+(1))+(1)))=("L"),"false"),B3,L19),L19))</f>
        <v>#VALUE!</v>
      </c>
      <c r="M19" t="e">
        <f ca="1">IF((A1)=(2),"",IF((15)=(M4),IF(IF((INDEX(B1:XFD1,((A3)+(1))+(0)))=("store"),(INDEX(B1:XFD1,((A3)+(1))+(1)))=("M"),"false"),B3,M19),M19))</f>
        <v>#VALUE!</v>
      </c>
      <c r="N19" t="e">
        <f ca="1">IF((A1)=(2),"",IF((15)=(N4),IF(IF((INDEX(B1:XFD1,((A3)+(1))+(0)))=("store"),(INDEX(B1:XFD1,((A3)+(1))+(1)))=("N"),"false"),B3,N19),N19))</f>
        <v>#VALUE!</v>
      </c>
      <c r="O19" t="e">
        <f ca="1">IF((A1)=(2),"",IF((15)=(O4),IF(IF((INDEX(B1:XFD1,((A3)+(1))+(0)))=("store"),(INDEX(B1:XFD1,((A3)+(1))+(1)))=("O"),"false"),B3,O19),O19))</f>
        <v>#VALUE!</v>
      </c>
      <c r="P19" t="e">
        <f ca="1">IF((A1)=(2),"",IF((15)=(P4),IF(IF((INDEX(B1:XFD1,((A3)+(1))+(0)))=("store"),(INDEX(B1:XFD1,((A3)+(1))+(1)))=("P"),"false"),B3,P19),P19))</f>
        <v>#VALUE!</v>
      </c>
      <c r="Q19" t="e">
        <f ca="1">IF((A1)=(2),"",IF((15)=(Q4),IF(IF((INDEX(B1:XFD1,((A3)+(1))+(0)))=("store"),(INDEX(B1:XFD1,((A3)+(1))+(1)))=("Q"),"false"),B3,Q19),Q19))</f>
        <v>#VALUE!</v>
      </c>
      <c r="R19" t="e">
        <f ca="1">IF((A1)=(2),"",IF((15)=(R4),IF(IF((INDEX(B1:XFD1,((A3)+(1))+(0)))=("store"),(INDEX(B1:XFD1,((A3)+(1))+(1)))=("R"),"false"),B3,R19),R19))</f>
        <v>#VALUE!</v>
      </c>
      <c r="S19" t="e">
        <f ca="1">IF((A1)=(2),"",IF((15)=(S4),IF(IF((INDEX(B1:XFD1,((A3)+(1))+(0)))=("store"),(INDEX(B1:XFD1,((A3)+(1))+(1)))=("S"),"false"),B3,S19),S19))</f>
        <v>#VALUE!</v>
      </c>
      <c r="T19" t="e">
        <f ca="1">IF((A1)=(2),"",IF((15)=(T4),IF(IF((INDEX(B1:XFD1,((A3)+(1))+(0)))=("store"),(INDEX(B1:XFD1,((A3)+(1))+(1)))=("T"),"false"),B3,T19),T19))</f>
        <v>#VALUE!</v>
      </c>
      <c r="U19" t="e">
        <f ca="1">IF((A1)=(2),"",IF((15)=(U4),IF(IF((INDEX(B1:XFD1,((A3)+(1))+(0)))=("store"),(INDEX(B1:XFD1,((A3)+(1))+(1)))=("U"),"false"),B3,U19),U19))</f>
        <v>#VALUE!</v>
      </c>
      <c r="V19" t="e">
        <f ca="1">IF((A1)=(2),"",IF((15)=(V4),IF(IF((INDEX(B1:XFD1,((A3)+(1))+(0)))=("store"),(INDEX(B1:XFD1,((A3)+(1))+(1)))=("V"),"false"),B3,V19),V19))</f>
        <v>#VALUE!</v>
      </c>
      <c r="W19" t="e">
        <f ca="1">IF((A1)=(2),"",IF((15)=(W4),IF(IF((INDEX(B1:XFD1,((A3)+(1))+(0)))=("store"),(INDEX(B1:XFD1,((A3)+(1))+(1)))=("W"),"false"),B3,W19),W19))</f>
        <v>#VALUE!</v>
      </c>
      <c r="X19" t="e">
        <f ca="1">IF((A1)=(2),"",IF((15)=(X4),IF(IF((INDEX(B1:XFD1,((A3)+(1))+(0)))=("store"),(INDEX(B1:XFD1,((A3)+(1))+(1)))=("X"),"false"),B3,X19),X19))</f>
        <v>#VALUE!</v>
      </c>
      <c r="Y19" t="e">
        <f ca="1">IF((A1)=(2),"",IF((15)=(Y4),IF(IF((INDEX(B1:XFD1,((A3)+(1))+(0)))=("store"),(INDEX(B1:XFD1,((A3)+(1))+(1)))=("Y"),"false"),B3,Y19),Y19))</f>
        <v>#VALUE!</v>
      </c>
      <c r="Z19" t="e">
        <f ca="1">IF((A1)=(2),"",IF((15)=(Z4),IF(IF((INDEX(B1:XFD1,((A3)+(1))+(0)))=("store"),(INDEX(B1:XFD1,((A3)+(1))+(1)))=("Z"),"false"),B3,Z19),Z19))</f>
        <v>#VALUE!</v>
      </c>
      <c r="AA19" t="e">
        <f ca="1">IF((A1)=(2),"",IF((15)=(AA4),IF(IF((INDEX(B1:XFD1,((A3)+(1))+(0)))=("store"),(INDEX(B1:XFD1,((A3)+(1))+(1)))=("AA"),"false"),B3,AA19),AA19))</f>
        <v>#VALUE!</v>
      </c>
      <c r="AB19" t="e">
        <f ca="1">IF((A1)=(2),"",IF((15)=(AB4),IF(IF((INDEX(B1:XFD1,((A3)+(1))+(0)))=("store"),(INDEX(B1:XFD1,((A3)+(1))+(1)))=("AB"),"false"),B3,AB19),AB19))</f>
        <v>#VALUE!</v>
      </c>
      <c r="AC19" t="e">
        <f ca="1">IF((A1)=(2),"",IF((15)=(AC4),IF(IF((INDEX(B1:XFD1,((A3)+(1))+(0)))=("store"),(INDEX(B1:XFD1,((A3)+(1))+(1)))=("AC"),"false"),B3,AC19),AC19))</f>
        <v>#VALUE!</v>
      </c>
      <c r="AD19" t="e">
        <f ca="1">IF((A1)=(2),"",IF((15)=(AD4),IF(IF((INDEX(B1:XFD1,((A3)+(1))+(0)))=("store"),(INDEX(B1:XFD1,((A3)+(1))+(1)))=("AD"),"false"),B3,AD19),AD19))</f>
        <v>#VALUE!</v>
      </c>
    </row>
    <row r="20" spans="1:30" x14ac:dyDescent="0.25">
      <c r="A20" t="e">
        <f ca="1">IF((A1)=(2),"",IF((16)=(A4),IF(("call")=(INDEX(B1:XFD1,((A3)+(1))+(0))),(B3)*(2),IF(("goto")=(INDEX(B1:XFD1,((A3)+(1))+(0))),(INDEX(B1:XFD1,((A3)+(1))+(1)))*(2),IF(("gotoiftrue")=(INDEX(B1:XFD1,((A3)+(1))+(0))),IF(B3,(INDEX(B1:XFD1,((A3)+(1))+(1)))*(2),(A20)+(2)),(A20)+(2)))),A20))</f>
        <v>#VALUE!</v>
      </c>
      <c r="B20" t="e">
        <f ca="1">IF((A1)=(2),"",IF((16)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20)+(1)),IF(("add")=(INDEX(B1:XFD1,((A3)+(1))+(0))),(INDEX(B5:B405,(B4)+(1)))+(B20),IF(("equals")=(INDEX(B1:XFD1,((A3)+(1))+(0))),(INDEX(B5:B405,(B4)+(1)))=(B20),IF(("leq")=(INDEX(B1:XFD1,((A3)+(1))+(0))),(INDEX(B5:B405,(B4)+(1)))&lt;=(B20),IF(("greater")=(INDEX(B1:XFD1,((A3)+(1))+(0))),(INDEX(B5:B405,(B4)+(1)))&gt;(B20),IF(("mod")=(INDEX(B1:XFD1,((A3)+(1))+(0))),MOD(INDEX(B5:B405,(B4)+(1)),B20),B20))))))))),B20))</f>
        <v>#VALUE!</v>
      </c>
      <c r="C20" t="e">
        <f ca="1">IF((A1)=(2),1,IF(AND((INDEX(B1:XFD1,((A3)+(1))+(0)))=("writeheap"),(INDEX(B5:B405,(B4)+(1)))=(15)),INDEX(B5:B405,(B4)+(2)),IF((A1)=(2),"",IF((16)=(C4),C20,C20))))</f>
        <v>#VALUE!</v>
      </c>
      <c r="D20" t="e">
        <f ca="1">IF((A1)=(2),"",IF((16)=(D4),D20,D20))</f>
        <v>#VALUE!</v>
      </c>
      <c r="F20" t="e">
        <f ca="1">IF((A1)=(2),"",IF((16)=(F4),IF(IF((INDEX(B1:XFD1,((A3)+(1))+(0)))=("store"),(INDEX(B1:XFD1,((A3)+(1))+(1)))=("F"),"false"),B3,F20),F20))</f>
        <v>#VALUE!</v>
      </c>
      <c r="G20" t="e">
        <f ca="1">IF((A1)=(2),"",IF((16)=(G4),IF(IF((INDEX(B1:XFD1,((A3)+(1))+(0)))=("store"),(INDEX(B1:XFD1,((A3)+(1))+(1)))=("G"),"false"),B3,G20),G20))</f>
        <v>#VALUE!</v>
      </c>
      <c r="H20" t="e">
        <f ca="1">IF((A1)=(2),"",IF((16)=(H4),IF(IF((INDEX(B1:XFD1,((A3)+(1))+(0)))=("store"),(INDEX(B1:XFD1,((A3)+(1))+(1)))=("H"),"false"),B3,H20),H20))</f>
        <v>#VALUE!</v>
      </c>
      <c r="I20" t="e">
        <f ca="1">IF((A1)=(2),"",IF((16)=(I4),IF(IF((INDEX(B1:XFD1,((A3)+(1))+(0)))=("store"),(INDEX(B1:XFD1,((A3)+(1))+(1)))=("I"),"false"),B3,I20),I20))</f>
        <v>#VALUE!</v>
      </c>
      <c r="J20" t="e">
        <f ca="1">IF((A1)=(2),"",IF((16)=(J4),IF(IF((INDEX(B1:XFD1,((A3)+(1))+(0)))=("store"),(INDEX(B1:XFD1,((A3)+(1))+(1)))=("J"),"false"),B3,J20),J20))</f>
        <v>#VALUE!</v>
      </c>
      <c r="K20" t="e">
        <f ca="1">IF((A1)=(2),"",IF((16)=(K4),IF(IF((INDEX(B1:XFD1,((A3)+(1))+(0)))=("store"),(INDEX(B1:XFD1,((A3)+(1))+(1)))=("K"),"false"),B3,K20),K20))</f>
        <v>#VALUE!</v>
      </c>
      <c r="L20" t="e">
        <f ca="1">IF((A1)=(2),"",IF((16)=(L4),IF(IF((INDEX(B1:XFD1,((A3)+(1))+(0)))=("store"),(INDEX(B1:XFD1,((A3)+(1))+(1)))=("L"),"false"),B3,L20),L20))</f>
        <v>#VALUE!</v>
      </c>
      <c r="M20" t="e">
        <f ca="1">IF((A1)=(2),"",IF((16)=(M4),IF(IF((INDEX(B1:XFD1,((A3)+(1))+(0)))=("store"),(INDEX(B1:XFD1,((A3)+(1))+(1)))=("M"),"false"),B3,M20),M20))</f>
        <v>#VALUE!</v>
      </c>
      <c r="N20" t="e">
        <f ca="1">IF((A1)=(2),"",IF((16)=(N4),IF(IF((INDEX(B1:XFD1,((A3)+(1))+(0)))=("store"),(INDEX(B1:XFD1,((A3)+(1))+(1)))=("N"),"false"),B3,N20),N20))</f>
        <v>#VALUE!</v>
      </c>
      <c r="O20" t="e">
        <f ca="1">IF((A1)=(2),"",IF((16)=(O4),IF(IF((INDEX(B1:XFD1,((A3)+(1))+(0)))=("store"),(INDEX(B1:XFD1,((A3)+(1))+(1)))=("O"),"false"),B3,O20),O20))</f>
        <v>#VALUE!</v>
      </c>
      <c r="P20" t="e">
        <f ca="1">IF((A1)=(2),"",IF((16)=(P4),IF(IF((INDEX(B1:XFD1,((A3)+(1))+(0)))=("store"),(INDEX(B1:XFD1,((A3)+(1))+(1)))=("P"),"false"),B3,P20),P20))</f>
        <v>#VALUE!</v>
      </c>
      <c r="Q20" t="e">
        <f ca="1">IF((A1)=(2),"",IF((16)=(Q4),IF(IF((INDEX(B1:XFD1,((A3)+(1))+(0)))=("store"),(INDEX(B1:XFD1,((A3)+(1))+(1)))=("Q"),"false"),B3,Q20),Q20))</f>
        <v>#VALUE!</v>
      </c>
      <c r="R20" t="e">
        <f ca="1">IF((A1)=(2),"",IF((16)=(R4),IF(IF((INDEX(B1:XFD1,((A3)+(1))+(0)))=("store"),(INDEX(B1:XFD1,((A3)+(1))+(1)))=("R"),"false"),B3,R20),R20))</f>
        <v>#VALUE!</v>
      </c>
      <c r="S20" t="e">
        <f ca="1">IF((A1)=(2),"",IF((16)=(S4),IF(IF((INDEX(B1:XFD1,((A3)+(1))+(0)))=("store"),(INDEX(B1:XFD1,((A3)+(1))+(1)))=("S"),"false"),B3,S20),S20))</f>
        <v>#VALUE!</v>
      </c>
      <c r="T20" t="e">
        <f ca="1">IF((A1)=(2),"",IF((16)=(T4),IF(IF((INDEX(B1:XFD1,((A3)+(1))+(0)))=("store"),(INDEX(B1:XFD1,((A3)+(1))+(1)))=("T"),"false"),B3,T20),T20))</f>
        <v>#VALUE!</v>
      </c>
      <c r="U20" t="e">
        <f ca="1">IF((A1)=(2),"",IF((16)=(U4),IF(IF((INDEX(B1:XFD1,((A3)+(1))+(0)))=("store"),(INDEX(B1:XFD1,((A3)+(1))+(1)))=("U"),"false"),B3,U20),U20))</f>
        <v>#VALUE!</v>
      </c>
      <c r="V20" t="e">
        <f ca="1">IF((A1)=(2),"",IF((16)=(V4),IF(IF((INDEX(B1:XFD1,((A3)+(1))+(0)))=("store"),(INDEX(B1:XFD1,((A3)+(1))+(1)))=("V"),"false"),B3,V20),V20))</f>
        <v>#VALUE!</v>
      </c>
      <c r="W20" t="e">
        <f ca="1">IF((A1)=(2),"",IF((16)=(W4),IF(IF((INDEX(B1:XFD1,((A3)+(1))+(0)))=("store"),(INDEX(B1:XFD1,((A3)+(1))+(1)))=("W"),"false"),B3,W20),W20))</f>
        <v>#VALUE!</v>
      </c>
      <c r="X20" t="e">
        <f ca="1">IF((A1)=(2),"",IF((16)=(X4),IF(IF((INDEX(B1:XFD1,((A3)+(1))+(0)))=("store"),(INDEX(B1:XFD1,((A3)+(1))+(1)))=("X"),"false"),B3,X20),X20))</f>
        <v>#VALUE!</v>
      </c>
      <c r="Y20" t="e">
        <f ca="1">IF((A1)=(2),"",IF((16)=(Y4),IF(IF((INDEX(B1:XFD1,((A3)+(1))+(0)))=("store"),(INDEX(B1:XFD1,((A3)+(1))+(1)))=("Y"),"false"),B3,Y20),Y20))</f>
        <v>#VALUE!</v>
      </c>
      <c r="Z20" t="e">
        <f ca="1">IF((A1)=(2),"",IF((16)=(Z4),IF(IF((INDEX(B1:XFD1,((A3)+(1))+(0)))=("store"),(INDEX(B1:XFD1,((A3)+(1))+(1)))=("Z"),"false"),B3,Z20),Z20))</f>
        <v>#VALUE!</v>
      </c>
      <c r="AA20" t="e">
        <f ca="1">IF((A1)=(2),"",IF((16)=(AA4),IF(IF((INDEX(B1:XFD1,((A3)+(1))+(0)))=("store"),(INDEX(B1:XFD1,((A3)+(1))+(1)))=("AA"),"false"),B3,AA20),AA20))</f>
        <v>#VALUE!</v>
      </c>
      <c r="AB20" t="e">
        <f ca="1">IF((A1)=(2),"",IF((16)=(AB4),IF(IF((INDEX(B1:XFD1,((A3)+(1))+(0)))=("store"),(INDEX(B1:XFD1,((A3)+(1))+(1)))=("AB"),"false"),B3,AB20),AB20))</f>
        <v>#VALUE!</v>
      </c>
      <c r="AC20" t="e">
        <f ca="1">IF((A1)=(2),"",IF((16)=(AC4),IF(IF((INDEX(B1:XFD1,((A3)+(1))+(0)))=("store"),(INDEX(B1:XFD1,((A3)+(1))+(1)))=("AC"),"false"),B3,AC20),AC20))</f>
        <v>#VALUE!</v>
      </c>
      <c r="AD20" t="e">
        <f ca="1">IF((A1)=(2),"",IF((16)=(AD4),IF(IF((INDEX(B1:XFD1,((A3)+(1))+(0)))=("store"),(INDEX(B1:XFD1,((A3)+(1))+(1)))=("AD"),"false"),B3,AD20),AD20))</f>
        <v>#VALUE!</v>
      </c>
    </row>
    <row r="21" spans="1:30" x14ac:dyDescent="0.25">
      <c r="A21" t="e">
        <f ca="1">IF((A1)=(2),"",IF((17)=(A4),IF(("call")=(INDEX(B1:XFD1,((A3)+(1))+(0))),(B3)*(2),IF(("goto")=(INDEX(B1:XFD1,((A3)+(1))+(0))),(INDEX(B1:XFD1,((A3)+(1))+(1)))*(2),IF(("gotoiftrue")=(INDEX(B1:XFD1,((A3)+(1))+(0))),IF(B3,(INDEX(B1:XFD1,((A3)+(1))+(1)))*(2),(A21)+(2)),(A21)+(2)))),A21))</f>
        <v>#VALUE!</v>
      </c>
      <c r="B21" t="e">
        <f ca="1">IF((A1)=(2),"",IF((17)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21)+(1)),IF(("add")=(INDEX(B1:XFD1,((A3)+(1))+(0))),(INDEX(B5:B405,(B4)+(1)))+(B21),IF(("equals")=(INDEX(B1:XFD1,((A3)+(1))+(0))),(INDEX(B5:B405,(B4)+(1)))=(B21),IF(("leq")=(INDEX(B1:XFD1,((A3)+(1))+(0))),(INDEX(B5:B405,(B4)+(1)))&lt;=(B21),IF(("greater")=(INDEX(B1:XFD1,((A3)+(1))+(0))),(INDEX(B5:B405,(B4)+(1)))&gt;(B21),IF(("mod")=(INDEX(B1:XFD1,((A3)+(1))+(0))),MOD(INDEX(B5:B405,(B4)+(1)),B21),B21))))))))),B21))</f>
        <v>#VALUE!</v>
      </c>
      <c r="C21" t="e">
        <f ca="1">IF((A1)=(2),1,IF(AND((INDEX(B1:XFD1,((A3)+(1))+(0)))=("writeheap"),(INDEX(B5:B405,(B4)+(1)))=(16)),INDEX(B5:B405,(B4)+(2)),IF((A1)=(2),"",IF((17)=(C4),C21,C21))))</f>
        <v>#VALUE!</v>
      </c>
      <c r="D21" t="e">
        <f ca="1">IF((A1)=(2),"",IF((17)=(D4),D21,D21))</f>
        <v>#VALUE!</v>
      </c>
      <c r="F21" t="e">
        <f ca="1">IF((A1)=(2),"",IF((17)=(F4),IF(IF((INDEX(B1:XFD1,((A3)+(1))+(0)))=("store"),(INDEX(B1:XFD1,((A3)+(1))+(1)))=("F"),"false"),B3,F21),F21))</f>
        <v>#VALUE!</v>
      </c>
      <c r="G21" t="e">
        <f ca="1">IF((A1)=(2),"",IF((17)=(G4),IF(IF((INDEX(B1:XFD1,((A3)+(1))+(0)))=("store"),(INDEX(B1:XFD1,((A3)+(1))+(1)))=("G"),"false"),B3,G21),G21))</f>
        <v>#VALUE!</v>
      </c>
      <c r="H21" t="e">
        <f ca="1">IF((A1)=(2),"",IF((17)=(H4),IF(IF((INDEX(B1:XFD1,((A3)+(1))+(0)))=("store"),(INDEX(B1:XFD1,((A3)+(1))+(1)))=("H"),"false"),B3,H21),H21))</f>
        <v>#VALUE!</v>
      </c>
      <c r="I21" t="e">
        <f ca="1">IF((A1)=(2),"",IF((17)=(I4),IF(IF((INDEX(B1:XFD1,((A3)+(1))+(0)))=("store"),(INDEX(B1:XFD1,((A3)+(1))+(1)))=("I"),"false"),B3,I21),I21))</f>
        <v>#VALUE!</v>
      </c>
      <c r="J21" t="e">
        <f ca="1">IF((A1)=(2),"",IF((17)=(J4),IF(IF((INDEX(B1:XFD1,((A3)+(1))+(0)))=("store"),(INDEX(B1:XFD1,((A3)+(1))+(1)))=("J"),"false"),B3,J21),J21))</f>
        <v>#VALUE!</v>
      </c>
      <c r="K21" t="e">
        <f ca="1">IF((A1)=(2),"",IF((17)=(K4),IF(IF((INDEX(B1:XFD1,((A3)+(1))+(0)))=("store"),(INDEX(B1:XFD1,((A3)+(1))+(1)))=("K"),"false"),B3,K21),K21))</f>
        <v>#VALUE!</v>
      </c>
      <c r="L21" t="e">
        <f ca="1">IF((A1)=(2),"",IF((17)=(L4),IF(IF((INDEX(B1:XFD1,((A3)+(1))+(0)))=("store"),(INDEX(B1:XFD1,((A3)+(1))+(1)))=("L"),"false"),B3,L21),L21))</f>
        <v>#VALUE!</v>
      </c>
      <c r="M21" t="e">
        <f ca="1">IF((A1)=(2),"",IF((17)=(M4),IF(IF((INDEX(B1:XFD1,((A3)+(1))+(0)))=("store"),(INDEX(B1:XFD1,((A3)+(1))+(1)))=("M"),"false"),B3,M21),M21))</f>
        <v>#VALUE!</v>
      </c>
      <c r="N21" t="e">
        <f ca="1">IF((A1)=(2),"",IF((17)=(N4),IF(IF((INDEX(B1:XFD1,((A3)+(1))+(0)))=("store"),(INDEX(B1:XFD1,((A3)+(1))+(1)))=("N"),"false"),B3,N21),N21))</f>
        <v>#VALUE!</v>
      </c>
      <c r="O21" t="e">
        <f ca="1">IF((A1)=(2),"",IF((17)=(O4),IF(IF((INDEX(B1:XFD1,((A3)+(1))+(0)))=("store"),(INDEX(B1:XFD1,((A3)+(1))+(1)))=("O"),"false"),B3,O21),O21))</f>
        <v>#VALUE!</v>
      </c>
      <c r="P21" t="e">
        <f ca="1">IF((A1)=(2),"",IF((17)=(P4),IF(IF((INDEX(B1:XFD1,((A3)+(1))+(0)))=("store"),(INDEX(B1:XFD1,((A3)+(1))+(1)))=("P"),"false"),B3,P21),P21))</f>
        <v>#VALUE!</v>
      </c>
      <c r="Q21" t="e">
        <f ca="1">IF((A1)=(2),"",IF((17)=(Q4),IF(IF((INDEX(B1:XFD1,((A3)+(1))+(0)))=("store"),(INDEX(B1:XFD1,((A3)+(1))+(1)))=("Q"),"false"),B3,Q21),Q21))</f>
        <v>#VALUE!</v>
      </c>
      <c r="R21" t="e">
        <f ca="1">IF((A1)=(2),"",IF((17)=(R4),IF(IF((INDEX(B1:XFD1,((A3)+(1))+(0)))=("store"),(INDEX(B1:XFD1,((A3)+(1))+(1)))=("R"),"false"),B3,R21),R21))</f>
        <v>#VALUE!</v>
      </c>
      <c r="S21" t="e">
        <f ca="1">IF((A1)=(2),"",IF((17)=(S4),IF(IF((INDEX(B1:XFD1,((A3)+(1))+(0)))=("store"),(INDEX(B1:XFD1,((A3)+(1))+(1)))=("S"),"false"),B3,S21),S21))</f>
        <v>#VALUE!</v>
      </c>
      <c r="T21" t="e">
        <f ca="1">IF((A1)=(2),"",IF((17)=(T4),IF(IF((INDEX(B1:XFD1,((A3)+(1))+(0)))=("store"),(INDEX(B1:XFD1,((A3)+(1))+(1)))=("T"),"false"),B3,T21),T21))</f>
        <v>#VALUE!</v>
      </c>
      <c r="U21" t="e">
        <f ca="1">IF((A1)=(2),"",IF((17)=(U4),IF(IF((INDEX(B1:XFD1,((A3)+(1))+(0)))=("store"),(INDEX(B1:XFD1,((A3)+(1))+(1)))=("U"),"false"),B3,U21),U21))</f>
        <v>#VALUE!</v>
      </c>
      <c r="V21" t="e">
        <f ca="1">IF((A1)=(2),"",IF((17)=(V4),IF(IF((INDEX(B1:XFD1,((A3)+(1))+(0)))=("store"),(INDEX(B1:XFD1,((A3)+(1))+(1)))=("V"),"false"),B3,V21),V21))</f>
        <v>#VALUE!</v>
      </c>
      <c r="W21" t="e">
        <f ca="1">IF((A1)=(2),"",IF((17)=(W4),IF(IF((INDEX(B1:XFD1,((A3)+(1))+(0)))=("store"),(INDEX(B1:XFD1,((A3)+(1))+(1)))=("W"),"false"),B3,W21),W21))</f>
        <v>#VALUE!</v>
      </c>
      <c r="X21" t="e">
        <f ca="1">IF((A1)=(2),"",IF((17)=(X4),IF(IF((INDEX(B1:XFD1,((A3)+(1))+(0)))=("store"),(INDEX(B1:XFD1,((A3)+(1))+(1)))=("X"),"false"),B3,X21),X21))</f>
        <v>#VALUE!</v>
      </c>
      <c r="Y21" t="e">
        <f ca="1">IF((A1)=(2),"",IF((17)=(Y4),IF(IF((INDEX(B1:XFD1,((A3)+(1))+(0)))=("store"),(INDEX(B1:XFD1,((A3)+(1))+(1)))=("Y"),"false"),B3,Y21),Y21))</f>
        <v>#VALUE!</v>
      </c>
      <c r="Z21" t="e">
        <f ca="1">IF((A1)=(2),"",IF((17)=(Z4),IF(IF((INDEX(B1:XFD1,((A3)+(1))+(0)))=("store"),(INDEX(B1:XFD1,((A3)+(1))+(1)))=("Z"),"false"),B3,Z21),Z21))</f>
        <v>#VALUE!</v>
      </c>
      <c r="AA21" t="e">
        <f ca="1">IF((A1)=(2),"",IF((17)=(AA4),IF(IF((INDEX(B1:XFD1,((A3)+(1))+(0)))=("store"),(INDEX(B1:XFD1,((A3)+(1))+(1)))=("AA"),"false"),B3,AA21),AA21))</f>
        <v>#VALUE!</v>
      </c>
      <c r="AB21" t="e">
        <f ca="1">IF((A1)=(2),"",IF((17)=(AB4),IF(IF((INDEX(B1:XFD1,((A3)+(1))+(0)))=("store"),(INDEX(B1:XFD1,((A3)+(1))+(1)))=("AB"),"false"),B3,AB21),AB21))</f>
        <v>#VALUE!</v>
      </c>
      <c r="AC21" t="e">
        <f ca="1">IF((A1)=(2),"",IF((17)=(AC4),IF(IF((INDEX(B1:XFD1,((A3)+(1))+(0)))=("store"),(INDEX(B1:XFD1,((A3)+(1))+(1)))=("AC"),"false"),B3,AC21),AC21))</f>
        <v>#VALUE!</v>
      </c>
      <c r="AD21" t="e">
        <f ca="1">IF((A1)=(2),"",IF((17)=(AD4),IF(IF((INDEX(B1:XFD1,((A3)+(1))+(0)))=("store"),(INDEX(B1:XFD1,((A3)+(1))+(1)))=("AD"),"false"),B3,AD21),AD21))</f>
        <v>#VALUE!</v>
      </c>
    </row>
    <row r="22" spans="1:30" x14ac:dyDescent="0.25">
      <c r="A22" t="e">
        <f ca="1">IF((A1)=(2),"",IF((18)=(A4),IF(("call")=(INDEX(B1:XFD1,((A3)+(1))+(0))),(B3)*(2),IF(("goto")=(INDEX(B1:XFD1,((A3)+(1))+(0))),(INDEX(B1:XFD1,((A3)+(1))+(1)))*(2),IF(("gotoiftrue")=(INDEX(B1:XFD1,((A3)+(1))+(0))),IF(B3,(INDEX(B1:XFD1,((A3)+(1))+(1)))*(2),(A22)+(2)),(A22)+(2)))),A22))</f>
        <v>#VALUE!</v>
      </c>
      <c r="B22" t="e">
        <f ca="1">IF((A1)=(2),"",IF((18)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22)+(1)),IF(("add")=(INDEX(B1:XFD1,((A3)+(1))+(0))),(INDEX(B5:B405,(B4)+(1)))+(B22),IF(("equals")=(INDEX(B1:XFD1,((A3)+(1))+(0))),(INDEX(B5:B405,(B4)+(1)))=(B22),IF(("leq")=(INDEX(B1:XFD1,((A3)+(1))+(0))),(INDEX(B5:B405,(B4)+(1)))&lt;=(B22),IF(("greater")=(INDEX(B1:XFD1,((A3)+(1))+(0))),(INDEX(B5:B405,(B4)+(1)))&gt;(B22),IF(("mod")=(INDEX(B1:XFD1,((A3)+(1))+(0))),MOD(INDEX(B5:B405,(B4)+(1)),B22),B22))))))))),B22))</f>
        <v>#VALUE!</v>
      </c>
      <c r="C22" t="e">
        <f ca="1">IF((A1)=(2),1,IF(AND((INDEX(B1:XFD1,((A3)+(1))+(0)))=("writeheap"),(INDEX(B5:B405,(B4)+(1)))=(17)),INDEX(B5:B405,(B4)+(2)),IF((A1)=(2),"",IF((18)=(C4),C22,C22))))</f>
        <v>#VALUE!</v>
      </c>
      <c r="D22" t="e">
        <f ca="1">IF((A1)=(2),"",IF((18)=(D4),D22,D22))</f>
        <v>#VALUE!</v>
      </c>
      <c r="F22" t="e">
        <f ca="1">IF((A1)=(2),"",IF((18)=(F4),IF(IF((INDEX(B1:XFD1,((A3)+(1))+(0)))=("store"),(INDEX(B1:XFD1,((A3)+(1))+(1)))=("F"),"false"),B3,F22),F22))</f>
        <v>#VALUE!</v>
      </c>
      <c r="G22" t="e">
        <f ca="1">IF((A1)=(2),"",IF((18)=(G4),IF(IF((INDEX(B1:XFD1,((A3)+(1))+(0)))=("store"),(INDEX(B1:XFD1,((A3)+(1))+(1)))=("G"),"false"),B3,G22),G22))</f>
        <v>#VALUE!</v>
      </c>
      <c r="H22" t="e">
        <f ca="1">IF((A1)=(2),"",IF((18)=(H4),IF(IF((INDEX(B1:XFD1,((A3)+(1))+(0)))=("store"),(INDEX(B1:XFD1,((A3)+(1))+(1)))=("H"),"false"),B3,H22),H22))</f>
        <v>#VALUE!</v>
      </c>
      <c r="I22" t="e">
        <f ca="1">IF((A1)=(2),"",IF((18)=(I4),IF(IF((INDEX(B1:XFD1,((A3)+(1))+(0)))=("store"),(INDEX(B1:XFD1,((A3)+(1))+(1)))=("I"),"false"),B3,I22),I22))</f>
        <v>#VALUE!</v>
      </c>
      <c r="J22" t="e">
        <f ca="1">IF((A1)=(2),"",IF((18)=(J4),IF(IF((INDEX(B1:XFD1,((A3)+(1))+(0)))=("store"),(INDEX(B1:XFD1,((A3)+(1))+(1)))=("J"),"false"),B3,J22),J22))</f>
        <v>#VALUE!</v>
      </c>
      <c r="K22" t="e">
        <f ca="1">IF((A1)=(2),"",IF((18)=(K4),IF(IF((INDEX(B1:XFD1,((A3)+(1))+(0)))=("store"),(INDEX(B1:XFD1,((A3)+(1))+(1)))=("K"),"false"),B3,K22),K22))</f>
        <v>#VALUE!</v>
      </c>
      <c r="L22" t="e">
        <f ca="1">IF((A1)=(2),"",IF((18)=(L4),IF(IF((INDEX(B1:XFD1,((A3)+(1))+(0)))=("store"),(INDEX(B1:XFD1,((A3)+(1))+(1)))=("L"),"false"),B3,L22),L22))</f>
        <v>#VALUE!</v>
      </c>
      <c r="M22" t="e">
        <f ca="1">IF((A1)=(2),"",IF((18)=(M4),IF(IF((INDEX(B1:XFD1,((A3)+(1))+(0)))=("store"),(INDEX(B1:XFD1,((A3)+(1))+(1)))=("M"),"false"),B3,M22),M22))</f>
        <v>#VALUE!</v>
      </c>
      <c r="N22" t="e">
        <f ca="1">IF((A1)=(2),"",IF((18)=(N4),IF(IF((INDEX(B1:XFD1,((A3)+(1))+(0)))=("store"),(INDEX(B1:XFD1,((A3)+(1))+(1)))=("N"),"false"),B3,N22),N22))</f>
        <v>#VALUE!</v>
      </c>
      <c r="O22" t="e">
        <f ca="1">IF((A1)=(2),"",IF((18)=(O4),IF(IF((INDEX(B1:XFD1,((A3)+(1))+(0)))=("store"),(INDEX(B1:XFD1,((A3)+(1))+(1)))=("O"),"false"),B3,O22),O22))</f>
        <v>#VALUE!</v>
      </c>
      <c r="P22" t="e">
        <f ca="1">IF((A1)=(2),"",IF((18)=(P4),IF(IF((INDEX(B1:XFD1,((A3)+(1))+(0)))=("store"),(INDEX(B1:XFD1,((A3)+(1))+(1)))=("P"),"false"),B3,P22),P22))</f>
        <v>#VALUE!</v>
      </c>
      <c r="Q22" t="e">
        <f ca="1">IF((A1)=(2),"",IF((18)=(Q4),IF(IF((INDEX(B1:XFD1,((A3)+(1))+(0)))=("store"),(INDEX(B1:XFD1,((A3)+(1))+(1)))=("Q"),"false"),B3,Q22),Q22))</f>
        <v>#VALUE!</v>
      </c>
      <c r="R22" t="e">
        <f ca="1">IF((A1)=(2),"",IF((18)=(R4),IF(IF((INDEX(B1:XFD1,((A3)+(1))+(0)))=("store"),(INDEX(B1:XFD1,((A3)+(1))+(1)))=("R"),"false"),B3,R22),R22))</f>
        <v>#VALUE!</v>
      </c>
      <c r="S22" t="e">
        <f ca="1">IF((A1)=(2),"",IF((18)=(S4),IF(IF((INDEX(B1:XFD1,((A3)+(1))+(0)))=("store"),(INDEX(B1:XFD1,((A3)+(1))+(1)))=("S"),"false"),B3,S22),S22))</f>
        <v>#VALUE!</v>
      </c>
      <c r="T22" t="e">
        <f ca="1">IF((A1)=(2),"",IF((18)=(T4),IF(IF((INDEX(B1:XFD1,((A3)+(1))+(0)))=("store"),(INDEX(B1:XFD1,((A3)+(1))+(1)))=("T"),"false"),B3,T22),T22))</f>
        <v>#VALUE!</v>
      </c>
      <c r="U22" t="e">
        <f ca="1">IF((A1)=(2),"",IF((18)=(U4),IF(IF((INDEX(B1:XFD1,((A3)+(1))+(0)))=("store"),(INDEX(B1:XFD1,((A3)+(1))+(1)))=("U"),"false"),B3,U22),U22))</f>
        <v>#VALUE!</v>
      </c>
      <c r="V22" t="e">
        <f ca="1">IF((A1)=(2),"",IF((18)=(V4),IF(IF((INDEX(B1:XFD1,((A3)+(1))+(0)))=("store"),(INDEX(B1:XFD1,((A3)+(1))+(1)))=("V"),"false"),B3,V22),V22))</f>
        <v>#VALUE!</v>
      </c>
      <c r="W22" t="e">
        <f ca="1">IF((A1)=(2),"",IF((18)=(W4),IF(IF((INDEX(B1:XFD1,((A3)+(1))+(0)))=("store"),(INDEX(B1:XFD1,((A3)+(1))+(1)))=("W"),"false"),B3,W22),W22))</f>
        <v>#VALUE!</v>
      </c>
      <c r="X22" t="e">
        <f ca="1">IF((A1)=(2),"",IF((18)=(X4),IF(IF((INDEX(B1:XFD1,((A3)+(1))+(0)))=("store"),(INDEX(B1:XFD1,((A3)+(1))+(1)))=("X"),"false"),B3,X22),X22))</f>
        <v>#VALUE!</v>
      </c>
      <c r="Y22" t="e">
        <f ca="1">IF((A1)=(2),"",IF((18)=(Y4),IF(IF((INDEX(B1:XFD1,((A3)+(1))+(0)))=("store"),(INDEX(B1:XFD1,((A3)+(1))+(1)))=("Y"),"false"),B3,Y22),Y22))</f>
        <v>#VALUE!</v>
      </c>
      <c r="Z22" t="e">
        <f ca="1">IF((A1)=(2),"",IF((18)=(Z4),IF(IF((INDEX(B1:XFD1,((A3)+(1))+(0)))=("store"),(INDEX(B1:XFD1,((A3)+(1))+(1)))=("Z"),"false"),B3,Z22),Z22))</f>
        <v>#VALUE!</v>
      </c>
      <c r="AA22" t="e">
        <f ca="1">IF((A1)=(2),"",IF((18)=(AA4),IF(IF((INDEX(B1:XFD1,((A3)+(1))+(0)))=("store"),(INDEX(B1:XFD1,((A3)+(1))+(1)))=("AA"),"false"),B3,AA22),AA22))</f>
        <v>#VALUE!</v>
      </c>
      <c r="AB22" t="e">
        <f ca="1">IF((A1)=(2),"",IF((18)=(AB4),IF(IF((INDEX(B1:XFD1,((A3)+(1))+(0)))=("store"),(INDEX(B1:XFD1,((A3)+(1))+(1)))=("AB"),"false"),B3,AB22),AB22))</f>
        <v>#VALUE!</v>
      </c>
      <c r="AC22" t="e">
        <f ca="1">IF((A1)=(2),"",IF((18)=(AC4),IF(IF((INDEX(B1:XFD1,((A3)+(1))+(0)))=("store"),(INDEX(B1:XFD1,((A3)+(1))+(1)))=("AC"),"false"),B3,AC22),AC22))</f>
        <v>#VALUE!</v>
      </c>
      <c r="AD22" t="e">
        <f ca="1">IF((A1)=(2),"",IF((18)=(AD4),IF(IF((INDEX(B1:XFD1,((A3)+(1))+(0)))=("store"),(INDEX(B1:XFD1,((A3)+(1))+(1)))=("AD"),"false"),B3,AD22),AD22))</f>
        <v>#VALUE!</v>
      </c>
    </row>
    <row r="23" spans="1:30" x14ac:dyDescent="0.25">
      <c r="A23" t="e">
        <f ca="1">IF((A1)=(2),"",IF((19)=(A4),IF(("call")=(INDEX(B1:XFD1,((A3)+(1))+(0))),(B3)*(2),IF(("goto")=(INDEX(B1:XFD1,((A3)+(1))+(0))),(INDEX(B1:XFD1,((A3)+(1))+(1)))*(2),IF(("gotoiftrue")=(INDEX(B1:XFD1,((A3)+(1))+(0))),IF(B3,(INDEX(B1:XFD1,((A3)+(1))+(1)))*(2),(A23)+(2)),(A23)+(2)))),A23))</f>
        <v>#VALUE!</v>
      </c>
      <c r="B23" t="e">
        <f ca="1">IF((A1)=(2),"",IF((19)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23)+(1)),IF(("add")=(INDEX(B1:XFD1,((A3)+(1))+(0))),(INDEX(B5:B405,(B4)+(1)))+(B23),IF(("equals")=(INDEX(B1:XFD1,((A3)+(1))+(0))),(INDEX(B5:B405,(B4)+(1)))=(B23),IF(("leq")=(INDEX(B1:XFD1,((A3)+(1))+(0))),(INDEX(B5:B405,(B4)+(1)))&lt;=(B23),IF(("greater")=(INDEX(B1:XFD1,((A3)+(1))+(0))),(INDEX(B5:B405,(B4)+(1)))&gt;(B23),IF(("mod")=(INDEX(B1:XFD1,((A3)+(1))+(0))),MOD(INDEX(B5:B405,(B4)+(1)),B23),B23))))))))),B23))</f>
        <v>#VALUE!</v>
      </c>
      <c r="C23" t="e">
        <f ca="1">IF((A1)=(2),1,IF(AND((INDEX(B1:XFD1,((A3)+(1))+(0)))=("writeheap"),(INDEX(B5:B405,(B4)+(1)))=(18)),INDEX(B5:B405,(B4)+(2)),IF((A1)=(2),"",IF((19)=(C4),C23,C23))))</f>
        <v>#VALUE!</v>
      </c>
      <c r="D23" t="e">
        <f ca="1">IF((A1)=(2),"",IF((19)=(D4),D23,D23))</f>
        <v>#VALUE!</v>
      </c>
      <c r="F23" t="e">
        <f ca="1">IF((A1)=(2),"",IF((19)=(F4),IF(IF((INDEX(B1:XFD1,((A3)+(1))+(0)))=("store"),(INDEX(B1:XFD1,((A3)+(1))+(1)))=("F"),"false"),B3,F23),F23))</f>
        <v>#VALUE!</v>
      </c>
      <c r="G23" t="e">
        <f ca="1">IF((A1)=(2),"",IF((19)=(G4),IF(IF((INDEX(B1:XFD1,((A3)+(1))+(0)))=("store"),(INDEX(B1:XFD1,((A3)+(1))+(1)))=("G"),"false"),B3,G23),G23))</f>
        <v>#VALUE!</v>
      </c>
      <c r="H23" t="e">
        <f ca="1">IF((A1)=(2),"",IF((19)=(H4),IF(IF((INDEX(B1:XFD1,((A3)+(1))+(0)))=("store"),(INDEX(B1:XFD1,((A3)+(1))+(1)))=("H"),"false"),B3,H23),H23))</f>
        <v>#VALUE!</v>
      </c>
      <c r="I23" t="e">
        <f ca="1">IF((A1)=(2),"",IF((19)=(I4),IF(IF((INDEX(B1:XFD1,((A3)+(1))+(0)))=("store"),(INDEX(B1:XFD1,((A3)+(1))+(1)))=("I"),"false"),B3,I23),I23))</f>
        <v>#VALUE!</v>
      </c>
      <c r="J23" t="e">
        <f ca="1">IF((A1)=(2),"",IF((19)=(J4),IF(IF((INDEX(B1:XFD1,((A3)+(1))+(0)))=("store"),(INDEX(B1:XFD1,((A3)+(1))+(1)))=("J"),"false"),B3,J23),J23))</f>
        <v>#VALUE!</v>
      </c>
      <c r="K23" t="e">
        <f ca="1">IF((A1)=(2),"",IF((19)=(K4),IF(IF((INDEX(B1:XFD1,((A3)+(1))+(0)))=("store"),(INDEX(B1:XFD1,((A3)+(1))+(1)))=("K"),"false"),B3,K23),K23))</f>
        <v>#VALUE!</v>
      </c>
      <c r="L23" t="e">
        <f ca="1">IF((A1)=(2),"",IF((19)=(L4),IF(IF((INDEX(B1:XFD1,((A3)+(1))+(0)))=("store"),(INDEX(B1:XFD1,((A3)+(1))+(1)))=("L"),"false"),B3,L23),L23))</f>
        <v>#VALUE!</v>
      </c>
      <c r="M23" t="e">
        <f ca="1">IF((A1)=(2),"",IF((19)=(M4),IF(IF((INDEX(B1:XFD1,((A3)+(1))+(0)))=("store"),(INDEX(B1:XFD1,((A3)+(1))+(1)))=("M"),"false"),B3,M23),M23))</f>
        <v>#VALUE!</v>
      </c>
      <c r="N23" t="e">
        <f ca="1">IF((A1)=(2),"",IF((19)=(N4),IF(IF((INDEX(B1:XFD1,((A3)+(1))+(0)))=("store"),(INDEX(B1:XFD1,((A3)+(1))+(1)))=("N"),"false"),B3,N23),N23))</f>
        <v>#VALUE!</v>
      </c>
      <c r="O23" t="e">
        <f ca="1">IF((A1)=(2),"",IF((19)=(O4),IF(IF((INDEX(B1:XFD1,((A3)+(1))+(0)))=("store"),(INDEX(B1:XFD1,((A3)+(1))+(1)))=("O"),"false"),B3,O23),O23))</f>
        <v>#VALUE!</v>
      </c>
      <c r="P23" t="e">
        <f ca="1">IF((A1)=(2),"",IF((19)=(P4),IF(IF((INDEX(B1:XFD1,((A3)+(1))+(0)))=("store"),(INDEX(B1:XFD1,((A3)+(1))+(1)))=("P"),"false"),B3,P23),P23))</f>
        <v>#VALUE!</v>
      </c>
      <c r="Q23" t="e">
        <f ca="1">IF((A1)=(2),"",IF((19)=(Q4),IF(IF((INDEX(B1:XFD1,((A3)+(1))+(0)))=("store"),(INDEX(B1:XFD1,((A3)+(1))+(1)))=("Q"),"false"),B3,Q23),Q23))</f>
        <v>#VALUE!</v>
      </c>
      <c r="R23" t="e">
        <f ca="1">IF((A1)=(2),"",IF((19)=(R4),IF(IF((INDEX(B1:XFD1,((A3)+(1))+(0)))=("store"),(INDEX(B1:XFD1,((A3)+(1))+(1)))=("R"),"false"),B3,R23),R23))</f>
        <v>#VALUE!</v>
      </c>
      <c r="S23" t="e">
        <f ca="1">IF((A1)=(2),"",IF((19)=(S4),IF(IF((INDEX(B1:XFD1,((A3)+(1))+(0)))=("store"),(INDEX(B1:XFD1,((A3)+(1))+(1)))=("S"),"false"),B3,S23),S23))</f>
        <v>#VALUE!</v>
      </c>
      <c r="T23" t="e">
        <f ca="1">IF((A1)=(2),"",IF((19)=(T4),IF(IF((INDEX(B1:XFD1,((A3)+(1))+(0)))=("store"),(INDEX(B1:XFD1,((A3)+(1))+(1)))=("T"),"false"),B3,T23),T23))</f>
        <v>#VALUE!</v>
      </c>
      <c r="U23" t="e">
        <f ca="1">IF((A1)=(2),"",IF((19)=(U4),IF(IF((INDEX(B1:XFD1,((A3)+(1))+(0)))=("store"),(INDEX(B1:XFD1,((A3)+(1))+(1)))=("U"),"false"),B3,U23),U23))</f>
        <v>#VALUE!</v>
      </c>
      <c r="V23" t="e">
        <f ca="1">IF((A1)=(2),"",IF((19)=(V4),IF(IF((INDEX(B1:XFD1,((A3)+(1))+(0)))=("store"),(INDEX(B1:XFD1,((A3)+(1))+(1)))=("V"),"false"),B3,V23),V23))</f>
        <v>#VALUE!</v>
      </c>
      <c r="W23" t="e">
        <f ca="1">IF((A1)=(2),"",IF((19)=(W4),IF(IF((INDEX(B1:XFD1,((A3)+(1))+(0)))=("store"),(INDEX(B1:XFD1,((A3)+(1))+(1)))=("W"),"false"),B3,W23),W23))</f>
        <v>#VALUE!</v>
      </c>
      <c r="X23" t="e">
        <f ca="1">IF((A1)=(2),"",IF((19)=(X4),IF(IF((INDEX(B1:XFD1,((A3)+(1))+(0)))=("store"),(INDEX(B1:XFD1,((A3)+(1))+(1)))=("X"),"false"),B3,X23),X23))</f>
        <v>#VALUE!</v>
      </c>
      <c r="Y23" t="e">
        <f ca="1">IF((A1)=(2),"",IF((19)=(Y4),IF(IF((INDEX(B1:XFD1,((A3)+(1))+(0)))=("store"),(INDEX(B1:XFD1,((A3)+(1))+(1)))=("Y"),"false"),B3,Y23),Y23))</f>
        <v>#VALUE!</v>
      </c>
      <c r="Z23" t="e">
        <f ca="1">IF((A1)=(2),"",IF((19)=(Z4),IF(IF((INDEX(B1:XFD1,((A3)+(1))+(0)))=("store"),(INDEX(B1:XFD1,((A3)+(1))+(1)))=("Z"),"false"),B3,Z23),Z23))</f>
        <v>#VALUE!</v>
      </c>
      <c r="AA23" t="e">
        <f ca="1">IF((A1)=(2),"",IF((19)=(AA4),IF(IF((INDEX(B1:XFD1,((A3)+(1))+(0)))=("store"),(INDEX(B1:XFD1,((A3)+(1))+(1)))=("AA"),"false"),B3,AA23),AA23))</f>
        <v>#VALUE!</v>
      </c>
      <c r="AB23" t="e">
        <f ca="1">IF((A1)=(2),"",IF((19)=(AB4),IF(IF((INDEX(B1:XFD1,((A3)+(1))+(0)))=("store"),(INDEX(B1:XFD1,((A3)+(1))+(1)))=("AB"),"false"),B3,AB23),AB23))</f>
        <v>#VALUE!</v>
      </c>
      <c r="AC23" t="e">
        <f ca="1">IF((A1)=(2),"",IF((19)=(AC4),IF(IF((INDEX(B1:XFD1,((A3)+(1))+(0)))=("store"),(INDEX(B1:XFD1,((A3)+(1))+(1)))=("AC"),"false"),B3,AC23),AC23))</f>
        <v>#VALUE!</v>
      </c>
      <c r="AD23" t="e">
        <f ca="1">IF((A1)=(2),"",IF((19)=(AD4),IF(IF((INDEX(B1:XFD1,((A3)+(1))+(0)))=("store"),(INDEX(B1:XFD1,((A3)+(1))+(1)))=("AD"),"false"),B3,AD23),AD23))</f>
        <v>#VALUE!</v>
      </c>
    </row>
    <row r="24" spans="1:30" x14ac:dyDescent="0.25">
      <c r="A24" t="e">
        <f ca="1">IF((A1)=(2),"",IF((20)=(A4),IF(("call")=(INDEX(B1:XFD1,((A3)+(1))+(0))),(B3)*(2),IF(("goto")=(INDEX(B1:XFD1,((A3)+(1))+(0))),(INDEX(B1:XFD1,((A3)+(1))+(1)))*(2),IF(("gotoiftrue")=(INDEX(B1:XFD1,((A3)+(1))+(0))),IF(B3,(INDEX(B1:XFD1,((A3)+(1))+(1)))*(2),(A24)+(2)),(A24)+(2)))),A24))</f>
        <v>#VALUE!</v>
      </c>
      <c r="B24" t="e">
        <f ca="1">IF((A1)=(2),"",IF((20)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24)+(1)),IF(("add")=(INDEX(B1:XFD1,((A3)+(1))+(0))),(INDEX(B5:B405,(B4)+(1)))+(B24),IF(("equals")=(INDEX(B1:XFD1,((A3)+(1))+(0))),(INDEX(B5:B405,(B4)+(1)))=(B24),IF(("leq")=(INDEX(B1:XFD1,((A3)+(1))+(0))),(INDEX(B5:B405,(B4)+(1)))&lt;=(B24),IF(("greater")=(INDEX(B1:XFD1,((A3)+(1))+(0))),(INDEX(B5:B405,(B4)+(1)))&gt;(B24),IF(("mod")=(INDEX(B1:XFD1,((A3)+(1))+(0))),MOD(INDEX(B5:B405,(B4)+(1)),B24),B24))))))))),B24))</f>
        <v>#VALUE!</v>
      </c>
      <c r="C24" t="e">
        <f ca="1">IF((A1)=(2),1,IF(AND((INDEX(B1:XFD1,((A3)+(1))+(0)))=("writeheap"),(INDEX(B5:B405,(B4)+(1)))=(19)),INDEX(B5:B405,(B4)+(2)),IF((A1)=(2),"",IF((20)=(C4),C24,C24))))</f>
        <v>#VALUE!</v>
      </c>
      <c r="D24" t="e">
        <f ca="1">IF((A1)=(2),"",IF((20)=(D4),D24,D24))</f>
        <v>#VALUE!</v>
      </c>
      <c r="F24" t="e">
        <f ca="1">IF((A1)=(2),"",IF((20)=(F4),IF(IF((INDEX(B1:XFD1,((A3)+(1))+(0)))=("store"),(INDEX(B1:XFD1,((A3)+(1))+(1)))=("F"),"false"),B3,F24),F24))</f>
        <v>#VALUE!</v>
      </c>
      <c r="G24" t="e">
        <f ca="1">IF((A1)=(2),"",IF((20)=(G4),IF(IF((INDEX(B1:XFD1,((A3)+(1))+(0)))=("store"),(INDEX(B1:XFD1,((A3)+(1))+(1)))=("G"),"false"),B3,G24),G24))</f>
        <v>#VALUE!</v>
      </c>
      <c r="H24" t="e">
        <f ca="1">IF((A1)=(2),"",IF((20)=(H4),IF(IF((INDEX(B1:XFD1,((A3)+(1))+(0)))=("store"),(INDEX(B1:XFD1,((A3)+(1))+(1)))=("H"),"false"),B3,H24),H24))</f>
        <v>#VALUE!</v>
      </c>
      <c r="I24" t="e">
        <f ca="1">IF((A1)=(2),"",IF((20)=(I4),IF(IF((INDEX(B1:XFD1,((A3)+(1))+(0)))=("store"),(INDEX(B1:XFD1,((A3)+(1))+(1)))=("I"),"false"),B3,I24),I24))</f>
        <v>#VALUE!</v>
      </c>
      <c r="J24" t="e">
        <f ca="1">IF((A1)=(2),"",IF((20)=(J4),IF(IF((INDEX(B1:XFD1,((A3)+(1))+(0)))=("store"),(INDEX(B1:XFD1,((A3)+(1))+(1)))=("J"),"false"),B3,J24),J24))</f>
        <v>#VALUE!</v>
      </c>
      <c r="K24" t="e">
        <f ca="1">IF((A1)=(2),"",IF((20)=(K4),IF(IF((INDEX(B1:XFD1,((A3)+(1))+(0)))=("store"),(INDEX(B1:XFD1,((A3)+(1))+(1)))=("K"),"false"),B3,K24),K24))</f>
        <v>#VALUE!</v>
      </c>
      <c r="L24" t="e">
        <f ca="1">IF((A1)=(2),"",IF((20)=(L4),IF(IF((INDEX(B1:XFD1,((A3)+(1))+(0)))=("store"),(INDEX(B1:XFD1,((A3)+(1))+(1)))=("L"),"false"),B3,L24),L24))</f>
        <v>#VALUE!</v>
      </c>
      <c r="M24" t="e">
        <f ca="1">IF((A1)=(2),"",IF((20)=(M4),IF(IF((INDEX(B1:XFD1,((A3)+(1))+(0)))=("store"),(INDEX(B1:XFD1,((A3)+(1))+(1)))=("M"),"false"),B3,M24),M24))</f>
        <v>#VALUE!</v>
      </c>
      <c r="N24" t="e">
        <f ca="1">IF((A1)=(2),"",IF((20)=(N4),IF(IF((INDEX(B1:XFD1,((A3)+(1))+(0)))=("store"),(INDEX(B1:XFD1,((A3)+(1))+(1)))=("N"),"false"),B3,N24),N24))</f>
        <v>#VALUE!</v>
      </c>
      <c r="O24" t="e">
        <f ca="1">IF((A1)=(2),"",IF((20)=(O4),IF(IF((INDEX(B1:XFD1,((A3)+(1))+(0)))=("store"),(INDEX(B1:XFD1,((A3)+(1))+(1)))=("O"),"false"),B3,O24),O24))</f>
        <v>#VALUE!</v>
      </c>
      <c r="P24" t="e">
        <f ca="1">IF((A1)=(2),"",IF((20)=(P4),IF(IF((INDEX(B1:XFD1,((A3)+(1))+(0)))=("store"),(INDEX(B1:XFD1,((A3)+(1))+(1)))=("P"),"false"),B3,P24),P24))</f>
        <v>#VALUE!</v>
      </c>
      <c r="Q24" t="e">
        <f ca="1">IF((A1)=(2),"",IF((20)=(Q4),IF(IF((INDEX(B1:XFD1,((A3)+(1))+(0)))=("store"),(INDEX(B1:XFD1,((A3)+(1))+(1)))=("Q"),"false"),B3,Q24),Q24))</f>
        <v>#VALUE!</v>
      </c>
      <c r="R24" t="e">
        <f ca="1">IF((A1)=(2),"",IF((20)=(R4),IF(IF((INDEX(B1:XFD1,((A3)+(1))+(0)))=("store"),(INDEX(B1:XFD1,((A3)+(1))+(1)))=("R"),"false"),B3,R24),R24))</f>
        <v>#VALUE!</v>
      </c>
      <c r="S24" t="e">
        <f ca="1">IF((A1)=(2),"",IF((20)=(S4),IF(IF((INDEX(B1:XFD1,((A3)+(1))+(0)))=("store"),(INDEX(B1:XFD1,((A3)+(1))+(1)))=("S"),"false"),B3,S24),S24))</f>
        <v>#VALUE!</v>
      </c>
      <c r="T24" t="e">
        <f ca="1">IF((A1)=(2),"",IF((20)=(T4),IF(IF((INDEX(B1:XFD1,((A3)+(1))+(0)))=("store"),(INDEX(B1:XFD1,((A3)+(1))+(1)))=("T"),"false"),B3,T24),T24))</f>
        <v>#VALUE!</v>
      </c>
      <c r="U24" t="e">
        <f ca="1">IF((A1)=(2),"",IF((20)=(U4),IF(IF((INDEX(B1:XFD1,((A3)+(1))+(0)))=("store"),(INDEX(B1:XFD1,((A3)+(1))+(1)))=("U"),"false"),B3,U24),U24))</f>
        <v>#VALUE!</v>
      </c>
      <c r="V24" t="e">
        <f ca="1">IF((A1)=(2),"",IF((20)=(V4),IF(IF((INDEX(B1:XFD1,((A3)+(1))+(0)))=("store"),(INDEX(B1:XFD1,((A3)+(1))+(1)))=("V"),"false"),B3,V24),V24))</f>
        <v>#VALUE!</v>
      </c>
      <c r="W24" t="e">
        <f ca="1">IF((A1)=(2),"",IF((20)=(W4),IF(IF((INDEX(B1:XFD1,((A3)+(1))+(0)))=("store"),(INDEX(B1:XFD1,((A3)+(1))+(1)))=("W"),"false"),B3,W24),W24))</f>
        <v>#VALUE!</v>
      </c>
      <c r="X24" t="e">
        <f ca="1">IF((A1)=(2),"",IF((20)=(X4),IF(IF((INDEX(B1:XFD1,((A3)+(1))+(0)))=("store"),(INDEX(B1:XFD1,((A3)+(1))+(1)))=("X"),"false"),B3,X24),X24))</f>
        <v>#VALUE!</v>
      </c>
      <c r="Y24" t="e">
        <f ca="1">IF((A1)=(2),"",IF((20)=(Y4),IF(IF((INDEX(B1:XFD1,((A3)+(1))+(0)))=("store"),(INDEX(B1:XFD1,((A3)+(1))+(1)))=("Y"),"false"),B3,Y24),Y24))</f>
        <v>#VALUE!</v>
      </c>
      <c r="Z24" t="e">
        <f ca="1">IF((A1)=(2),"",IF((20)=(Z4),IF(IF((INDEX(B1:XFD1,((A3)+(1))+(0)))=("store"),(INDEX(B1:XFD1,((A3)+(1))+(1)))=("Z"),"false"),B3,Z24),Z24))</f>
        <v>#VALUE!</v>
      </c>
      <c r="AA24" t="e">
        <f ca="1">IF((A1)=(2),"",IF((20)=(AA4),IF(IF((INDEX(B1:XFD1,((A3)+(1))+(0)))=("store"),(INDEX(B1:XFD1,((A3)+(1))+(1)))=("AA"),"false"),B3,AA24),AA24))</f>
        <v>#VALUE!</v>
      </c>
      <c r="AB24" t="e">
        <f ca="1">IF((A1)=(2),"",IF((20)=(AB4),IF(IF((INDEX(B1:XFD1,((A3)+(1))+(0)))=("store"),(INDEX(B1:XFD1,((A3)+(1))+(1)))=("AB"),"false"),B3,AB24),AB24))</f>
        <v>#VALUE!</v>
      </c>
      <c r="AC24" t="e">
        <f ca="1">IF((A1)=(2),"",IF((20)=(AC4),IF(IF((INDEX(B1:XFD1,((A3)+(1))+(0)))=("store"),(INDEX(B1:XFD1,((A3)+(1))+(1)))=("AC"),"false"),B3,AC24),AC24))</f>
        <v>#VALUE!</v>
      </c>
      <c r="AD24" t="e">
        <f ca="1">IF((A1)=(2),"",IF((20)=(AD4),IF(IF((INDEX(B1:XFD1,((A3)+(1))+(0)))=("store"),(INDEX(B1:XFD1,((A3)+(1))+(1)))=("AD"),"false"),B3,AD24),AD24))</f>
        <v>#VALUE!</v>
      </c>
    </row>
    <row r="25" spans="1:30" x14ac:dyDescent="0.25">
      <c r="A25" t="e">
        <f ca="1">IF((A1)=(2),"",IF((21)=(A4),IF(("call")=(INDEX(B1:XFD1,((A3)+(1))+(0))),(B3)*(2),IF(("goto")=(INDEX(B1:XFD1,((A3)+(1))+(0))),(INDEX(B1:XFD1,((A3)+(1))+(1)))*(2),IF(("gotoiftrue")=(INDEX(B1:XFD1,((A3)+(1))+(0))),IF(B3,(INDEX(B1:XFD1,((A3)+(1))+(1)))*(2),(A25)+(2)),(A25)+(2)))),A25))</f>
        <v>#VALUE!</v>
      </c>
      <c r="B25" t="e">
        <f ca="1">IF((A1)=(2),"",IF((21)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25)+(1)),IF(("add")=(INDEX(B1:XFD1,((A3)+(1))+(0))),(INDEX(B5:B405,(B4)+(1)))+(B25),IF(("equals")=(INDEX(B1:XFD1,((A3)+(1))+(0))),(INDEX(B5:B405,(B4)+(1)))=(B25),IF(("leq")=(INDEX(B1:XFD1,((A3)+(1))+(0))),(INDEX(B5:B405,(B4)+(1)))&lt;=(B25),IF(("greater")=(INDEX(B1:XFD1,((A3)+(1))+(0))),(INDEX(B5:B405,(B4)+(1)))&gt;(B25),IF(("mod")=(INDEX(B1:XFD1,((A3)+(1))+(0))),MOD(INDEX(B5:B405,(B4)+(1)),B25),B25))))))))),B25))</f>
        <v>#VALUE!</v>
      </c>
      <c r="C25" t="e">
        <f ca="1">IF((A1)=(2),1,IF(AND((INDEX(B1:XFD1,((A3)+(1))+(0)))=("writeheap"),(INDEX(B5:B405,(B4)+(1)))=(20)),INDEX(B5:B405,(B4)+(2)),IF((A1)=(2),"",IF((21)=(C4),C25,C25))))</f>
        <v>#VALUE!</v>
      </c>
      <c r="F25" t="e">
        <f ca="1">IF((A1)=(2),"",IF((21)=(F4),IF(IF((INDEX(B1:XFD1,((A3)+(1))+(0)))=("store"),(INDEX(B1:XFD1,((A3)+(1))+(1)))=("F"),"false"),B3,F25),F25))</f>
        <v>#VALUE!</v>
      </c>
      <c r="G25" t="e">
        <f ca="1">IF((A1)=(2),"",IF((21)=(G4),IF(IF((INDEX(B1:XFD1,((A3)+(1))+(0)))=("store"),(INDEX(B1:XFD1,((A3)+(1))+(1)))=("G"),"false"),B3,G25),G25))</f>
        <v>#VALUE!</v>
      </c>
      <c r="H25" t="e">
        <f ca="1">IF((A1)=(2),"",IF((21)=(H4),IF(IF((INDEX(B1:XFD1,((A3)+(1))+(0)))=("store"),(INDEX(B1:XFD1,((A3)+(1))+(1)))=("H"),"false"),B3,H25),H25))</f>
        <v>#VALUE!</v>
      </c>
      <c r="I25" t="e">
        <f ca="1">IF((A1)=(2),"",IF((21)=(I4),IF(IF((INDEX(B1:XFD1,((A3)+(1))+(0)))=("store"),(INDEX(B1:XFD1,((A3)+(1))+(1)))=("I"),"false"),B3,I25),I25))</f>
        <v>#VALUE!</v>
      </c>
      <c r="J25" t="e">
        <f ca="1">IF((A1)=(2),"",IF((21)=(J4),IF(IF((INDEX(B1:XFD1,((A3)+(1))+(0)))=("store"),(INDEX(B1:XFD1,((A3)+(1))+(1)))=("J"),"false"),B3,J25),J25))</f>
        <v>#VALUE!</v>
      </c>
      <c r="K25" t="e">
        <f ca="1">IF((A1)=(2),"",IF((21)=(K4),IF(IF((INDEX(B1:XFD1,((A3)+(1))+(0)))=("store"),(INDEX(B1:XFD1,((A3)+(1))+(1)))=("K"),"false"),B3,K25),K25))</f>
        <v>#VALUE!</v>
      </c>
      <c r="L25" t="e">
        <f ca="1">IF((A1)=(2),"",IF((21)=(L4),IF(IF((INDEX(B1:XFD1,((A3)+(1))+(0)))=("store"),(INDEX(B1:XFD1,((A3)+(1))+(1)))=("L"),"false"),B3,L25),L25))</f>
        <v>#VALUE!</v>
      </c>
      <c r="M25" t="e">
        <f ca="1">IF((A1)=(2),"",IF((21)=(M4),IF(IF((INDEX(B1:XFD1,((A3)+(1))+(0)))=("store"),(INDEX(B1:XFD1,((A3)+(1))+(1)))=("M"),"false"),B3,M25),M25))</f>
        <v>#VALUE!</v>
      </c>
      <c r="N25" t="e">
        <f ca="1">IF((A1)=(2),"",IF((21)=(N4),IF(IF((INDEX(B1:XFD1,((A3)+(1))+(0)))=("store"),(INDEX(B1:XFD1,((A3)+(1))+(1)))=("N"),"false"),B3,N25),N25))</f>
        <v>#VALUE!</v>
      </c>
      <c r="O25" t="e">
        <f ca="1">IF((A1)=(2),"",IF((21)=(O4),IF(IF((INDEX(B1:XFD1,((A3)+(1))+(0)))=("store"),(INDEX(B1:XFD1,((A3)+(1))+(1)))=("O"),"false"),B3,O25),O25))</f>
        <v>#VALUE!</v>
      </c>
      <c r="P25" t="e">
        <f ca="1">IF((A1)=(2),"",IF((21)=(P4),IF(IF((INDEX(B1:XFD1,((A3)+(1))+(0)))=("store"),(INDEX(B1:XFD1,((A3)+(1))+(1)))=("P"),"false"),B3,P25),P25))</f>
        <v>#VALUE!</v>
      </c>
      <c r="Q25" t="e">
        <f ca="1">IF((A1)=(2),"",IF((21)=(Q4),IF(IF((INDEX(B1:XFD1,((A3)+(1))+(0)))=("store"),(INDEX(B1:XFD1,((A3)+(1))+(1)))=("Q"),"false"),B3,Q25),Q25))</f>
        <v>#VALUE!</v>
      </c>
      <c r="R25" t="e">
        <f ca="1">IF((A1)=(2),"",IF((21)=(R4),IF(IF((INDEX(B1:XFD1,((A3)+(1))+(0)))=("store"),(INDEX(B1:XFD1,((A3)+(1))+(1)))=("R"),"false"),B3,R25),R25))</f>
        <v>#VALUE!</v>
      </c>
      <c r="S25" t="e">
        <f ca="1">IF((A1)=(2),"",IF((21)=(S4),IF(IF((INDEX(B1:XFD1,((A3)+(1))+(0)))=("store"),(INDEX(B1:XFD1,((A3)+(1))+(1)))=("S"),"false"),B3,S25),S25))</f>
        <v>#VALUE!</v>
      </c>
      <c r="T25" t="e">
        <f ca="1">IF((A1)=(2),"",IF((21)=(T4),IF(IF((INDEX(B1:XFD1,((A3)+(1))+(0)))=("store"),(INDEX(B1:XFD1,((A3)+(1))+(1)))=("T"),"false"),B3,T25),T25))</f>
        <v>#VALUE!</v>
      </c>
      <c r="U25" t="e">
        <f ca="1">IF((A1)=(2),"",IF((21)=(U4),IF(IF((INDEX(B1:XFD1,((A3)+(1))+(0)))=("store"),(INDEX(B1:XFD1,((A3)+(1))+(1)))=("U"),"false"),B3,U25),U25))</f>
        <v>#VALUE!</v>
      </c>
      <c r="V25" t="e">
        <f ca="1">IF((A1)=(2),"",IF((21)=(V4),IF(IF((INDEX(B1:XFD1,((A3)+(1))+(0)))=("store"),(INDEX(B1:XFD1,((A3)+(1))+(1)))=("V"),"false"),B3,V25),V25))</f>
        <v>#VALUE!</v>
      </c>
      <c r="W25" t="e">
        <f ca="1">IF((A1)=(2),"",IF((21)=(W4),IF(IF((INDEX(B1:XFD1,((A3)+(1))+(0)))=("store"),(INDEX(B1:XFD1,((A3)+(1))+(1)))=("W"),"false"),B3,W25),W25))</f>
        <v>#VALUE!</v>
      </c>
      <c r="X25" t="e">
        <f ca="1">IF((A1)=(2),"",IF((21)=(X4),IF(IF((INDEX(B1:XFD1,((A3)+(1))+(0)))=("store"),(INDEX(B1:XFD1,((A3)+(1))+(1)))=("X"),"false"),B3,X25),X25))</f>
        <v>#VALUE!</v>
      </c>
      <c r="Y25" t="e">
        <f ca="1">IF((A1)=(2),"",IF((21)=(Y4),IF(IF((INDEX(B1:XFD1,((A3)+(1))+(0)))=("store"),(INDEX(B1:XFD1,((A3)+(1))+(1)))=("Y"),"false"),B3,Y25),Y25))</f>
        <v>#VALUE!</v>
      </c>
      <c r="Z25" t="e">
        <f ca="1">IF((A1)=(2),"",IF((21)=(Z4),IF(IF((INDEX(B1:XFD1,((A3)+(1))+(0)))=("store"),(INDEX(B1:XFD1,((A3)+(1))+(1)))=("Z"),"false"),B3,Z25),Z25))</f>
        <v>#VALUE!</v>
      </c>
      <c r="AA25" t="e">
        <f ca="1">IF((A1)=(2),"",IF((21)=(AA4),IF(IF((INDEX(B1:XFD1,((A3)+(1))+(0)))=("store"),(INDEX(B1:XFD1,((A3)+(1))+(1)))=("AA"),"false"),B3,AA25),AA25))</f>
        <v>#VALUE!</v>
      </c>
      <c r="AB25" t="e">
        <f ca="1">IF((A1)=(2),"",IF((21)=(AB4),IF(IF((INDEX(B1:XFD1,((A3)+(1))+(0)))=("store"),(INDEX(B1:XFD1,((A3)+(1))+(1)))=("AB"),"false"),B3,AB25),AB25))</f>
        <v>#VALUE!</v>
      </c>
      <c r="AC25" t="e">
        <f ca="1">IF((A1)=(2),"",IF((21)=(AC4),IF(IF((INDEX(B1:XFD1,((A3)+(1))+(0)))=("store"),(INDEX(B1:XFD1,((A3)+(1))+(1)))=("AC"),"false"),B3,AC25),AC25))</f>
        <v>#VALUE!</v>
      </c>
      <c r="AD25" t="e">
        <f ca="1">IF((A1)=(2),"",IF((21)=(AD4),IF(IF((INDEX(B1:XFD1,((A3)+(1))+(0)))=("store"),(INDEX(B1:XFD1,((A3)+(1))+(1)))=("AD"),"false"),B3,AD25),AD25))</f>
        <v>#VALUE!</v>
      </c>
    </row>
    <row r="26" spans="1:30" x14ac:dyDescent="0.25">
      <c r="A26" t="e">
        <f ca="1">IF((A1)=(2),"",IF((22)=(A4),IF(("call")=(INDEX(B1:XFD1,((A3)+(1))+(0))),(B3)*(2),IF(("goto")=(INDEX(B1:XFD1,((A3)+(1))+(0))),(INDEX(B1:XFD1,((A3)+(1))+(1)))*(2),IF(("gotoiftrue")=(INDEX(B1:XFD1,((A3)+(1))+(0))),IF(B3,(INDEX(B1:XFD1,((A3)+(1))+(1)))*(2),(A26)+(2)),(A26)+(2)))),A26))</f>
        <v>#VALUE!</v>
      </c>
      <c r="B26" t="e">
        <f ca="1">IF((A1)=(2),"",IF((22)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26)+(1)),IF(("add")=(INDEX(B1:XFD1,((A3)+(1))+(0))),(INDEX(B5:B405,(B4)+(1)))+(B26),IF(("equals")=(INDEX(B1:XFD1,((A3)+(1))+(0))),(INDEX(B5:B405,(B4)+(1)))=(B26),IF(("leq")=(INDEX(B1:XFD1,((A3)+(1))+(0))),(INDEX(B5:B405,(B4)+(1)))&lt;=(B26),IF(("greater")=(INDEX(B1:XFD1,((A3)+(1))+(0))),(INDEX(B5:B405,(B4)+(1)))&gt;(B26),IF(("mod")=(INDEX(B1:XFD1,((A3)+(1))+(0))),MOD(INDEX(B5:B405,(B4)+(1)),B26),B26))))))))),B26))</f>
        <v>#VALUE!</v>
      </c>
      <c r="C26" t="e">
        <f ca="1">IF((A1)=(2),1,IF(AND((INDEX(B1:XFD1,((A3)+(1))+(0)))=("writeheap"),(INDEX(B5:B405,(B4)+(1)))=(21)),INDEX(B5:B405,(B4)+(2)),IF((A1)=(2),"",IF((22)=(C4),C26,C26))))</f>
        <v>#VALUE!</v>
      </c>
      <c r="F26" t="e">
        <f ca="1">IF((A1)=(2),"",IF((22)=(F4),IF(IF((INDEX(B1:XFD1,((A3)+(1))+(0)))=("store"),(INDEX(B1:XFD1,((A3)+(1))+(1)))=("F"),"false"),B3,F26),F26))</f>
        <v>#VALUE!</v>
      </c>
      <c r="G26" t="e">
        <f ca="1">IF((A1)=(2),"",IF((22)=(G4),IF(IF((INDEX(B1:XFD1,((A3)+(1))+(0)))=("store"),(INDEX(B1:XFD1,((A3)+(1))+(1)))=("G"),"false"),B3,G26),G26))</f>
        <v>#VALUE!</v>
      </c>
      <c r="H26" t="e">
        <f ca="1">IF((A1)=(2),"",IF((22)=(H4),IF(IF((INDEX(B1:XFD1,((A3)+(1))+(0)))=("store"),(INDEX(B1:XFD1,((A3)+(1))+(1)))=("H"),"false"),B3,H26),H26))</f>
        <v>#VALUE!</v>
      </c>
      <c r="I26" t="e">
        <f ca="1">IF((A1)=(2),"",IF((22)=(I4),IF(IF((INDEX(B1:XFD1,((A3)+(1))+(0)))=("store"),(INDEX(B1:XFD1,((A3)+(1))+(1)))=("I"),"false"),B3,I26),I26))</f>
        <v>#VALUE!</v>
      </c>
      <c r="J26" t="e">
        <f ca="1">IF((A1)=(2),"",IF((22)=(J4),IF(IF((INDEX(B1:XFD1,((A3)+(1))+(0)))=("store"),(INDEX(B1:XFD1,((A3)+(1))+(1)))=("J"),"false"),B3,J26),J26))</f>
        <v>#VALUE!</v>
      </c>
      <c r="K26" t="e">
        <f ca="1">IF((A1)=(2),"",IF((22)=(K4),IF(IF((INDEX(B1:XFD1,((A3)+(1))+(0)))=("store"),(INDEX(B1:XFD1,((A3)+(1))+(1)))=("K"),"false"),B3,K26),K26))</f>
        <v>#VALUE!</v>
      </c>
      <c r="L26" t="e">
        <f ca="1">IF((A1)=(2),"",IF((22)=(L4),IF(IF((INDEX(B1:XFD1,((A3)+(1))+(0)))=("store"),(INDEX(B1:XFD1,((A3)+(1))+(1)))=("L"),"false"),B3,L26),L26))</f>
        <v>#VALUE!</v>
      </c>
      <c r="M26" t="e">
        <f ca="1">IF((A1)=(2),"",IF((22)=(M4),IF(IF((INDEX(B1:XFD1,((A3)+(1))+(0)))=("store"),(INDEX(B1:XFD1,((A3)+(1))+(1)))=("M"),"false"),B3,M26),M26))</f>
        <v>#VALUE!</v>
      </c>
      <c r="N26" t="e">
        <f ca="1">IF((A1)=(2),"",IF((22)=(N4),IF(IF((INDEX(B1:XFD1,((A3)+(1))+(0)))=("store"),(INDEX(B1:XFD1,((A3)+(1))+(1)))=("N"),"false"),B3,N26),N26))</f>
        <v>#VALUE!</v>
      </c>
      <c r="O26" t="e">
        <f ca="1">IF((A1)=(2),"",IF((22)=(O4),IF(IF((INDEX(B1:XFD1,((A3)+(1))+(0)))=("store"),(INDEX(B1:XFD1,((A3)+(1))+(1)))=("O"),"false"),B3,O26),O26))</f>
        <v>#VALUE!</v>
      </c>
      <c r="P26" t="e">
        <f ca="1">IF((A1)=(2),"",IF((22)=(P4),IF(IF((INDEX(B1:XFD1,((A3)+(1))+(0)))=("store"),(INDEX(B1:XFD1,((A3)+(1))+(1)))=("P"),"false"),B3,P26),P26))</f>
        <v>#VALUE!</v>
      </c>
      <c r="Q26" t="e">
        <f ca="1">IF((A1)=(2),"",IF((22)=(Q4),IF(IF((INDEX(B1:XFD1,((A3)+(1))+(0)))=("store"),(INDEX(B1:XFD1,((A3)+(1))+(1)))=("Q"),"false"),B3,Q26),Q26))</f>
        <v>#VALUE!</v>
      </c>
      <c r="R26" t="e">
        <f ca="1">IF((A1)=(2),"",IF((22)=(R4),IF(IF((INDEX(B1:XFD1,((A3)+(1))+(0)))=("store"),(INDEX(B1:XFD1,((A3)+(1))+(1)))=("R"),"false"),B3,R26),R26))</f>
        <v>#VALUE!</v>
      </c>
      <c r="S26" t="e">
        <f ca="1">IF((A1)=(2),"",IF((22)=(S4),IF(IF((INDEX(B1:XFD1,((A3)+(1))+(0)))=("store"),(INDEX(B1:XFD1,((A3)+(1))+(1)))=("S"),"false"),B3,S26),S26))</f>
        <v>#VALUE!</v>
      </c>
      <c r="T26" t="e">
        <f ca="1">IF((A1)=(2),"",IF((22)=(T4),IF(IF((INDEX(B1:XFD1,((A3)+(1))+(0)))=("store"),(INDEX(B1:XFD1,((A3)+(1))+(1)))=("T"),"false"),B3,T26),T26))</f>
        <v>#VALUE!</v>
      </c>
      <c r="U26" t="e">
        <f ca="1">IF((A1)=(2),"",IF((22)=(U4),IF(IF((INDEX(B1:XFD1,((A3)+(1))+(0)))=("store"),(INDEX(B1:XFD1,((A3)+(1))+(1)))=("U"),"false"),B3,U26),U26))</f>
        <v>#VALUE!</v>
      </c>
      <c r="V26" t="e">
        <f ca="1">IF((A1)=(2),"",IF((22)=(V4),IF(IF((INDEX(B1:XFD1,((A3)+(1))+(0)))=("store"),(INDEX(B1:XFD1,((A3)+(1))+(1)))=("V"),"false"),B3,V26),V26))</f>
        <v>#VALUE!</v>
      </c>
      <c r="W26" t="e">
        <f ca="1">IF((A1)=(2),"",IF((22)=(W4),IF(IF((INDEX(B1:XFD1,((A3)+(1))+(0)))=("store"),(INDEX(B1:XFD1,((A3)+(1))+(1)))=("W"),"false"),B3,W26),W26))</f>
        <v>#VALUE!</v>
      </c>
      <c r="X26" t="e">
        <f ca="1">IF((A1)=(2),"",IF((22)=(X4),IF(IF((INDEX(B1:XFD1,((A3)+(1))+(0)))=("store"),(INDEX(B1:XFD1,((A3)+(1))+(1)))=("X"),"false"),B3,X26),X26))</f>
        <v>#VALUE!</v>
      </c>
      <c r="Y26" t="e">
        <f ca="1">IF((A1)=(2),"",IF((22)=(Y4),IF(IF((INDEX(B1:XFD1,((A3)+(1))+(0)))=("store"),(INDEX(B1:XFD1,((A3)+(1))+(1)))=("Y"),"false"),B3,Y26),Y26))</f>
        <v>#VALUE!</v>
      </c>
      <c r="Z26" t="e">
        <f ca="1">IF((A1)=(2),"",IF((22)=(Z4),IF(IF((INDEX(B1:XFD1,((A3)+(1))+(0)))=("store"),(INDEX(B1:XFD1,((A3)+(1))+(1)))=("Z"),"false"),B3,Z26),Z26))</f>
        <v>#VALUE!</v>
      </c>
      <c r="AA26" t="e">
        <f ca="1">IF((A1)=(2),"",IF((22)=(AA4),IF(IF((INDEX(B1:XFD1,((A3)+(1))+(0)))=("store"),(INDEX(B1:XFD1,((A3)+(1))+(1)))=("AA"),"false"),B3,AA26),AA26))</f>
        <v>#VALUE!</v>
      </c>
      <c r="AB26" t="e">
        <f ca="1">IF((A1)=(2),"",IF((22)=(AB4),IF(IF((INDEX(B1:XFD1,((A3)+(1))+(0)))=("store"),(INDEX(B1:XFD1,((A3)+(1))+(1)))=("AB"),"false"),B3,AB26),AB26))</f>
        <v>#VALUE!</v>
      </c>
      <c r="AC26" t="e">
        <f ca="1">IF((A1)=(2),"",IF((22)=(AC4),IF(IF((INDEX(B1:XFD1,((A3)+(1))+(0)))=("store"),(INDEX(B1:XFD1,((A3)+(1))+(1)))=("AC"),"false"),B3,AC26),AC26))</f>
        <v>#VALUE!</v>
      </c>
      <c r="AD26" t="e">
        <f ca="1">IF((A1)=(2),"",IF((22)=(AD4),IF(IF((INDEX(B1:XFD1,((A3)+(1))+(0)))=("store"),(INDEX(B1:XFD1,((A3)+(1))+(1)))=("AD"),"false"),B3,AD26),AD26))</f>
        <v>#VALUE!</v>
      </c>
    </row>
    <row r="27" spans="1:30" x14ac:dyDescent="0.25">
      <c r="A27" t="e">
        <f ca="1">IF((A1)=(2),"",IF((23)=(A4),IF(("call")=(INDEX(B1:XFD1,((A3)+(1))+(0))),(B3)*(2),IF(("goto")=(INDEX(B1:XFD1,((A3)+(1))+(0))),(INDEX(B1:XFD1,((A3)+(1))+(1)))*(2),IF(("gotoiftrue")=(INDEX(B1:XFD1,((A3)+(1))+(0))),IF(B3,(INDEX(B1:XFD1,((A3)+(1))+(1)))*(2),(A27)+(2)),(A27)+(2)))),A27))</f>
        <v>#VALUE!</v>
      </c>
      <c r="B27" t="e">
        <f ca="1">IF((A1)=(2),"",IF((23)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27)+(1)),IF(("add")=(INDEX(B1:XFD1,((A3)+(1))+(0))),(INDEX(B5:B405,(B4)+(1)))+(B27),IF(("equals")=(INDEX(B1:XFD1,((A3)+(1))+(0))),(INDEX(B5:B405,(B4)+(1)))=(B27),IF(("leq")=(INDEX(B1:XFD1,((A3)+(1))+(0))),(INDEX(B5:B405,(B4)+(1)))&lt;=(B27),IF(("greater")=(INDEX(B1:XFD1,((A3)+(1))+(0))),(INDEX(B5:B405,(B4)+(1)))&gt;(B27),IF(("mod")=(INDEX(B1:XFD1,((A3)+(1))+(0))),MOD(INDEX(B5:B405,(B4)+(1)),B27),B27))))))))),B27))</f>
        <v>#VALUE!</v>
      </c>
      <c r="C27" t="e">
        <f ca="1">IF((A1)=(2),1,IF(AND((INDEX(B1:XFD1,((A3)+(1))+(0)))=("writeheap"),(INDEX(B5:B405,(B4)+(1)))=(22)),INDEX(B5:B405,(B4)+(2)),IF((A1)=(2),"",IF((23)=(C4),C27,C27))))</f>
        <v>#VALUE!</v>
      </c>
      <c r="F27" t="e">
        <f ca="1">IF((A1)=(2),"",IF((23)=(F4),IF(IF((INDEX(B1:XFD1,((A3)+(1))+(0)))=("store"),(INDEX(B1:XFD1,((A3)+(1))+(1)))=("F"),"false"),B3,F27),F27))</f>
        <v>#VALUE!</v>
      </c>
      <c r="G27" t="e">
        <f ca="1">IF((A1)=(2),"",IF((23)=(G4),IF(IF((INDEX(B1:XFD1,((A3)+(1))+(0)))=("store"),(INDEX(B1:XFD1,((A3)+(1))+(1)))=("G"),"false"),B3,G27),G27))</f>
        <v>#VALUE!</v>
      </c>
      <c r="H27" t="e">
        <f ca="1">IF((A1)=(2),"",IF((23)=(H4),IF(IF((INDEX(B1:XFD1,((A3)+(1))+(0)))=("store"),(INDEX(B1:XFD1,((A3)+(1))+(1)))=("H"),"false"),B3,H27),H27))</f>
        <v>#VALUE!</v>
      </c>
      <c r="I27" t="e">
        <f ca="1">IF((A1)=(2),"",IF((23)=(I4),IF(IF((INDEX(B1:XFD1,((A3)+(1))+(0)))=("store"),(INDEX(B1:XFD1,((A3)+(1))+(1)))=("I"),"false"),B3,I27),I27))</f>
        <v>#VALUE!</v>
      </c>
      <c r="J27" t="e">
        <f ca="1">IF((A1)=(2),"",IF((23)=(J4),IF(IF((INDEX(B1:XFD1,((A3)+(1))+(0)))=("store"),(INDEX(B1:XFD1,((A3)+(1))+(1)))=("J"),"false"),B3,J27),J27))</f>
        <v>#VALUE!</v>
      </c>
      <c r="K27" t="e">
        <f ca="1">IF((A1)=(2),"",IF((23)=(K4),IF(IF((INDEX(B1:XFD1,((A3)+(1))+(0)))=("store"),(INDEX(B1:XFD1,((A3)+(1))+(1)))=("K"),"false"),B3,K27),K27))</f>
        <v>#VALUE!</v>
      </c>
      <c r="L27" t="e">
        <f ca="1">IF((A1)=(2),"",IF((23)=(L4),IF(IF((INDEX(B1:XFD1,((A3)+(1))+(0)))=("store"),(INDEX(B1:XFD1,((A3)+(1))+(1)))=("L"),"false"),B3,L27),L27))</f>
        <v>#VALUE!</v>
      </c>
      <c r="M27" t="e">
        <f ca="1">IF((A1)=(2),"",IF((23)=(M4),IF(IF((INDEX(B1:XFD1,((A3)+(1))+(0)))=("store"),(INDEX(B1:XFD1,((A3)+(1))+(1)))=("M"),"false"),B3,M27),M27))</f>
        <v>#VALUE!</v>
      </c>
      <c r="N27" t="e">
        <f ca="1">IF((A1)=(2),"",IF((23)=(N4),IF(IF((INDEX(B1:XFD1,((A3)+(1))+(0)))=("store"),(INDEX(B1:XFD1,((A3)+(1))+(1)))=("N"),"false"),B3,N27),N27))</f>
        <v>#VALUE!</v>
      </c>
      <c r="O27" t="e">
        <f ca="1">IF((A1)=(2),"",IF((23)=(O4),IF(IF((INDEX(B1:XFD1,((A3)+(1))+(0)))=("store"),(INDEX(B1:XFD1,((A3)+(1))+(1)))=("O"),"false"),B3,O27),O27))</f>
        <v>#VALUE!</v>
      </c>
      <c r="P27" t="e">
        <f ca="1">IF((A1)=(2),"",IF((23)=(P4),IF(IF((INDEX(B1:XFD1,((A3)+(1))+(0)))=("store"),(INDEX(B1:XFD1,((A3)+(1))+(1)))=("P"),"false"),B3,P27),P27))</f>
        <v>#VALUE!</v>
      </c>
      <c r="Q27" t="e">
        <f ca="1">IF((A1)=(2),"",IF((23)=(Q4),IF(IF((INDEX(B1:XFD1,((A3)+(1))+(0)))=("store"),(INDEX(B1:XFD1,((A3)+(1))+(1)))=("Q"),"false"),B3,Q27),Q27))</f>
        <v>#VALUE!</v>
      </c>
      <c r="R27" t="e">
        <f ca="1">IF((A1)=(2),"",IF((23)=(R4),IF(IF((INDEX(B1:XFD1,((A3)+(1))+(0)))=("store"),(INDEX(B1:XFD1,((A3)+(1))+(1)))=("R"),"false"),B3,R27),R27))</f>
        <v>#VALUE!</v>
      </c>
      <c r="S27" t="e">
        <f ca="1">IF((A1)=(2),"",IF((23)=(S4),IF(IF((INDEX(B1:XFD1,((A3)+(1))+(0)))=("store"),(INDEX(B1:XFD1,((A3)+(1))+(1)))=("S"),"false"),B3,S27),S27))</f>
        <v>#VALUE!</v>
      </c>
      <c r="T27" t="e">
        <f ca="1">IF((A1)=(2),"",IF((23)=(T4),IF(IF((INDEX(B1:XFD1,((A3)+(1))+(0)))=("store"),(INDEX(B1:XFD1,((A3)+(1))+(1)))=("T"),"false"),B3,T27),T27))</f>
        <v>#VALUE!</v>
      </c>
      <c r="U27" t="e">
        <f ca="1">IF((A1)=(2),"",IF((23)=(U4),IF(IF((INDEX(B1:XFD1,((A3)+(1))+(0)))=("store"),(INDEX(B1:XFD1,((A3)+(1))+(1)))=("U"),"false"),B3,U27),U27))</f>
        <v>#VALUE!</v>
      </c>
      <c r="V27" t="e">
        <f ca="1">IF((A1)=(2),"",IF((23)=(V4),IF(IF((INDEX(B1:XFD1,((A3)+(1))+(0)))=("store"),(INDEX(B1:XFD1,((A3)+(1))+(1)))=("V"),"false"),B3,V27),V27))</f>
        <v>#VALUE!</v>
      </c>
      <c r="W27" t="e">
        <f ca="1">IF((A1)=(2),"",IF((23)=(W4),IF(IF((INDEX(B1:XFD1,((A3)+(1))+(0)))=("store"),(INDEX(B1:XFD1,((A3)+(1))+(1)))=("W"),"false"),B3,W27),W27))</f>
        <v>#VALUE!</v>
      </c>
      <c r="X27" t="e">
        <f ca="1">IF((A1)=(2),"",IF((23)=(X4),IF(IF((INDEX(B1:XFD1,((A3)+(1))+(0)))=("store"),(INDEX(B1:XFD1,((A3)+(1))+(1)))=("X"),"false"),B3,X27),X27))</f>
        <v>#VALUE!</v>
      </c>
      <c r="Y27" t="e">
        <f ca="1">IF((A1)=(2),"",IF((23)=(Y4),IF(IF((INDEX(B1:XFD1,((A3)+(1))+(0)))=("store"),(INDEX(B1:XFD1,((A3)+(1))+(1)))=("Y"),"false"),B3,Y27),Y27))</f>
        <v>#VALUE!</v>
      </c>
      <c r="Z27" t="e">
        <f ca="1">IF((A1)=(2),"",IF((23)=(Z4),IF(IF((INDEX(B1:XFD1,((A3)+(1))+(0)))=("store"),(INDEX(B1:XFD1,((A3)+(1))+(1)))=("Z"),"false"),B3,Z27),Z27))</f>
        <v>#VALUE!</v>
      </c>
      <c r="AA27" t="e">
        <f ca="1">IF((A1)=(2),"",IF((23)=(AA4),IF(IF((INDEX(B1:XFD1,((A3)+(1))+(0)))=("store"),(INDEX(B1:XFD1,((A3)+(1))+(1)))=("AA"),"false"),B3,AA27),AA27))</f>
        <v>#VALUE!</v>
      </c>
      <c r="AB27" t="e">
        <f ca="1">IF((A1)=(2),"",IF((23)=(AB4),IF(IF((INDEX(B1:XFD1,((A3)+(1))+(0)))=("store"),(INDEX(B1:XFD1,((A3)+(1))+(1)))=("AB"),"false"),B3,AB27),AB27))</f>
        <v>#VALUE!</v>
      </c>
      <c r="AC27" t="e">
        <f ca="1">IF((A1)=(2),"",IF((23)=(AC4),IF(IF((INDEX(B1:XFD1,((A3)+(1))+(0)))=("store"),(INDEX(B1:XFD1,((A3)+(1))+(1)))=("AC"),"false"),B3,AC27),AC27))</f>
        <v>#VALUE!</v>
      </c>
      <c r="AD27" t="e">
        <f ca="1">IF((A1)=(2),"",IF((23)=(AD4),IF(IF((INDEX(B1:XFD1,((A3)+(1))+(0)))=("store"),(INDEX(B1:XFD1,((A3)+(1))+(1)))=("AD"),"false"),B3,AD27),AD27))</f>
        <v>#VALUE!</v>
      </c>
    </row>
    <row r="28" spans="1:30" x14ac:dyDescent="0.25">
      <c r="A28" t="e">
        <f ca="1">IF((A1)=(2),"",IF((24)=(A4),IF(("call")=(INDEX(B1:XFD1,((A3)+(1))+(0))),(B3)*(2),IF(("goto")=(INDEX(B1:XFD1,((A3)+(1))+(0))),(INDEX(B1:XFD1,((A3)+(1))+(1)))*(2),IF(("gotoiftrue")=(INDEX(B1:XFD1,((A3)+(1))+(0))),IF(B3,(INDEX(B1:XFD1,((A3)+(1))+(1)))*(2),(A28)+(2)),(A28)+(2)))),A28))</f>
        <v>#VALUE!</v>
      </c>
      <c r="B28" t="e">
        <f ca="1">IF((A1)=(2),"",IF((24)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28)+(1)),IF(("add")=(INDEX(B1:XFD1,((A3)+(1))+(0))),(INDEX(B5:B405,(B4)+(1)))+(B28),IF(("equals")=(INDEX(B1:XFD1,((A3)+(1))+(0))),(INDEX(B5:B405,(B4)+(1)))=(B28),IF(("leq")=(INDEX(B1:XFD1,((A3)+(1))+(0))),(INDEX(B5:B405,(B4)+(1)))&lt;=(B28),IF(("greater")=(INDEX(B1:XFD1,((A3)+(1))+(0))),(INDEX(B5:B405,(B4)+(1)))&gt;(B28),IF(("mod")=(INDEX(B1:XFD1,((A3)+(1))+(0))),MOD(INDEX(B5:B405,(B4)+(1)),B28),B28))))))))),B28))</f>
        <v>#VALUE!</v>
      </c>
      <c r="C28" t="e">
        <f ca="1">IF((A1)=(2),1,IF(AND((INDEX(B1:XFD1,((A3)+(1))+(0)))=("writeheap"),(INDEX(B5:B405,(B4)+(1)))=(23)),INDEX(B5:B405,(B4)+(2)),IF((A1)=(2),"",IF((24)=(C4),C28,C28))))</f>
        <v>#VALUE!</v>
      </c>
      <c r="F28" t="e">
        <f ca="1">IF((A1)=(2),"",IF((24)=(F4),IF(IF((INDEX(B1:XFD1,((A3)+(1))+(0)))=("store"),(INDEX(B1:XFD1,((A3)+(1))+(1)))=("F"),"false"),B3,F28),F28))</f>
        <v>#VALUE!</v>
      </c>
      <c r="G28" t="e">
        <f ca="1">IF((A1)=(2),"",IF((24)=(G4),IF(IF((INDEX(B1:XFD1,((A3)+(1))+(0)))=("store"),(INDEX(B1:XFD1,((A3)+(1))+(1)))=("G"),"false"),B3,G28),G28))</f>
        <v>#VALUE!</v>
      </c>
      <c r="H28" t="e">
        <f ca="1">IF((A1)=(2),"",IF((24)=(H4),IF(IF((INDEX(B1:XFD1,((A3)+(1))+(0)))=("store"),(INDEX(B1:XFD1,((A3)+(1))+(1)))=("H"),"false"),B3,H28),H28))</f>
        <v>#VALUE!</v>
      </c>
      <c r="I28" t="e">
        <f ca="1">IF((A1)=(2),"",IF((24)=(I4),IF(IF((INDEX(B1:XFD1,((A3)+(1))+(0)))=("store"),(INDEX(B1:XFD1,((A3)+(1))+(1)))=("I"),"false"),B3,I28),I28))</f>
        <v>#VALUE!</v>
      </c>
      <c r="J28" t="e">
        <f ca="1">IF((A1)=(2),"",IF((24)=(J4),IF(IF((INDEX(B1:XFD1,((A3)+(1))+(0)))=("store"),(INDEX(B1:XFD1,((A3)+(1))+(1)))=("J"),"false"),B3,J28),J28))</f>
        <v>#VALUE!</v>
      </c>
      <c r="K28" t="e">
        <f ca="1">IF((A1)=(2),"",IF((24)=(K4),IF(IF((INDEX(B1:XFD1,((A3)+(1))+(0)))=("store"),(INDEX(B1:XFD1,((A3)+(1))+(1)))=("K"),"false"),B3,K28),K28))</f>
        <v>#VALUE!</v>
      </c>
      <c r="L28" t="e">
        <f ca="1">IF((A1)=(2),"",IF((24)=(L4),IF(IF((INDEX(B1:XFD1,((A3)+(1))+(0)))=("store"),(INDEX(B1:XFD1,((A3)+(1))+(1)))=("L"),"false"),B3,L28),L28))</f>
        <v>#VALUE!</v>
      </c>
      <c r="M28" t="e">
        <f ca="1">IF((A1)=(2),"",IF((24)=(M4),IF(IF((INDEX(B1:XFD1,((A3)+(1))+(0)))=("store"),(INDEX(B1:XFD1,((A3)+(1))+(1)))=("M"),"false"),B3,M28),M28))</f>
        <v>#VALUE!</v>
      </c>
      <c r="N28" t="e">
        <f ca="1">IF((A1)=(2),"",IF((24)=(N4),IF(IF((INDEX(B1:XFD1,((A3)+(1))+(0)))=("store"),(INDEX(B1:XFD1,((A3)+(1))+(1)))=("N"),"false"),B3,N28),N28))</f>
        <v>#VALUE!</v>
      </c>
      <c r="O28" t="e">
        <f ca="1">IF((A1)=(2),"",IF((24)=(O4),IF(IF((INDEX(B1:XFD1,((A3)+(1))+(0)))=("store"),(INDEX(B1:XFD1,((A3)+(1))+(1)))=("O"),"false"),B3,O28),O28))</f>
        <v>#VALUE!</v>
      </c>
      <c r="P28" t="e">
        <f ca="1">IF((A1)=(2),"",IF((24)=(P4),IF(IF((INDEX(B1:XFD1,((A3)+(1))+(0)))=("store"),(INDEX(B1:XFD1,((A3)+(1))+(1)))=("P"),"false"),B3,P28),P28))</f>
        <v>#VALUE!</v>
      </c>
      <c r="Q28" t="e">
        <f ca="1">IF((A1)=(2),"",IF((24)=(Q4),IF(IF((INDEX(B1:XFD1,((A3)+(1))+(0)))=("store"),(INDEX(B1:XFD1,((A3)+(1))+(1)))=("Q"),"false"),B3,Q28),Q28))</f>
        <v>#VALUE!</v>
      </c>
      <c r="R28" t="e">
        <f ca="1">IF((A1)=(2),"",IF((24)=(R4),IF(IF((INDEX(B1:XFD1,((A3)+(1))+(0)))=("store"),(INDEX(B1:XFD1,((A3)+(1))+(1)))=("R"),"false"),B3,R28),R28))</f>
        <v>#VALUE!</v>
      </c>
      <c r="S28" t="e">
        <f ca="1">IF((A1)=(2),"",IF((24)=(S4),IF(IF((INDEX(B1:XFD1,((A3)+(1))+(0)))=("store"),(INDEX(B1:XFD1,((A3)+(1))+(1)))=("S"),"false"),B3,S28),S28))</f>
        <v>#VALUE!</v>
      </c>
      <c r="T28" t="e">
        <f ca="1">IF((A1)=(2),"",IF((24)=(T4),IF(IF((INDEX(B1:XFD1,((A3)+(1))+(0)))=("store"),(INDEX(B1:XFD1,((A3)+(1))+(1)))=("T"),"false"),B3,T28),T28))</f>
        <v>#VALUE!</v>
      </c>
      <c r="U28" t="e">
        <f ca="1">IF((A1)=(2),"",IF((24)=(U4),IF(IF((INDEX(B1:XFD1,((A3)+(1))+(0)))=("store"),(INDEX(B1:XFD1,((A3)+(1))+(1)))=("U"),"false"),B3,U28),U28))</f>
        <v>#VALUE!</v>
      </c>
      <c r="V28" t="e">
        <f ca="1">IF((A1)=(2),"",IF((24)=(V4),IF(IF((INDEX(B1:XFD1,((A3)+(1))+(0)))=("store"),(INDEX(B1:XFD1,((A3)+(1))+(1)))=("V"),"false"),B3,V28),V28))</f>
        <v>#VALUE!</v>
      </c>
      <c r="W28" t="e">
        <f ca="1">IF((A1)=(2),"",IF((24)=(W4),IF(IF((INDEX(B1:XFD1,((A3)+(1))+(0)))=("store"),(INDEX(B1:XFD1,((A3)+(1))+(1)))=("W"),"false"),B3,W28),W28))</f>
        <v>#VALUE!</v>
      </c>
      <c r="X28" t="e">
        <f ca="1">IF((A1)=(2),"",IF((24)=(X4),IF(IF((INDEX(B1:XFD1,((A3)+(1))+(0)))=("store"),(INDEX(B1:XFD1,((A3)+(1))+(1)))=("X"),"false"),B3,X28),X28))</f>
        <v>#VALUE!</v>
      </c>
      <c r="Y28" t="e">
        <f ca="1">IF((A1)=(2),"",IF((24)=(Y4),IF(IF((INDEX(B1:XFD1,((A3)+(1))+(0)))=("store"),(INDEX(B1:XFD1,((A3)+(1))+(1)))=("Y"),"false"),B3,Y28),Y28))</f>
        <v>#VALUE!</v>
      </c>
      <c r="Z28" t="e">
        <f ca="1">IF((A1)=(2),"",IF((24)=(Z4),IF(IF((INDEX(B1:XFD1,((A3)+(1))+(0)))=("store"),(INDEX(B1:XFD1,((A3)+(1))+(1)))=("Z"),"false"),B3,Z28),Z28))</f>
        <v>#VALUE!</v>
      </c>
      <c r="AA28" t="e">
        <f ca="1">IF((A1)=(2),"",IF((24)=(AA4),IF(IF((INDEX(B1:XFD1,((A3)+(1))+(0)))=("store"),(INDEX(B1:XFD1,((A3)+(1))+(1)))=("AA"),"false"),B3,AA28),AA28))</f>
        <v>#VALUE!</v>
      </c>
      <c r="AB28" t="e">
        <f ca="1">IF((A1)=(2),"",IF((24)=(AB4),IF(IF((INDEX(B1:XFD1,((A3)+(1))+(0)))=("store"),(INDEX(B1:XFD1,((A3)+(1))+(1)))=("AB"),"false"),B3,AB28),AB28))</f>
        <v>#VALUE!</v>
      </c>
      <c r="AC28" t="e">
        <f ca="1">IF((A1)=(2),"",IF((24)=(AC4),IF(IF((INDEX(B1:XFD1,((A3)+(1))+(0)))=("store"),(INDEX(B1:XFD1,((A3)+(1))+(1)))=("AC"),"false"),B3,AC28),AC28))</f>
        <v>#VALUE!</v>
      </c>
      <c r="AD28" t="e">
        <f ca="1">IF((A1)=(2),"",IF((24)=(AD4),IF(IF((INDEX(B1:XFD1,((A3)+(1))+(0)))=("store"),(INDEX(B1:XFD1,((A3)+(1))+(1)))=("AD"),"false"),B3,AD28),AD28))</f>
        <v>#VALUE!</v>
      </c>
    </row>
    <row r="29" spans="1:30" x14ac:dyDescent="0.25">
      <c r="A29" t="e">
        <f ca="1">IF((A1)=(2),"",IF((25)=(A4),IF(("call")=(INDEX(B1:XFD1,((A3)+(1))+(0))),(B3)*(2),IF(("goto")=(INDEX(B1:XFD1,((A3)+(1))+(0))),(INDEX(B1:XFD1,((A3)+(1))+(1)))*(2),IF(("gotoiftrue")=(INDEX(B1:XFD1,((A3)+(1))+(0))),IF(B3,(INDEX(B1:XFD1,((A3)+(1))+(1)))*(2),(A29)+(2)),(A29)+(2)))),A29))</f>
        <v>#VALUE!</v>
      </c>
      <c r="B29" t="e">
        <f ca="1">IF((A1)=(2),"",IF((25)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29)+(1)),IF(("add")=(INDEX(B1:XFD1,((A3)+(1))+(0))),(INDEX(B5:B405,(B4)+(1)))+(B29),IF(("equals")=(INDEX(B1:XFD1,((A3)+(1))+(0))),(INDEX(B5:B405,(B4)+(1)))=(B29),IF(("leq")=(INDEX(B1:XFD1,((A3)+(1))+(0))),(INDEX(B5:B405,(B4)+(1)))&lt;=(B29),IF(("greater")=(INDEX(B1:XFD1,((A3)+(1))+(0))),(INDEX(B5:B405,(B4)+(1)))&gt;(B29),IF(("mod")=(INDEX(B1:XFD1,((A3)+(1))+(0))),MOD(INDEX(B5:B405,(B4)+(1)),B29),B29))))))))),B29))</f>
        <v>#VALUE!</v>
      </c>
      <c r="C29" t="e">
        <f ca="1">IF((A1)=(2),1,IF(AND((INDEX(B1:XFD1,((A3)+(1))+(0)))=("writeheap"),(INDEX(B5:B405,(B4)+(1)))=(24)),INDEX(B5:B405,(B4)+(2)),IF((A1)=(2),"",IF((25)=(C4),C29,C29))))</f>
        <v>#VALUE!</v>
      </c>
      <c r="F29" t="e">
        <f ca="1">IF((A1)=(2),"",IF((25)=(F4),IF(IF((INDEX(B1:XFD1,((A3)+(1))+(0)))=("store"),(INDEX(B1:XFD1,((A3)+(1))+(1)))=("F"),"false"),B3,F29),F29))</f>
        <v>#VALUE!</v>
      </c>
      <c r="G29" t="e">
        <f ca="1">IF((A1)=(2),"",IF((25)=(G4),IF(IF((INDEX(B1:XFD1,((A3)+(1))+(0)))=("store"),(INDEX(B1:XFD1,((A3)+(1))+(1)))=("G"),"false"),B3,G29),G29))</f>
        <v>#VALUE!</v>
      </c>
      <c r="H29" t="e">
        <f ca="1">IF((A1)=(2),"",IF((25)=(H4),IF(IF((INDEX(B1:XFD1,((A3)+(1))+(0)))=("store"),(INDEX(B1:XFD1,((A3)+(1))+(1)))=("H"),"false"),B3,H29),H29))</f>
        <v>#VALUE!</v>
      </c>
      <c r="I29" t="e">
        <f ca="1">IF((A1)=(2),"",IF((25)=(I4),IF(IF((INDEX(B1:XFD1,((A3)+(1))+(0)))=("store"),(INDEX(B1:XFD1,((A3)+(1))+(1)))=("I"),"false"),B3,I29),I29))</f>
        <v>#VALUE!</v>
      </c>
      <c r="J29" t="e">
        <f ca="1">IF((A1)=(2),"",IF((25)=(J4),IF(IF((INDEX(B1:XFD1,((A3)+(1))+(0)))=("store"),(INDEX(B1:XFD1,((A3)+(1))+(1)))=("J"),"false"),B3,J29),J29))</f>
        <v>#VALUE!</v>
      </c>
      <c r="K29" t="e">
        <f ca="1">IF((A1)=(2),"",IF((25)=(K4),IF(IF((INDEX(B1:XFD1,((A3)+(1))+(0)))=("store"),(INDEX(B1:XFD1,((A3)+(1))+(1)))=("K"),"false"),B3,K29),K29))</f>
        <v>#VALUE!</v>
      </c>
      <c r="L29" t="e">
        <f ca="1">IF((A1)=(2),"",IF((25)=(L4),IF(IF((INDEX(B1:XFD1,((A3)+(1))+(0)))=("store"),(INDEX(B1:XFD1,((A3)+(1))+(1)))=("L"),"false"),B3,L29),L29))</f>
        <v>#VALUE!</v>
      </c>
      <c r="M29" t="e">
        <f ca="1">IF((A1)=(2),"",IF((25)=(M4),IF(IF((INDEX(B1:XFD1,((A3)+(1))+(0)))=("store"),(INDEX(B1:XFD1,((A3)+(1))+(1)))=("M"),"false"),B3,M29),M29))</f>
        <v>#VALUE!</v>
      </c>
      <c r="N29" t="e">
        <f ca="1">IF((A1)=(2),"",IF((25)=(N4),IF(IF((INDEX(B1:XFD1,((A3)+(1))+(0)))=("store"),(INDEX(B1:XFD1,((A3)+(1))+(1)))=("N"),"false"),B3,N29),N29))</f>
        <v>#VALUE!</v>
      </c>
      <c r="O29" t="e">
        <f ca="1">IF((A1)=(2),"",IF((25)=(O4),IF(IF((INDEX(B1:XFD1,((A3)+(1))+(0)))=("store"),(INDEX(B1:XFD1,((A3)+(1))+(1)))=("O"),"false"),B3,O29),O29))</f>
        <v>#VALUE!</v>
      </c>
      <c r="P29" t="e">
        <f ca="1">IF((A1)=(2),"",IF((25)=(P4),IF(IF((INDEX(B1:XFD1,((A3)+(1))+(0)))=("store"),(INDEX(B1:XFD1,((A3)+(1))+(1)))=("P"),"false"),B3,P29),P29))</f>
        <v>#VALUE!</v>
      </c>
      <c r="Q29" t="e">
        <f ca="1">IF((A1)=(2),"",IF((25)=(Q4),IF(IF((INDEX(B1:XFD1,((A3)+(1))+(0)))=("store"),(INDEX(B1:XFD1,((A3)+(1))+(1)))=("Q"),"false"),B3,Q29),Q29))</f>
        <v>#VALUE!</v>
      </c>
      <c r="R29" t="e">
        <f ca="1">IF((A1)=(2),"",IF((25)=(R4),IF(IF((INDEX(B1:XFD1,((A3)+(1))+(0)))=("store"),(INDEX(B1:XFD1,((A3)+(1))+(1)))=("R"),"false"),B3,R29),R29))</f>
        <v>#VALUE!</v>
      </c>
      <c r="S29" t="e">
        <f ca="1">IF((A1)=(2),"",IF((25)=(S4),IF(IF((INDEX(B1:XFD1,((A3)+(1))+(0)))=("store"),(INDEX(B1:XFD1,((A3)+(1))+(1)))=("S"),"false"),B3,S29),S29))</f>
        <v>#VALUE!</v>
      </c>
      <c r="T29" t="e">
        <f ca="1">IF((A1)=(2),"",IF((25)=(T4),IF(IF((INDEX(B1:XFD1,((A3)+(1))+(0)))=("store"),(INDEX(B1:XFD1,((A3)+(1))+(1)))=("T"),"false"),B3,T29),T29))</f>
        <v>#VALUE!</v>
      </c>
      <c r="U29" t="e">
        <f ca="1">IF((A1)=(2),"",IF((25)=(U4),IF(IF((INDEX(B1:XFD1,((A3)+(1))+(0)))=("store"),(INDEX(B1:XFD1,((A3)+(1))+(1)))=("U"),"false"),B3,U29),U29))</f>
        <v>#VALUE!</v>
      </c>
      <c r="V29" t="e">
        <f ca="1">IF((A1)=(2),"",IF((25)=(V4),IF(IF((INDEX(B1:XFD1,((A3)+(1))+(0)))=("store"),(INDEX(B1:XFD1,((A3)+(1))+(1)))=("V"),"false"),B3,V29),V29))</f>
        <v>#VALUE!</v>
      </c>
      <c r="W29" t="e">
        <f ca="1">IF((A1)=(2),"",IF((25)=(W4),IF(IF((INDEX(B1:XFD1,((A3)+(1))+(0)))=("store"),(INDEX(B1:XFD1,((A3)+(1))+(1)))=("W"),"false"),B3,W29),W29))</f>
        <v>#VALUE!</v>
      </c>
      <c r="X29" t="e">
        <f ca="1">IF((A1)=(2),"",IF((25)=(X4),IF(IF((INDEX(B1:XFD1,((A3)+(1))+(0)))=("store"),(INDEX(B1:XFD1,((A3)+(1))+(1)))=("X"),"false"),B3,X29),X29))</f>
        <v>#VALUE!</v>
      </c>
      <c r="Y29" t="e">
        <f ca="1">IF((A1)=(2),"",IF((25)=(Y4),IF(IF((INDEX(B1:XFD1,((A3)+(1))+(0)))=("store"),(INDEX(B1:XFD1,((A3)+(1))+(1)))=("Y"),"false"),B3,Y29),Y29))</f>
        <v>#VALUE!</v>
      </c>
      <c r="Z29" t="e">
        <f ca="1">IF((A1)=(2),"",IF((25)=(Z4),IF(IF((INDEX(B1:XFD1,((A3)+(1))+(0)))=("store"),(INDEX(B1:XFD1,((A3)+(1))+(1)))=("Z"),"false"),B3,Z29),Z29))</f>
        <v>#VALUE!</v>
      </c>
      <c r="AA29" t="e">
        <f ca="1">IF((A1)=(2),"",IF((25)=(AA4),IF(IF((INDEX(B1:XFD1,((A3)+(1))+(0)))=("store"),(INDEX(B1:XFD1,((A3)+(1))+(1)))=("AA"),"false"),B3,AA29),AA29))</f>
        <v>#VALUE!</v>
      </c>
      <c r="AB29" t="e">
        <f ca="1">IF((A1)=(2),"",IF((25)=(AB4),IF(IF((INDEX(B1:XFD1,((A3)+(1))+(0)))=("store"),(INDEX(B1:XFD1,((A3)+(1))+(1)))=("AB"),"false"),B3,AB29),AB29))</f>
        <v>#VALUE!</v>
      </c>
      <c r="AC29" t="e">
        <f ca="1">IF((A1)=(2),"",IF((25)=(AC4),IF(IF((INDEX(B1:XFD1,((A3)+(1))+(0)))=("store"),(INDEX(B1:XFD1,((A3)+(1))+(1)))=("AC"),"false"),B3,AC29),AC29))</f>
        <v>#VALUE!</v>
      </c>
      <c r="AD29" t="e">
        <f ca="1">IF((A1)=(2),"",IF((25)=(AD4),IF(IF((INDEX(B1:XFD1,((A3)+(1))+(0)))=("store"),(INDEX(B1:XFD1,((A3)+(1))+(1)))=("AD"),"false"),B3,AD29),AD29))</f>
        <v>#VALUE!</v>
      </c>
    </row>
    <row r="30" spans="1:30" x14ac:dyDescent="0.25">
      <c r="A30" t="e">
        <f ca="1">IF((A1)=(2),"",IF((26)=(A4),IF(("call")=(INDEX(B1:XFD1,((A3)+(1))+(0))),(B3)*(2),IF(("goto")=(INDEX(B1:XFD1,((A3)+(1))+(0))),(INDEX(B1:XFD1,((A3)+(1))+(1)))*(2),IF(("gotoiftrue")=(INDEX(B1:XFD1,((A3)+(1))+(0))),IF(B3,(INDEX(B1:XFD1,((A3)+(1))+(1)))*(2),(A30)+(2)),(A30)+(2)))),A30))</f>
        <v>#VALUE!</v>
      </c>
      <c r="B30" t="e">
        <f ca="1">IF((A1)=(2),"",IF((26)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30)+(1)),IF(("add")=(INDEX(B1:XFD1,((A3)+(1))+(0))),(INDEX(B5:B405,(B4)+(1)))+(B30),IF(("equals")=(INDEX(B1:XFD1,((A3)+(1))+(0))),(INDEX(B5:B405,(B4)+(1)))=(B30),IF(("leq")=(INDEX(B1:XFD1,((A3)+(1))+(0))),(INDEX(B5:B405,(B4)+(1)))&lt;=(B30),IF(("greater")=(INDEX(B1:XFD1,((A3)+(1))+(0))),(INDEX(B5:B405,(B4)+(1)))&gt;(B30),IF(("mod")=(INDEX(B1:XFD1,((A3)+(1))+(0))),MOD(INDEX(B5:B405,(B4)+(1)),B30),B30))))))))),B30))</f>
        <v>#VALUE!</v>
      </c>
      <c r="C30" t="e">
        <f ca="1">IF((A1)=(2),1,IF(AND((INDEX(B1:XFD1,((A3)+(1))+(0)))=("writeheap"),(INDEX(B5:B405,(B4)+(1)))=(25)),INDEX(B5:B405,(B4)+(2)),IF((A1)=(2),"",IF((26)=(C4),C30,C30))))</f>
        <v>#VALUE!</v>
      </c>
      <c r="F30" t="e">
        <f ca="1">IF((A1)=(2),"",IF((26)=(F4),IF(IF((INDEX(B1:XFD1,((A3)+(1))+(0)))=("store"),(INDEX(B1:XFD1,((A3)+(1))+(1)))=("F"),"false"),B3,F30),F30))</f>
        <v>#VALUE!</v>
      </c>
      <c r="G30" t="e">
        <f ca="1">IF((A1)=(2),"",IF((26)=(G4),IF(IF((INDEX(B1:XFD1,((A3)+(1))+(0)))=("store"),(INDEX(B1:XFD1,((A3)+(1))+(1)))=("G"),"false"),B3,G30),G30))</f>
        <v>#VALUE!</v>
      </c>
      <c r="H30" t="e">
        <f ca="1">IF((A1)=(2),"",IF((26)=(H4),IF(IF((INDEX(B1:XFD1,((A3)+(1))+(0)))=("store"),(INDEX(B1:XFD1,((A3)+(1))+(1)))=("H"),"false"),B3,H30),H30))</f>
        <v>#VALUE!</v>
      </c>
      <c r="I30" t="e">
        <f ca="1">IF((A1)=(2),"",IF((26)=(I4),IF(IF((INDEX(B1:XFD1,((A3)+(1))+(0)))=("store"),(INDEX(B1:XFD1,((A3)+(1))+(1)))=("I"),"false"),B3,I30),I30))</f>
        <v>#VALUE!</v>
      </c>
      <c r="J30" t="e">
        <f ca="1">IF((A1)=(2),"",IF((26)=(J4),IF(IF((INDEX(B1:XFD1,((A3)+(1))+(0)))=("store"),(INDEX(B1:XFD1,((A3)+(1))+(1)))=("J"),"false"),B3,J30),J30))</f>
        <v>#VALUE!</v>
      </c>
      <c r="K30" t="e">
        <f ca="1">IF((A1)=(2),"",IF((26)=(K4),IF(IF((INDEX(B1:XFD1,((A3)+(1))+(0)))=("store"),(INDEX(B1:XFD1,((A3)+(1))+(1)))=("K"),"false"),B3,K30),K30))</f>
        <v>#VALUE!</v>
      </c>
      <c r="L30" t="e">
        <f ca="1">IF((A1)=(2),"",IF((26)=(L4),IF(IF((INDEX(B1:XFD1,((A3)+(1))+(0)))=("store"),(INDEX(B1:XFD1,((A3)+(1))+(1)))=("L"),"false"),B3,L30),L30))</f>
        <v>#VALUE!</v>
      </c>
      <c r="M30" t="e">
        <f ca="1">IF((A1)=(2),"",IF((26)=(M4),IF(IF((INDEX(B1:XFD1,((A3)+(1))+(0)))=("store"),(INDEX(B1:XFD1,((A3)+(1))+(1)))=("M"),"false"),B3,M30),M30))</f>
        <v>#VALUE!</v>
      </c>
      <c r="N30" t="e">
        <f ca="1">IF((A1)=(2),"",IF((26)=(N4),IF(IF((INDEX(B1:XFD1,((A3)+(1))+(0)))=("store"),(INDEX(B1:XFD1,((A3)+(1))+(1)))=("N"),"false"),B3,N30),N30))</f>
        <v>#VALUE!</v>
      </c>
      <c r="O30" t="e">
        <f ca="1">IF((A1)=(2),"",IF((26)=(O4),IF(IF((INDEX(B1:XFD1,((A3)+(1))+(0)))=("store"),(INDEX(B1:XFD1,((A3)+(1))+(1)))=("O"),"false"),B3,O30),O30))</f>
        <v>#VALUE!</v>
      </c>
      <c r="P30" t="e">
        <f ca="1">IF((A1)=(2),"",IF((26)=(P4),IF(IF((INDEX(B1:XFD1,((A3)+(1))+(0)))=("store"),(INDEX(B1:XFD1,((A3)+(1))+(1)))=("P"),"false"),B3,P30),P30))</f>
        <v>#VALUE!</v>
      </c>
      <c r="Q30" t="e">
        <f ca="1">IF((A1)=(2),"",IF((26)=(Q4),IF(IF((INDEX(B1:XFD1,((A3)+(1))+(0)))=("store"),(INDEX(B1:XFD1,((A3)+(1))+(1)))=("Q"),"false"),B3,Q30),Q30))</f>
        <v>#VALUE!</v>
      </c>
      <c r="R30" t="e">
        <f ca="1">IF((A1)=(2),"",IF((26)=(R4),IF(IF((INDEX(B1:XFD1,((A3)+(1))+(0)))=("store"),(INDEX(B1:XFD1,((A3)+(1))+(1)))=("R"),"false"),B3,R30),R30))</f>
        <v>#VALUE!</v>
      </c>
      <c r="S30" t="e">
        <f ca="1">IF((A1)=(2),"",IF((26)=(S4),IF(IF((INDEX(B1:XFD1,((A3)+(1))+(0)))=("store"),(INDEX(B1:XFD1,((A3)+(1))+(1)))=("S"),"false"),B3,S30),S30))</f>
        <v>#VALUE!</v>
      </c>
      <c r="T30" t="e">
        <f ca="1">IF((A1)=(2),"",IF((26)=(T4),IF(IF((INDEX(B1:XFD1,((A3)+(1))+(0)))=("store"),(INDEX(B1:XFD1,((A3)+(1))+(1)))=("T"),"false"),B3,T30),T30))</f>
        <v>#VALUE!</v>
      </c>
      <c r="U30" t="e">
        <f ca="1">IF((A1)=(2),"",IF((26)=(U4),IF(IF((INDEX(B1:XFD1,((A3)+(1))+(0)))=("store"),(INDEX(B1:XFD1,((A3)+(1))+(1)))=("U"),"false"),B3,U30),U30))</f>
        <v>#VALUE!</v>
      </c>
      <c r="V30" t="e">
        <f ca="1">IF((A1)=(2),"",IF((26)=(V4),IF(IF((INDEX(B1:XFD1,((A3)+(1))+(0)))=("store"),(INDEX(B1:XFD1,((A3)+(1))+(1)))=("V"),"false"),B3,V30),V30))</f>
        <v>#VALUE!</v>
      </c>
      <c r="W30" t="e">
        <f ca="1">IF((A1)=(2),"",IF((26)=(W4),IF(IF((INDEX(B1:XFD1,((A3)+(1))+(0)))=("store"),(INDEX(B1:XFD1,((A3)+(1))+(1)))=("W"),"false"),B3,W30),W30))</f>
        <v>#VALUE!</v>
      </c>
      <c r="X30" t="e">
        <f ca="1">IF((A1)=(2),"",IF((26)=(X4),IF(IF((INDEX(B1:XFD1,((A3)+(1))+(0)))=("store"),(INDEX(B1:XFD1,((A3)+(1))+(1)))=("X"),"false"),B3,X30),X30))</f>
        <v>#VALUE!</v>
      </c>
      <c r="Y30" t="e">
        <f ca="1">IF((A1)=(2),"",IF((26)=(Y4),IF(IF((INDEX(B1:XFD1,((A3)+(1))+(0)))=("store"),(INDEX(B1:XFD1,((A3)+(1))+(1)))=("Y"),"false"),B3,Y30),Y30))</f>
        <v>#VALUE!</v>
      </c>
      <c r="Z30" t="e">
        <f ca="1">IF((A1)=(2),"",IF((26)=(Z4),IF(IF((INDEX(B1:XFD1,((A3)+(1))+(0)))=("store"),(INDEX(B1:XFD1,((A3)+(1))+(1)))=("Z"),"false"),B3,Z30),Z30))</f>
        <v>#VALUE!</v>
      </c>
      <c r="AA30" t="e">
        <f ca="1">IF((A1)=(2),"",IF((26)=(AA4),IF(IF((INDEX(B1:XFD1,((A3)+(1))+(0)))=("store"),(INDEX(B1:XFD1,((A3)+(1))+(1)))=("AA"),"false"),B3,AA30),AA30))</f>
        <v>#VALUE!</v>
      </c>
      <c r="AB30" t="e">
        <f ca="1">IF((A1)=(2),"",IF((26)=(AB4),IF(IF((INDEX(B1:XFD1,((A3)+(1))+(0)))=("store"),(INDEX(B1:XFD1,((A3)+(1))+(1)))=("AB"),"false"),B3,AB30),AB30))</f>
        <v>#VALUE!</v>
      </c>
      <c r="AC30" t="e">
        <f ca="1">IF((A1)=(2),"",IF((26)=(AC4),IF(IF((INDEX(B1:XFD1,((A3)+(1))+(0)))=("store"),(INDEX(B1:XFD1,((A3)+(1))+(1)))=("AC"),"false"),B3,AC30),AC30))</f>
        <v>#VALUE!</v>
      </c>
      <c r="AD30" t="e">
        <f ca="1">IF((A1)=(2),"",IF((26)=(AD4),IF(IF((INDEX(B1:XFD1,((A3)+(1))+(0)))=("store"),(INDEX(B1:XFD1,((A3)+(1))+(1)))=("AD"),"false"),B3,AD30),AD30))</f>
        <v>#VALUE!</v>
      </c>
    </row>
    <row r="31" spans="1:30" x14ac:dyDescent="0.25">
      <c r="A31" t="e">
        <f ca="1">IF((A1)=(2),"",IF((27)=(A4),IF(("call")=(INDEX(B1:XFD1,((A3)+(1))+(0))),(B3)*(2),IF(("goto")=(INDEX(B1:XFD1,((A3)+(1))+(0))),(INDEX(B1:XFD1,((A3)+(1))+(1)))*(2),IF(("gotoiftrue")=(INDEX(B1:XFD1,((A3)+(1))+(0))),IF(B3,(INDEX(B1:XFD1,((A3)+(1))+(1)))*(2),(A31)+(2)),(A31)+(2)))),A31))</f>
        <v>#VALUE!</v>
      </c>
      <c r="B31" t="e">
        <f ca="1">IF((A1)=(2),"",IF((27)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31)+(1)),IF(("add")=(INDEX(B1:XFD1,((A3)+(1))+(0))),(INDEX(B5:B405,(B4)+(1)))+(B31),IF(("equals")=(INDEX(B1:XFD1,((A3)+(1))+(0))),(INDEX(B5:B405,(B4)+(1)))=(B31),IF(("leq")=(INDEX(B1:XFD1,((A3)+(1))+(0))),(INDEX(B5:B405,(B4)+(1)))&lt;=(B31),IF(("greater")=(INDEX(B1:XFD1,((A3)+(1))+(0))),(INDEX(B5:B405,(B4)+(1)))&gt;(B31),IF(("mod")=(INDEX(B1:XFD1,((A3)+(1))+(0))),MOD(INDEX(B5:B405,(B4)+(1)),B31),B31))))))))),B31))</f>
        <v>#VALUE!</v>
      </c>
      <c r="C31" t="e">
        <f ca="1">IF((A1)=(2),1,IF(AND((INDEX(B1:XFD1,((A3)+(1))+(0)))=("writeheap"),(INDEX(B5:B405,(B4)+(1)))=(26)),INDEX(B5:B405,(B4)+(2)),IF((A1)=(2),"",IF((27)=(C4),C31,C31))))</f>
        <v>#VALUE!</v>
      </c>
      <c r="F31" t="e">
        <f ca="1">IF((A1)=(2),"",IF((27)=(F4),IF(IF((INDEX(B1:XFD1,((A3)+(1))+(0)))=("store"),(INDEX(B1:XFD1,((A3)+(1))+(1)))=("F"),"false"),B3,F31),F31))</f>
        <v>#VALUE!</v>
      </c>
      <c r="G31" t="e">
        <f ca="1">IF((A1)=(2),"",IF((27)=(G4),IF(IF((INDEX(B1:XFD1,((A3)+(1))+(0)))=("store"),(INDEX(B1:XFD1,((A3)+(1))+(1)))=("G"),"false"),B3,G31),G31))</f>
        <v>#VALUE!</v>
      </c>
      <c r="H31" t="e">
        <f ca="1">IF((A1)=(2),"",IF((27)=(H4),IF(IF((INDEX(B1:XFD1,((A3)+(1))+(0)))=("store"),(INDEX(B1:XFD1,((A3)+(1))+(1)))=("H"),"false"),B3,H31),H31))</f>
        <v>#VALUE!</v>
      </c>
      <c r="I31" t="e">
        <f ca="1">IF((A1)=(2),"",IF((27)=(I4),IF(IF((INDEX(B1:XFD1,((A3)+(1))+(0)))=("store"),(INDEX(B1:XFD1,((A3)+(1))+(1)))=("I"),"false"),B3,I31),I31))</f>
        <v>#VALUE!</v>
      </c>
      <c r="J31" t="e">
        <f ca="1">IF((A1)=(2),"",IF((27)=(J4),IF(IF((INDEX(B1:XFD1,((A3)+(1))+(0)))=("store"),(INDEX(B1:XFD1,((A3)+(1))+(1)))=("J"),"false"),B3,J31),J31))</f>
        <v>#VALUE!</v>
      </c>
      <c r="K31" t="e">
        <f ca="1">IF((A1)=(2),"",IF((27)=(K4),IF(IF((INDEX(B1:XFD1,((A3)+(1))+(0)))=("store"),(INDEX(B1:XFD1,((A3)+(1))+(1)))=("K"),"false"),B3,K31),K31))</f>
        <v>#VALUE!</v>
      </c>
      <c r="L31" t="e">
        <f ca="1">IF((A1)=(2),"",IF((27)=(L4),IF(IF((INDEX(B1:XFD1,((A3)+(1))+(0)))=("store"),(INDEX(B1:XFD1,((A3)+(1))+(1)))=("L"),"false"),B3,L31),L31))</f>
        <v>#VALUE!</v>
      </c>
      <c r="M31" t="e">
        <f ca="1">IF((A1)=(2),"",IF((27)=(M4),IF(IF((INDEX(B1:XFD1,((A3)+(1))+(0)))=("store"),(INDEX(B1:XFD1,((A3)+(1))+(1)))=("M"),"false"),B3,M31),M31))</f>
        <v>#VALUE!</v>
      </c>
      <c r="N31" t="e">
        <f ca="1">IF((A1)=(2),"",IF((27)=(N4),IF(IF((INDEX(B1:XFD1,((A3)+(1))+(0)))=("store"),(INDEX(B1:XFD1,((A3)+(1))+(1)))=("N"),"false"),B3,N31),N31))</f>
        <v>#VALUE!</v>
      </c>
      <c r="O31" t="e">
        <f ca="1">IF((A1)=(2),"",IF((27)=(O4),IF(IF((INDEX(B1:XFD1,((A3)+(1))+(0)))=("store"),(INDEX(B1:XFD1,((A3)+(1))+(1)))=("O"),"false"),B3,O31),O31))</f>
        <v>#VALUE!</v>
      </c>
      <c r="P31" t="e">
        <f ca="1">IF((A1)=(2),"",IF((27)=(P4),IF(IF((INDEX(B1:XFD1,((A3)+(1))+(0)))=("store"),(INDEX(B1:XFD1,((A3)+(1))+(1)))=("P"),"false"),B3,P31),P31))</f>
        <v>#VALUE!</v>
      </c>
      <c r="Q31" t="e">
        <f ca="1">IF((A1)=(2),"",IF((27)=(Q4),IF(IF((INDEX(B1:XFD1,((A3)+(1))+(0)))=("store"),(INDEX(B1:XFD1,((A3)+(1))+(1)))=("Q"),"false"),B3,Q31),Q31))</f>
        <v>#VALUE!</v>
      </c>
      <c r="R31" t="e">
        <f ca="1">IF((A1)=(2),"",IF((27)=(R4),IF(IF((INDEX(B1:XFD1,((A3)+(1))+(0)))=("store"),(INDEX(B1:XFD1,((A3)+(1))+(1)))=("R"),"false"),B3,R31),R31))</f>
        <v>#VALUE!</v>
      </c>
      <c r="S31" t="e">
        <f ca="1">IF((A1)=(2),"",IF((27)=(S4),IF(IF((INDEX(B1:XFD1,((A3)+(1))+(0)))=("store"),(INDEX(B1:XFD1,((A3)+(1))+(1)))=("S"),"false"),B3,S31),S31))</f>
        <v>#VALUE!</v>
      </c>
      <c r="T31" t="e">
        <f ca="1">IF((A1)=(2),"",IF((27)=(T4),IF(IF((INDEX(B1:XFD1,((A3)+(1))+(0)))=("store"),(INDEX(B1:XFD1,((A3)+(1))+(1)))=("T"),"false"),B3,T31),T31))</f>
        <v>#VALUE!</v>
      </c>
      <c r="U31" t="e">
        <f ca="1">IF((A1)=(2),"",IF((27)=(U4),IF(IF((INDEX(B1:XFD1,((A3)+(1))+(0)))=("store"),(INDEX(B1:XFD1,((A3)+(1))+(1)))=("U"),"false"),B3,U31),U31))</f>
        <v>#VALUE!</v>
      </c>
      <c r="V31" t="e">
        <f ca="1">IF((A1)=(2),"",IF((27)=(V4),IF(IF((INDEX(B1:XFD1,((A3)+(1))+(0)))=("store"),(INDEX(B1:XFD1,((A3)+(1))+(1)))=("V"),"false"),B3,V31),V31))</f>
        <v>#VALUE!</v>
      </c>
      <c r="W31" t="e">
        <f ca="1">IF((A1)=(2),"",IF((27)=(W4),IF(IF((INDEX(B1:XFD1,((A3)+(1))+(0)))=("store"),(INDEX(B1:XFD1,((A3)+(1))+(1)))=("W"),"false"),B3,W31),W31))</f>
        <v>#VALUE!</v>
      </c>
      <c r="X31" t="e">
        <f ca="1">IF((A1)=(2),"",IF((27)=(X4),IF(IF((INDEX(B1:XFD1,((A3)+(1))+(0)))=("store"),(INDEX(B1:XFD1,((A3)+(1))+(1)))=("X"),"false"),B3,X31),X31))</f>
        <v>#VALUE!</v>
      </c>
      <c r="Y31" t="e">
        <f ca="1">IF((A1)=(2),"",IF((27)=(Y4),IF(IF((INDEX(B1:XFD1,((A3)+(1))+(0)))=("store"),(INDEX(B1:XFD1,((A3)+(1))+(1)))=("Y"),"false"),B3,Y31),Y31))</f>
        <v>#VALUE!</v>
      </c>
      <c r="Z31" t="e">
        <f ca="1">IF((A1)=(2),"",IF((27)=(Z4),IF(IF((INDEX(B1:XFD1,((A3)+(1))+(0)))=("store"),(INDEX(B1:XFD1,((A3)+(1))+(1)))=("Z"),"false"),B3,Z31),Z31))</f>
        <v>#VALUE!</v>
      </c>
      <c r="AA31" t="e">
        <f ca="1">IF((A1)=(2),"",IF((27)=(AA4),IF(IF((INDEX(B1:XFD1,((A3)+(1))+(0)))=("store"),(INDEX(B1:XFD1,((A3)+(1))+(1)))=("AA"),"false"),B3,AA31),AA31))</f>
        <v>#VALUE!</v>
      </c>
      <c r="AB31" t="e">
        <f ca="1">IF((A1)=(2),"",IF((27)=(AB4),IF(IF((INDEX(B1:XFD1,((A3)+(1))+(0)))=("store"),(INDEX(B1:XFD1,((A3)+(1))+(1)))=("AB"),"false"),B3,AB31),AB31))</f>
        <v>#VALUE!</v>
      </c>
      <c r="AC31" t="e">
        <f ca="1">IF((A1)=(2),"",IF((27)=(AC4),IF(IF((INDEX(B1:XFD1,((A3)+(1))+(0)))=("store"),(INDEX(B1:XFD1,((A3)+(1))+(1)))=("AC"),"false"),B3,AC31),AC31))</f>
        <v>#VALUE!</v>
      </c>
      <c r="AD31" t="e">
        <f ca="1">IF((A1)=(2),"",IF((27)=(AD4),IF(IF((INDEX(B1:XFD1,((A3)+(1))+(0)))=("store"),(INDEX(B1:XFD1,((A3)+(1))+(1)))=("AD"),"false"),B3,AD31),AD31))</f>
        <v>#VALUE!</v>
      </c>
    </row>
    <row r="32" spans="1:30" x14ac:dyDescent="0.25">
      <c r="A32" t="e">
        <f ca="1">IF((A1)=(2),"",IF((28)=(A4),IF(("call")=(INDEX(B1:XFD1,((A3)+(1))+(0))),(B3)*(2),IF(("goto")=(INDEX(B1:XFD1,((A3)+(1))+(0))),(INDEX(B1:XFD1,((A3)+(1))+(1)))*(2),IF(("gotoiftrue")=(INDEX(B1:XFD1,((A3)+(1))+(0))),IF(B3,(INDEX(B1:XFD1,((A3)+(1))+(1)))*(2),(A32)+(2)),(A32)+(2)))),A32))</f>
        <v>#VALUE!</v>
      </c>
      <c r="B32" t="e">
        <f ca="1">IF((A1)=(2),"",IF((28)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32)+(1)),IF(("add")=(INDEX(B1:XFD1,((A3)+(1))+(0))),(INDEX(B5:B405,(B4)+(1)))+(B32),IF(("equals")=(INDEX(B1:XFD1,((A3)+(1))+(0))),(INDEX(B5:B405,(B4)+(1)))=(B32),IF(("leq")=(INDEX(B1:XFD1,((A3)+(1))+(0))),(INDEX(B5:B405,(B4)+(1)))&lt;=(B32),IF(("greater")=(INDEX(B1:XFD1,((A3)+(1))+(0))),(INDEX(B5:B405,(B4)+(1)))&gt;(B32),IF(("mod")=(INDEX(B1:XFD1,((A3)+(1))+(0))),MOD(INDEX(B5:B405,(B4)+(1)),B32),B32))))))))),B32))</f>
        <v>#VALUE!</v>
      </c>
      <c r="C32" t="e">
        <f ca="1">IF((A1)=(2),1,IF(AND((INDEX(B1:XFD1,((A3)+(1))+(0)))=("writeheap"),(INDEX(B5:B405,(B4)+(1)))=(27)),INDEX(B5:B405,(B4)+(2)),IF((A1)=(2),"",IF((28)=(C4),C32,C32))))</f>
        <v>#VALUE!</v>
      </c>
      <c r="F32" t="e">
        <f ca="1">IF((A1)=(2),"",IF((28)=(F4),IF(IF((INDEX(B1:XFD1,((A3)+(1))+(0)))=("store"),(INDEX(B1:XFD1,((A3)+(1))+(1)))=("F"),"false"),B3,F32),F32))</f>
        <v>#VALUE!</v>
      </c>
      <c r="G32" t="e">
        <f ca="1">IF((A1)=(2),"",IF((28)=(G4),IF(IF((INDEX(B1:XFD1,((A3)+(1))+(0)))=("store"),(INDEX(B1:XFD1,((A3)+(1))+(1)))=("G"),"false"),B3,G32),G32))</f>
        <v>#VALUE!</v>
      </c>
      <c r="H32" t="e">
        <f ca="1">IF((A1)=(2),"",IF((28)=(H4),IF(IF((INDEX(B1:XFD1,((A3)+(1))+(0)))=("store"),(INDEX(B1:XFD1,((A3)+(1))+(1)))=("H"),"false"),B3,H32),H32))</f>
        <v>#VALUE!</v>
      </c>
      <c r="I32" t="e">
        <f ca="1">IF((A1)=(2),"",IF((28)=(I4),IF(IF((INDEX(B1:XFD1,((A3)+(1))+(0)))=("store"),(INDEX(B1:XFD1,((A3)+(1))+(1)))=("I"),"false"),B3,I32),I32))</f>
        <v>#VALUE!</v>
      </c>
      <c r="J32" t="e">
        <f ca="1">IF((A1)=(2),"",IF((28)=(J4),IF(IF((INDEX(B1:XFD1,((A3)+(1))+(0)))=("store"),(INDEX(B1:XFD1,((A3)+(1))+(1)))=("J"),"false"),B3,J32),J32))</f>
        <v>#VALUE!</v>
      </c>
      <c r="K32" t="e">
        <f ca="1">IF((A1)=(2),"",IF((28)=(K4),IF(IF((INDEX(B1:XFD1,((A3)+(1))+(0)))=("store"),(INDEX(B1:XFD1,((A3)+(1))+(1)))=("K"),"false"),B3,K32),K32))</f>
        <v>#VALUE!</v>
      </c>
      <c r="L32" t="e">
        <f ca="1">IF((A1)=(2),"",IF((28)=(L4),IF(IF((INDEX(B1:XFD1,((A3)+(1))+(0)))=("store"),(INDEX(B1:XFD1,((A3)+(1))+(1)))=("L"),"false"),B3,L32),L32))</f>
        <v>#VALUE!</v>
      </c>
      <c r="M32" t="e">
        <f ca="1">IF((A1)=(2),"",IF((28)=(M4),IF(IF((INDEX(B1:XFD1,((A3)+(1))+(0)))=("store"),(INDEX(B1:XFD1,((A3)+(1))+(1)))=("M"),"false"),B3,M32),M32))</f>
        <v>#VALUE!</v>
      </c>
      <c r="N32" t="e">
        <f ca="1">IF((A1)=(2),"",IF((28)=(N4),IF(IF((INDEX(B1:XFD1,((A3)+(1))+(0)))=("store"),(INDEX(B1:XFD1,((A3)+(1))+(1)))=("N"),"false"),B3,N32),N32))</f>
        <v>#VALUE!</v>
      </c>
      <c r="O32" t="e">
        <f ca="1">IF((A1)=(2),"",IF((28)=(O4),IF(IF((INDEX(B1:XFD1,((A3)+(1))+(0)))=("store"),(INDEX(B1:XFD1,((A3)+(1))+(1)))=("O"),"false"),B3,O32),O32))</f>
        <v>#VALUE!</v>
      </c>
      <c r="P32" t="e">
        <f ca="1">IF((A1)=(2),"",IF((28)=(P4),IF(IF((INDEX(B1:XFD1,((A3)+(1))+(0)))=("store"),(INDEX(B1:XFD1,((A3)+(1))+(1)))=("P"),"false"),B3,P32),P32))</f>
        <v>#VALUE!</v>
      </c>
      <c r="Q32" t="e">
        <f ca="1">IF((A1)=(2),"",IF((28)=(Q4),IF(IF((INDEX(B1:XFD1,((A3)+(1))+(0)))=("store"),(INDEX(B1:XFD1,((A3)+(1))+(1)))=("Q"),"false"),B3,Q32),Q32))</f>
        <v>#VALUE!</v>
      </c>
      <c r="R32" t="e">
        <f ca="1">IF((A1)=(2),"",IF((28)=(R4),IF(IF((INDEX(B1:XFD1,((A3)+(1))+(0)))=("store"),(INDEX(B1:XFD1,((A3)+(1))+(1)))=("R"),"false"),B3,R32),R32))</f>
        <v>#VALUE!</v>
      </c>
      <c r="S32" t="e">
        <f ca="1">IF((A1)=(2),"",IF((28)=(S4),IF(IF((INDEX(B1:XFD1,((A3)+(1))+(0)))=("store"),(INDEX(B1:XFD1,((A3)+(1))+(1)))=("S"),"false"),B3,S32),S32))</f>
        <v>#VALUE!</v>
      </c>
      <c r="T32" t="e">
        <f ca="1">IF((A1)=(2),"",IF((28)=(T4),IF(IF((INDEX(B1:XFD1,((A3)+(1))+(0)))=("store"),(INDEX(B1:XFD1,((A3)+(1))+(1)))=("T"),"false"),B3,T32),T32))</f>
        <v>#VALUE!</v>
      </c>
      <c r="U32" t="e">
        <f ca="1">IF((A1)=(2),"",IF((28)=(U4),IF(IF((INDEX(B1:XFD1,((A3)+(1))+(0)))=("store"),(INDEX(B1:XFD1,((A3)+(1))+(1)))=("U"),"false"),B3,U32),U32))</f>
        <v>#VALUE!</v>
      </c>
      <c r="V32" t="e">
        <f ca="1">IF((A1)=(2),"",IF((28)=(V4),IF(IF((INDEX(B1:XFD1,((A3)+(1))+(0)))=("store"),(INDEX(B1:XFD1,((A3)+(1))+(1)))=("V"),"false"),B3,V32),V32))</f>
        <v>#VALUE!</v>
      </c>
      <c r="W32" t="e">
        <f ca="1">IF((A1)=(2),"",IF((28)=(W4),IF(IF((INDEX(B1:XFD1,((A3)+(1))+(0)))=("store"),(INDEX(B1:XFD1,((A3)+(1))+(1)))=("W"),"false"),B3,W32),W32))</f>
        <v>#VALUE!</v>
      </c>
      <c r="X32" t="e">
        <f ca="1">IF((A1)=(2),"",IF((28)=(X4),IF(IF((INDEX(B1:XFD1,((A3)+(1))+(0)))=("store"),(INDEX(B1:XFD1,((A3)+(1))+(1)))=("X"),"false"),B3,X32),X32))</f>
        <v>#VALUE!</v>
      </c>
      <c r="Y32" t="e">
        <f ca="1">IF((A1)=(2),"",IF((28)=(Y4),IF(IF((INDEX(B1:XFD1,((A3)+(1))+(0)))=("store"),(INDEX(B1:XFD1,((A3)+(1))+(1)))=("Y"),"false"),B3,Y32),Y32))</f>
        <v>#VALUE!</v>
      </c>
      <c r="Z32" t="e">
        <f ca="1">IF((A1)=(2),"",IF((28)=(Z4),IF(IF((INDEX(B1:XFD1,((A3)+(1))+(0)))=("store"),(INDEX(B1:XFD1,((A3)+(1))+(1)))=("Z"),"false"),B3,Z32),Z32))</f>
        <v>#VALUE!</v>
      </c>
      <c r="AA32" t="e">
        <f ca="1">IF((A1)=(2),"",IF((28)=(AA4),IF(IF((INDEX(B1:XFD1,((A3)+(1))+(0)))=("store"),(INDEX(B1:XFD1,((A3)+(1))+(1)))=("AA"),"false"),B3,AA32),AA32))</f>
        <v>#VALUE!</v>
      </c>
      <c r="AB32" t="e">
        <f ca="1">IF((A1)=(2),"",IF((28)=(AB4),IF(IF((INDEX(B1:XFD1,((A3)+(1))+(0)))=("store"),(INDEX(B1:XFD1,((A3)+(1))+(1)))=("AB"),"false"),B3,AB32),AB32))</f>
        <v>#VALUE!</v>
      </c>
      <c r="AC32" t="e">
        <f ca="1">IF((A1)=(2),"",IF((28)=(AC4),IF(IF((INDEX(B1:XFD1,((A3)+(1))+(0)))=("store"),(INDEX(B1:XFD1,((A3)+(1))+(1)))=("AC"),"false"),B3,AC32),AC32))</f>
        <v>#VALUE!</v>
      </c>
      <c r="AD32" t="e">
        <f ca="1">IF((A1)=(2),"",IF((28)=(AD4),IF(IF((INDEX(B1:XFD1,((A3)+(1))+(0)))=("store"),(INDEX(B1:XFD1,((A3)+(1))+(1)))=("AD"),"false"),B3,AD32),AD32))</f>
        <v>#VALUE!</v>
      </c>
    </row>
    <row r="33" spans="1:30" x14ac:dyDescent="0.25">
      <c r="A33" t="e">
        <f ca="1">IF((A1)=(2),"",IF((29)=(A4),IF(("call")=(INDEX(B1:XFD1,((A3)+(1))+(0))),(B3)*(2),IF(("goto")=(INDEX(B1:XFD1,((A3)+(1))+(0))),(INDEX(B1:XFD1,((A3)+(1))+(1)))*(2),IF(("gotoiftrue")=(INDEX(B1:XFD1,((A3)+(1))+(0))),IF(B3,(INDEX(B1:XFD1,((A3)+(1))+(1)))*(2),(A33)+(2)),(A33)+(2)))),A33))</f>
        <v>#VALUE!</v>
      </c>
      <c r="B33" t="e">
        <f ca="1">IF((A1)=(2),"",IF((29)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33)+(1)),IF(("add")=(INDEX(B1:XFD1,((A3)+(1))+(0))),(INDEX(B5:B405,(B4)+(1)))+(B33),IF(("equals")=(INDEX(B1:XFD1,((A3)+(1))+(0))),(INDEX(B5:B405,(B4)+(1)))=(B33),IF(("leq")=(INDEX(B1:XFD1,((A3)+(1))+(0))),(INDEX(B5:B405,(B4)+(1)))&lt;=(B33),IF(("greater")=(INDEX(B1:XFD1,((A3)+(1))+(0))),(INDEX(B5:B405,(B4)+(1)))&gt;(B33),IF(("mod")=(INDEX(B1:XFD1,((A3)+(1))+(0))),MOD(INDEX(B5:B405,(B4)+(1)),B33),B33))))))))),B33))</f>
        <v>#VALUE!</v>
      </c>
      <c r="C33" t="e">
        <f ca="1">IF((A1)=(2),1,IF(AND((INDEX(B1:XFD1,((A3)+(1))+(0)))=("writeheap"),(INDEX(B5:B405,(B4)+(1)))=(28)),INDEX(B5:B405,(B4)+(2)),IF((A1)=(2),"",IF((29)=(C4),C33,C33))))</f>
        <v>#VALUE!</v>
      </c>
      <c r="F33" t="e">
        <f ca="1">IF((A1)=(2),"",IF((29)=(F4),IF(IF((INDEX(B1:XFD1,((A3)+(1))+(0)))=("store"),(INDEX(B1:XFD1,((A3)+(1))+(1)))=("F"),"false"),B3,F33),F33))</f>
        <v>#VALUE!</v>
      </c>
      <c r="G33" t="e">
        <f ca="1">IF((A1)=(2),"",IF((29)=(G4),IF(IF((INDEX(B1:XFD1,((A3)+(1))+(0)))=("store"),(INDEX(B1:XFD1,((A3)+(1))+(1)))=("G"),"false"),B3,G33),G33))</f>
        <v>#VALUE!</v>
      </c>
      <c r="H33" t="e">
        <f ca="1">IF((A1)=(2),"",IF((29)=(H4),IF(IF((INDEX(B1:XFD1,((A3)+(1))+(0)))=("store"),(INDEX(B1:XFD1,((A3)+(1))+(1)))=("H"),"false"),B3,H33),H33))</f>
        <v>#VALUE!</v>
      </c>
      <c r="I33" t="e">
        <f ca="1">IF((A1)=(2),"",IF((29)=(I4),IF(IF((INDEX(B1:XFD1,((A3)+(1))+(0)))=("store"),(INDEX(B1:XFD1,((A3)+(1))+(1)))=("I"),"false"),B3,I33),I33))</f>
        <v>#VALUE!</v>
      </c>
      <c r="J33" t="e">
        <f ca="1">IF((A1)=(2),"",IF((29)=(J4),IF(IF((INDEX(B1:XFD1,((A3)+(1))+(0)))=("store"),(INDEX(B1:XFD1,((A3)+(1))+(1)))=("J"),"false"),B3,J33),J33))</f>
        <v>#VALUE!</v>
      </c>
      <c r="K33" t="e">
        <f ca="1">IF((A1)=(2),"",IF((29)=(K4),IF(IF((INDEX(B1:XFD1,((A3)+(1))+(0)))=("store"),(INDEX(B1:XFD1,((A3)+(1))+(1)))=("K"),"false"),B3,K33),K33))</f>
        <v>#VALUE!</v>
      </c>
      <c r="L33" t="e">
        <f ca="1">IF((A1)=(2),"",IF((29)=(L4),IF(IF((INDEX(B1:XFD1,((A3)+(1))+(0)))=("store"),(INDEX(B1:XFD1,((A3)+(1))+(1)))=("L"),"false"),B3,L33),L33))</f>
        <v>#VALUE!</v>
      </c>
      <c r="M33" t="e">
        <f ca="1">IF((A1)=(2),"",IF((29)=(M4),IF(IF((INDEX(B1:XFD1,((A3)+(1))+(0)))=("store"),(INDEX(B1:XFD1,((A3)+(1))+(1)))=("M"),"false"),B3,M33),M33))</f>
        <v>#VALUE!</v>
      </c>
      <c r="N33" t="e">
        <f ca="1">IF((A1)=(2),"",IF((29)=(N4),IF(IF((INDEX(B1:XFD1,((A3)+(1))+(0)))=("store"),(INDEX(B1:XFD1,((A3)+(1))+(1)))=("N"),"false"),B3,N33),N33))</f>
        <v>#VALUE!</v>
      </c>
      <c r="O33" t="e">
        <f ca="1">IF((A1)=(2),"",IF((29)=(O4),IF(IF((INDEX(B1:XFD1,((A3)+(1))+(0)))=("store"),(INDEX(B1:XFD1,((A3)+(1))+(1)))=("O"),"false"),B3,O33),O33))</f>
        <v>#VALUE!</v>
      </c>
      <c r="P33" t="e">
        <f ca="1">IF((A1)=(2),"",IF((29)=(P4),IF(IF((INDEX(B1:XFD1,((A3)+(1))+(0)))=("store"),(INDEX(B1:XFD1,((A3)+(1))+(1)))=("P"),"false"),B3,P33),P33))</f>
        <v>#VALUE!</v>
      </c>
      <c r="Q33" t="e">
        <f ca="1">IF((A1)=(2),"",IF((29)=(Q4),IF(IF((INDEX(B1:XFD1,((A3)+(1))+(0)))=("store"),(INDEX(B1:XFD1,((A3)+(1))+(1)))=("Q"),"false"),B3,Q33),Q33))</f>
        <v>#VALUE!</v>
      </c>
      <c r="R33" t="e">
        <f ca="1">IF((A1)=(2),"",IF((29)=(R4),IF(IF((INDEX(B1:XFD1,((A3)+(1))+(0)))=("store"),(INDEX(B1:XFD1,((A3)+(1))+(1)))=("R"),"false"),B3,R33),R33))</f>
        <v>#VALUE!</v>
      </c>
      <c r="S33" t="e">
        <f ca="1">IF((A1)=(2),"",IF((29)=(S4),IF(IF((INDEX(B1:XFD1,((A3)+(1))+(0)))=("store"),(INDEX(B1:XFD1,((A3)+(1))+(1)))=("S"),"false"),B3,S33),S33))</f>
        <v>#VALUE!</v>
      </c>
      <c r="T33" t="e">
        <f ca="1">IF((A1)=(2),"",IF((29)=(T4),IF(IF((INDEX(B1:XFD1,((A3)+(1))+(0)))=("store"),(INDEX(B1:XFD1,((A3)+(1))+(1)))=("T"),"false"),B3,T33),T33))</f>
        <v>#VALUE!</v>
      </c>
      <c r="U33" t="e">
        <f ca="1">IF((A1)=(2),"",IF((29)=(U4),IF(IF((INDEX(B1:XFD1,((A3)+(1))+(0)))=("store"),(INDEX(B1:XFD1,((A3)+(1))+(1)))=("U"),"false"),B3,U33),U33))</f>
        <v>#VALUE!</v>
      </c>
      <c r="V33" t="e">
        <f ca="1">IF((A1)=(2),"",IF((29)=(V4),IF(IF((INDEX(B1:XFD1,((A3)+(1))+(0)))=("store"),(INDEX(B1:XFD1,((A3)+(1))+(1)))=("V"),"false"),B3,V33),V33))</f>
        <v>#VALUE!</v>
      </c>
      <c r="W33" t="e">
        <f ca="1">IF((A1)=(2),"",IF((29)=(W4),IF(IF((INDEX(B1:XFD1,((A3)+(1))+(0)))=("store"),(INDEX(B1:XFD1,((A3)+(1))+(1)))=("W"),"false"),B3,W33),W33))</f>
        <v>#VALUE!</v>
      </c>
      <c r="X33" t="e">
        <f ca="1">IF((A1)=(2),"",IF((29)=(X4),IF(IF((INDEX(B1:XFD1,((A3)+(1))+(0)))=("store"),(INDEX(B1:XFD1,((A3)+(1))+(1)))=("X"),"false"),B3,X33),X33))</f>
        <v>#VALUE!</v>
      </c>
      <c r="Y33" t="e">
        <f ca="1">IF((A1)=(2),"",IF((29)=(Y4),IF(IF((INDEX(B1:XFD1,((A3)+(1))+(0)))=("store"),(INDEX(B1:XFD1,((A3)+(1))+(1)))=("Y"),"false"),B3,Y33),Y33))</f>
        <v>#VALUE!</v>
      </c>
      <c r="Z33" t="e">
        <f ca="1">IF((A1)=(2),"",IF((29)=(Z4),IF(IF((INDEX(B1:XFD1,((A3)+(1))+(0)))=("store"),(INDEX(B1:XFD1,((A3)+(1))+(1)))=("Z"),"false"),B3,Z33),Z33))</f>
        <v>#VALUE!</v>
      </c>
      <c r="AA33" t="e">
        <f ca="1">IF((A1)=(2),"",IF((29)=(AA4),IF(IF((INDEX(B1:XFD1,((A3)+(1))+(0)))=("store"),(INDEX(B1:XFD1,((A3)+(1))+(1)))=("AA"),"false"),B3,AA33),AA33))</f>
        <v>#VALUE!</v>
      </c>
      <c r="AB33" t="e">
        <f ca="1">IF((A1)=(2),"",IF((29)=(AB4),IF(IF((INDEX(B1:XFD1,((A3)+(1))+(0)))=("store"),(INDEX(B1:XFD1,((A3)+(1))+(1)))=("AB"),"false"),B3,AB33),AB33))</f>
        <v>#VALUE!</v>
      </c>
      <c r="AC33" t="e">
        <f ca="1">IF((A1)=(2),"",IF((29)=(AC4),IF(IF((INDEX(B1:XFD1,((A3)+(1))+(0)))=("store"),(INDEX(B1:XFD1,((A3)+(1))+(1)))=("AC"),"false"),B3,AC33),AC33))</f>
        <v>#VALUE!</v>
      </c>
      <c r="AD33" t="e">
        <f ca="1">IF((A1)=(2),"",IF((29)=(AD4),IF(IF((INDEX(B1:XFD1,((A3)+(1))+(0)))=("store"),(INDEX(B1:XFD1,((A3)+(1))+(1)))=("AD"),"false"),B3,AD33),AD33))</f>
        <v>#VALUE!</v>
      </c>
    </row>
    <row r="34" spans="1:30" x14ac:dyDescent="0.25">
      <c r="A34" t="e">
        <f ca="1">IF((A1)=(2),"",IF((30)=(A4),IF(("call")=(INDEX(B1:XFD1,((A3)+(1))+(0))),(B3)*(2),IF(("goto")=(INDEX(B1:XFD1,((A3)+(1))+(0))),(INDEX(B1:XFD1,((A3)+(1))+(1)))*(2),IF(("gotoiftrue")=(INDEX(B1:XFD1,((A3)+(1))+(0))),IF(B3,(INDEX(B1:XFD1,((A3)+(1))+(1)))*(2),(A34)+(2)),(A34)+(2)))),A34))</f>
        <v>#VALUE!</v>
      </c>
      <c r="B34" t="e">
        <f ca="1">IF((A1)=(2),"",IF((30)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34)+(1)),IF(("add")=(INDEX(B1:XFD1,((A3)+(1))+(0))),(INDEX(B5:B405,(B4)+(1)))+(B34),IF(("equals")=(INDEX(B1:XFD1,((A3)+(1))+(0))),(INDEX(B5:B405,(B4)+(1)))=(B34),IF(("leq")=(INDEX(B1:XFD1,((A3)+(1))+(0))),(INDEX(B5:B405,(B4)+(1)))&lt;=(B34),IF(("greater")=(INDEX(B1:XFD1,((A3)+(1))+(0))),(INDEX(B5:B405,(B4)+(1)))&gt;(B34),IF(("mod")=(INDEX(B1:XFD1,((A3)+(1))+(0))),MOD(INDEX(B5:B405,(B4)+(1)),B34),B34))))))))),B34))</f>
        <v>#VALUE!</v>
      </c>
      <c r="C34" t="e">
        <f ca="1">IF((A1)=(2),1,IF(AND((INDEX(B1:XFD1,((A3)+(1))+(0)))=("writeheap"),(INDEX(B5:B405,(B4)+(1)))=(29)),INDEX(B5:B405,(B4)+(2)),IF((A1)=(2),"",IF((30)=(C4),C34,C34))))</f>
        <v>#VALUE!</v>
      </c>
      <c r="F34" t="e">
        <f ca="1">IF((A1)=(2),"",IF((30)=(F4),IF(IF((INDEX(B1:XFD1,((A3)+(1))+(0)))=("store"),(INDEX(B1:XFD1,((A3)+(1))+(1)))=("F"),"false"),B3,F34),F34))</f>
        <v>#VALUE!</v>
      </c>
      <c r="G34" t="e">
        <f ca="1">IF((A1)=(2),"",IF((30)=(G4),IF(IF((INDEX(B1:XFD1,((A3)+(1))+(0)))=("store"),(INDEX(B1:XFD1,((A3)+(1))+(1)))=("G"),"false"),B3,G34),G34))</f>
        <v>#VALUE!</v>
      </c>
      <c r="H34" t="e">
        <f ca="1">IF((A1)=(2),"",IF((30)=(H4),IF(IF((INDEX(B1:XFD1,((A3)+(1))+(0)))=("store"),(INDEX(B1:XFD1,((A3)+(1))+(1)))=("H"),"false"),B3,H34),H34))</f>
        <v>#VALUE!</v>
      </c>
      <c r="I34" t="e">
        <f ca="1">IF((A1)=(2),"",IF((30)=(I4),IF(IF((INDEX(B1:XFD1,((A3)+(1))+(0)))=("store"),(INDEX(B1:XFD1,((A3)+(1))+(1)))=("I"),"false"),B3,I34),I34))</f>
        <v>#VALUE!</v>
      </c>
      <c r="J34" t="e">
        <f ca="1">IF((A1)=(2),"",IF((30)=(J4),IF(IF((INDEX(B1:XFD1,((A3)+(1))+(0)))=("store"),(INDEX(B1:XFD1,((A3)+(1))+(1)))=("J"),"false"),B3,J34),J34))</f>
        <v>#VALUE!</v>
      </c>
      <c r="K34" t="e">
        <f ca="1">IF((A1)=(2),"",IF((30)=(K4),IF(IF((INDEX(B1:XFD1,((A3)+(1))+(0)))=("store"),(INDEX(B1:XFD1,((A3)+(1))+(1)))=("K"),"false"),B3,K34),K34))</f>
        <v>#VALUE!</v>
      </c>
      <c r="L34" t="e">
        <f ca="1">IF((A1)=(2),"",IF((30)=(L4),IF(IF((INDEX(B1:XFD1,((A3)+(1))+(0)))=("store"),(INDEX(B1:XFD1,((A3)+(1))+(1)))=("L"),"false"),B3,L34),L34))</f>
        <v>#VALUE!</v>
      </c>
      <c r="M34" t="e">
        <f ca="1">IF((A1)=(2),"",IF((30)=(M4),IF(IF((INDEX(B1:XFD1,((A3)+(1))+(0)))=("store"),(INDEX(B1:XFD1,((A3)+(1))+(1)))=("M"),"false"),B3,M34),M34))</f>
        <v>#VALUE!</v>
      </c>
      <c r="N34" t="e">
        <f ca="1">IF((A1)=(2),"",IF((30)=(N4),IF(IF((INDEX(B1:XFD1,((A3)+(1))+(0)))=("store"),(INDEX(B1:XFD1,((A3)+(1))+(1)))=("N"),"false"),B3,N34),N34))</f>
        <v>#VALUE!</v>
      </c>
      <c r="O34" t="e">
        <f ca="1">IF((A1)=(2),"",IF((30)=(O4),IF(IF((INDEX(B1:XFD1,((A3)+(1))+(0)))=("store"),(INDEX(B1:XFD1,((A3)+(1))+(1)))=("O"),"false"),B3,O34),O34))</f>
        <v>#VALUE!</v>
      </c>
      <c r="P34" t="e">
        <f ca="1">IF((A1)=(2),"",IF((30)=(P4),IF(IF((INDEX(B1:XFD1,((A3)+(1))+(0)))=("store"),(INDEX(B1:XFD1,((A3)+(1))+(1)))=("P"),"false"),B3,P34),P34))</f>
        <v>#VALUE!</v>
      </c>
      <c r="Q34" t="e">
        <f ca="1">IF((A1)=(2),"",IF((30)=(Q4),IF(IF((INDEX(B1:XFD1,((A3)+(1))+(0)))=("store"),(INDEX(B1:XFD1,((A3)+(1))+(1)))=("Q"),"false"),B3,Q34),Q34))</f>
        <v>#VALUE!</v>
      </c>
      <c r="R34" t="e">
        <f ca="1">IF((A1)=(2),"",IF((30)=(R4),IF(IF((INDEX(B1:XFD1,((A3)+(1))+(0)))=("store"),(INDEX(B1:XFD1,((A3)+(1))+(1)))=("R"),"false"),B3,R34),R34))</f>
        <v>#VALUE!</v>
      </c>
      <c r="S34" t="e">
        <f ca="1">IF((A1)=(2),"",IF((30)=(S4),IF(IF((INDEX(B1:XFD1,((A3)+(1))+(0)))=("store"),(INDEX(B1:XFD1,((A3)+(1))+(1)))=("S"),"false"),B3,S34),S34))</f>
        <v>#VALUE!</v>
      </c>
      <c r="T34" t="e">
        <f ca="1">IF((A1)=(2),"",IF((30)=(T4),IF(IF((INDEX(B1:XFD1,((A3)+(1))+(0)))=("store"),(INDEX(B1:XFD1,((A3)+(1))+(1)))=("T"),"false"),B3,T34),T34))</f>
        <v>#VALUE!</v>
      </c>
      <c r="U34" t="e">
        <f ca="1">IF((A1)=(2),"",IF((30)=(U4),IF(IF((INDEX(B1:XFD1,((A3)+(1))+(0)))=("store"),(INDEX(B1:XFD1,((A3)+(1))+(1)))=("U"),"false"),B3,U34),U34))</f>
        <v>#VALUE!</v>
      </c>
      <c r="V34" t="e">
        <f ca="1">IF((A1)=(2),"",IF((30)=(V4),IF(IF((INDEX(B1:XFD1,((A3)+(1))+(0)))=("store"),(INDEX(B1:XFD1,((A3)+(1))+(1)))=("V"),"false"),B3,V34),V34))</f>
        <v>#VALUE!</v>
      </c>
      <c r="W34" t="e">
        <f ca="1">IF((A1)=(2),"",IF((30)=(W4),IF(IF((INDEX(B1:XFD1,((A3)+(1))+(0)))=("store"),(INDEX(B1:XFD1,((A3)+(1))+(1)))=("W"),"false"),B3,W34),W34))</f>
        <v>#VALUE!</v>
      </c>
      <c r="X34" t="e">
        <f ca="1">IF((A1)=(2),"",IF((30)=(X4),IF(IF((INDEX(B1:XFD1,((A3)+(1))+(0)))=("store"),(INDEX(B1:XFD1,((A3)+(1))+(1)))=("X"),"false"),B3,X34),X34))</f>
        <v>#VALUE!</v>
      </c>
      <c r="Y34" t="e">
        <f ca="1">IF((A1)=(2),"",IF((30)=(Y4),IF(IF((INDEX(B1:XFD1,((A3)+(1))+(0)))=("store"),(INDEX(B1:XFD1,((A3)+(1))+(1)))=("Y"),"false"),B3,Y34),Y34))</f>
        <v>#VALUE!</v>
      </c>
      <c r="Z34" t="e">
        <f ca="1">IF((A1)=(2),"",IF((30)=(Z4),IF(IF((INDEX(B1:XFD1,((A3)+(1))+(0)))=("store"),(INDEX(B1:XFD1,((A3)+(1))+(1)))=("Z"),"false"),B3,Z34),Z34))</f>
        <v>#VALUE!</v>
      </c>
      <c r="AA34" t="e">
        <f ca="1">IF((A1)=(2),"",IF((30)=(AA4),IF(IF((INDEX(B1:XFD1,((A3)+(1))+(0)))=("store"),(INDEX(B1:XFD1,((A3)+(1))+(1)))=("AA"),"false"),B3,AA34),AA34))</f>
        <v>#VALUE!</v>
      </c>
      <c r="AB34" t="e">
        <f ca="1">IF((A1)=(2),"",IF((30)=(AB4),IF(IF((INDEX(B1:XFD1,((A3)+(1))+(0)))=("store"),(INDEX(B1:XFD1,((A3)+(1))+(1)))=("AB"),"false"),B3,AB34),AB34))</f>
        <v>#VALUE!</v>
      </c>
      <c r="AC34" t="e">
        <f ca="1">IF((A1)=(2),"",IF((30)=(AC4),IF(IF((INDEX(B1:XFD1,((A3)+(1))+(0)))=("store"),(INDEX(B1:XFD1,((A3)+(1))+(1)))=("AC"),"false"),B3,AC34),AC34))</f>
        <v>#VALUE!</v>
      </c>
      <c r="AD34" t="e">
        <f ca="1">IF((A1)=(2),"",IF((30)=(AD4),IF(IF((INDEX(B1:XFD1,((A3)+(1))+(0)))=("store"),(INDEX(B1:XFD1,((A3)+(1))+(1)))=("AD"),"false"),B3,AD34),AD34))</f>
        <v>#VALUE!</v>
      </c>
    </row>
    <row r="35" spans="1:30" x14ac:dyDescent="0.25">
      <c r="A35" t="e">
        <f ca="1">IF((A1)=(2),"",IF((31)=(A4),IF(("call")=(INDEX(B1:XFD1,((A3)+(1))+(0))),(B3)*(2),IF(("goto")=(INDEX(B1:XFD1,((A3)+(1))+(0))),(INDEX(B1:XFD1,((A3)+(1))+(1)))*(2),IF(("gotoiftrue")=(INDEX(B1:XFD1,((A3)+(1))+(0))),IF(B3,(INDEX(B1:XFD1,((A3)+(1))+(1)))*(2),(A35)+(2)),(A35)+(2)))),A35))</f>
        <v>#VALUE!</v>
      </c>
      <c r="B35" t="e">
        <f ca="1">IF((A1)=(2),"",IF((31)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35)+(1)),IF(("add")=(INDEX(B1:XFD1,((A3)+(1))+(0))),(INDEX(B5:B405,(B4)+(1)))+(B35),IF(("equals")=(INDEX(B1:XFD1,((A3)+(1))+(0))),(INDEX(B5:B405,(B4)+(1)))=(B35),IF(("leq")=(INDEX(B1:XFD1,((A3)+(1))+(0))),(INDEX(B5:B405,(B4)+(1)))&lt;=(B35),IF(("greater")=(INDEX(B1:XFD1,((A3)+(1))+(0))),(INDEX(B5:B405,(B4)+(1)))&gt;(B35),IF(("mod")=(INDEX(B1:XFD1,((A3)+(1))+(0))),MOD(INDEX(B5:B405,(B4)+(1)),B35),B35))))))))),B35))</f>
        <v>#VALUE!</v>
      </c>
      <c r="C35" t="e">
        <f ca="1">IF((A1)=(2),1,IF(AND((INDEX(B1:XFD1,((A3)+(1))+(0)))=("writeheap"),(INDEX(B5:B405,(B4)+(1)))=(30)),INDEX(B5:B405,(B4)+(2)),IF((A1)=(2),"",IF((31)=(C4),C35,C35))))</f>
        <v>#VALUE!</v>
      </c>
      <c r="F35" t="e">
        <f ca="1">IF((A1)=(2),"",IF((31)=(F4),IF(IF((INDEX(B1:XFD1,((A3)+(1))+(0)))=("store"),(INDEX(B1:XFD1,((A3)+(1))+(1)))=("F"),"false"),B3,F35),F35))</f>
        <v>#VALUE!</v>
      </c>
      <c r="G35" t="e">
        <f ca="1">IF((A1)=(2),"",IF((31)=(G4),IF(IF((INDEX(B1:XFD1,((A3)+(1))+(0)))=("store"),(INDEX(B1:XFD1,((A3)+(1))+(1)))=("G"),"false"),B3,G35),G35))</f>
        <v>#VALUE!</v>
      </c>
      <c r="H35" t="e">
        <f ca="1">IF((A1)=(2),"",IF((31)=(H4),IF(IF((INDEX(B1:XFD1,((A3)+(1))+(0)))=("store"),(INDEX(B1:XFD1,((A3)+(1))+(1)))=("H"),"false"),B3,H35),H35))</f>
        <v>#VALUE!</v>
      </c>
      <c r="I35" t="e">
        <f ca="1">IF((A1)=(2),"",IF((31)=(I4),IF(IF((INDEX(B1:XFD1,((A3)+(1))+(0)))=("store"),(INDEX(B1:XFD1,((A3)+(1))+(1)))=("I"),"false"),B3,I35),I35))</f>
        <v>#VALUE!</v>
      </c>
      <c r="J35" t="e">
        <f ca="1">IF((A1)=(2),"",IF((31)=(J4),IF(IF((INDEX(B1:XFD1,((A3)+(1))+(0)))=("store"),(INDEX(B1:XFD1,((A3)+(1))+(1)))=("J"),"false"),B3,J35),J35))</f>
        <v>#VALUE!</v>
      </c>
      <c r="K35" t="e">
        <f ca="1">IF((A1)=(2),"",IF((31)=(K4),IF(IF((INDEX(B1:XFD1,((A3)+(1))+(0)))=("store"),(INDEX(B1:XFD1,((A3)+(1))+(1)))=("K"),"false"),B3,K35),K35))</f>
        <v>#VALUE!</v>
      </c>
      <c r="L35" t="e">
        <f ca="1">IF((A1)=(2),"",IF((31)=(L4),IF(IF((INDEX(B1:XFD1,((A3)+(1))+(0)))=("store"),(INDEX(B1:XFD1,((A3)+(1))+(1)))=("L"),"false"),B3,L35),L35))</f>
        <v>#VALUE!</v>
      </c>
      <c r="M35" t="e">
        <f ca="1">IF((A1)=(2),"",IF((31)=(M4),IF(IF((INDEX(B1:XFD1,((A3)+(1))+(0)))=("store"),(INDEX(B1:XFD1,((A3)+(1))+(1)))=("M"),"false"),B3,M35),M35))</f>
        <v>#VALUE!</v>
      </c>
      <c r="N35" t="e">
        <f ca="1">IF((A1)=(2),"",IF((31)=(N4),IF(IF((INDEX(B1:XFD1,((A3)+(1))+(0)))=("store"),(INDEX(B1:XFD1,((A3)+(1))+(1)))=("N"),"false"),B3,N35),N35))</f>
        <v>#VALUE!</v>
      </c>
      <c r="O35" t="e">
        <f ca="1">IF((A1)=(2),"",IF((31)=(O4),IF(IF((INDEX(B1:XFD1,((A3)+(1))+(0)))=("store"),(INDEX(B1:XFD1,((A3)+(1))+(1)))=("O"),"false"),B3,O35),O35))</f>
        <v>#VALUE!</v>
      </c>
      <c r="P35" t="e">
        <f ca="1">IF((A1)=(2),"",IF((31)=(P4),IF(IF((INDEX(B1:XFD1,((A3)+(1))+(0)))=("store"),(INDEX(B1:XFD1,((A3)+(1))+(1)))=("P"),"false"),B3,P35),P35))</f>
        <v>#VALUE!</v>
      </c>
      <c r="Q35" t="e">
        <f ca="1">IF((A1)=(2),"",IF((31)=(Q4),IF(IF((INDEX(B1:XFD1,((A3)+(1))+(0)))=("store"),(INDEX(B1:XFD1,((A3)+(1))+(1)))=("Q"),"false"),B3,Q35),Q35))</f>
        <v>#VALUE!</v>
      </c>
      <c r="R35" t="e">
        <f ca="1">IF((A1)=(2),"",IF((31)=(R4),IF(IF((INDEX(B1:XFD1,((A3)+(1))+(0)))=("store"),(INDEX(B1:XFD1,((A3)+(1))+(1)))=("R"),"false"),B3,R35),R35))</f>
        <v>#VALUE!</v>
      </c>
      <c r="S35" t="e">
        <f ca="1">IF((A1)=(2),"",IF((31)=(S4),IF(IF((INDEX(B1:XFD1,((A3)+(1))+(0)))=("store"),(INDEX(B1:XFD1,((A3)+(1))+(1)))=("S"),"false"),B3,S35),S35))</f>
        <v>#VALUE!</v>
      </c>
      <c r="T35" t="e">
        <f ca="1">IF((A1)=(2),"",IF((31)=(T4),IF(IF((INDEX(B1:XFD1,((A3)+(1))+(0)))=("store"),(INDEX(B1:XFD1,((A3)+(1))+(1)))=("T"),"false"),B3,T35),T35))</f>
        <v>#VALUE!</v>
      </c>
      <c r="U35" t="e">
        <f ca="1">IF((A1)=(2),"",IF((31)=(U4),IF(IF((INDEX(B1:XFD1,((A3)+(1))+(0)))=("store"),(INDEX(B1:XFD1,((A3)+(1))+(1)))=("U"),"false"),B3,U35),U35))</f>
        <v>#VALUE!</v>
      </c>
      <c r="V35" t="e">
        <f ca="1">IF((A1)=(2),"",IF((31)=(V4),IF(IF((INDEX(B1:XFD1,((A3)+(1))+(0)))=("store"),(INDEX(B1:XFD1,((A3)+(1))+(1)))=("V"),"false"),B3,V35),V35))</f>
        <v>#VALUE!</v>
      </c>
      <c r="W35" t="e">
        <f ca="1">IF((A1)=(2),"",IF((31)=(W4),IF(IF((INDEX(B1:XFD1,((A3)+(1))+(0)))=("store"),(INDEX(B1:XFD1,((A3)+(1))+(1)))=("W"),"false"),B3,W35),W35))</f>
        <v>#VALUE!</v>
      </c>
      <c r="X35" t="e">
        <f ca="1">IF((A1)=(2),"",IF((31)=(X4),IF(IF((INDEX(B1:XFD1,((A3)+(1))+(0)))=("store"),(INDEX(B1:XFD1,((A3)+(1))+(1)))=("X"),"false"),B3,X35),X35))</f>
        <v>#VALUE!</v>
      </c>
      <c r="Y35" t="e">
        <f ca="1">IF((A1)=(2),"",IF((31)=(Y4),IF(IF((INDEX(B1:XFD1,((A3)+(1))+(0)))=("store"),(INDEX(B1:XFD1,((A3)+(1))+(1)))=("Y"),"false"),B3,Y35),Y35))</f>
        <v>#VALUE!</v>
      </c>
      <c r="Z35" t="e">
        <f ca="1">IF((A1)=(2),"",IF((31)=(Z4),IF(IF((INDEX(B1:XFD1,((A3)+(1))+(0)))=("store"),(INDEX(B1:XFD1,((A3)+(1))+(1)))=("Z"),"false"),B3,Z35),Z35))</f>
        <v>#VALUE!</v>
      </c>
      <c r="AA35" t="e">
        <f ca="1">IF((A1)=(2),"",IF((31)=(AA4),IF(IF((INDEX(B1:XFD1,((A3)+(1))+(0)))=("store"),(INDEX(B1:XFD1,((A3)+(1))+(1)))=("AA"),"false"),B3,AA35),AA35))</f>
        <v>#VALUE!</v>
      </c>
      <c r="AB35" t="e">
        <f ca="1">IF((A1)=(2),"",IF((31)=(AB4),IF(IF((INDEX(B1:XFD1,((A3)+(1))+(0)))=("store"),(INDEX(B1:XFD1,((A3)+(1))+(1)))=("AB"),"false"),B3,AB35),AB35))</f>
        <v>#VALUE!</v>
      </c>
      <c r="AC35" t="e">
        <f ca="1">IF((A1)=(2),"",IF((31)=(AC4),IF(IF((INDEX(B1:XFD1,((A3)+(1))+(0)))=("store"),(INDEX(B1:XFD1,((A3)+(1))+(1)))=("AC"),"false"),B3,AC35),AC35))</f>
        <v>#VALUE!</v>
      </c>
      <c r="AD35" t="e">
        <f ca="1">IF((A1)=(2),"",IF((31)=(AD4),IF(IF((INDEX(B1:XFD1,((A3)+(1))+(0)))=("store"),(INDEX(B1:XFD1,((A3)+(1))+(1)))=("AD"),"false"),B3,AD35),AD35))</f>
        <v>#VALUE!</v>
      </c>
    </row>
    <row r="36" spans="1:30" x14ac:dyDescent="0.25">
      <c r="A36" t="e">
        <f ca="1">IF((A1)=(2),"",IF((32)=(A4),IF(("call")=(INDEX(B1:XFD1,((A3)+(1))+(0))),(B3)*(2),IF(("goto")=(INDEX(B1:XFD1,((A3)+(1))+(0))),(INDEX(B1:XFD1,((A3)+(1))+(1)))*(2),IF(("gotoiftrue")=(INDEX(B1:XFD1,((A3)+(1))+(0))),IF(B3,(INDEX(B1:XFD1,((A3)+(1))+(1)))*(2),(A36)+(2)),(A36)+(2)))),A36))</f>
        <v>#VALUE!</v>
      </c>
      <c r="B36" t="e">
        <f ca="1">IF((A1)=(2),"",IF((32)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36)+(1)),IF(("add")=(INDEX(B1:XFD1,((A3)+(1))+(0))),(INDEX(B5:B405,(B4)+(1)))+(B36),IF(("equals")=(INDEX(B1:XFD1,((A3)+(1))+(0))),(INDEX(B5:B405,(B4)+(1)))=(B36),IF(("leq")=(INDEX(B1:XFD1,((A3)+(1))+(0))),(INDEX(B5:B405,(B4)+(1)))&lt;=(B36),IF(("greater")=(INDEX(B1:XFD1,((A3)+(1))+(0))),(INDEX(B5:B405,(B4)+(1)))&gt;(B36),IF(("mod")=(INDEX(B1:XFD1,((A3)+(1))+(0))),MOD(INDEX(B5:B405,(B4)+(1)),B36),B36))))))))),B36))</f>
        <v>#VALUE!</v>
      </c>
      <c r="C36" t="e">
        <f ca="1">IF((A1)=(2),1,IF(AND((INDEX(B1:XFD1,((A3)+(1))+(0)))=("writeheap"),(INDEX(B5:B405,(B4)+(1)))=(31)),INDEX(B5:B405,(B4)+(2)),IF((A1)=(2),"",IF((32)=(C4),C36,C36))))</f>
        <v>#VALUE!</v>
      </c>
      <c r="F36" t="e">
        <f ca="1">IF((A1)=(2),"",IF((32)=(F4),IF(IF((INDEX(B1:XFD1,((A3)+(1))+(0)))=("store"),(INDEX(B1:XFD1,((A3)+(1))+(1)))=("F"),"false"),B3,F36),F36))</f>
        <v>#VALUE!</v>
      </c>
      <c r="G36" t="e">
        <f ca="1">IF((A1)=(2),"",IF((32)=(G4),IF(IF((INDEX(B1:XFD1,((A3)+(1))+(0)))=("store"),(INDEX(B1:XFD1,((A3)+(1))+(1)))=("G"),"false"),B3,G36),G36))</f>
        <v>#VALUE!</v>
      </c>
      <c r="H36" t="e">
        <f ca="1">IF((A1)=(2),"",IF((32)=(H4),IF(IF((INDEX(B1:XFD1,((A3)+(1))+(0)))=("store"),(INDEX(B1:XFD1,((A3)+(1))+(1)))=("H"),"false"),B3,H36),H36))</f>
        <v>#VALUE!</v>
      </c>
      <c r="I36" t="e">
        <f ca="1">IF((A1)=(2),"",IF((32)=(I4),IF(IF((INDEX(B1:XFD1,((A3)+(1))+(0)))=("store"),(INDEX(B1:XFD1,((A3)+(1))+(1)))=("I"),"false"),B3,I36),I36))</f>
        <v>#VALUE!</v>
      </c>
      <c r="J36" t="e">
        <f ca="1">IF((A1)=(2),"",IF((32)=(J4),IF(IF((INDEX(B1:XFD1,((A3)+(1))+(0)))=("store"),(INDEX(B1:XFD1,((A3)+(1))+(1)))=("J"),"false"),B3,J36),J36))</f>
        <v>#VALUE!</v>
      </c>
      <c r="K36" t="e">
        <f ca="1">IF((A1)=(2),"",IF((32)=(K4),IF(IF((INDEX(B1:XFD1,((A3)+(1))+(0)))=("store"),(INDEX(B1:XFD1,((A3)+(1))+(1)))=("K"),"false"),B3,K36),K36))</f>
        <v>#VALUE!</v>
      </c>
      <c r="L36" t="e">
        <f ca="1">IF((A1)=(2),"",IF((32)=(L4),IF(IF((INDEX(B1:XFD1,((A3)+(1))+(0)))=("store"),(INDEX(B1:XFD1,((A3)+(1))+(1)))=("L"),"false"),B3,L36),L36))</f>
        <v>#VALUE!</v>
      </c>
      <c r="M36" t="e">
        <f ca="1">IF((A1)=(2),"",IF((32)=(M4),IF(IF((INDEX(B1:XFD1,((A3)+(1))+(0)))=("store"),(INDEX(B1:XFD1,((A3)+(1))+(1)))=("M"),"false"),B3,M36),M36))</f>
        <v>#VALUE!</v>
      </c>
      <c r="N36" t="e">
        <f ca="1">IF((A1)=(2),"",IF((32)=(N4),IF(IF((INDEX(B1:XFD1,((A3)+(1))+(0)))=("store"),(INDEX(B1:XFD1,((A3)+(1))+(1)))=("N"),"false"),B3,N36),N36))</f>
        <v>#VALUE!</v>
      </c>
      <c r="O36" t="e">
        <f ca="1">IF((A1)=(2),"",IF((32)=(O4),IF(IF((INDEX(B1:XFD1,((A3)+(1))+(0)))=("store"),(INDEX(B1:XFD1,((A3)+(1))+(1)))=("O"),"false"),B3,O36),O36))</f>
        <v>#VALUE!</v>
      </c>
      <c r="P36" t="e">
        <f ca="1">IF((A1)=(2),"",IF((32)=(P4),IF(IF((INDEX(B1:XFD1,((A3)+(1))+(0)))=("store"),(INDEX(B1:XFD1,((A3)+(1))+(1)))=("P"),"false"),B3,P36),P36))</f>
        <v>#VALUE!</v>
      </c>
      <c r="Q36" t="e">
        <f ca="1">IF((A1)=(2),"",IF((32)=(Q4),IF(IF((INDEX(B1:XFD1,((A3)+(1))+(0)))=("store"),(INDEX(B1:XFD1,((A3)+(1))+(1)))=("Q"),"false"),B3,Q36),Q36))</f>
        <v>#VALUE!</v>
      </c>
      <c r="R36" t="e">
        <f ca="1">IF((A1)=(2),"",IF((32)=(R4),IF(IF((INDEX(B1:XFD1,((A3)+(1))+(0)))=("store"),(INDEX(B1:XFD1,((A3)+(1))+(1)))=("R"),"false"),B3,R36),R36))</f>
        <v>#VALUE!</v>
      </c>
      <c r="S36" t="e">
        <f ca="1">IF((A1)=(2),"",IF((32)=(S4),IF(IF((INDEX(B1:XFD1,((A3)+(1))+(0)))=("store"),(INDEX(B1:XFD1,((A3)+(1))+(1)))=("S"),"false"),B3,S36),S36))</f>
        <v>#VALUE!</v>
      </c>
      <c r="T36" t="e">
        <f ca="1">IF((A1)=(2),"",IF((32)=(T4),IF(IF((INDEX(B1:XFD1,((A3)+(1))+(0)))=("store"),(INDEX(B1:XFD1,((A3)+(1))+(1)))=("T"),"false"),B3,T36),T36))</f>
        <v>#VALUE!</v>
      </c>
      <c r="U36" t="e">
        <f ca="1">IF((A1)=(2),"",IF((32)=(U4),IF(IF((INDEX(B1:XFD1,((A3)+(1))+(0)))=("store"),(INDEX(B1:XFD1,((A3)+(1))+(1)))=("U"),"false"),B3,U36),U36))</f>
        <v>#VALUE!</v>
      </c>
      <c r="V36" t="e">
        <f ca="1">IF((A1)=(2),"",IF((32)=(V4),IF(IF((INDEX(B1:XFD1,((A3)+(1))+(0)))=("store"),(INDEX(B1:XFD1,((A3)+(1))+(1)))=("V"),"false"),B3,V36),V36))</f>
        <v>#VALUE!</v>
      </c>
      <c r="W36" t="e">
        <f ca="1">IF((A1)=(2),"",IF((32)=(W4),IF(IF((INDEX(B1:XFD1,((A3)+(1))+(0)))=("store"),(INDEX(B1:XFD1,((A3)+(1))+(1)))=("W"),"false"),B3,W36),W36))</f>
        <v>#VALUE!</v>
      </c>
      <c r="X36" t="e">
        <f ca="1">IF((A1)=(2),"",IF((32)=(X4),IF(IF((INDEX(B1:XFD1,((A3)+(1))+(0)))=("store"),(INDEX(B1:XFD1,((A3)+(1))+(1)))=("X"),"false"),B3,X36),X36))</f>
        <v>#VALUE!</v>
      </c>
      <c r="Y36" t="e">
        <f ca="1">IF((A1)=(2),"",IF((32)=(Y4),IF(IF((INDEX(B1:XFD1,((A3)+(1))+(0)))=("store"),(INDEX(B1:XFD1,((A3)+(1))+(1)))=("Y"),"false"),B3,Y36),Y36))</f>
        <v>#VALUE!</v>
      </c>
      <c r="Z36" t="e">
        <f ca="1">IF((A1)=(2),"",IF((32)=(Z4),IF(IF((INDEX(B1:XFD1,((A3)+(1))+(0)))=("store"),(INDEX(B1:XFD1,((A3)+(1))+(1)))=("Z"),"false"),B3,Z36),Z36))</f>
        <v>#VALUE!</v>
      </c>
      <c r="AA36" t="e">
        <f ca="1">IF((A1)=(2),"",IF((32)=(AA4),IF(IF((INDEX(B1:XFD1,((A3)+(1))+(0)))=("store"),(INDEX(B1:XFD1,((A3)+(1))+(1)))=("AA"),"false"),B3,AA36),AA36))</f>
        <v>#VALUE!</v>
      </c>
      <c r="AB36" t="e">
        <f ca="1">IF((A1)=(2),"",IF((32)=(AB4),IF(IF((INDEX(B1:XFD1,((A3)+(1))+(0)))=("store"),(INDEX(B1:XFD1,((A3)+(1))+(1)))=("AB"),"false"),B3,AB36),AB36))</f>
        <v>#VALUE!</v>
      </c>
      <c r="AC36" t="e">
        <f ca="1">IF((A1)=(2),"",IF((32)=(AC4),IF(IF((INDEX(B1:XFD1,((A3)+(1))+(0)))=("store"),(INDEX(B1:XFD1,((A3)+(1))+(1)))=("AC"),"false"),B3,AC36),AC36))</f>
        <v>#VALUE!</v>
      </c>
      <c r="AD36" t="e">
        <f ca="1">IF((A1)=(2),"",IF((32)=(AD4),IF(IF((INDEX(B1:XFD1,((A3)+(1))+(0)))=("store"),(INDEX(B1:XFD1,((A3)+(1))+(1)))=("AD"),"false"),B3,AD36),AD36))</f>
        <v>#VALUE!</v>
      </c>
    </row>
    <row r="37" spans="1:30" x14ac:dyDescent="0.25">
      <c r="A37" t="e">
        <f ca="1">IF((A1)=(2),"",IF((33)=(A4),IF(("call")=(INDEX(B1:XFD1,((A3)+(1))+(0))),(B3)*(2),IF(("goto")=(INDEX(B1:XFD1,((A3)+(1))+(0))),(INDEX(B1:XFD1,((A3)+(1))+(1)))*(2),IF(("gotoiftrue")=(INDEX(B1:XFD1,((A3)+(1))+(0))),IF(B3,(INDEX(B1:XFD1,((A3)+(1))+(1)))*(2),(A37)+(2)),(A37)+(2)))),A37))</f>
        <v>#VALUE!</v>
      </c>
      <c r="B37" t="e">
        <f ca="1">IF((A1)=(2),"",IF((33)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37)+(1)),IF(("add")=(INDEX(B1:XFD1,((A3)+(1))+(0))),(INDEX(B5:B405,(B4)+(1)))+(B37),IF(("equals")=(INDEX(B1:XFD1,((A3)+(1))+(0))),(INDEX(B5:B405,(B4)+(1)))=(B37),IF(("leq")=(INDEX(B1:XFD1,((A3)+(1))+(0))),(INDEX(B5:B405,(B4)+(1)))&lt;=(B37),IF(("greater")=(INDEX(B1:XFD1,((A3)+(1))+(0))),(INDEX(B5:B405,(B4)+(1)))&gt;(B37),IF(("mod")=(INDEX(B1:XFD1,((A3)+(1))+(0))),MOD(INDEX(B5:B405,(B4)+(1)),B37),B37))))))))),B37))</f>
        <v>#VALUE!</v>
      </c>
      <c r="C37" t="e">
        <f ca="1">IF((A1)=(2),1,IF(AND((INDEX(B1:XFD1,((A3)+(1))+(0)))=("writeheap"),(INDEX(B5:B405,(B4)+(1)))=(32)),INDEX(B5:B405,(B4)+(2)),IF((A1)=(2),"",IF((33)=(C4),C37,C37))))</f>
        <v>#VALUE!</v>
      </c>
      <c r="F37" t="e">
        <f ca="1">IF((A1)=(2),"",IF((33)=(F4),IF(IF((INDEX(B1:XFD1,((A3)+(1))+(0)))=("store"),(INDEX(B1:XFD1,((A3)+(1))+(1)))=("F"),"false"),B3,F37),F37))</f>
        <v>#VALUE!</v>
      </c>
      <c r="G37" t="e">
        <f ca="1">IF((A1)=(2),"",IF((33)=(G4),IF(IF((INDEX(B1:XFD1,((A3)+(1))+(0)))=("store"),(INDEX(B1:XFD1,((A3)+(1))+(1)))=("G"),"false"),B3,G37),G37))</f>
        <v>#VALUE!</v>
      </c>
      <c r="H37" t="e">
        <f ca="1">IF((A1)=(2),"",IF((33)=(H4),IF(IF((INDEX(B1:XFD1,((A3)+(1))+(0)))=("store"),(INDEX(B1:XFD1,((A3)+(1))+(1)))=("H"),"false"),B3,H37),H37))</f>
        <v>#VALUE!</v>
      </c>
      <c r="I37" t="e">
        <f ca="1">IF((A1)=(2),"",IF((33)=(I4),IF(IF((INDEX(B1:XFD1,((A3)+(1))+(0)))=("store"),(INDEX(B1:XFD1,((A3)+(1))+(1)))=("I"),"false"),B3,I37),I37))</f>
        <v>#VALUE!</v>
      </c>
      <c r="J37" t="e">
        <f ca="1">IF((A1)=(2),"",IF((33)=(J4),IF(IF((INDEX(B1:XFD1,((A3)+(1))+(0)))=("store"),(INDEX(B1:XFD1,((A3)+(1))+(1)))=("J"),"false"),B3,J37),J37))</f>
        <v>#VALUE!</v>
      </c>
      <c r="K37" t="e">
        <f ca="1">IF((A1)=(2),"",IF((33)=(K4),IF(IF((INDEX(B1:XFD1,((A3)+(1))+(0)))=("store"),(INDEX(B1:XFD1,((A3)+(1))+(1)))=("K"),"false"),B3,K37),K37))</f>
        <v>#VALUE!</v>
      </c>
      <c r="L37" t="e">
        <f ca="1">IF((A1)=(2),"",IF((33)=(L4),IF(IF((INDEX(B1:XFD1,((A3)+(1))+(0)))=("store"),(INDEX(B1:XFD1,((A3)+(1))+(1)))=("L"),"false"),B3,L37),L37))</f>
        <v>#VALUE!</v>
      </c>
      <c r="M37" t="e">
        <f ca="1">IF((A1)=(2),"",IF((33)=(M4),IF(IF((INDEX(B1:XFD1,((A3)+(1))+(0)))=("store"),(INDEX(B1:XFD1,((A3)+(1))+(1)))=("M"),"false"),B3,M37),M37))</f>
        <v>#VALUE!</v>
      </c>
      <c r="N37" t="e">
        <f ca="1">IF((A1)=(2),"",IF((33)=(N4),IF(IF((INDEX(B1:XFD1,((A3)+(1))+(0)))=("store"),(INDEX(B1:XFD1,((A3)+(1))+(1)))=("N"),"false"),B3,N37),N37))</f>
        <v>#VALUE!</v>
      </c>
      <c r="O37" t="e">
        <f ca="1">IF((A1)=(2),"",IF((33)=(O4),IF(IF((INDEX(B1:XFD1,((A3)+(1))+(0)))=("store"),(INDEX(B1:XFD1,((A3)+(1))+(1)))=("O"),"false"),B3,O37),O37))</f>
        <v>#VALUE!</v>
      </c>
      <c r="P37" t="e">
        <f ca="1">IF((A1)=(2),"",IF((33)=(P4),IF(IF((INDEX(B1:XFD1,((A3)+(1))+(0)))=("store"),(INDEX(B1:XFD1,((A3)+(1))+(1)))=("P"),"false"),B3,P37),P37))</f>
        <v>#VALUE!</v>
      </c>
      <c r="Q37" t="e">
        <f ca="1">IF((A1)=(2),"",IF((33)=(Q4),IF(IF((INDEX(B1:XFD1,((A3)+(1))+(0)))=("store"),(INDEX(B1:XFD1,((A3)+(1))+(1)))=("Q"),"false"),B3,Q37),Q37))</f>
        <v>#VALUE!</v>
      </c>
      <c r="R37" t="e">
        <f ca="1">IF((A1)=(2),"",IF((33)=(R4),IF(IF((INDEX(B1:XFD1,((A3)+(1))+(0)))=("store"),(INDEX(B1:XFD1,((A3)+(1))+(1)))=("R"),"false"),B3,R37),R37))</f>
        <v>#VALUE!</v>
      </c>
      <c r="S37" t="e">
        <f ca="1">IF((A1)=(2),"",IF((33)=(S4),IF(IF((INDEX(B1:XFD1,((A3)+(1))+(0)))=("store"),(INDEX(B1:XFD1,((A3)+(1))+(1)))=("S"),"false"),B3,S37),S37))</f>
        <v>#VALUE!</v>
      </c>
      <c r="T37" t="e">
        <f ca="1">IF((A1)=(2),"",IF((33)=(T4),IF(IF((INDEX(B1:XFD1,((A3)+(1))+(0)))=("store"),(INDEX(B1:XFD1,((A3)+(1))+(1)))=("T"),"false"),B3,T37),T37))</f>
        <v>#VALUE!</v>
      </c>
      <c r="U37" t="e">
        <f ca="1">IF((A1)=(2),"",IF((33)=(U4),IF(IF((INDEX(B1:XFD1,((A3)+(1))+(0)))=("store"),(INDEX(B1:XFD1,((A3)+(1))+(1)))=("U"),"false"),B3,U37),U37))</f>
        <v>#VALUE!</v>
      </c>
      <c r="V37" t="e">
        <f ca="1">IF((A1)=(2),"",IF((33)=(V4),IF(IF((INDEX(B1:XFD1,((A3)+(1))+(0)))=("store"),(INDEX(B1:XFD1,((A3)+(1))+(1)))=("V"),"false"),B3,V37),V37))</f>
        <v>#VALUE!</v>
      </c>
      <c r="W37" t="e">
        <f ca="1">IF((A1)=(2),"",IF((33)=(W4),IF(IF((INDEX(B1:XFD1,((A3)+(1))+(0)))=("store"),(INDEX(B1:XFD1,((A3)+(1))+(1)))=("W"),"false"),B3,W37),W37))</f>
        <v>#VALUE!</v>
      </c>
      <c r="X37" t="e">
        <f ca="1">IF((A1)=(2),"",IF((33)=(X4),IF(IF((INDEX(B1:XFD1,((A3)+(1))+(0)))=("store"),(INDEX(B1:XFD1,((A3)+(1))+(1)))=("X"),"false"),B3,X37),X37))</f>
        <v>#VALUE!</v>
      </c>
      <c r="Y37" t="e">
        <f ca="1">IF((A1)=(2),"",IF((33)=(Y4),IF(IF((INDEX(B1:XFD1,((A3)+(1))+(0)))=("store"),(INDEX(B1:XFD1,((A3)+(1))+(1)))=("Y"),"false"),B3,Y37),Y37))</f>
        <v>#VALUE!</v>
      </c>
      <c r="Z37" t="e">
        <f ca="1">IF((A1)=(2),"",IF((33)=(Z4),IF(IF((INDEX(B1:XFD1,((A3)+(1))+(0)))=("store"),(INDEX(B1:XFD1,((A3)+(1))+(1)))=("Z"),"false"),B3,Z37),Z37))</f>
        <v>#VALUE!</v>
      </c>
      <c r="AA37" t="e">
        <f ca="1">IF((A1)=(2),"",IF((33)=(AA4),IF(IF((INDEX(B1:XFD1,((A3)+(1))+(0)))=("store"),(INDEX(B1:XFD1,((A3)+(1))+(1)))=("AA"),"false"),B3,AA37),AA37))</f>
        <v>#VALUE!</v>
      </c>
      <c r="AB37" t="e">
        <f ca="1">IF((A1)=(2),"",IF((33)=(AB4),IF(IF((INDEX(B1:XFD1,((A3)+(1))+(0)))=("store"),(INDEX(B1:XFD1,((A3)+(1))+(1)))=("AB"),"false"),B3,AB37),AB37))</f>
        <v>#VALUE!</v>
      </c>
      <c r="AC37" t="e">
        <f ca="1">IF((A1)=(2),"",IF((33)=(AC4),IF(IF((INDEX(B1:XFD1,((A3)+(1))+(0)))=("store"),(INDEX(B1:XFD1,((A3)+(1))+(1)))=("AC"),"false"),B3,AC37),AC37))</f>
        <v>#VALUE!</v>
      </c>
      <c r="AD37" t="e">
        <f ca="1">IF((A1)=(2),"",IF((33)=(AD4),IF(IF((INDEX(B1:XFD1,((A3)+(1))+(0)))=("store"),(INDEX(B1:XFD1,((A3)+(1))+(1)))=("AD"),"false"),B3,AD37),AD37))</f>
        <v>#VALUE!</v>
      </c>
    </row>
    <row r="38" spans="1:30" x14ac:dyDescent="0.25">
      <c r="A38" t="e">
        <f ca="1">IF((A1)=(2),"",IF((34)=(A4),IF(("call")=(INDEX(B1:XFD1,((A3)+(1))+(0))),(B3)*(2),IF(("goto")=(INDEX(B1:XFD1,((A3)+(1))+(0))),(INDEX(B1:XFD1,((A3)+(1))+(1)))*(2),IF(("gotoiftrue")=(INDEX(B1:XFD1,((A3)+(1))+(0))),IF(B3,(INDEX(B1:XFD1,((A3)+(1))+(1)))*(2),(A38)+(2)),(A38)+(2)))),A38))</f>
        <v>#VALUE!</v>
      </c>
      <c r="B38" t="e">
        <f ca="1">IF((A1)=(2),"",IF((34)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38)+(1)),IF(("add")=(INDEX(B1:XFD1,((A3)+(1))+(0))),(INDEX(B5:B405,(B4)+(1)))+(B38),IF(("equals")=(INDEX(B1:XFD1,((A3)+(1))+(0))),(INDEX(B5:B405,(B4)+(1)))=(B38),IF(("leq")=(INDEX(B1:XFD1,((A3)+(1))+(0))),(INDEX(B5:B405,(B4)+(1)))&lt;=(B38),IF(("greater")=(INDEX(B1:XFD1,((A3)+(1))+(0))),(INDEX(B5:B405,(B4)+(1)))&gt;(B38),IF(("mod")=(INDEX(B1:XFD1,((A3)+(1))+(0))),MOD(INDEX(B5:B405,(B4)+(1)),B38),B38))))))))),B38))</f>
        <v>#VALUE!</v>
      </c>
      <c r="C38" t="e">
        <f ca="1">IF((A1)=(2),1,IF(AND((INDEX(B1:XFD1,((A3)+(1))+(0)))=("writeheap"),(INDEX(B5:B405,(B4)+(1)))=(33)),INDEX(B5:B405,(B4)+(2)),IF((A1)=(2),"",IF((34)=(C4),C38,C38))))</f>
        <v>#VALUE!</v>
      </c>
      <c r="F38" t="e">
        <f ca="1">IF((A1)=(2),"",IF((34)=(F4),IF(IF((INDEX(B1:XFD1,((A3)+(1))+(0)))=("store"),(INDEX(B1:XFD1,((A3)+(1))+(1)))=("F"),"false"),B3,F38),F38))</f>
        <v>#VALUE!</v>
      </c>
      <c r="G38" t="e">
        <f ca="1">IF((A1)=(2),"",IF((34)=(G4),IF(IF((INDEX(B1:XFD1,((A3)+(1))+(0)))=("store"),(INDEX(B1:XFD1,((A3)+(1))+(1)))=("G"),"false"),B3,G38),G38))</f>
        <v>#VALUE!</v>
      </c>
      <c r="H38" t="e">
        <f ca="1">IF((A1)=(2),"",IF((34)=(H4),IF(IF((INDEX(B1:XFD1,((A3)+(1))+(0)))=("store"),(INDEX(B1:XFD1,((A3)+(1))+(1)))=("H"),"false"),B3,H38),H38))</f>
        <v>#VALUE!</v>
      </c>
      <c r="I38" t="e">
        <f ca="1">IF((A1)=(2),"",IF((34)=(I4),IF(IF((INDEX(B1:XFD1,((A3)+(1))+(0)))=("store"),(INDEX(B1:XFD1,((A3)+(1))+(1)))=("I"),"false"),B3,I38),I38))</f>
        <v>#VALUE!</v>
      </c>
      <c r="J38" t="e">
        <f ca="1">IF((A1)=(2),"",IF((34)=(J4),IF(IF((INDEX(B1:XFD1,((A3)+(1))+(0)))=("store"),(INDEX(B1:XFD1,((A3)+(1))+(1)))=("J"),"false"),B3,J38),J38))</f>
        <v>#VALUE!</v>
      </c>
      <c r="K38" t="e">
        <f ca="1">IF((A1)=(2),"",IF((34)=(K4),IF(IF((INDEX(B1:XFD1,((A3)+(1))+(0)))=("store"),(INDEX(B1:XFD1,((A3)+(1))+(1)))=("K"),"false"),B3,K38),K38))</f>
        <v>#VALUE!</v>
      </c>
      <c r="L38" t="e">
        <f ca="1">IF((A1)=(2),"",IF((34)=(L4),IF(IF((INDEX(B1:XFD1,((A3)+(1))+(0)))=("store"),(INDEX(B1:XFD1,((A3)+(1))+(1)))=("L"),"false"),B3,L38),L38))</f>
        <v>#VALUE!</v>
      </c>
      <c r="M38" t="e">
        <f ca="1">IF((A1)=(2),"",IF((34)=(M4),IF(IF((INDEX(B1:XFD1,((A3)+(1))+(0)))=("store"),(INDEX(B1:XFD1,((A3)+(1))+(1)))=("M"),"false"),B3,M38),M38))</f>
        <v>#VALUE!</v>
      </c>
      <c r="N38" t="e">
        <f ca="1">IF((A1)=(2),"",IF((34)=(N4),IF(IF((INDEX(B1:XFD1,((A3)+(1))+(0)))=("store"),(INDEX(B1:XFD1,((A3)+(1))+(1)))=("N"),"false"),B3,N38),N38))</f>
        <v>#VALUE!</v>
      </c>
      <c r="O38" t="e">
        <f ca="1">IF((A1)=(2),"",IF((34)=(O4),IF(IF((INDEX(B1:XFD1,((A3)+(1))+(0)))=("store"),(INDEX(B1:XFD1,((A3)+(1))+(1)))=("O"),"false"),B3,O38),O38))</f>
        <v>#VALUE!</v>
      </c>
      <c r="P38" t="e">
        <f ca="1">IF((A1)=(2),"",IF((34)=(P4),IF(IF((INDEX(B1:XFD1,((A3)+(1))+(0)))=("store"),(INDEX(B1:XFD1,((A3)+(1))+(1)))=("P"),"false"),B3,P38),P38))</f>
        <v>#VALUE!</v>
      </c>
      <c r="Q38" t="e">
        <f ca="1">IF((A1)=(2),"",IF((34)=(Q4),IF(IF((INDEX(B1:XFD1,((A3)+(1))+(0)))=("store"),(INDEX(B1:XFD1,((A3)+(1))+(1)))=("Q"),"false"),B3,Q38),Q38))</f>
        <v>#VALUE!</v>
      </c>
      <c r="R38" t="e">
        <f ca="1">IF((A1)=(2),"",IF((34)=(R4),IF(IF((INDEX(B1:XFD1,((A3)+(1))+(0)))=("store"),(INDEX(B1:XFD1,((A3)+(1))+(1)))=("R"),"false"),B3,R38),R38))</f>
        <v>#VALUE!</v>
      </c>
      <c r="S38" t="e">
        <f ca="1">IF((A1)=(2),"",IF((34)=(S4),IF(IF((INDEX(B1:XFD1,((A3)+(1))+(0)))=("store"),(INDEX(B1:XFD1,((A3)+(1))+(1)))=("S"),"false"),B3,S38),S38))</f>
        <v>#VALUE!</v>
      </c>
      <c r="T38" t="e">
        <f ca="1">IF((A1)=(2),"",IF((34)=(T4),IF(IF((INDEX(B1:XFD1,((A3)+(1))+(0)))=("store"),(INDEX(B1:XFD1,((A3)+(1))+(1)))=("T"),"false"),B3,T38),T38))</f>
        <v>#VALUE!</v>
      </c>
      <c r="U38" t="e">
        <f ca="1">IF((A1)=(2),"",IF((34)=(U4),IF(IF((INDEX(B1:XFD1,((A3)+(1))+(0)))=("store"),(INDEX(B1:XFD1,((A3)+(1))+(1)))=("U"),"false"),B3,U38),U38))</f>
        <v>#VALUE!</v>
      </c>
      <c r="V38" t="e">
        <f ca="1">IF((A1)=(2),"",IF((34)=(V4),IF(IF((INDEX(B1:XFD1,((A3)+(1))+(0)))=("store"),(INDEX(B1:XFD1,((A3)+(1))+(1)))=("V"),"false"),B3,V38),V38))</f>
        <v>#VALUE!</v>
      </c>
      <c r="W38" t="e">
        <f ca="1">IF((A1)=(2),"",IF((34)=(W4),IF(IF((INDEX(B1:XFD1,((A3)+(1))+(0)))=("store"),(INDEX(B1:XFD1,((A3)+(1))+(1)))=("W"),"false"),B3,W38),W38))</f>
        <v>#VALUE!</v>
      </c>
      <c r="X38" t="e">
        <f ca="1">IF((A1)=(2),"",IF((34)=(X4),IF(IF((INDEX(B1:XFD1,((A3)+(1))+(0)))=("store"),(INDEX(B1:XFD1,((A3)+(1))+(1)))=("X"),"false"),B3,X38),X38))</f>
        <v>#VALUE!</v>
      </c>
      <c r="Y38" t="e">
        <f ca="1">IF((A1)=(2),"",IF((34)=(Y4),IF(IF((INDEX(B1:XFD1,((A3)+(1))+(0)))=("store"),(INDEX(B1:XFD1,((A3)+(1))+(1)))=("Y"),"false"),B3,Y38),Y38))</f>
        <v>#VALUE!</v>
      </c>
      <c r="Z38" t="e">
        <f ca="1">IF((A1)=(2),"",IF((34)=(Z4),IF(IF((INDEX(B1:XFD1,((A3)+(1))+(0)))=("store"),(INDEX(B1:XFD1,((A3)+(1))+(1)))=("Z"),"false"),B3,Z38),Z38))</f>
        <v>#VALUE!</v>
      </c>
      <c r="AA38" t="e">
        <f ca="1">IF((A1)=(2),"",IF((34)=(AA4),IF(IF((INDEX(B1:XFD1,((A3)+(1))+(0)))=("store"),(INDEX(B1:XFD1,((A3)+(1))+(1)))=("AA"),"false"),B3,AA38),AA38))</f>
        <v>#VALUE!</v>
      </c>
      <c r="AB38" t="e">
        <f ca="1">IF((A1)=(2),"",IF((34)=(AB4),IF(IF((INDEX(B1:XFD1,((A3)+(1))+(0)))=("store"),(INDEX(B1:XFD1,((A3)+(1))+(1)))=("AB"),"false"),B3,AB38),AB38))</f>
        <v>#VALUE!</v>
      </c>
      <c r="AC38" t="e">
        <f ca="1">IF((A1)=(2),"",IF((34)=(AC4),IF(IF((INDEX(B1:XFD1,((A3)+(1))+(0)))=("store"),(INDEX(B1:XFD1,((A3)+(1))+(1)))=("AC"),"false"),B3,AC38),AC38))</f>
        <v>#VALUE!</v>
      </c>
      <c r="AD38" t="e">
        <f ca="1">IF((A1)=(2),"",IF((34)=(AD4),IF(IF((INDEX(B1:XFD1,((A3)+(1))+(0)))=("store"),(INDEX(B1:XFD1,((A3)+(1))+(1)))=("AD"),"false"),B3,AD38),AD38))</f>
        <v>#VALUE!</v>
      </c>
    </row>
    <row r="39" spans="1:30" x14ac:dyDescent="0.25">
      <c r="A39" t="e">
        <f ca="1">IF((A1)=(2),"",IF((35)=(A4),IF(("call")=(INDEX(B1:XFD1,((A3)+(1))+(0))),(B3)*(2),IF(("goto")=(INDEX(B1:XFD1,((A3)+(1))+(0))),(INDEX(B1:XFD1,((A3)+(1))+(1)))*(2),IF(("gotoiftrue")=(INDEX(B1:XFD1,((A3)+(1))+(0))),IF(B3,(INDEX(B1:XFD1,((A3)+(1))+(1)))*(2),(A39)+(2)),(A39)+(2)))),A39))</f>
        <v>#VALUE!</v>
      </c>
      <c r="B39" t="e">
        <f ca="1">IF((A1)=(2),"",IF((35)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39)+(1)),IF(("add")=(INDEX(B1:XFD1,((A3)+(1))+(0))),(INDEX(B5:B405,(B4)+(1)))+(B39),IF(("equals")=(INDEX(B1:XFD1,((A3)+(1))+(0))),(INDEX(B5:B405,(B4)+(1)))=(B39),IF(("leq")=(INDEX(B1:XFD1,((A3)+(1))+(0))),(INDEX(B5:B405,(B4)+(1)))&lt;=(B39),IF(("greater")=(INDEX(B1:XFD1,((A3)+(1))+(0))),(INDEX(B5:B405,(B4)+(1)))&gt;(B39),IF(("mod")=(INDEX(B1:XFD1,((A3)+(1))+(0))),MOD(INDEX(B5:B405,(B4)+(1)),B39),B39))))))))),B39))</f>
        <v>#VALUE!</v>
      </c>
      <c r="C39" t="e">
        <f ca="1">IF((A1)=(2),1,IF(AND((INDEX(B1:XFD1,((A3)+(1))+(0)))=("writeheap"),(INDEX(B5:B405,(B4)+(1)))=(34)),INDEX(B5:B405,(B4)+(2)),IF((A1)=(2),"",IF((35)=(C4),C39,C39))))</f>
        <v>#VALUE!</v>
      </c>
      <c r="F39" t="e">
        <f ca="1">IF((A1)=(2),"",IF((35)=(F4),IF(IF((INDEX(B1:XFD1,((A3)+(1))+(0)))=("store"),(INDEX(B1:XFD1,((A3)+(1))+(1)))=("F"),"false"),B3,F39),F39))</f>
        <v>#VALUE!</v>
      </c>
      <c r="G39" t="e">
        <f ca="1">IF((A1)=(2),"",IF((35)=(G4),IF(IF((INDEX(B1:XFD1,((A3)+(1))+(0)))=("store"),(INDEX(B1:XFD1,((A3)+(1))+(1)))=("G"),"false"),B3,G39),G39))</f>
        <v>#VALUE!</v>
      </c>
      <c r="H39" t="e">
        <f ca="1">IF((A1)=(2),"",IF((35)=(H4),IF(IF((INDEX(B1:XFD1,((A3)+(1))+(0)))=("store"),(INDEX(B1:XFD1,((A3)+(1))+(1)))=("H"),"false"),B3,H39),H39))</f>
        <v>#VALUE!</v>
      </c>
      <c r="I39" t="e">
        <f ca="1">IF((A1)=(2),"",IF((35)=(I4),IF(IF((INDEX(B1:XFD1,((A3)+(1))+(0)))=("store"),(INDEX(B1:XFD1,((A3)+(1))+(1)))=("I"),"false"),B3,I39),I39))</f>
        <v>#VALUE!</v>
      </c>
      <c r="J39" t="e">
        <f ca="1">IF((A1)=(2),"",IF((35)=(J4),IF(IF((INDEX(B1:XFD1,((A3)+(1))+(0)))=("store"),(INDEX(B1:XFD1,((A3)+(1))+(1)))=("J"),"false"),B3,J39),J39))</f>
        <v>#VALUE!</v>
      </c>
      <c r="K39" t="e">
        <f ca="1">IF((A1)=(2),"",IF((35)=(K4),IF(IF((INDEX(B1:XFD1,((A3)+(1))+(0)))=("store"),(INDEX(B1:XFD1,((A3)+(1))+(1)))=("K"),"false"),B3,K39),K39))</f>
        <v>#VALUE!</v>
      </c>
      <c r="L39" t="e">
        <f ca="1">IF((A1)=(2),"",IF((35)=(L4),IF(IF((INDEX(B1:XFD1,((A3)+(1))+(0)))=("store"),(INDEX(B1:XFD1,((A3)+(1))+(1)))=("L"),"false"),B3,L39),L39))</f>
        <v>#VALUE!</v>
      </c>
      <c r="M39" t="e">
        <f ca="1">IF((A1)=(2),"",IF((35)=(M4),IF(IF((INDEX(B1:XFD1,((A3)+(1))+(0)))=("store"),(INDEX(B1:XFD1,((A3)+(1))+(1)))=("M"),"false"),B3,M39),M39))</f>
        <v>#VALUE!</v>
      </c>
      <c r="N39" t="e">
        <f ca="1">IF((A1)=(2),"",IF((35)=(N4),IF(IF((INDEX(B1:XFD1,((A3)+(1))+(0)))=("store"),(INDEX(B1:XFD1,((A3)+(1))+(1)))=("N"),"false"),B3,N39),N39))</f>
        <v>#VALUE!</v>
      </c>
      <c r="O39" t="e">
        <f ca="1">IF((A1)=(2),"",IF((35)=(O4),IF(IF((INDEX(B1:XFD1,((A3)+(1))+(0)))=("store"),(INDEX(B1:XFD1,((A3)+(1))+(1)))=("O"),"false"),B3,O39),O39))</f>
        <v>#VALUE!</v>
      </c>
      <c r="P39" t="e">
        <f ca="1">IF((A1)=(2),"",IF((35)=(P4),IF(IF((INDEX(B1:XFD1,((A3)+(1))+(0)))=("store"),(INDEX(B1:XFD1,((A3)+(1))+(1)))=("P"),"false"),B3,P39),P39))</f>
        <v>#VALUE!</v>
      </c>
      <c r="Q39" t="e">
        <f ca="1">IF((A1)=(2),"",IF((35)=(Q4),IF(IF((INDEX(B1:XFD1,((A3)+(1))+(0)))=("store"),(INDEX(B1:XFD1,((A3)+(1))+(1)))=("Q"),"false"),B3,Q39),Q39))</f>
        <v>#VALUE!</v>
      </c>
      <c r="R39" t="e">
        <f ca="1">IF((A1)=(2),"",IF((35)=(R4),IF(IF((INDEX(B1:XFD1,((A3)+(1))+(0)))=("store"),(INDEX(B1:XFD1,((A3)+(1))+(1)))=("R"),"false"),B3,R39),R39))</f>
        <v>#VALUE!</v>
      </c>
      <c r="S39" t="e">
        <f ca="1">IF((A1)=(2),"",IF((35)=(S4),IF(IF((INDEX(B1:XFD1,((A3)+(1))+(0)))=("store"),(INDEX(B1:XFD1,((A3)+(1))+(1)))=("S"),"false"),B3,S39),S39))</f>
        <v>#VALUE!</v>
      </c>
      <c r="T39" t="e">
        <f ca="1">IF((A1)=(2),"",IF((35)=(T4),IF(IF((INDEX(B1:XFD1,((A3)+(1))+(0)))=("store"),(INDEX(B1:XFD1,((A3)+(1))+(1)))=("T"),"false"),B3,T39),T39))</f>
        <v>#VALUE!</v>
      </c>
      <c r="U39" t="e">
        <f ca="1">IF((A1)=(2),"",IF((35)=(U4),IF(IF((INDEX(B1:XFD1,((A3)+(1))+(0)))=("store"),(INDEX(B1:XFD1,((A3)+(1))+(1)))=("U"),"false"),B3,U39),U39))</f>
        <v>#VALUE!</v>
      </c>
      <c r="V39" t="e">
        <f ca="1">IF((A1)=(2),"",IF((35)=(V4),IF(IF((INDEX(B1:XFD1,((A3)+(1))+(0)))=("store"),(INDEX(B1:XFD1,((A3)+(1))+(1)))=("V"),"false"),B3,V39),V39))</f>
        <v>#VALUE!</v>
      </c>
      <c r="W39" t="e">
        <f ca="1">IF((A1)=(2),"",IF((35)=(W4),IF(IF((INDEX(B1:XFD1,((A3)+(1))+(0)))=("store"),(INDEX(B1:XFD1,((A3)+(1))+(1)))=("W"),"false"),B3,W39),W39))</f>
        <v>#VALUE!</v>
      </c>
      <c r="X39" t="e">
        <f ca="1">IF((A1)=(2),"",IF((35)=(X4),IF(IF((INDEX(B1:XFD1,((A3)+(1))+(0)))=("store"),(INDEX(B1:XFD1,((A3)+(1))+(1)))=("X"),"false"),B3,X39),X39))</f>
        <v>#VALUE!</v>
      </c>
      <c r="Y39" t="e">
        <f ca="1">IF((A1)=(2),"",IF((35)=(Y4),IF(IF((INDEX(B1:XFD1,((A3)+(1))+(0)))=("store"),(INDEX(B1:XFD1,((A3)+(1))+(1)))=("Y"),"false"),B3,Y39),Y39))</f>
        <v>#VALUE!</v>
      </c>
      <c r="Z39" t="e">
        <f ca="1">IF((A1)=(2),"",IF((35)=(Z4),IF(IF((INDEX(B1:XFD1,((A3)+(1))+(0)))=("store"),(INDEX(B1:XFD1,((A3)+(1))+(1)))=("Z"),"false"),B3,Z39),Z39))</f>
        <v>#VALUE!</v>
      </c>
      <c r="AA39" t="e">
        <f ca="1">IF((A1)=(2),"",IF((35)=(AA4),IF(IF((INDEX(B1:XFD1,((A3)+(1))+(0)))=("store"),(INDEX(B1:XFD1,((A3)+(1))+(1)))=("AA"),"false"),B3,AA39),AA39))</f>
        <v>#VALUE!</v>
      </c>
      <c r="AB39" t="e">
        <f ca="1">IF((A1)=(2),"",IF((35)=(AB4),IF(IF((INDEX(B1:XFD1,((A3)+(1))+(0)))=("store"),(INDEX(B1:XFD1,((A3)+(1))+(1)))=("AB"),"false"),B3,AB39),AB39))</f>
        <v>#VALUE!</v>
      </c>
      <c r="AC39" t="e">
        <f ca="1">IF((A1)=(2),"",IF((35)=(AC4),IF(IF((INDEX(B1:XFD1,((A3)+(1))+(0)))=("store"),(INDEX(B1:XFD1,((A3)+(1))+(1)))=("AC"),"false"),B3,AC39),AC39))</f>
        <v>#VALUE!</v>
      </c>
      <c r="AD39" t="e">
        <f ca="1">IF((A1)=(2),"",IF((35)=(AD4),IF(IF((INDEX(B1:XFD1,((A3)+(1))+(0)))=("store"),(INDEX(B1:XFD1,((A3)+(1))+(1)))=("AD"),"false"),B3,AD39),AD39))</f>
        <v>#VALUE!</v>
      </c>
    </row>
    <row r="40" spans="1:30" x14ac:dyDescent="0.25">
      <c r="A40" t="e">
        <f ca="1">IF((A1)=(2),"",IF((36)=(A4),IF(("call")=(INDEX(B1:XFD1,((A3)+(1))+(0))),(B3)*(2),IF(("goto")=(INDEX(B1:XFD1,((A3)+(1))+(0))),(INDEX(B1:XFD1,((A3)+(1))+(1)))*(2),IF(("gotoiftrue")=(INDEX(B1:XFD1,((A3)+(1))+(0))),IF(B3,(INDEX(B1:XFD1,((A3)+(1))+(1)))*(2),(A40)+(2)),(A40)+(2)))),A40))</f>
        <v>#VALUE!</v>
      </c>
      <c r="B40" t="e">
        <f ca="1">IF((A1)=(2),"",IF((36)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40)+(1)),IF(("add")=(INDEX(B1:XFD1,((A3)+(1))+(0))),(INDEX(B5:B405,(B4)+(1)))+(B40),IF(("equals")=(INDEX(B1:XFD1,((A3)+(1))+(0))),(INDEX(B5:B405,(B4)+(1)))=(B40),IF(("leq")=(INDEX(B1:XFD1,((A3)+(1))+(0))),(INDEX(B5:B405,(B4)+(1)))&lt;=(B40),IF(("greater")=(INDEX(B1:XFD1,((A3)+(1))+(0))),(INDEX(B5:B405,(B4)+(1)))&gt;(B40),IF(("mod")=(INDEX(B1:XFD1,((A3)+(1))+(0))),MOD(INDEX(B5:B405,(B4)+(1)),B40),B40))))))))),B40))</f>
        <v>#VALUE!</v>
      </c>
      <c r="C40" t="e">
        <f ca="1">IF((A1)=(2),1,IF(AND((INDEX(B1:XFD1,((A3)+(1))+(0)))=("writeheap"),(INDEX(B5:B405,(B4)+(1)))=(35)),INDEX(B5:B405,(B4)+(2)),IF((A1)=(2),"",IF((36)=(C4),C40,C40))))</f>
        <v>#VALUE!</v>
      </c>
      <c r="F40" t="e">
        <f ca="1">IF((A1)=(2),"",IF((36)=(F4),IF(IF((INDEX(B1:XFD1,((A3)+(1))+(0)))=("store"),(INDEX(B1:XFD1,((A3)+(1))+(1)))=("F"),"false"),B3,F40),F40))</f>
        <v>#VALUE!</v>
      </c>
      <c r="G40" t="e">
        <f ca="1">IF((A1)=(2),"",IF((36)=(G4),IF(IF((INDEX(B1:XFD1,((A3)+(1))+(0)))=("store"),(INDEX(B1:XFD1,((A3)+(1))+(1)))=("G"),"false"),B3,G40),G40))</f>
        <v>#VALUE!</v>
      </c>
      <c r="H40" t="e">
        <f ca="1">IF((A1)=(2),"",IF((36)=(H4),IF(IF((INDEX(B1:XFD1,((A3)+(1))+(0)))=("store"),(INDEX(B1:XFD1,((A3)+(1))+(1)))=("H"),"false"),B3,H40),H40))</f>
        <v>#VALUE!</v>
      </c>
      <c r="I40" t="e">
        <f ca="1">IF((A1)=(2),"",IF((36)=(I4),IF(IF((INDEX(B1:XFD1,((A3)+(1))+(0)))=("store"),(INDEX(B1:XFD1,((A3)+(1))+(1)))=("I"),"false"),B3,I40),I40))</f>
        <v>#VALUE!</v>
      </c>
      <c r="J40" t="e">
        <f ca="1">IF((A1)=(2),"",IF((36)=(J4),IF(IF((INDEX(B1:XFD1,((A3)+(1))+(0)))=("store"),(INDEX(B1:XFD1,((A3)+(1))+(1)))=("J"),"false"),B3,J40),J40))</f>
        <v>#VALUE!</v>
      </c>
      <c r="K40" t="e">
        <f ca="1">IF((A1)=(2),"",IF((36)=(K4),IF(IF((INDEX(B1:XFD1,((A3)+(1))+(0)))=("store"),(INDEX(B1:XFD1,((A3)+(1))+(1)))=("K"),"false"),B3,K40),K40))</f>
        <v>#VALUE!</v>
      </c>
      <c r="L40" t="e">
        <f ca="1">IF((A1)=(2),"",IF((36)=(L4),IF(IF((INDEX(B1:XFD1,((A3)+(1))+(0)))=("store"),(INDEX(B1:XFD1,((A3)+(1))+(1)))=("L"),"false"),B3,L40),L40))</f>
        <v>#VALUE!</v>
      </c>
      <c r="M40" t="e">
        <f ca="1">IF((A1)=(2),"",IF((36)=(M4),IF(IF((INDEX(B1:XFD1,((A3)+(1))+(0)))=("store"),(INDEX(B1:XFD1,((A3)+(1))+(1)))=("M"),"false"),B3,M40),M40))</f>
        <v>#VALUE!</v>
      </c>
      <c r="N40" t="e">
        <f ca="1">IF((A1)=(2),"",IF((36)=(N4),IF(IF((INDEX(B1:XFD1,((A3)+(1))+(0)))=("store"),(INDEX(B1:XFD1,((A3)+(1))+(1)))=("N"),"false"),B3,N40),N40))</f>
        <v>#VALUE!</v>
      </c>
      <c r="O40" t="e">
        <f ca="1">IF((A1)=(2),"",IF((36)=(O4),IF(IF((INDEX(B1:XFD1,((A3)+(1))+(0)))=("store"),(INDEX(B1:XFD1,((A3)+(1))+(1)))=("O"),"false"),B3,O40),O40))</f>
        <v>#VALUE!</v>
      </c>
      <c r="P40" t="e">
        <f ca="1">IF((A1)=(2),"",IF((36)=(P4),IF(IF((INDEX(B1:XFD1,((A3)+(1))+(0)))=("store"),(INDEX(B1:XFD1,((A3)+(1))+(1)))=("P"),"false"),B3,P40),P40))</f>
        <v>#VALUE!</v>
      </c>
      <c r="Q40" t="e">
        <f ca="1">IF((A1)=(2),"",IF((36)=(Q4),IF(IF((INDEX(B1:XFD1,((A3)+(1))+(0)))=("store"),(INDEX(B1:XFD1,((A3)+(1))+(1)))=("Q"),"false"),B3,Q40),Q40))</f>
        <v>#VALUE!</v>
      </c>
      <c r="R40" t="e">
        <f ca="1">IF((A1)=(2),"",IF((36)=(R4),IF(IF((INDEX(B1:XFD1,((A3)+(1))+(0)))=("store"),(INDEX(B1:XFD1,((A3)+(1))+(1)))=("R"),"false"),B3,R40),R40))</f>
        <v>#VALUE!</v>
      </c>
      <c r="S40" t="e">
        <f ca="1">IF((A1)=(2),"",IF((36)=(S4),IF(IF((INDEX(B1:XFD1,((A3)+(1))+(0)))=("store"),(INDEX(B1:XFD1,((A3)+(1))+(1)))=("S"),"false"),B3,S40),S40))</f>
        <v>#VALUE!</v>
      </c>
      <c r="T40" t="e">
        <f ca="1">IF((A1)=(2),"",IF((36)=(T4),IF(IF((INDEX(B1:XFD1,((A3)+(1))+(0)))=("store"),(INDEX(B1:XFD1,((A3)+(1))+(1)))=("T"),"false"),B3,T40),T40))</f>
        <v>#VALUE!</v>
      </c>
      <c r="U40" t="e">
        <f ca="1">IF((A1)=(2),"",IF((36)=(U4),IF(IF((INDEX(B1:XFD1,((A3)+(1))+(0)))=("store"),(INDEX(B1:XFD1,((A3)+(1))+(1)))=("U"),"false"),B3,U40),U40))</f>
        <v>#VALUE!</v>
      </c>
      <c r="V40" t="e">
        <f ca="1">IF((A1)=(2),"",IF((36)=(V4),IF(IF((INDEX(B1:XFD1,((A3)+(1))+(0)))=("store"),(INDEX(B1:XFD1,((A3)+(1))+(1)))=("V"),"false"),B3,V40),V40))</f>
        <v>#VALUE!</v>
      </c>
      <c r="W40" t="e">
        <f ca="1">IF((A1)=(2),"",IF((36)=(W4),IF(IF((INDEX(B1:XFD1,((A3)+(1))+(0)))=("store"),(INDEX(B1:XFD1,((A3)+(1))+(1)))=("W"),"false"),B3,W40),W40))</f>
        <v>#VALUE!</v>
      </c>
      <c r="X40" t="e">
        <f ca="1">IF((A1)=(2),"",IF((36)=(X4),IF(IF((INDEX(B1:XFD1,((A3)+(1))+(0)))=("store"),(INDEX(B1:XFD1,((A3)+(1))+(1)))=("X"),"false"),B3,X40),X40))</f>
        <v>#VALUE!</v>
      </c>
      <c r="Y40" t="e">
        <f ca="1">IF((A1)=(2),"",IF((36)=(Y4),IF(IF((INDEX(B1:XFD1,((A3)+(1))+(0)))=("store"),(INDEX(B1:XFD1,((A3)+(1))+(1)))=("Y"),"false"),B3,Y40),Y40))</f>
        <v>#VALUE!</v>
      </c>
      <c r="Z40" t="e">
        <f ca="1">IF((A1)=(2),"",IF((36)=(Z4),IF(IF((INDEX(B1:XFD1,((A3)+(1))+(0)))=("store"),(INDEX(B1:XFD1,((A3)+(1))+(1)))=("Z"),"false"),B3,Z40),Z40))</f>
        <v>#VALUE!</v>
      </c>
      <c r="AA40" t="e">
        <f ca="1">IF((A1)=(2),"",IF((36)=(AA4),IF(IF((INDEX(B1:XFD1,((A3)+(1))+(0)))=("store"),(INDEX(B1:XFD1,((A3)+(1))+(1)))=("AA"),"false"),B3,AA40),AA40))</f>
        <v>#VALUE!</v>
      </c>
      <c r="AB40" t="e">
        <f ca="1">IF((A1)=(2),"",IF((36)=(AB4),IF(IF((INDEX(B1:XFD1,((A3)+(1))+(0)))=("store"),(INDEX(B1:XFD1,((A3)+(1))+(1)))=("AB"),"false"),B3,AB40),AB40))</f>
        <v>#VALUE!</v>
      </c>
      <c r="AC40" t="e">
        <f ca="1">IF((A1)=(2),"",IF((36)=(AC4),IF(IF((INDEX(B1:XFD1,((A3)+(1))+(0)))=("store"),(INDEX(B1:XFD1,((A3)+(1))+(1)))=("AC"),"false"),B3,AC40),AC40))</f>
        <v>#VALUE!</v>
      </c>
      <c r="AD40" t="e">
        <f ca="1">IF((A1)=(2),"",IF((36)=(AD4),IF(IF((INDEX(B1:XFD1,((A3)+(1))+(0)))=("store"),(INDEX(B1:XFD1,((A3)+(1))+(1)))=("AD"),"false"),B3,AD40),AD40))</f>
        <v>#VALUE!</v>
      </c>
    </row>
    <row r="41" spans="1:30" x14ac:dyDescent="0.25">
      <c r="A41" t="e">
        <f ca="1">IF((A1)=(2),"",IF((37)=(A4),IF(("call")=(INDEX(B1:XFD1,((A3)+(1))+(0))),(B3)*(2),IF(("goto")=(INDEX(B1:XFD1,((A3)+(1))+(0))),(INDEX(B1:XFD1,((A3)+(1))+(1)))*(2),IF(("gotoiftrue")=(INDEX(B1:XFD1,((A3)+(1))+(0))),IF(B3,(INDEX(B1:XFD1,((A3)+(1))+(1)))*(2),(A41)+(2)),(A41)+(2)))),A41))</f>
        <v>#VALUE!</v>
      </c>
      <c r="B41" t="e">
        <f ca="1">IF((A1)=(2),"",IF((37)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41)+(1)),IF(("add")=(INDEX(B1:XFD1,((A3)+(1))+(0))),(INDEX(B5:B405,(B4)+(1)))+(B41),IF(("equals")=(INDEX(B1:XFD1,((A3)+(1))+(0))),(INDEX(B5:B405,(B4)+(1)))=(B41),IF(("leq")=(INDEX(B1:XFD1,((A3)+(1))+(0))),(INDEX(B5:B405,(B4)+(1)))&lt;=(B41),IF(("greater")=(INDEX(B1:XFD1,((A3)+(1))+(0))),(INDEX(B5:B405,(B4)+(1)))&gt;(B41),IF(("mod")=(INDEX(B1:XFD1,((A3)+(1))+(0))),MOD(INDEX(B5:B405,(B4)+(1)),B41),B41))))))))),B41))</f>
        <v>#VALUE!</v>
      </c>
      <c r="C41" t="e">
        <f ca="1">IF((A1)=(2),1,IF(AND((INDEX(B1:XFD1,((A3)+(1))+(0)))=("writeheap"),(INDEX(B5:B405,(B4)+(1)))=(36)),INDEX(B5:B405,(B4)+(2)),IF((A1)=(2),"",IF((37)=(C4),C41,C41))))</f>
        <v>#VALUE!</v>
      </c>
      <c r="F41" t="e">
        <f ca="1">IF((A1)=(2),"",IF((37)=(F4),IF(IF((INDEX(B1:XFD1,((A3)+(1))+(0)))=("store"),(INDEX(B1:XFD1,((A3)+(1))+(1)))=("F"),"false"),B3,F41),F41))</f>
        <v>#VALUE!</v>
      </c>
      <c r="G41" t="e">
        <f ca="1">IF((A1)=(2),"",IF((37)=(G4),IF(IF((INDEX(B1:XFD1,((A3)+(1))+(0)))=("store"),(INDEX(B1:XFD1,((A3)+(1))+(1)))=("G"),"false"),B3,G41),G41))</f>
        <v>#VALUE!</v>
      </c>
      <c r="H41" t="e">
        <f ca="1">IF((A1)=(2),"",IF((37)=(H4),IF(IF((INDEX(B1:XFD1,((A3)+(1))+(0)))=("store"),(INDEX(B1:XFD1,((A3)+(1))+(1)))=("H"),"false"),B3,H41),H41))</f>
        <v>#VALUE!</v>
      </c>
      <c r="I41" t="e">
        <f ca="1">IF((A1)=(2),"",IF((37)=(I4),IF(IF((INDEX(B1:XFD1,((A3)+(1))+(0)))=("store"),(INDEX(B1:XFD1,((A3)+(1))+(1)))=("I"),"false"),B3,I41),I41))</f>
        <v>#VALUE!</v>
      </c>
      <c r="J41" t="e">
        <f ca="1">IF((A1)=(2),"",IF((37)=(J4),IF(IF((INDEX(B1:XFD1,((A3)+(1))+(0)))=("store"),(INDEX(B1:XFD1,((A3)+(1))+(1)))=("J"),"false"),B3,J41),J41))</f>
        <v>#VALUE!</v>
      </c>
      <c r="K41" t="e">
        <f ca="1">IF((A1)=(2),"",IF((37)=(K4),IF(IF((INDEX(B1:XFD1,((A3)+(1))+(0)))=("store"),(INDEX(B1:XFD1,((A3)+(1))+(1)))=("K"),"false"),B3,K41),K41))</f>
        <v>#VALUE!</v>
      </c>
      <c r="L41" t="e">
        <f ca="1">IF((A1)=(2),"",IF((37)=(L4),IF(IF((INDEX(B1:XFD1,((A3)+(1))+(0)))=("store"),(INDEX(B1:XFD1,((A3)+(1))+(1)))=("L"),"false"),B3,L41),L41))</f>
        <v>#VALUE!</v>
      </c>
      <c r="M41" t="e">
        <f ca="1">IF((A1)=(2),"",IF((37)=(M4),IF(IF((INDEX(B1:XFD1,((A3)+(1))+(0)))=("store"),(INDEX(B1:XFD1,((A3)+(1))+(1)))=("M"),"false"),B3,M41),M41))</f>
        <v>#VALUE!</v>
      </c>
      <c r="N41" t="e">
        <f ca="1">IF((A1)=(2),"",IF((37)=(N4),IF(IF((INDEX(B1:XFD1,((A3)+(1))+(0)))=("store"),(INDEX(B1:XFD1,((A3)+(1))+(1)))=("N"),"false"),B3,N41),N41))</f>
        <v>#VALUE!</v>
      </c>
      <c r="O41" t="e">
        <f ca="1">IF((A1)=(2),"",IF((37)=(O4),IF(IF((INDEX(B1:XFD1,((A3)+(1))+(0)))=("store"),(INDEX(B1:XFD1,((A3)+(1))+(1)))=("O"),"false"),B3,O41),O41))</f>
        <v>#VALUE!</v>
      </c>
      <c r="P41" t="e">
        <f ca="1">IF((A1)=(2),"",IF((37)=(P4),IF(IF((INDEX(B1:XFD1,((A3)+(1))+(0)))=("store"),(INDEX(B1:XFD1,((A3)+(1))+(1)))=("P"),"false"),B3,P41),P41))</f>
        <v>#VALUE!</v>
      </c>
      <c r="Q41" t="e">
        <f ca="1">IF((A1)=(2),"",IF((37)=(Q4),IF(IF((INDEX(B1:XFD1,((A3)+(1))+(0)))=("store"),(INDEX(B1:XFD1,((A3)+(1))+(1)))=("Q"),"false"),B3,Q41),Q41))</f>
        <v>#VALUE!</v>
      </c>
      <c r="R41" t="e">
        <f ca="1">IF((A1)=(2),"",IF((37)=(R4),IF(IF((INDEX(B1:XFD1,((A3)+(1))+(0)))=("store"),(INDEX(B1:XFD1,((A3)+(1))+(1)))=("R"),"false"),B3,R41),R41))</f>
        <v>#VALUE!</v>
      </c>
      <c r="S41" t="e">
        <f ca="1">IF((A1)=(2),"",IF((37)=(S4),IF(IF((INDEX(B1:XFD1,((A3)+(1))+(0)))=("store"),(INDEX(B1:XFD1,((A3)+(1))+(1)))=("S"),"false"),B3,S41),S41))</f>
        <v>#VALUE!</v>
      </c>
      <c r="T41" t="e">
        <f ca="1">IF((A1)=(2),"",IF((37)=(T4),IF(IF((INDEX(B1:XFD1,((A3)+(1))+(0)))=("store"),(INDEX(B1:XFD1,((A3)+(1))+(1)))=("T"),"false"),B3,T41),T41))</f>
        <v>#VALUE!</v>
      </c>
      <c r="U41" t="e">
        <f ca="1">IF((A1)=(2),"",IF((37)=(U4),IF(IF((INDEX(B1:XFD1,((A3)+(1))+(0)))=("store"),(INDEX(B1:XFD1,((A3)+(1))+(1)))=("U"),"false"),B3,U41),U41))</f>
        <v>#VALUE!</v>
      </c>
      <c r="V41" t="e">
        <f ca="1">IF((A1)=(2),"",IF((37)=(V4),IF(IF((INDEX(B1:XFD1,((A3)+(1))+(0)))=("store"),(INDEX(B1:XFD1,((A3)+(1))+(1)))=("V"),"false"),B3,V41),V41))</f>
        <v>#VALUE!</v>
      </c>
      <c r="W41" t="e">
        <f ca="1">IF((A1)=(2),"",IF((37)=(W4),IF(IF((INDEX(B1:XFD1,((A3)+(1))+(0)))=("store"),(INDEX(B1:XFD1,((A3)+(1))+(1)))=("W"),"false"),B3,W41),W41))</f>
        <v>#VALUE!</v>
      </c>
      <c r="X41" t="e">
        <f ca="1">IF((A1)=(2),"",IF((37)=(X4),IF(IF((INDEX(B1:XFD1,((A3)+(1))+(0)))=("store"),(INDEX(B1:XFD1,((A3)+(1))+(1)))=("X"),"false"),B3,X41),X41))</f>
        <v>#VALUE!</v>
      </c>
      <c r="Y41" t="e">
        <f ca="1">IF((A1)=(2),"",IF((37)=(Y4),IF(IF((INDEX(B1:XFD1,((A3)+(1))+(0)))=("store"),(INDEX(B1:XFD1,((A3)+(1))+(1)))=("Y"),"false"),B3,Y41),Y41))</f>
        <v>#VALUE!</v>
      </c>
      <c r="Z41" t="e">
        <f ca="1">IF((A1)=(2),"",IF((37)=(Z4),IF(IF((INDEX(B1:XFD1,((A3)+(1))+(0)))=("store"),(INDEX(B1:XFD1,((A3)+(1))+(1)))=("Z"),"false"),B3,Z41),Z41))</f>
        <v>#VALUE!</v>
      </c>
      <c r="AA41" t="e">
        <f ca="1">IF((A1)=(2),"",IF((37)=(AA4),IF(IF((INDEX(B1:XFD1,((A3)+(1))+(0)))=("store"),(INDEX(B1:XFD1,((A3)+(1))+(1)))=("AA"),"false"),B3,AA41),AA41))</f>
        <v>#VALUE!</v>
      </c>
      <c r="AB41" t="e">
        <f ca="1">IF((A1)=(2),"",IF((37)=(AB4),IF(IF((INDEX(B1:XFD1,((A3)+(1))+(0)))=("store"),(INDEX(B1:XFD1,((A3)+(1))+(1)))=("AB"),"false"),B3,AB41),AB41))</f>
        <v>#VALUE!</v>
      </c>
      <c r="AC41" t="e">
        <f ca="1">IF((A1)=(2),"",IF((37)=(AC4),IF(IF((INDEX(B1:XFD1,((A3)+(1))+(0)))=("store"),(INDEX(B1:XFD1,((A3)+(1))+(1)))=("AC"),"false"),B3,AC41),AC41))</f>
        <v>#VALUE!</v>
      </c>
      <c r="AD41" t="e">
        <f ca="1">IF((A1)=(2),"",IF((37)=(AD4),IF(IF((INDEX(B1:XFD1,((A3)+(1))+(0)))=("store"),(INDEX(B1:XFD1,((A3)+(1))+(1)))=("AD"),"false"),B3,AD41),AD41))</f>
        <v>#VALUE!</v>
      </c>
    </row>
    <row r="42" spans="1:30" x14ac:dyDescent="0.25">
      <c r="A42" t="e">
        <f ca="1">IF((A1)=(2),"",IF((38)=(A4),IF(("call")=(INDEX(B1:XFD1,((A3)+(1))+(0))),(B3)*(2),IF(("goto")=(INDEX(B1:XFD1,((A3)+(1))+(0))),(INDEX(B1:XFD1,((A3)+(1))+(1)))*(2),IF(("gotoiftrue")=(INDEX(B1:XFD1,((A3)+(1))+(0))),IF(B3,(INDEX(B1:XFD1,((A3)+(1))+(1)))*(2),(A42)+(2)),(A42)+(2)))),A42))</f>
        <v>#VALUE!</v>
      </c>
      <c r="B42" t="e">
        <f ca="1">IF((A1)=(2),"",IF((38)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42)+(1)),IF(("add")=(INDEX(B1:XFD1,((A3)+(1))+(0))),(INDEX(B5:B405,(B4)+(1)))+(B42),IF(("equals")=(INDEX(B1:XFD1,((A3)+(1))+(0))),(INDEX(B5:B405,(B4)+(1)))=(B42),IF(("leq")=(INDEX(B1:XFD1,((A3)+(1))+(0))),(INDEX(B5:B405,(B4)+(1)))&lt;=(B42),IF(("greater")=(INDEX(B1:XFD1,((A3)+(1))+(0))),(INDEX(B5:B405,(B4)+(1)))&gt;(B42),IF(("mod")=(INDEX(B1:XFD1,((A3)+(1))+(0))),MOD(INDEX(B5:B405,(B4)+(1)),B42),B42))))))))),B42))</f>
        <v>#VALUE!</v>
      </c>
      <c r="C42" t="e">
        <f ca="1">IF((A1)=(2),1,IF(AND((INDEX(B1:XFD1,((A3)+(1))+(0)))=("writeheap"),(INDEX(B5:B405,(B4)+(1)))=(37)),INDEX(B5:B405,(B4)+(2)),IF((A1)=(2),"",IF((38)=(C4),C42,C42))))</f>
        <v>#VALUE!</v>
      </c>
      <c r="F42" t="e">
        <f ca="1">IF((A1)=(2),"",IF((38)=(F4),IF(IF((INDEX(B1:XFD1,((A3)+(1))+(0)))=("store"),(INDEX(B1:XFD1,((A3)+(1))+(1)))=("F"),"false"),B3,F42),F42))</f>
        <v>#VALUE!</v>
      </c>
      <c r="G42" t="e">
        <f ca="1">IF((A1)=(2),"",IF((38)=(G4),IF(IF((INDEX(B1:XFD1,((A3)+(1))+(0)))=("store"),(INDEX(B1:XFD1,((A3)+(1))+(1)))=("G"),"false"),B3,G42),G42))</f>
        <v>#VALUE!</v>
      </c>
      <c r="H42" t="e">
        <f ca="1">IF((A1)=(2),"",IF((38)=(H4),IF(IF((INDEX(B1:XFD1,((A3)+(1))+(0)))=("store"),(INDEX(B1:XFD1,((A3)+(1))+(1)))=("H"),"false"),B3,H42),H42))</f>
        <v>#VALUE!</v>
      </c>
      <c r="I42" t="e">
        <f ca="1">IF((A1)=(2),"",IF((38)=(I4),IF(IF((INDEX(B1:XFD1,((A3)+(1))+(0)))=("store"),(INDEX(B1:XFD1,((A3)+(1))+(1)))=("I"),"false"),B3,I42),I42))</f>
        <v>#VALUE!</v>
      </c>
      <c r="J42" t="e">
        <f ca="1">IF((A1)=(2),"",IF((38)=(J4),IF(IF((INDEX(B1:XFD1,((A3)+(1))+(0)))=("store"),(INDEX(B1:XFD1,((A3)+(1))+(1)))=("J"),"false"),B3,J42),J42))</f>
        <v>#VALUE!</v>
      </c>
      <c r="K42" t="e">
        <f ca="1">IF((A1)=(2),"",IF((38)=(K4),IF(IF((INDEX(B1:XFD1,((A3)+(1))+(0)))=("store"),(INDEX(B1:XFD1,((A3)+(1))+(1)))=("K"),"false"),B3,K42),K42))</f>
        <v>#VALUE!</v>
      </c>
      <c r="L42" t="e">
        <f ca="1">IF((A1)=(2),"",IF((38)=(L4),IF(IF((INDEX(B1:XFD1,((A3)+(1))+(0)))=("store"),(INDEX(B1:XFD1,((A3)+(1))+(1)))=("L"),"false"),B3,L42),L42))</f>
        <v>#VALUE!</v>
      </c>
      <c r="M42" t="e">
        <f ca="1">IF((A1)=(2),"",IF((38)=(M4),IF(IF((INDEX(B1:XFD1,((A3)+(1))+(0)))=("store"),(INDEX(B1:XFD1,((A3)+(1))+(1)))=("M"),"false"),B3,M42),M42))</f>
        <v>#VALUE!</v>
      </c>
      <c r="N42" t="e">
        <f ca="1">IF((A1)=(2),"",IF((38)=(N4),IF(IF((INDEX(B1:XFD1,((A3)+(1))+(0)))=("store"),(INDEX(B1:XFD1,((A3)+(1))+(1)))=("N"),"false"),B3,N42),N42))</f>
        <v>#VALUE!</v>
      </c>
      <c r="O42" t="e">
        <f ca="1">IF((A1)=(2),"",IF((38)=(O4),IF(IF((INDEX(B1:XFD1,((A3)+(1))+(0)))=("store"),(INDEX(B1:XFD1,((A3)+(1))+(1)))=("O"),"false"),B3,O42),O42))</f>
        <v>#VALUE!</v>
      </c>
      <c r="P42" t="e">
        <f ca="1">IF((A1)=(2),"",IF((38)=(P4),IF(IF((INDEX(B1:XFD1,((A3)+(1))+(0)))=("store"),(INDEX(B1:XFD1,((A3)+(1))+(1)))=("P"),"false"),B3,P42),P42))</f>
        <v>#VALUE!</v>
      </c>
      <c r="Q42" t="e">
        <f ca="1">IF((A1)=(2),"",IF((38)=(Q4),IF(IF((INDEX(B1:XFD1,((A3)+(1))+(0)))=("store"),(INDEX(B1:XFD1,((A3)+(1))+(1)))=("Q"),"false"),B3,Q42),Q42))</f>
        <v>#VALUE!</v>
      </c>
      <c r="R42" t="e">
        <f ca="1">IF((A1)=(2),"",IF((38)=(R4),IF(IF((INDEX(B1:XFD1,((A3)+(1))+(0)))=("store"),(INDEX(B1:XFD1,((A3)+(1))+(1)))=("R"),"false"),B3,R42),R42))</f>
        <v>#VALUE!</v>
      </c>
      <c r="S42" t="e">
        <f ca="1">IF((A1)=(2),"",IF((38)=(S4),IF(IF((INDEX(B1:XFD1,((A3)+(1))+(0)))=("store"),(INDEX(B1:XFD1,((A3)+(1))+(1)))=("S"),"false"),B3,S42),S42))</f>
        <v>#VALUE!</v>
      </c>
      <c r="T42" t="e">
        <f ca="1">IF((A1)=(2),"",IF((38)=(T4),IF(IF((INDEX(B1:XFD1,((A3)+(1))+(0)))=("store"),(INDEX(B1:XFD1,((A3)+(1))+(1)))=("T"),"false"),B3,T42),T42))</f>
        <v>#VALUE!</v>
      </c>
      <c r="U42" t="e">
        <f ca="1">IF((A1)=(2),"",IF((38)=(U4),IF(IF((INDEX(B1:XFD1,((A3)+(1))+(0)))=("store"),(INDEX(B1:XFD1,((A3)+(1))+(1)))=("U"),"false"),B3,U42),U42))</f>
        <v>#VALUE!</v>
      </c>
      <c r="V42" t="e">
        <f ca="1">IF((A1)=(2),"",IF((38)=(V4),IF(IF((INDEX(B1:XFD1,((A3)+(1))+(0)))=("store"),(INDEX(B1:XFD1,((A3)+(1))+(1)))=("V"),"false"),B3,V42),V42))</f>
        <v>#VALUE!</v>
      </c>
      <c r="W42" t="e">
        <f ca="1">IF((A1)=(2),"",IF((38)=(W4),IF(IF((INDEX(B1:XFD1,((A3)+(1))+(0)))=("store"),(INDEX(B1:XFD1,((A3)+(1))+(1)))=("W"),"false"),B3,W42),W42))</f>
        <v>#VALUE!</v>
      </c>
      <c r="X42" t="e">
        <f ca="1">IF((A1)=(2),"",IF((38)=(X4),IF(IF((INDEX(B1:XFD1,((A3)+(1))+(0)))=("store"),(INDEX(B1:XFD1,((A3)+(1))+(1)))=("X"),"false"),B3,X42),X42))</f>
        <v>#VALUE!</v>
      </c>
      <c r="Y42" t="e">
        <f ca="1">IF((A1)=(2),"",IF((38)=(Y4),IF(IF((INDEX(B1:XFD1,((A3)+(1))+(0)))=("store"),(INDEX(B1:XFD1,((A3)+(1))+(1)))=("Y"),"false"),B3,Y42),Y42))</f>
        <v>#VALUE!</v>
      </c>
      <c r="Z42" t="e">
        <f ca="1">IF((A1)=(2),"",IF((38)=(Z4),IF(IF((INDEX(B1:XFD1,((A3)+(1))+(0)))=("store"),(INDEX(B1:XFD1,((A3)+(1))+(1)))=("Z"),"false"),B3,Z42),Z42))</f>
        <v>#VALUE!</v>
      </c>
      <c r="AA42" t="e">
        <f ca="1">IF((A1)=(2),"",IF((38)=(AA4),IF(IF((INDEX(B1:XFD1,((A3)+(1))+(0)))=("store"),(INDEX(B1:XFD1,((A3)+(1))+(1)))=("AA"),"false"),B3,AA42),AA42))</f>
        <v>#VALUE!</v>
      </c>
      <c r="AB42" t="e">
        <f ca="1">IF((A1)=(2),"",IF((38)=(AB4),IF(IF((INDEX(B1:XFD1,((A3)+(1))+(0)))=("store"),(INDEX(B1:XFD1,((A3)+(1))+(1)))=("AB"),"false"),B3,AB42),AB42))</f>
        <v>#VALUE!</v>
      </c>
      <c r="AC42" t="e">
        <f ca="1">IF((A1)=(2),"",IF((38)=(AC4),IF(IF((INDEX(B1:XFD1,((A3)+(1))+(0)))=("store"),(INDEX(B1:XFD1,((A3)+(1))+(1)))=("AC"),"false"),B3,AC42),AC42))</f>
        <v>#VALUE!</v>
      </c>
      <c r="AD42" t="e">
        <f ca="1">IF((A1)=(2),"",IF((38)=(AD4),IF(IF((INDEX(B1:XFD1,((A3)+(1))+(0)))=("store"),(INDEX(B1:XFD1,((A3)+(1))+(1)))=("AD"),"false"),B3,AD42),AD42))</f>
        <v>#VALUE!</v>
      </c>
    </row>
    <row r="43" spans="1:30" x14ac:dyDescent="0.25">
      <c r="A43" t="e">
        <f ca="1">IF((A1)=(2),"",IF((39)=(A4),IF(("call")=(INDEX(B1:XFD1,((A3)+(1))+(0))),(B3)*(2),IF(("goto")=(INDEX(B1:XFD1,((A3)+(1))+(0))),(INDEX(B1:XFD1,((A3)+(1))+(1)))*(2),IF(("gotoiftrue")=(INDEX(B1:XFD1,((A3)+(1))+(0))),IF(B3,(INDEX(B1:XFD1,((A3)+(1))+(1)))*(2),(A43)+(2)),(A43)+(2)))),A43))</f>
        <v>#VALUE!</v>
      </c>
      <c r="B43" t="e">
        <f ca="1">IF((A1)=(2),"",IF((39)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43)+(1)),IF(("add")=(INDEX(B1:XFD1,((A3)+(1))+(0))),(INDEX(B5:B405,(B4)+(1)))+(B43),IF(("equals")=(INDEX(B1:XFD1,((A3)+(1))+(0))),(INDEX(B5:B405,(B4)+(1)))=(B43),IF(("leq")=(INDEX(B1:XFD1,((A3)+(1))+(0))),(INDEX(B5:B405,(B4)+(1)))&lt;=(B43),IF(("greater")=(INDEX(B1:XFD1,((A3)+(1))+(0))),(INDEX(B5:B405,(B4)+(1)))&gt;(B43),IF(("mod")=(INDEX(B1:XFD1,((A3)+(1))+(0))),MOD(INDEX(B5:B405,(B4)+(1)),B43),B43))))))))),B43))</f>
        <v>#VALUE!</v>
      </c>
      <c r="C43" t="e">
        <f ca="1">IF((A1)=(2),1,IF(AND((INDEX(B1:XFD1,((A3)+(1))+(0)))=("writeheap"),(INDEX(B5:B405,(B4)+(1)))=(38)),INDEX(B5:B405,(B4)+(2)),IF((A1)=(2),"",IF((39)=(C4),C43,C43))))</f>
        <v>#VALUE!</v>
      </c>
      <c r="F43" t="e">
        <f ca="1">IF((A1)=(2),"",IF((39)=(F4),IF(IF((INDEX(B1:XFD1,((A3)+(1))+(0)))=("store"),(INDEX(B1:XFD1,((A3)+(1))+(1)))=("F"),"false"),B3,F43),F43))</f>
        <v>#VALUE!</v>
      </c>
      <c r="G43" t="e">
        <f ca="1">IF((A1)=(2),"",IF((39)=(G4),IF(IF((INDEX(B1:XFD1,((A3)+(1))+(0)))=("store"),(INDEX(B1:XFD1,((A3)+(1))+(1)))=("G"),"false"),B3,G43),G43))</f>
        <v>#VALUE!</v>
      </c>
      <c r="H43" t="e">
        <f ca="1">IF((A1)=(2),"",IF((39)=(H4),IF(IF((INDEX(B1:XFD1,((A3)+(1))+(0)))=("store"),(INDEX(B1:XFD1,((A3)+(1))+(1)))=("H"),"false"),B3,H43),H43))</f>
        <v>#VALUE!</v>
      </c>
      <c r="I43" t="e">
        <f ca="1">IF((A1)=(2),"",IF((39)=(I4),IF(IF((INDEX(B1:XFD1,((A3)+(1))+(0)))=("store"),(INDEX(B1:XFD1,((A3)+(1))+(1)))=("I"),"false"),B3,I43),I43))</f>
        <v>#VALUE!</v>
      </c>
      <c r="J43" t="e">
        <f ca="1">IF((A1)=(2),"",IF((39)=(J4),IF(IF((INDEX(B1:XFD1,((A3)+(1))+(0)))=("store"),(INDEX(B1:XFD1,((A3)+(1))+(1)))=("J"),"false"),B3,J43),J43))</f>
        <v>#VALUE!</v>
      </c>
      <c r="K43" t="e">
        <f ca="1">IF((A1)=(2),"",IF((39)=(K4),IF(IF((INDEX(B1:XFD1,((A3)+(1))+(0)))=("store"),(INDEX(B1:XFD1,((A3)+(1))+(1)))=("K"),"false"),B3,K43),K43))</f>
        <v>#VALUE!</v>
      </c>
      <c r="L43" t="e">
        <f ca="1">IF((A1)=(2),"",IF((39)=(L4),IF(IF((INDEX(B1:XFD1,((A3)+(1))+(0)))=("store"),(INDEX(B1:XFD1,((A3)+(1))+(1)))=("L"),"false"),B3,L43),L43))</f>
        <v>#VALUE!</v>
      </c>
      <c r="M43" t="e">
        <f ca="1">IF((A1)=(2),"",IF((39)=(M4),IF(IF((INDEX(B1:XFD1,((A3)+(1))+(0)))=("store"),(INDEX(B1:XFD1,((A3)+(1))+(1)))=("M"),"false"),B3,M43),M43))</f>
        <v>#VALUE!</v>
      </c>
      <c r="N43" t="e">
        <f ca="1">IF((A1)=(2),"",IF((39)=(N4),IF(IF((INDEX(B1:XFD1,((A3)+(1))+(0)))=("store"),(INDEX(B1:XFD1,((A3)+(1))+(1)))=("N"),"false"),B3,N43),N43))</f>
        <v>#VALUE!</v>
      </c>
      <c r="O43" t="e">
        <f ca="1">IF((A1)=(2),"",IF((39)=(O4),IF(IF((INDEX(B1:XFD1,((A3)+(1))+(0)))=("store"),(INDEX(B1:XFD1,((A3)+(1))+(1)))=("O"),"false"),B3,O43),O43))</f>
        <v>#VALUE!</v>
      </c>
      <c r="P43" t="e">
        <f ca="1">IF((A1)=(2),"",IF((39)=(P4),IF(IF((INDEX(B1:XFD1,((A3)+(1))+(0)))=("store"),(INDEX(B1:XFD1,((A3)+(1))+(1)))=("P"),"false"),B3,P43),P43))</f>
        <v>#VALUE!</v>
      </c>
      <c r="Q43" t="e">
        <f ca="1">IF((A1)=(2),"",IF((39)=(Q4),IF(IF((INDEX(B1:XFD1,((A3)+(1))+(0)))=("store"),(INDEX(B1:XFD1,((A3)+(1))+(1)))=("Q"),"false"),B3,Q43),Q43))</f>
        <v>#VALUE!</v>
      </c>
      <c r="R43" t="e">
        <f ca="1">IF((A1)=(2),"",IF((39)=(R4),IF(IF((INDEX(B1:XFD1,((A3)+(1))+(0)))=("store"),(INDEX(B1:XFD1,((A3)+(1))+(1)))=("R"),"false"),B3,R43),R43))</f>
        <v>#VALUE!</v>
      </c>
      <c r="S43" t="e">
        <f ca="1">IF((A1)=(2),"",IF((39)=(S4),IF(IF((INDEX(B1:XFD1,((A3)+(1))+(0)))=("store"),(INDEX(B1:XFD1,((A3)+(1))+(1)))=("S"),"false"),B3,S43),S43))</f>
        <v>#VALUE!</v>
      </c>
      <c r="T43" t="e">
        <f ca="1">IF((A1)=(2),"",IF((39)=(T4),IF(IF((INDEX(B1:XFD1,((A3)+(1))+(0)))=("store"),(INDEX(B1:XFD1,((A3)+(1))+(1)))=("T"),"false"),B3,T43),T43))</f>
        <v>#VALUE!</v>
      </c>
      <c r="U43" t="e">
        <f ca="1">IF((A1)=(2),"",IF((39)=(U4),IF(IF((INDEX(B1:XFD1,((A3)+(1))+(0)))=("store"),(INDEX(B1:XFD1,((A3)+(1))+(1)))=("U"),"false"),B3,U43),U43))</f>
        <v>#VALUE!</v>
      </c>
      <c r="V43" t="e">
        <f ca="1">IF((A1)=(2),"",IF((39)=(V4),IF(IF((INDEX(B1:XFD1,((A3)+(1))+(0)))=("store"),(INDEX(B1:XFD1,((A3)+(1))+(1)))=("V"),"false"),B3,V43),V43))</f>
        <v>#VALUE!</v>
      </c>
      <c r="W43" t="e">
        <f ca="1">IF((A1)=(2),"",IF((39)=(W4),IF(IF((INDEX(B1:XFD1,((A3)+(1))+(0)))=("store"),(INDEX(B1:XFD1,((A3)+(1))+(1)))=("W"),"false"),B3,W43),W43))</f>
        <v>#VALUE!</v>
      </c>
      <c r="X43" t="e">
        <f ca="1">IF((A1)=(2),"",IF((39)=(X4),IF(IF((INDEX(B1:XFD1,((A3)+(1))+(0)))=("store"),(INDEX(B1:XFD1,((A3)+(1))+(1)))=("X"),"false"),B3,X43),X43))</f>
        <v>#VALUE!</v>
      </c>
      <c r="Y43" t="e">
        <f ca="1">IF((A1)=(2),"",IF((39)=(Y4),IF(IF((INDEX(B1:XFD1,((A3)+(1))+(0)))=("store"),(INDEX(B1:XFD1,((A3)+(1))+(1)))=("Y"),"false"),B3,Y43),Y43))</f>
        <v>#VALUE!</v>
      </c>
      <c r="Z43" t="e">
        <f ca="1">IF((A1)=(2),"",IF((39)=(Z4),IF(IF((INDEX(B1:XFD1,((A3)+(1))+(0)))=("store"),(INDEX(B1:XFD1,((A3)+(1))+(1)))=("Z"),"false"),B3,Z43),Z43))</f>
        <v>#VALUE!</v>
      </c>
      <c r="AA43" t="e">
        <f ca="1">IF((A1)=(2),"",IF((39)=(AA4),IF(IF((INDEX(B1:XFD1,((A3)+(1))+(0)))=("store"),(INDEX(B1:XFD1,((A3)+(1))+(1)))=("AA"),"false"),B3,AA43),AA43))</f>
        <v>#VALUE!</v>
      </c>
      <c r="AB43" t="e">
        <f ca="1">IF((A1)=(2),"",IF((39)=(AB4),IF(IF((INDEX(B1:XFD1,((A3)+(1))+(0)))=("store"),(INDEX(B1:XFD1,((A3)+(1))+(1)))=("AB"),"false"),B3,AB43),AB43))</f>
        <v>#VALUE!</v>
      </c>
      <c r="AC43" t="e">
        <f ca="1">IF((A1)=(2),"",IF((39)=(AC4),IF(IF((INDEX(B1:XFD1,((A3)+(1))+(0)))=("store"),(INDEX(B1:XFD1,((A3)+(1))+(1)))=("AC"),"false"),B3,AC43),AC43))</f>
        <v>#VALUE!</v>
      </c>
      <c r="AD43" t="e">
        <f ca="1">IF((A1)=(2),"",IF((39)=(AD4),IF(IF((INDEX(B1:XFD1,((A3)+(1))+(0)))=("store"),(INDEX(B1:XFD1,((A3)+(1))+(1)))=("AD"),"false"),B3,AD43),AD43))</f>
        <v>#VALUE!</v>
      </c>
    </row>
    <row r="44" spans="1:30" x14ac:dyDescent="0.25">
      <c r="A44" t="e">
        <f ca="1">IF((A1)=(2),"",IF((40)=(A4),IF(("call")=(INDEX(B1:XFD1,((A3)+(1))+(0))),(B3)*(2),IF(("goto")=(INDEX(B1:XFD1,((A3)+(1))+(0))),(INDEX(B1:XFD1,((A3)+(1))+(1)))*(2),IF(("gotoiftrue")=(INDEX(B1:XFD1,((A3)+(1))+(0))),IF(B3,(INDEX(B1:XFD1,((A3)+(1))+(1)))*(2),(A44)+(2)),(A44)+(2)))),A44))</f>
        <v>#VALUE!</v>
      </c>
      <c r="B44" t="e">
        <f ca="1">IF((A1)=(2),"",IF((40)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44)+(1)),IF(("add")=(INDEX(B1:XFD1,((A3)+(1))+(0))),(INDEX(B5:B405,(B4)+(1)))+(B44),IF(("equals")=(INDEX(B1:XFD1,((A3)+(1))+(0))),(INDEX(B5:B405,(B4)+(1)))=(B44),IF(("leq")=(INDEX(B1:XFD1,((A3)+(1))+(0))),(INDEX(B5:B405,(B4)+(1)))&lt;=(B44),IF(("greater")=(INDEX(B1:XFD1,((A3)+(1))+(0))),(INDEX(B5:B405,(B4)+(1)))&gt;(B44),IF(("mod")=(INDEX(B1:XFD1,((A3)+(1))+(0))),MOD(INDEX(B5:B405,(B4)+(1)),B44),B44))))))))),B44))</f>
        <v>#VALUE!</v>
      </c>
      <c r="C44" t="e">
        <f ca="1">IF((A1)=(2),1,IF(AND((INDEX(B1:XFD1,((A3)+(1))+(0)))=("writeheap"),(INDEX(B5:B405,(B4)+(1)))=(39)),INDEX(B5:B405,(B4)+(2)),IF((A1)=(2),"",IF((40)=(C4),C44,C44))))</f>
        <v>#VALUE!</v>
      </c>
      <c r="F44" t="e">
        <f ca="1">IF((A1)=(2),"",IF((40)=(F4),IF(IF((INDEX(B1:XFD1,((A3)+(1))+(0)))=("store"),(INDEX(B1:XFD1,((A3)+(1))+(1)))=("F"),"false"),B3,F44),F44))</f>
        <v>#VALUE!</v>
      </c>
      <c r="G44" t="e">
        <f ca="1">IF((A1)=(2),"",IF((40)=(G4),IF(IF((INDEX(B1:XFD1,((A3)+(1))+(0)))=("store"),(INDEX(B1:XFD1,((A3)+(1))+(1)))=("G"),"false"),B3,G44),G44))</f>
        <v>#VALUE!</v>
      </c>
      <c r="H44" t="e">
        <f ca="1">IF((A1)=(2),"",IF((40)=(H4),IF(IF((INDEX(B1:XFD1,((A3)+(1))+(0)))=("store"),(INDEX(B1:XFD1,((A3)+(1))+(1)))=("H"),"false"),B3,H44),H44))</f>
        <v>#VALUE!</v>
      </c>
      <c r="I44" t="e">
        <f ca="1">IF((A1)=(2),"",IF((40)=(I4),IF(IF((INDEX(B1:XFD1,((A3)+(1))+(0)))=("store"),(INDEX(B1:XFD1,((A3)+(1))+(1)))=("I"),"false"),B3,I44),I44))</f>
        <v>#VALUE!</v>
      </c>
      <c r="J44" t="e">
        <f ca="1">IF((A1)=(2),"",IF((40)=(J4),IF(IF((INDEX(B1:XFD1,((A3)+(1))+(0)))=("store"),(INDEX(B1:XFD1,((A3)+(1))+(1)))=("J"),"false"),B3,J44),J44))</f>
        <v>#VALUE!</v>
      </c>
      <c r="K44" t="e">
        <f ca="1">IF((A1)=(2),"",IF((40)=(K4),IF(IF((INDEX(B1:XFD1,((A3)+(1))+(0)))=("store"),(INDEX(B1:XFD1,((A3)+(1))+(1)))=("K"),"false"),B3,K44),K44))</f>
        <v>#VALUE!</v>
      </c>
      <c r="L44" t="e">
        <f ca="1">IF((A1)=(2),"",IF((40)=(L4),IF(IF((INDEX(B1:XFD1,((A3)+(1))+(0)))=("store"),(INDEX(B1:XFD1,((A3)+(1))+(1)))=("L"),"false"),B3,L44),L44))</f>
        <v>#VALUE!</v>
      </c>
      <c r="M44" t="e">
        <f ca="1">IF((A1)=(2),"",IF((40)=(M4),IF(IF((INDEX(B1:XFD1,((A3)+(1))+(0)))=("store"),(INDEX(B1:XFD1,((A3)+(1))+(1)))=("M"),"false"),B3,M44),M44))</f>
        <v>#VALUE!</v>
      </c>
      <c r="N44" t="e">
        <f ca="1">IF((A1)=(2),"",IF((40)=(N4),IF(IF((INDEX(B1:XFD1,((A3)+(1))+(0)))=("store"),(INDEX(B1:XFD1,((A3)+(1))+(1)))=("N"),"false"),B3,N44),N44))</f>
        <v>#VALUE!</v>
      </c>
      <c r="O44" t="e">
        <f ca="1">IF((A1)=(2),"",IF((40)=(O4),IF(IF((INDEX(B1:XFD1,((A3)+(1))+(0)))=("store"),(INDEX(B1:XFD1,((A3)+(1))+(1)))=("O"),"false"),B3,O44),O44))</f>
        <v>#VALUE!</v>
      </c>
      <c r="P44" t="e">
        <f ca="1">IF((A1)=(2),"",IF((40)=(P4),IF(IF((INDEX(B1:XFD1,((A3)+(1))+(0)))=("store"),(INDEX(B1:XFD1,((A3)+(1))+(1)))=("P"),"false"),B3,P44),P44))</f>
        <v>#VALUE!</v>
      </c>
      <c r="Q44" t="e">
        <f ca="1">IF((A1)=(2),"",IF((40)=(Q4),IF(IF((INDEX(B1:XFD1,((A3)+(1))+(0)))=("store"),(INDEX(B1:XFD1,((A3)+(1))+(1)))=("Q"),"false"),B3,Q44),Q44))</f>
        <v>#VALUE!</v>
      </c>
      <c r="R44" t="e">
        <f ca="1">IF((A1)=(2),"",IF((40)=(R4),IF(IF((INDEX(B1:XFD1,((A3)+(1))+(0)))=("store"),(INDEX(B1:XFD1,((A3)+(1))+(1)))=("R"),"false"),B3,R44),R44))</f>
        <v>#VALUE!</v>
      </c>
      <c r="S44" t="e">
        <f ca="1">IF((A1)=(2),"",IF((40)=(S4),IF(IF((INDEX(B1:XFD1,((A3)+(1))+(0)))=("store"),(INDEX(B1:XFD1,((A3)+(1))+(1)))=("S"),"false"),B3,S44),S44))</f>
        <v>#VALUE!</v>
      </c>
      <c r="T44" t="e">
        <f ca="1">IF((A1)=(2),"",IF((40)=(T4),IF(IF((INDEX(B1:XFD1,((A3)+(1))+(0)))=("store"),(INDEX(B1:XFD1,((A3)+(1))+(1)))=("T"),"false"),B3,T44),T44))</f>
        <v>#VALUE!</v>
      </c>
      <c r="U44" t="e">
        <f ca="1">IF((A1)=(2),"",IF((40)=(U4),IF(IF((INDEX(B1:XFD1,((A3)+(1))+(0)))=("store"),(INDEX(B1:XFD1,((A3)+(1))+(1)))=("U"),"false"),B3,U44),U44))</f>
        <v>#VALUE!</v>
      </c>
      <c r="V44" t="e">
        <f ca="1">IF((A1)=(2),"",IF((40)=(V4),IF(IF((INDEX(B1:XFD1,((A3)+(1))+(0)))=("store"),(INDEX(B1:XFD1,((A3)+(1))+(1)))=("V"),"false"),B3,V44),V44))</f>
        <v>#VALUE!</v>
      </c>
      <c r="W44" t="e">
        <f ca="1">IF((A1)=(2),"",IF((40)=(W4),IF(IF((INDEX(B1:XFD1,((A3)+(1))+(0)))=("store"),(INDEX(B1:XFD1,((A3)+(1))+(1)))=("W"),"false"),B3,W44),W44))</f>
        <v>#VALUE!</v>
      </c>
      <c r="X44" t="e">
        <f ca="1">IF((A1)=(2),"",IF((40)=(X4),IF(IF((INDEX(B1:XFD1,((A3)+(1))+(0)))=("store"),(INDEX(B1:XFD1,((A3)+(1))+(1)))=("X"),"false"),B3,X44),X44))</f>
        <v>#VALUE!</v>
      </c>
      <c r="Y44" t="e">
        <f ca="1">IF((A1)=(2),"",IF((40)=(Y4),IF(IF((INDEX(B1:XFD1,((A3)+(1))+(0)))=("store"),(INDEX(B1:XFD1,((A3)+(1))+(1)))=("Y"),"false"),B3,Y44),Y44))</f>
        <v>#VALUE!</v>
      </c>
      <c r="Z44" t="e">
        <f ca="1">IF((A1)=(2),"",IF((40)=(Z4),IF(IF((INDEX(B1:XFD1,((A3)+(1))+(0)))=("store"),(INDEX(B1:XFD1,((A3)+(1))+(1)))=("Z"),"false"),B3,Z44),Z44))</f>
        <v>#VALUE!</v>
      </c>
      <c r="AA44" t="e">
        <f ca="1">IF((A1)=(2),"",IF((40)=(AA4),IF(IF((INDEX(B1:XFD1,((A3)+(1))+(0)))=("store"),(INDEX(B1:XFD1,((A3)+(1))+(1)))=("AA"),"false"),B3,AA44),AA44))</f>
        <v>#VALUE!</v>
      </c>
      <c r="AB44" t="e">
        <f ca="1">IF((A1)=(2),"",IF((40)=(AB4),IF(IF((INDEX(B1:XFD1,((A3)+(1))+(0)))=("store"),(INDEX(B1:XFD1,((A3)+(1))+(1)))=("AB"),"false"),B3,AB44),AB44))</f>
        <v>#VALUE!</v>
      </c>
      <c r="AC44" t="e">
        <f ca="1">IF((A1)=(2),"",IF((40)=(AC4),IF(IF((INDEX(B1:XFD1,((A3)+(1))+(0)))=("store"),(INDEX(B1:XFD1,((A3)+(1))+(1)))=("AC"),"false"),B3,AC44),AC44))</f>
        <v>#VALUE!</v>
      </c>
      <c r="AD44" t="e">
        <f ca="1">IF((A1)=(2),"",IF((40)=(AD4),IF(IF((INDEX(B1:XFD1,((A3)+(1))+(0)))=("store"),(INDEX(B1:XFD1,((A3)+(1))+(1)))=("AD"),"false"),B3,AD44),AD44))</f>
        <v>#VALUE!</v>
      </c>
    </row>
    <row r="45" spans="1:30" x14ac:dyDescent="0.25">
      <c r="A45" t="e">
        <f ca="1">IF((A1)=(2),"",IF((41)=(A4),IF(("call")=(INDEX(B1:XFD1,((A3)+(1))+(0))),(B3)*(2),IF(("goto")=(INDEX(B1:XFD1,((A3)+(1))+(0))),(INDEX(B1:XFD1,((A3)+(1))+(1)))*(2),IF(("gotoiftrue")=(INDEX(B1:XFD1,((A3)+(1))+(0))),IF(B3,(INDEX(B1:XFD1,((A3)+(1))+(1)))*(2),(A45)+(2)),(A45)+(2)))),A45))</f>
        <v>#VALUE!</v>
      </c>
      <c r="B45" t="e">
        <f ca="1">IF((A1)=(2),"",IF((41)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45)+(1)),IF(("add")=(INDEX(B1:XFD1,((A3)+(1))+(0))),(INDEX(B5:B405,(B4)+(1)))+(B45),IF(("equals")=(INDEX(B1:XFD1,((A3)+(1))+(0))),(INDEX(B5:B405,(B4)+(1)))=(B45),IF(("leq")=(INDEX(B1:XFD1,((A3)+(1))+(0))),(INDEX(B5:B405,(B4)+(1)))&lt;=(B45),IF(("greater")=(INDEX(B1:XFD1,((A3)+(1))+(0))),(INDEX(B5:B405,(B4)+(1)))&gt;(B45),IF(("mod")=(INDEX(B1:XFD1,((A3)+(1))+(0))),MOD(INDEX(B5:B405,(B4)+(1)),B45),B45))))))))),B45))</f>
        <v>#VALUE!</v>
      </c>
      <c r="C45" t="e">
        <f ca="1">IF((A1)=(2),1,IF(AND((INDEX(B1:XFD1,((A3)+(1))+(0)))=("writeheap"),(INDEX(B5:B405,(B4)+(1)))=(40)),INDEX(B5:B405,(B4)+(2)),IF((A1)=(2),"",IF((41)=(C4),C45,C45))))</f>
        <v>#VALUE!</v>
      </c>
      <c r="F45" t="e">
        <f ca="1">IF((A1)=(2),"",IF((41)=(F4),IF(IF((INDEX(B1:XFD1,((A3)+(1))+(0)))=("store"),(INDEX(B1:XFD1,((A3)+(1))+(1)))=("F"),"false"),B3,F45),F45))</f>
        <v>#VALUE!</v>
      </c>
      <c r="G45" t="e">
        <f ca="1">IF((A1)=(2),"",IF((41)=(G4),IF(IF((INDEX(B1:XFD1,((A3)+(1))+(0)))=("store"),(INDEX(B1:XFD1,((A3)+(1))+(1)))=("G"),"false"),B3,G45),G45))</f>
        <v>#VALUE!</v>
      </c>
      <c r="H45" t="e">
        <f ca="1">IF((A1)=(2),"",IF((41)=(H4),IF(IF((INDEX(B1:XFD1,((A3)+(1))+(0)))=("store"),(INDEX(B1:XFD1,((A3)+(1))+(1)))=("H"),"false"),B3,H45),H45))</f>
        <v>#VALUE!</v>
      </c>
      <c r="I45" t="e">
        <f ca="1">IF((A1)=(2),"",IF((41)=(I4),IF(IF((INDEX(B1:XFD1,((A3)+(1))+(0)))=("store"),(INDEX(B1:XFD1,((A3)+(1))+(1)))=("I"),"false"),B3,I45),I45))</f>
        <v>#VALUE!</v>
      </c>
      <c r="J45" t="e">
        <f ca="1">IF((A1)=(2),"",IF((41)=(J4),IF(IF((INDEX(B1:XFD1,((A3)+(1))+(0)))=("store"),(INDEX(B1:XFD1,((A3)+(1))+(1)))=("J"),"false"),B3,J45),J45))</f>
        <v>#VALUE!</v>
      </c>
      <c r="K45" t="e">
        <f ca="1">IF((A1)=(2),"",IF((41)=(K4),IF(IF((INDEX(B1:XFD1,((A3)+(1))+(0)))=("store"),(INDEX(B1:XFD1,((A3)+(1))+(1)))=("K"),"false"),B3,K45),K45))</f>
        <v>#VALUE!</v>
      </c>
      <c r="L45" t="e">
        <f ca="1">IF((A1)=(2),"",IF((41)=(L4),IF(IF((INDEX(B1:XFD1,((A3)+(1))+(0)))=("store"),(INDEX(B1:XFD1,((A3)+(1))+(1)))=("L"),"false"),B3,L45),L45))</f>
        <v>#VALUE!</v>
      </c>
      <c r="M45" t="e">
        <f ca="1">IF((A1)=(2),"",IF((41)=(M4),IF(IF((INDEX(B1:XFD1,((A3)+(1))+(0)))=("store"),(INDEX(B1:XFD1,((A3)+(1))+(1)))=("M"),"false"),B3,M45),M45))</f>
        <v>#VALUE!</v>
      </c>
      <c r="N45" t="e">
        <f ca="1">IF((A1)=(2),"",IF((41)=(N4),IF(IF((INDEX(B1:XFD1,((A3)+(1))+(0)))=("store"),(INDEX(B1:XFD1,((A3)+(1))+(1)))=("N"),"false"),B3,N45),N45))</f>
        <v>#VALUE!</v>
      </c>
      <c r="O45" t="e">
        <f ca="1">IF((A1)=(2),"",IF((41)=(O4),IF(IF((INDEX(B1:XFD1,((A3)+(1))+(0)))=("store"),(INDEX(B1:XFD1,((A3)+(1))+(1)))=("O"),"false"),B3,O45),O45))</f>
        <v>#VALUE!</v>
      </c>
      <c r="P45" t="e">
        <f ca="1">IF((A1)=(2),"",IF((41)=(P4),IF(IF((INDEX(B1:XFD1,((A3)+(1))+(0)))=("store"),(INDEX(B1:XFD1,((A3)+(1))+(1)))=("P"),"false"),B3,P45),P45))</f>
        <v>#VALUE!</v>
      </c>
      <c r="Q45" t="e">
        <f ca="1">IF((A1)=(2),"",IF((41)=(Q4),IF(IF((INDEX(B1:XFD1,((A3)+(1))+(0)))=("store"),(INDEX(B1:XFD1,((A3)+(1))+(1)))=("Q"),"false"),B3,Q45),Q45))</f>
        <v>#VALUE!</v>
      </c>
      <c r="R45" t="e">
        <f ca="1">IF((A1)=(2),"",IF((41)=(R4),IF(IF((INDEX(B1:XFD1,((A3)+(1))+(0)))=("store"),(INDEX(B1:XFD1,((A3)+(1))+(1)))=("R"),"false"),B3,R45),R45))</f>
        <v>#VALUE!</v>
      </c>
      <c r="S45" t="e">
        <f ca="1">IF((A1)=(2),"",IF((41)=(S4),IF(IF((INDEX(B1:XFD1,((A3)+(1))+(0)))=("store"),(INDEX(B1:XFD1,((A3)+(1))+(1)))=("S"),"false"),B3,S45),S45))</f>
        <v>#VALUE!</v>
      </c>
      <c r="T45" t="e">
        <f ca="1">IF((A1)=(2),"",IF((41)=(T4),IF(IF((INDEX(B1:XFD1,((A3)+(1))+(0)))=("store"),(INDEX(B1:XFD1,((A3)+(1))+(1)))=("T"),"false"),B3,T45),T45))</f>
        <v>#VALUE!</v>
      </c>
      <c r="U45" t="e">
        <f ca="1">IF((A1)=(2),"",IF((41)=(U4),IF(IF((INDEX(B1:XFD1,((A3)+(1))+(0)))=("store"),(INDEX(B1:XFD1,((A3)+(1))+(1)))=("U"),"false"),B3,U45),U45))</f>
        <v>#VALUE!</v>
      </c>
      <c r="V45" t="e">
        <f ca="1">IF((A1)=(2),"",IF((41)=(V4),IF(IF((INDEX(B1:XFD1,((A3)+(1))+(0)))=("store"),(INDEX(B1:XFD1,((A3)+(1))+(1)))=("V"),"false"),B3,V45),V45))</f>
        <v>#VALUE!</v>
      </c>
      <c r="W45" t="e">
        <f ca="1">IF((A1)=(2),"",IF((41)=(W4),IF(IF((INDEX(B1:XFD1,((A3)+(1))+(0)))=("store"),(INDEX(B1:XFD1,((A3)+(1))+(1)))=("W"),"false"),B3,W45),W45))</f>
        <v>#VALUE!</v>
      </c>
      <c r="X45" t="e">
        <f ca="1">IF((A1)=(2),"",IF((41)=(X4),IF(IF((INDEX(B1:XFD1,((A3)+(1))+(0)))=("store"),(INDEX(B1:XFD1,((A3)+(1))+(1)))=("X"),"false"),B3,X45),X45))</f>
        <v>#VALUE!</v>
      </c>
      <c r="Y45" t="e">
        <f ca="1">IF((A1)=(2),"",IF((41)=(Y4),IF(IF((INDEX(B1:XFD1,((A3)+(1))+(0)))=("store"),(INDEX(B1:XFD1,((A3)+(1))+(1)))=("Y"),"false"),B3,Y45),Y45))</f>
        <v>#VALUE!</v>
      </c>
      <c r="Z45" t="e">
        <f ca="1">IF((A1)=(2),"",IF((41)=(Z4),IF(IF((INDEX(B1:XFD1,((A3)+(1))+(0)))=("store"),(INDEX(B1:XFD1,((A3)+(1))+(1)))=("Z"),"false"),B3,Z45),Z45))</f>
        <v>#VALUE!</v>
      </c>
      <c r="AA45" t="e">
        <f ca="1">IF((A1)=(2),"",IF((41)=(AA4),IF(IF((INDEX(B1:XFD1,((A3)+(1))+(0)))=("store"),(INDEX(B1:XFD1,((A3)+(1))+(1)))=("AA"),"false"),B3,AA45),AA45))</f>
        <v>#VALUE!</v>
      </c>
      <c r="AB45" t="e">
        <f ca="1">IF((A1)=(2),"",IF((41)=(AB4),IF(IF((INDEX(B1:XFD1,((A3)+(1))+(0)))=("store"),(INDEX(B1:XFD1,((A3)+(1))+(1)))=("AB"),"false"),B3,AB45),AB45))</f>
        <v>#VALUE!</v>
      </c>
      <c r="AC45" t="e">
        <f ca="1">IF((A1)=(2),"",IF((41)=(AC4),IF(IF((INDEX(B1:XFD1,((A3)+(1))+(0)))=("store"),(INDEX(B1:XFD1,((A3)+(1))+(1)))=("AC"),"false"),B3,AC45),AC45))</f>
        <v>#VALUE!</v>
      </c>
      <c r="AD45" t="e">
        <f ca="1">IF((A1)=(2),"",IF((41)=(AD4),IF(IF((INDEX(B1:XFD1,((A3)+(1))+(0)))=("store"),(INDEX(B1:XFD1,((A3)+(1))+(1)))=("AD"),"false"),B3,AD45),AD45))</f>
        <v>#VALUE!</v>
      </c>
    </row>
    <row r="46" spans="1:30" x14ac:dyDescent="0.25">
      <c r="A46" t="e">
        <f ca="1">IF((A1)=(2),"",IF((42)=(A4),IF(("call")=(INDEX(B1:XFD1,((A3)+(1))+(0))),(B3)*(2),IF(("goto")=(INDEX(B1:XFD1,((A3)+(1))+(0))),(INDEX(B1:XFD1,((A3)+(1))+(1)))*(2),IF(("gotoiftrue")=(INDEX(B1:XFD1,((A3)+(1))+(0))),IF(B3,(INDEX(B1:XFD1,((A3)+(1))+(1)))*(2),(A46)+(2)),(A46)+(2)))),A46))</f>
        <v>#VALUE!</v>
      </c>
      <c r="B46" t="e">
        <f ca="1">IF((A1)=(2),"",IF((42)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46)+(1)),IF(("add")=(INDEX(B1:XFD1,((A3)+(1))+(0))),(INDEX(B5:B405,(B4)+(1)))+(B46),IF(("equals")=(INDEX(B1:XFD1,((A3)+(1))+(0))),(INDEX(B5:B405,(B4)+(1)))=(B46),IF(("leq")=(INDEX(B1:XFD1,((A3)+(1))+(0))),(INDEX(B5:B405,(B4)+(1)))&lt;=(B46),IF(("greater")=(INDEX(B1:XFD1,((A3)+(1))+(0))),(INDEX(B5:B405,(B4)+(1)))&gt;(B46),IF(("mod")=(INDEX(B1:XFD1,((A3)+(1))+(0))),MOD(INDEX(B5:B405,(B4)+(1)),B46),B46))))))))),B46))</f>
        <v>#VALUE!</v>
      </c>
      <c r="C46" t="e">
        <f ca="1">IF((A1)=(2),1,IF(AND((INDEX(B1:XFD1,((A3)+(1))+(0)))=("writeheap"),(INDEX(B5:B405,(B4)+(1)))=(41)),INDEX(B5:B405,(B4)+(2)),IF((A1)=(2),"",IF((42)=(C4),C46,C46))))</f>
        <v>#VALUE!</v>
      </c>
      <c r="F46" t="e">
        <f ca="1">IF((A1)=(2),"",IF((42)=(F4),IF(IF((INDEX(B1:XFD1,((A3)+(1))+(0)))=("store"),(INDEX(B1:XFD1,((A3)+(1))+(1)))=("F"),"false"),B3,F46),F46))</f>
        <v>#VALUE!</v>
      </c>
      <c r="G46" t="e">
        <f ca="1">IF((A1)=(2),"",IF((42)=(G4),IF(IF((INDEX(B1:XFD1,((A3)+(1))+(0)))=("store"),(INDEX(B1:XFD1,((A3)+(1))+(1)))=("G"),"false"),B3,G46),G46))</f>
        <v>#VALUE!</v>
      </c>
      <c r="H46" t="e">
        <f ca="1">IF((A1)=(2),"",IF((42)=(H4),IF(IF((INDEX(B1:XFD1,((A3)+(1))+(0)))=("store"),(INDEX(B1:XFD1,((A3)+(1))+(1)))=("H"),"false"),B3,H46),H46))</f>
        <v>#VALUE!</v>
      </c>
      <c r="I46" t="e">
        <f ca="1">IF((A1)=(2),"",IF((42)=(I4),IF(IF((INDEX(B1:XFD1,((A3)+(1))+(0)))=("store"),(INDEX(B1:XFD1,((A3)+(1))+(1)))=("I"),"false"),B3,I46),I46))</f>
        <v>#VALUE!</v>
      </c>
      <c r="J46" t="e">
        <f ca="1">IF((A1)=(2),"",IF((42)=(J4),IF(IF((INDEX(B1:XFD1,((A3)+(1))+(0)))=("store"),(INDEX(B1:XFD1,((A3)+(1))+(1)))=("J"),"false"),B3,J46),J46))</f>
        <v>#VALUE!</v>
      </c>
      <c r="K46" t="e">
        <f ca="1">IF((A1)=(2),"",IF((42)=(K4),IF(IF((INDEX(B1:XFD1,((A3)+(1))+(0)))=("store"),(INDEX(B1:XFD1,((A3)+(1))+(1)))=("K"),"false"),B3,K46),K46))</f>
        <v>#VALUE!</v>
      </c>
      <c r="L46" t="e">
        <f ca="1">IF((A1)=(2),"",IF((42)=(L4),IF(IF((INDEX(B1:XFD1,((A3)+(1))+(0)))=("store"),(INDEX(B1:XFD1,((A3)+(1))+(1)))=("L"),"false"),B3,L46),L46))</f>
        <v>#VALUE!</v>
      </c>
      <c r="M46" t="e">
        <f ca="1">IF((A1)=(2),"",IF((42)=(M4),IF(IF((INDEX(B1:XFD1,((A3)+(1))+(0)))=("store"),(INDEX(B1:XFD1,((A3)+(1))+(1)))=("M"),"false"),B3,M46),M46))</f>
        <v>#VALUE!</v>
      </c>
      <c r="N46" t="e">
        <f ca="1">IF((A1)=(2),"",IF((42)=(N4),IF(IF((INDEX(B1:XFD1,((A3)+(1))+(0)))=("store"),(INDEX(B1:XFD1,((A3)+(1))+(1)))=("N"),"false"),B3,N46),N46))</f>
        <v>#VALUE!</v>
      </c>
      <c r="O46" t="e">
        <f ca="1">IF((A1)=(2),"",IF((42)=(O4),IF(IF((INDEX(B1:XFD1,((A3)+(1))+(0)))=("store"),(INDEX(B1:XFD1,((A3)+(1))+(1)))=("O"),"false"),B3,O46),O46))</f>
        <v>#VALUE!</v>
      </c>
      <c r="P46" t="e">
        <f ca="1">IF((A1)=(2),"",IF((42)=(P4),IF(IF((INDEX(B1:XFD1,((A3)+(1))+(0)))=("store"),(INDEX(B1:XFD1,((A3)+(1))+(1)))=("P"),"false"),B3,P46),P46))</f>
        <v>#VALUE!</v>
      </c>
      <c r="Q46" t="e">
        <f ca="1">IF((A1)=(2),"",IF((42)=(Q4),IF(IF((INDEX(B1:XFD1,((A3)+(1))+(0)))=("store"),(INDEX(B1:XFD1,((A3)+(1))+(1)))=("Q"),"false"),B3,Q46),Q46))</f>
        <v>#VALUE!</v>
      </c>
      <c r="R46" t="e">
        <f ca="1">IF((A1)=(2),"",IF((42)=(R4),IF(IF((INDEX(B1:XFD1,((A3)+(1))+(0)))=("store"),(INDEX(B1:XFD1,((A3)+(1))+(1)))=("R"),"false"),B3,R46),R46))</f>
        <v>#VALUE!</v>
      </c>
      <c r="S46" t="e">
        <f ca="1">IF((A1)=(2),"",IF((42)=(S4),IF(IF((INDEX(B1:XFD1,((A3)+(1))+(0)))=("store"),(INDEX(B1:XFD1,((A3)+(1))+(1)))=("S"),"false"),B3,S46),S46))</f>
        <v>#VALUE!</v>
      </c>
      <c r="T46" t="e">
        <f ca="1">IF((A1)=(2),"",IF((42)=(T4),IF(IF((INDEX(B1:XFD1,((A3)+(1))+(0)))=("store"),(INDEX(B1:XFD1,((A3)+(1))+(1)))=("T"),"false"),B3,T46),T46))</f>
        <v>#VALUE!</v>
      </c>
      <c r="U46" t="e">
        <f ca="1">IF((A1)=(2),"",IF((42)=(U4),IF(IF((INDEX(B1:XFD1,((A3)+(1))+(0)))=("store"),(INDEX(B1:XFD1,((A3)+(1))+(1)))=("U"),"false"),B3,U46),U46))</f>
        <v>#VALUE!</v>
      </c>
      <c r="V46" t="e">
        <f ca="1">IF((A1)=(2),"",IF((42)=(V4),IF(IF((INDEX(B1:XFD1,((A3)+(1))+(0)))=("store"),(INDEX(B1:XFD1,((A3)+(1))+(1)))=("V"),"false"),B3,V46),V46))</f>
        <v>#VALUE!</v>
      </c>
      <c r="W46" t="e">
        <f ca="1">IF((A1)=(2),"",IF((42)=(W4),IF(IF((INDEX(B1:XFD1,((A3)+(1))+(0)))=("store"),(INDEX(B1:XFD1,((A3)+(1))+(1)))=("W"),"false"),B3,W46),W46))</f>
        <v>#VALUE!</v>
      </c>
      <c r="X46" t="e">
        <f ca="1">IF((A1)=(2),"",IF((42)=(X4),IF(IF((INDEX(B1:XFD1,((A3)+(1))+(0)))=("store"),(INDEX(B1:XFD1,((A3)+(1))+(1)))=("X"),"false"),B3,X46),X46))</f>
        <v>#VALUE!</v>
      </c>
      <c r="Y46" t="e">
        <f ca="1">IF((A1)=(2),"",IF((42)=(Y4),IF(IF((INDEX(B1:XFD1,((A3)+(1))+(0)))=("store"),(INDEX(B1:XFD1,((A3)+(1))+(1)))=("Y"),"false"),B3,Y46),Y46))</f>
        <v>#VALUE!</v>
      </c>
      <c r="Z46" t="e">
        <f ca="1">IF((A1)=(2),"",IF((42)=(Z4),IF(IF((INDEX(B1:XFD1,((A3)+(1))+(0)))=("store"),(INDEX(B1:XFD1,((A3)+(1))+(1)))=("Z"),"false"),B3,Z46),Z46))</f>
        <v>#VALUE!</v>
      </c>
      <c r="AA46" t="e">
        <f ca="1">IF((A1)=(2),"",IF((42)=(AA4),IF(IF((INDEX(B1:XFD1,((A3)+(1))+(0)))=("store"),(INDEX(B1:XFD1,((A3)+(1))+(1)))=("AA"),"false"),B3,AA46),AA46))</f>
        <v>#VALUE!</v>
      </c>
      <c r="AB46" t="e">
        <f ca="1">IF((A1)=(2),"",IF((42)=(AB4),IF(IF((INDEX(B1:XFD1,((A3)+(1))+(0)))=("store"),(INDEX(B1:XFD1,((A3)+(1))+(1)))=("AB"),"false"),B3,AB46),AB46))</f>
        <v>#VALUE!</v>
      </c>
      <c r="AC46" t="e">
        <f ca="1">IF((A1)=(2),"",IF((42)=(AC4),IF(IF((INDEX(B1:XFD1,((A3)+(1))+(0)))=("store"),(INDEX(B1:XFD1,((A3)+(1))+(1)))=("AC"),"false"),B3,AC46),AC46))</f>
        <v>#VALUE!</v>
      </c>
      <c r="AD46" t="e">
        <f ca="1">IF((A1)=(2),"",IF((42)=(AD4),IF(IF((INDEX(B1:XFD1,((A3)+(1))+(0)))=("store"),(INDEX(B1:XFD1,((A3)+(1))+(1)))=("AD"),"false"),B3,AD46),AD46))</f>
        <v>#VALUE!</v>
      </c>
    </row>
    <row r="47" spans="1:30" x14ac:dyDescent="0.25">
      <c r="A47" t="e">
        <f ca="1">IF((A1)=(2),"",IF((43)=(A4),IF(("call")=(INDEX(B1:XFD1,((A3)+(1))+(0))),(B3)*(2),IF(("goto")=(INDEX(B1:XFD1,((A3)+(1))+(0))),(INDEX(B1:XFD1,((A3)+(1))+(1)))*(2),IF(("gotoiftrue")=(INDEX(B1:XFD1,((A3)+(1))+(0))),IF(B3,(INDEX(B1:XFD1,((A3)+(1))+(1)))*(2),(A47)+(2)),(A47)+(2)))),A47))</f>
        <v>#VALUE!</v>
      </c>
      <c r="B47" t="e">
        <f ca="1">IF((A1)=(2),"",IF((43)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47)+(1)),IF(("add")=(INDEX(B1:XFD1,((A3)+(1))+(0))),(INDEX(B5:B405,(B4)+(1)))+(B47),IF(("equals")=(INDEX(B1:XFD1,((A3)+(1))+(0))),(INDEX(B5:B405,(B4)+(1)))=(B47),IF(("leq")=(INDEX(B1:XFD1,((A3)+(1))+(0))),(INDEX(B5:B405,(B4)+(1)))&lt;=(B47),IF(("greater")=(INDEX(B1:XFD1,((A3)+(1))+(0))),(INDEX(B5:B405,(B4)+(1)))&gt;(B47),IF(("mod")=(INDEX(B1:XFD1,((A3)+(1))+(0))),MOD(INDEX(B5:B405,(B4)+(1)),B47),B47))))))))),B47))</f>
        <v>#VALUE!</v>
      </c>
      <c r="C47" t="e">
        <f ca="1">IF((A1)=(2),1,IF(AND((INDEX(B1:XFD1,((A3)+(1))+(0)))=("writeheap"),(INDEX(B5:B405,(B4)+(1)))=(42)),INDEX(B5:B405,(B4)+(2)),IF((A1)=(2),"",IF((43)=(C4),C47,C47))))</f>
        <v>#VALUE!</v>
      </c>
      <c r="F47" t="e">
        <f ca="1">IF((A1)=(2),"",IF((43)=(F4),IF(IF((INDEX(B1:XFD1,((A3)+(1))+(0)))=("store"),(INDEX(B1:XFD1,((A3)+(1))+(1)))=("F"),"false"),B3,F47),F47))</f>
        <v>#VALUE!</v>
      </c>
      <c r="G47" t="e">
        <f ca="1">IF((A1)=(2),"",IF((43)=(G4),IF(IF((INDEX(B1:XFD1,((A3)+(1))+(0)))=("store"),(INDEX(B1:XFD1,((A3)+(1))+(1)))=("G"),"false"),B3,G47),G47))</f>
        <v>#VALUE!</v>
      </c>
      <c r="H47" t="e">
        <f ca="1">IF((A1)=(2),"",IF((43)=(H4),IF(IF((INDEX(B1:XFD1,((A3)+(1))+(0)))=("store"),(INDEX(B1:XFD1,((A3)+(1))+(1)))=("H"),"false"),B3,H47),H47))</f>
        <v>#VALUE!</v>
      </c>
      <c r="I47" t="e">
        <f ca="1">IF((A1)=(2),"",IF((43)=(I4),IF(IF((INDEX(B1:XFD1,((A3)+(1))+(0)))=("store"),(INDEX(B1:XFD1,((A3)+(1))+(1)))=("I"),"false"),B3,I47),I47))</f>
        <v>#VALUE!</v>
      </c>
      <c r="J47" t="e">
        <f ca="1">IF((A1)=(2),"",IF((43)=(J4),IF(IF((INDEX(B1:XFD1,((A3)+(1))+(0)))=("store"),(INDEX(B1:XFD1,((A3)+(1))+(1)))=("J"),"false"),B3,J47),J47))</f>
        <v>#VALUE!</v>
      </c>
      <c r="K47" t="e">
        <f ca="1">IF((A1)=(2),"",IF((43)=(K4),IF(IF((INDEX(B1:XFD1,((A3)+(1))+(0)))=("store"),(INDEX(B1:XFD1,((A3)+(1))+(1)))=("K"),"false"),B3,K47),K47))</f>
        <v>#VALUE!</v>
      </c>
      <c r="L47" t="e">
        <f ca="1">IF((A1)=(2),"",IF((43)=(L4),IF(IF((INDEX(B1:XFD1,((A3)+(1))+(0)))=("store"),(INDEX(B1:XFD1,((A3)+(1))+(1)))=("L"),"false"),B3,L47),L47))</f>
        <v>#VALUE!</v>
      </c>
      <c r="M47" t="e">
        <f ca="1">IF((A1)=(2),"",IF((43)=(M4),IF(IF((INDEX(B1:XFD1,((A3)+(1))+(0)))=("store"),(INDEX(B1:XFD1,((A3)+(1))+(1)))=("M"),"false"),B3,M47),M47))</f>
        <v>#VALUE!</v>
      </c>
      <c r="N47" t="e">
        <f ca="1">IF((A1)=(2),"",IF((43)=(N4),IF(IF((INDEX(B1:XFD1,((A3)+(1))+(0)))=("store"),(INDEX(B1:XFD1,((A3)+(1))+(1)))=("N"),"false"),B3,N47),N47))</f>
        <v>#VALUE!</v>
      </c>
      <c r="O47" t="e">
        <f ca="1">IF((A1)=(2),"",IF((43)=(O4),IF(IF((INDEX(B1:XFD1,((A3)+(1))+(0)))=("store"),(INDEX(B1:XFD1,((A3)+(1))+(1)))=("O"),"false"),B3,O47),O47))</f>
        <v>#VALUE!</v>
      </c>
      <c r="P47" t="e">
        <f ca="1">IF((A1)=(2),"",IF((43)=(P4),IF(IF((INDEX(B1:XFD1,((A3)+(1))+(0)))=("store"),(INDEX(B1:XFD1,((A3)+(1))+(1)))=("P"),"false"),B3,P47),P47))</f>
        <v>#VALUE!</v>
      </c>
      <c r="Q47" t="e">
        <f ca="1">IF((A1)=(2),"",IF((43)=(Q4),IF(IF((INDEX(B1:XFD1,((A3)+(1))+(0)))=("store"),(INDEX(B1:XFD1,((A3)+(1))+(1)))=("Q"),"false"),B3,Q47),Q47))</f>
        <v>#VALUE!</v>
      </c>
      <c r="R47" t="e">
        <f ca="1">IF((A1)=(2),"",IF((43)=(R4),IF(IF((INDEX(B1:XFD1,((A3)+(1))+(0)))=("store"),(INDEX(B1:XFD1,((A3)+(1))+(1)))=("R"),"false"),B3,R47),R47))</f>
        <v>#VALUE!</v>
      </c>
      <c r="S47" t="e">
        <f ca="1">IF((A1)=(2),"",IF((43)=(S4),IF(IF((INDEX(B1:XFD1,((A3)+(1))+(0)))=("store"),(INDEX(B1:XFD1,((A3)+(1))+(1)))=("S"),"false"),B3,S47),S47))</f>
        <v>#VALUE!</v>
      </c>
      <c r="T47" t="e">
        <f ca="1">IF((A1)=(2),"",IF((43)=(T4),IF(IF((INDEX(B1:XFD1,((A3)+(1))+(0)))=("store"),(INDEX(B1:XFD1,((A3)+(1))+(1)))=("T"),"false"),B3,T47),T47))</f>
        <v>#VALUE!</v>
      </c>
      <c r="U47" t="e">
        <f ca="1">IF((A1)=(2),"",IF((43)=(U4),IF(IF((INDEX(B1:XFD1,((A3)+(1))+(0)))=("store"),(INDEX(B1:XFD1,((A3)+(1))+(1)))=("U"),"false"),B3,U47),U47))</f>
        <v>#VALUE!</v>
      </c>
      <c r="V47" t="e">
        <f ca="1">IF((A1)=(2),"",IF((43)=(V4),IF(IF((INDEX(B1:XFD1,((A3)+(1))+(0)))=("store"),(INDEX(B1:XFD1,((A3)+(1))+(1)))=("V"),"false"),B3,V47),V47))</f>
        <v>#VALUE!</v>
      </c>
      <c r="W47" t="e">
        <f ca="1">IF((A1)=(2),"",IF((43)=(W4),IF(IF((INDEX(B1:XFD1,((A3)+(1))+(0)))=("store"),(INDEX(B1:XFD1,((A3)+(1))+(1)))=("W"),"false"),B3,W47),W47))</f>
        <v>#VALUE!</v>
      </c>
      <c r="X47" t="e">
        <f ca="1">IF((A1)=(2),"",IF((43)=(X4),IF(IF((INDEX(B1:XFD1,((A3)+(1))+(0)))=("store"),(INDEX(B1:XFD1,((A3)+(1))+(1)))=("X"),"false"),B3,X47),X47))</f>
        <v>#VALUE!</v>
      </c>
      <c r="Y47" t="e">
        <f ca="1">IF((A1)=(2),"",IF((43)=(Y4),IF(IF((INDEX(B1:XFD1,((A3)+(1))+(0)))=("store"),(INDEX(B1:XFD1,((A3)+(1))+(1)))=("Y"),"false"),B3,Y47),Y47))</f>
        <v>#VALUE!</v>
      </c>
      <c r="Z47" t="e">
        <f ca="1">IF((A1)=(2),"",IF((43)=(Z4),IF(IF((INDEX(B1:XFD1,((A3)+(1))+(0)))=("store"),(INDEX(B1:XFD1,((A3)+(1))+(1)))=("Z"),"false"),B3,Z47),Z47))</f>
        <v>#VALUE!</v>
      </c>
      <c r="AA47" t="e">
        <f ca="1">IF((A1)=(2),"",IF((43)=(AA4),IF(IF((INDEX(B1:XFD1,((A3)+(1))+(0)))=("store"),(INDEX(B1:XFD1,((A3)+(1))+(1)))=("AA"),"false"),B3,AA47),AA47))</f>
        <v>#VALUE!</v>
      </c>
      <c r="AB47" t="e">
        <f ca="1">IF((A1)=(2),"",IF((43)=(AB4),IF(IF((INDEX(B1:XFD1,((A3)+(1))+(0)))=("store"),(INDEX(B1:XFD1,((A3)+(1))+(1)))=("AB"),"false"),B3,AB47),AB47))</f>
        <v>#VALUE!</v>
      </c>
      <c r="AC47" t="e">
        <f ca="1">IF((A1)=(2),"",IF((43)=(AC4),IF(IF((INDEX(B1:XFD1,((A3)+(1))+(0)))=("store"),(INDEX(B1:XFD1,((A3)+(1))+(1)))=("AC"),"false"),B3,AC47),AC47))</f>
        <v>#VALUE!</v>
      </c>
      <c r="AD47" t="e">
        <f ca="1">IF((A1)=(2),"",IF((43)=(AD4),IF(IF((INDEX(B1:XFD1,((A3)+(1))+(0)))=("store"),(INDEX(B1:XFD1,((A3)+(1))+(1)))=("AD"),"false"),B3,AD47),AD47))</f>
        <v>#VALUE!</v>
      </c>
    </row>
    <row r="48" spans="1:30" x14ac:dyDescent="0.25">
      <c r="A48" t="e">
        <f ca="1">IF((A1)=(2),"",IF((44)=(A4),IF(("call")=(INDEX(B1:XFD1,((A3)+(1))+(0))),(B3)*(2),IF(("goto")=(INDEX(B1:XFD1,((A3)+(1))+(0))),(INDEX(B1:XFD1,((A3)+(1))+(1)))*(2),IF(("gotoiftrue")=(INDEX(B1:XFD1,((A3)+(1))+(0))),IF(B3,(INDEX(B1:XFD1,((A3)+(1))+(1)))*(2),(A48)+(2)),(A48)+(2)))),A48))</f>
        <v>#VALUE!</v>
      </c>
      <c r="B48" t="e">
        <f ca="1">IF((A1)=(2),"",IF((44)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48)+(1)),IF(("add")=(INDEX(B1:XFD1,((A3)+(1))+(0))),(INDEX(B5:B405,(B4)+(1)))+(B48),IF(("equals")=(INDEX(B1:XFD1,((A3)+(1))+(0))),(INDEX(B5:B405,(B4)+(1)))=(B48),IF(("leq")=(INDEX(B1:XFD1,((A3)+(1))+(0))),(INDEX(B5:B405,(B4)+(1)))&lt;=(B48),IF(("greater")=(INDEX(B1:XFD1,((A3)+(1))+(0))),(INDEX(B5:B405,(B4)+(1)))&gt;(B48),IF(("mod")=(INDEX(B1:XFD1,((A3)+(1))+(0))),MOD(INDEX(B5:B405,(B4)+(1)),B48),B48))))))))),B48))</f>
        <v>#VALUE!</v>
      </c>
      <c r="C48" t="e">
        <f ca="1">IF((A1)=(2),1,IF(AND((INDEX(B1:XFD1,((A3)+(1))+(0)))=("writeheap"),(INDEX(B5:B405,(B4)+(1)))=(43)),INDEX(B5:B405,(B4)+(2)),IF((A1)=(2),"",IF((44)=(C4),C48,C48))))</f>
        <v>#VALUE!</v>
      </c>
      <c r="F48" t="e">
        <f ca="1">IF((A1)=(2),"",IF((44)=(F4),IF(IF((INDEX(B1:XFD1,((A3)+(1))+(0)))=("store"),(INDEX(B1:XFD1,((A3)+(1))+(1)))=("F"),"false"),B3,F48),F48))</f>
        <v>#VALUE!</v>
      </c>
      <c r="G48" t="e">
        <f ca="1">IF((A1)=(2),"",IF((44)=(G4),IF(IF((INDEX(B1:XFD1,((A3)+(1))+(0)))=("store"),(INDEX(B1:XFD1,((A3)+(1))+(1)))=("G"),"false"),B3,G48),G48))</f>
        <v>#VALUE!</v>
      </c>
      <c r="H48" t="e">
        <f ca="1">IF((A1)=(2),"",IF((44)=(H4),IF(IF((INDEX(B1:XFD1,((A3)+(1))+(0)))=("store"),(INDEX(B1:XFD1,((A3)+(1))+(1)))=("H"),"false"),B3,H48),H48))</f>
        <v>#VALUE!</v>
      </c>
      <c r="I48" t="e">
        <f ca="1">IF((A1)=(2),"",IF((44)=(I4),IF(IF((INDEX(B1:XFD1,((A3)+(1))+(0)))=("store"),(INDEX(B1:XFD1,((A3)+(1))+(1)))=("I"),"false"),B3,I48),I48))</f>
        <v>#VALUE!</v>
      </c>
      <c r="J48" t="e">
        <f ca="1">IF((A1)=(2),"",IF((44)=(J4),IF(IF((INDEX(B1:XFD1,((A3)+(1))+(0)))=("store"),(INDEX(B1:XFD1,((A3)+(1))+(1)))=("J"),"false"),B3,J48),J48))</f>
        <v>#VALUE!</v>
      </c>
      <c r="K48" t="e">
        <f ca="1">IF((A1)=(2),"",IF((44)=(K4),IF(IF((INDEX(B1:XFD1,((A3)+(1))+(0)))=("store"),(INDEX(B1:XFD1,((A3)+(1))+(1)))=("K"),"false"),B3,K48),K48))</f>
        <v>#VALUE!</v>
      </c>
      <c r="L48" t="e">
        <f ca="1">IF((A1)=(2),"",IF((44)=(L4),IF(IF((INDEX(B1:XFD1,((A3)+(1))+(0)))=("store"),(INDEX(B1:XFD1,((A3)+(1))+(1)))=("L"),"false"),B3,L48),L48))</f>
        <v>#VALUE!</v>
      </c>
      <c r="M48" t="e">
        <f ca="1">IF((A1)=(2),"",IF((44)=(M4),IF(IF((INDEX(B1:XFD1,((A3)+(1))+(0)))=("store"),(INDEX(B1:XFD1,((A3)+(1))+(1)))=("M"),"false"),B3,M48),M48))</f>
        <v>#VALUE!</v>
      </c>
      <c r="N48" t="e">
        <f ca="1">IF((A1)=(2),"",IF((44)=(N4),IF(IF((INDEX(B1:XFD1,((A3)+(1))+(0)))=("store"),(INDEX(B1:XFD1,((A3)+(1))+(1)))=("N"),"false"),B3,N48),N48))</f>
        <v>#VALUE!</v>
      </c>
      <c r="O48" t="e">
        <f ca="1">IF((A1)=(2),"",IF((44)=(O4),IF(IF((INDEX(B1:XFD1,((A3)+(1))+(0)))=("store"),(INDEX(B1:XFD1,((A3)+(1))+(1)))=("O"),"false"),B3,O48),O48))</f>
        <v>#VALUE!</v>
      </c>
      <c r="P48" t="e">
        <f ca="1">IF((A1)=(2),"",IF((44)=(P4),IF(IF((INDEX(B1:XFD1,((A3)+(1))+(0)))=("store"),(INDEX(B1:XFD1,((A3)+(1))+(1)))=("P"),"false"),B3,P48),P48))</f>
        <v>#VALUE!</v>
      </c>
      <c r="Q48" t="e">
        <f ca="1">IF((A1)=(2),"",IF((44)=(Q4),IF(IF((INDEX(B1:XFD1,((A3)+(1))+(0)))=("store"),(INDEX(B1:XFD1,((A3)+(1))+(1)))=("Q"),"false"),B3,Q48),Q48))</f>
        <v>#VALUE!</v>
      </c>
      <c r="R48" t="e">
        <f ca="1">IF((A1)=(2),"",IF((44)=(R4),IF(IF((INDEX(B1:XFD1,((A3)+(1))+(0)))=("store"),(INDEX(B1:XFD1,((A3)+(1))+(1)))=("R"),"false"),B3,R48),R48))</f>
        <v>#VALUE!</v>
      </c>
      <c r="S48" t="e">
        <f ca="1">IF((A1)=(2),"",IF((44)=(S4),IF(IF((INDEX(B1:XFD1,((A3)+(1))+(0)))=("store"),(INDEX(B1:XFD1,((A3)+(1))+(1)))=("S"),"false"),B3,S48),S48))</f>
        <v>#VALUE!</v>
      </c>
      <c r="T48" t="e">
        <f ca="1">IF((A1)=(2),"",IF((44)=(T4),IF(IF((INDEX(B1:XFD1,((A3)+(1))+(0)))=("store"),(INDEX(B1:XFD1,((A3)+(1))+(1)))=("T"),"false"),B3,T48),T48))</f>
        <v>#VALUE!</v>
      </c>
      <c r="U48" t="e">
        <f ca="1">IF((A1)=(2),"",IF((44)=(U4),IF(IF((INDEX(B1:XFD1,((A3)+(1))+(0)))=("store"),(INDEX(B1:XFD1,((A3)+(1))+(1)))=("U"),"false"),B3,U48),U48))</f>
        <v>#VALUE!</v>
      </c>
      <c r="V48" t="e">
        <f ca="1">IF((A1)=(2),"",IF((44)=(V4),IF(IF((INDEX(B1:XFD1,((A3)+(1))+(0)))=("store"),(INDEX(B1:XFD1,((A3)+(1))+(1)))=("V"),"false"),B3,V48),V48))</f>
        <v>#VALUE!</v>
      </c>
      <c r="W48" t="e">
        <f ca="1">IF((A1)=(2),"",IF((44)=(W4),IF(IF((INDEX(B1:XFD1,((A3)+(1))+(0)))=("store"),(INDEX(B1:XFD1,((A3)+(1))+(1)))=("W"),"false"),B3,W48),W48))</f>
        <v>#VALUE!</v>
      </c>
      <c r="X48" t="e">
        <f ca="1">IF((A1)=(2),"",IF((44)=(X4),IF(IF((INDEX(B1:XFD1,((A3)+(1))+(0)))=("store"),(INDEX(B1:XFD1,((A3)+(1))+(1)))=("X"),"false"),B3,X48),X48))</f>
        <v>#VALUE!</v>
      </c>
      <c r="Y48" t="e">
        <f ca="1">IF((A1)=(2),"",IF((44)=(Y4),IF(IF((INDEX(B1:XFD1,((A3)+(1))+(0)))=("store"),(INDEX(B1:XFD1,((A3)+(1))+(1)))=("Y"),"false"),B3,Y48),Y48))</f>
        <v>#VALUE!</v>
      </c>
      <c r="Z48" t="e">
        <f ca="1">IF((A1)=(2),"",IF((44)=(Z4),IF(IF((INDEX(B1:XFD1,((A3)+(1))+(0)))=("store"),(INDEX(B1:XFD1,((A3)+(1))+(1)))=("Z"),"false"),B3,Z48),Z48))</f>
        <v>#VALUE!</v>
      </c>
      <c r="AA48" t="e">
        <f ca="1">IF((A1)=(2),"",IF((44)=(AA4),IF(IF((INDEX(B1:XFD1,((A3)+(1))+(0)))=("store"),(INDEX(B1:XFD1,((A3)+(1))+(1)))=("AA"),"false"),B3,AA48),AA48))</f>
        <v>#VALUE!</v>
      </c>
      <c r="AB48" t="e">
        <f ca="1">IF((A1)=(2),"",IF((44)=(AB4),IF(IF((INDEX(B1:XFD1,((A3)+(1))+(0)))=("store"),(INDEX(B1:XFD1,((A3)+(1))+(1)))=("AB"),"false"),B3,AB48),AB48))</f>
        <v>#VALUE!</v>
      </c>
      <c r="AC48" t="e">
        <f ca="1">IF((A1)=(2),"",IF((44)=(AC4),IF(IF((INDEX(B1:XFD1,((A3)+(1))+(0)))=("store"),(INDEX(B1:XFD1,((A3)+(1))+(1)))=("AC"),"false"),B3,AC48),AC48))</f>
        <v>#VALUE!</v>
      </c>
      <c r="AD48" t="e">
        <f ca="1">IF((A1)=(2),"",IF((44)=(AD4),IF(IF((INDEX(B1:XFD1,((A3)+(1))+(0)))=("store"),(INDEX(B1:XFD1,((A3)+(1))+(1)))=("AD"),"false"),B3,AD48),AD48))</f>
        <v>#VALUE!</v>
      </c>
    </row>
    <row r="49" spans="1:30" x14ac:dyDescent="0.25">
      <c r="A49" t="e">
        <f ca="1">IF((A1)=(2),"",IF((45)=(A4),IF(("call")=(INDEX(B1:XFD1,((A3)+(1))+(0))),(B3)*(2),IF(("goto")=(INDEX(B1:XFD1,((A3)+(1))+(0))),(INDEX(B1:XFD1,((A3)+(1))+(1)))*(2),IF(("gotoiftrue")=(INDEX(B1:XFD1,((A3)+(1))+(0))),IF(B3,(INDEX(B1:XFD1,((A3)+(1))+(1)))*(2),(A49)+(2)),(A49)+(2)))),A49))</f>
        <v>#VALUE!</v>
      </c>
      <c r="B49" t="e">
        <f ca="1">IF((A1)=(2),"",IF((45)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49)+(1)),IF(("add")=(INDEX(B1:XFD1,((A3)+(1))+(0))),(INDEX(B5:B405,(B4)+(1)))+(B49),IF(("equals")=(INDEX(B1:XFD1,((A3)+(1))+(0))),(INDEX(B5:B405,(B4)+(1)))=(B49),IF(("leq")=(INDEX(B1:XFD1,((A3)+(1))+(0))),(INDEX(B5:B405,(B4)+(1)))&lt;=(B49),IF(("greater")=(INDEX(B1:XFD1,((A3)+(1))+(0))),(INDEX(B5:B405,(B4)+(1)))&gt;(B49),IF(("mod")=(INDEX(B1:XFD1,((A3)+(1))+(0))),MOD(INDEX(B5:B405,(B4)+(1)),B49),B49))))))))),B49))</f>
        <v>#VALUE!</v>
      </c>
      <c r="C49" t="e">
        <f ca="1">IF((A1)=(2),1,IF(AND((INDEX(B1:XFD1,((A3)+(1))+(0)))=("writeheap"),(INDEX(B5:B405,(B4)+(1)))=(44)),INDEX(B5:B405,(B4)+(2)),IF((A1)=(2),"",IF((45)=(C4),C49,C49))))</f>
        <v>#VALUE!</v>
      </c>
      <c r="F49" t="e">
        <f ca="1">IF((A1)=(2),"",IF((45)=(F4),IF(IF((INDEX(B1:XFD1,((A3)+(1))+(0)))=("store"),(INDEX(B1:XFD1,((A3)+(1))+(1)))=("F"),"false"),B3,F49),F49))</f>
        <v>#VALUE!</v>
      </c>
      <c r="G49" t="e">
        <f ca="1">IF((A1)=(2),"",IF((45)=(G4),IF(IF((INDEX(B1:XFD1,((A3)+(1))+(0)))=("store"),(INDEX(B1:XFD1,((A3)+(1))+(1)))=("G"),"false"),B3,G49),G49))</f>
        <v>#VALUE!</v>
      </c>
      <c r="H49" t="e">
        <f ca="1">IF((A1)=(2),"",IF((45)=(H4),IF(IF((INDEX(B1:XFD1,((A3)+(1))+(0)))=("store"),(INDEX(B1:XFD1,((A3)+(1))+(1)))=("H"),"false"),B3,H49),H49))</f>
        <v>#VALUE!</v>
      </c>
      <c r="I49" t="e">
        <f ca="1">IF((A1)=(2),"",IF((45)=(I4),IF(IF((INDEX(B1:XFD1,((A3)+(1))+(0)))=("store"),(INDEX(B1:XFD1,((A3)+(1))+(1)))=("I"),"false"),B3,I49),I49))</f>
        <v>#VALUE!</v>
      </c>
      <c r="J49" t="e">
        <f ca="1">IF((A1)=(2),"",IF((45)=(J4),IF(IF((INDEX(B1:XFD1,((A3)+(1))+(0)))=("store"),(INDEX(B1:XFD1,((A3)+(1))+(1)))=("J"),"false"),B3,J49),J49))</f>
        <v>#VALUE!</v>
      </c>
      <c r="K49" t="e">
        <f ca="1">IF((A1)=(2),"",IF((45)=(K4),IF(IF((INDEX(B1:XFD1,((A3)+(1))+(0)))=("store"),(INDEX(B1:XFD1,((A3)+(1))+(1)))=("K"),"false"),B3,K49),K49))</f>
        <v>#VALUE!</v>
      </c>
      <c r="L49" t="e">
        <f ca="1">IF((A1)=(2),"",IF((45)=(L4),IF(IF((INDEX(B1:XFD1,((A3)+(1))+(0)))=("store"),(INDEX(B1:XFD1,((A3)+(1))+(1)))=("L"),"false"),B3,L49),L49))</f>
        <v>#VALUE!</v>
      </c>
      <c r="M49" t="e">
        <f ca="1">IF((A1)=(2),"",IF((45)=(M4),IF(IF((INDEX(B1:XFD1,((A3)+(1))+(0)))=("store"),(INDEX(B1:XFD1,((A3)+(1))+(1)))=("M"),"false"),B3,M49),M49))</f>
        <v>#VALUE!</v>
      </c>
      <c r="N49" t="e">
        <f ca="1">IF((A1)=(2),"",IF((45)=(N4),IF(IF((INDEX(B1:XFD1,((A3)+(1))+(0)))=("store"),(INDEX(B1:XFD1,((A3)+(1))+(1)))=("N"),"false"),B3,N49),N49))</f>
        <v>#VALUE!</v>
      </c>
      <c r="O49" t="e">
        <f ca="1">IF((A1)=(2),"",IF((45)=(O4),IF(IF((INDEX(B1:XFD1,((A3)+(1))+(0)))=("store"),(INDEX(B1:XFD1,((A3)+(1))+(1)))=("O"),"false"),B3,O49),O49))</f>
        <v>#VALUE!</v>
      </c>
      <c r="P49" t="e">
        <f ca="1">IF((A1)=(2),"",IF((45)=(P4),IF(IF((INDEX(B1:XFD1,((A3)+(1))+(0)))=("store"),(INDEX(B1:XFD1,((A3)+(1))+(1)))=("P"),"false"),B3,P49),P49))</f>
        <v>#VALUE!</v>
      </c>
      <c r="Q49" t="e">
        <f ca="1">IF((A1)=(2),"",IF((45)=(Q4),IF(IF((INDEX(B1:XFD1,((A3)+(1))+(0)))=("store"),(INDEX(B1:XFD1,((A3)+(1))+(1)))=("Q"),"false"),B3,Q49),Q49))</f>
        <v>#VALUE!</v>
      </c>
      <c r="R49" t="e">
        <f ca="1">IF((A1)=(2),"",IF((45)=(R4),IF(IF((INDEX(B1:XFD1,((A3)+(1))+(0)))=("store"),(INDEX(B1:XFD1,((A3)+(1))+(1)))=("R"),"false"),B3,R49),R49))</f>
        <v>#VALUE!</v>
      </c>
      <c r="S49" t="e">
        <f ca="1">IF((A1)=(2),"",IF((45)=(S4),IF(IF((INDEX(B1:XFD1,((A3)+(1))+(0)))=("store"),(INDEX(B1:XFD1,((A3)+(1))+(1)))=("S"),"false"),B3,S49),S49))</f>
        <v>#VALUE!</v>
      </c>
      <c r="T49" t="e">
        <f ca="1">IF((A1)=(2),"",IF((45)=(T4),IF(IF((INDEX(B1:XFD1,((A3)+(1))+(0)))=("store"),(INDEX(B1:XFD1,((A3)+(1))+(1)))=("T"),"false"),B3,T49),T49))</f>
        <v>#VALUE!</v>
      </c>
      <c r="U49" t="e">
        <f ca="1">IF((A1)=(2),"",IF((45)=(U4),IF(IF((INDEX(B1:XFD1,((A3)+(1))+(0)))=("store"),(INDEX(B1:XFD1,((A3)+(1))+(1)))=("U"),"false"),B3,U49),U49))</f>
        <v>#VALUE!</v>
      </c>
      <c r="V49" t="e">
        <f ca="1">IF((A1)=(2),"",IF((45)=(V4),IF(IF((INDEX(B1:XFD1,((A3)+(1))+(0)))=("store"),(INDEX(B1:XFD1,((A3)+(1))+(1)))=("V"),"false"),B3,V49),V49))</f>
        <v>#VALUE!</v>
      </c>
      <c r="W49" t="e">
        <f ca="1">IF((A1)=(2),"",IF((45)=(W4),IF(IF((INDEX(B1:XFD1,((A3)+(1))+(0)))=("store"),(INDEX(B1:XFD1,((A3)+(1))+(1)))=("W"),"false"),B3,W49),W49))</f>
        <v>#VALUE!</v>
      </c>
      <c r="X49" t="e">
        <f ca="1">IF((A1)=(2),"",IF((45)=(X4),IF(IF((INDEX(B1:XFD1,((A3)+(1))+(0)))=("store"),(INDEX(B1:XFD1,((A3)+(1))+(1)))=("X"),"false"),B3,X49),X49))</f>
        <v>#VALUE!</v>
      </c>
      <c r="Y49" t="e">
        <f ca="1">IF((A1)=(2),"",IF((45)=(Y4),IF(IF((INDEX(B1:XFD1,((A3)+(1))+(0)))=("store"),(INDEX(B1:XFD1,((A3)+(1))+(1)))=("Y"),"false"),B3,Y49),Y49))</f>
        <v>#VALUE!</v>
      </c>
      <c r="Z49" t="e">
        <f ca="1">IF((A1)=(2),"",IF((45)=(Z4),IF(IF((INDEX(B1:XFD1,((A3)+(1))+(0)))=("store"),(INDEX(B1:XFD1,((A3)+(1))+(1)))=("Z"),"false"),B3,Z49),Z49))</f>
        <v>#VALUE!</v>
      </c>
      <c r="AA49" t="e">
        <f ca="1">IF((A1)=(2),"",IF((45)=(AA4),IF(IF((INDEX(B1:XFD1,((A3)+(1))+(0)))=("store"),(INDEX(B1:XFD1,((A3)+(1))+(1)))=("AA"),"false"),B3,AA49),AA49))</f>
        <v>#VALUE!</v>
      </c>
      <c r="AB49" t="e">
        <f ca="1">IF((A1)=(2),"",IF((45)=(AB4),IF(IF((INDEX(B1:XFD1,((A3)+(1))+(0)))=("store"),(INDEX(B1:XFD1,((A3)+(1))+(1)))=("AB"),"false"),B3,AB49),AB49))</f>
        <v>#VALUE!</v>
      </c>
      <c r="AC49" t="e">
        <f ca="1">IF((A1)=(2),"",IF((45)=(AC4),IF(IF((INDEX(B1:XFD1,((A3)+(1))+(0)))=("store"),(INDEX(B1:XFD1,((A3)+(1))+(1)))=("AC"),"false"),B3,AC49),AC49))</f>
        <v>#VALUE!</v>
      </c>
      <c r="AD49" t="e">
        <f ca="1">IF((A1)=(2),"",IF((45)=(AD4),IF(IF((INDEX(B1:XFD1,((A3)+(1))+(0)))=("store"),(INDEX(B1:XFD1,((A3)+(1))+(1)))=("AD"),"false"),B3,AD49),AD49))</f>
        <v>#VALUE!</v>
      </c>
    </row>
    <row r="50" spans="1:30" x14ac:dyDescent="0.25">
      <c r="A50" t="e">
        <f ca="1">IF((A1)=(2),"",IF((46)=(A4),IF(("call")=(INDEX(B1:XFD1,((A3)+(1))+(0))),(B3)*(2),IF(("goto")=(INDEX(B1:XFD1,((A3)+(1))+(0))),(INDEX(B1:XFD1,((A3)+(1))+(1)))*(2),IF(("gotoiftrue")=(INDEX(B1:XFD1,((A3)+(1))+(0))),IF(B3,(INDEX(B1:XFD1,((A3)+(1))+(1)))*(2),(A50)+(2)),(A50)+(2)))),A50))</f>
        <v>#VALUE!</v>
      </c>
      <c r="B50" t="e">
        <f ca="1">IF((A1)=(2),"",IF((46)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50)+(1)),IF(("add")=(INDEX(B1:XFD1,((A3)+(1))+(0))),(INDEX(B5:B405,(B4)+(1)))+(B50),IF(("equals")=(INDEX(B1:XFD1,((A3)+(1))+(0))),(INDEX(B5:B405,(B4)+(1)))=(B50),IF(("leq")=(INDEX(B1:XFD1,((A3)+(1))+(0))),(INDEX(B5:B405,(B4)+(1)))&lt;=(B50),IF(("greater")=(INDEX(B1:XFD1,((A3)+(1))+(0))),(INDEX(B5:B405,(B4)+(1)))&gt;(B50),IF(("mod")=(INDEX(B1:XFD1,((A3)+(1))+(0))),MOD(INDEX(B5:B405,(B4)+(1)),B50),B50))))))))),B50))</f>
        <v>#VALUE!</v>
      </c>
      <c r="C50" t="e">
        <f ca="1">IF((A1)=(2),1,IF(AND((INDEX(B1:XFD1,((A3)+(1))+(0)))=("writeheap"),(INDEX(B5:B405,(B4)+(1)))=(45)),INDEX(B5:B405,(B4)+(2)),IF((A1)=(2),"",IF((46)=(C4),C50,C50))))</f>
        <v>#VALUE!</v>
      </c>
      <c r="F50" t="e">
        <f ca="1">IF((A1)=(2),"",IF((46)=(F4),IF(IF((INDEX(B1:XFD1,((A3)+(1))+(0)))=("store"),(INDEX(B1:XFD1,((A3)+(1))+(1)))=("F"),"false"),B3,F50),F50))</f>
        <v>#VALUE!</v>
      </c>
      <c r="G50" t="e">
        <f ca="1">IF((A1)=(2),"",IF((46)=(G4),IF(IF((INDEX(B1:XFD1,((A3)+(1))+(0)))=("store"),(INDEX(B1:XFD1,((A3)+(1))+(1)))=("G"),"false"),B3,G50),G50))</f>
        <v>#VALUE!</v>
      </c>
      <c r="H50" t="e">
        <f ca="1">IF((A1)=(2),"",IF((46)=(H4),IF(IF((INDEX(B1:XFD1,((A3)+(1))+(0)))=("store"),(INDEX(B1:XFD1,((A3)+(1))+(1)))=("H"),"false"),B3,H50),H50))</f>
        <v>#VALUE!</v>
      </c>
      <c r="I50" t="e">
        <f ca="1">IF((A1)=(2),"",IF((46)=(I4),IF(IF((INDEX(B1:XFD1,((A3)+(1))+(0)))=("store"),(INDEX(B1:XFD1,((A3)+(1))+(1)))=("I"),"false"),B3,I50),I50))</f>
        <v>#VALUE!</v>
      </c>
      <c r="J50" t="e">
        <f ca="1">IF((A1)=(2),"",IF((46)=(J4),IF(IF((INDEX(B1:XFD1,((A3)+(1))+(0)))=("store"),(INDEX(B1:XFD1,((A3)+(1))+(1)))=("J"),"false"),B3,J50),J50))</f>
        <v>#VALUE!</v>
      </c>
      <c r="K50" t="e">
        <f ca="1">IF((A1)=(2),"",IF((46)=(K4),IF(IF((INDEX(B1:XFD1,((A3)+(1))+(0)))=("store"),(INDEX(B1:XFD1,((A3)+(1))+(1)))=("K"),"false"),B3,K50),K50))</f>
        <v>#VALUE!</v>
      </c>
      <c r="L50" t="e">
        <f ca="1">IF((A1)=(2),"",IF((46)=(L4),IF(IF((INDEX(B1:XFD1,((A3)+(1))+(0)))=("store"),(INDEX(B1:XFD1,((A3)+(1))+(1)))=("L"),"false"),B3,L50),L50))</f>
        <v>#VALUE!</v>
      </c>
      <c r="M50" t="e">
        <f ca="1">IF((A1)=(2),"",IF((46)=(M4),IF(IF((INDEX(B1:XFD1,((A3)+(1))+(0)))=("store"),(INDEX(B1:XFD1,((A3)+(1))+(1)))=("M"),"false"),B3,M50),M50))</f>
        <v>#VALUE!</v>
      </c>
      <c r="N50" t="e">
        <f ca="1">IF((A1)=(2),"",IF((46)=(N4),IF(IF((INDEX(B1:XFD1,((A3)+(1))+(0)))=("store"),(INDEX(B1:XFD1,((A3)+(1))+(1)))=("N"),"false"),B3,N50),N50))</f>
        <v>#VALUE!</v>
      </c>
      <c r="O50" t="e">
        <f ca="1">IF((A1)=(2),"",IF((46)=(O4),IF(IF((INDEX(B1:XFD1,((A3)+(1))+(0)))=("store"),(INDEX(B1:XFD1,((A3)+(1))+(1)))=("O"),"false"),B3,O50),O50))</f>
        <v>#VALUE!</v>
      </c>
      <c r="P50" t="e">
        <f ca="1">IF((A1)=(2),"",IF((46)=(P4),IF(IF((INDEX(B1:XFD1,((A3)+(1))+(0)))=("store"),(INDEX(B1:XFD1,((A3)+(1))+(1)))=("P"),"false"),B3,P50),P50))</f>
        <v>#VALUE!</v>
      </c>
      <c r="Q50" t="e">
        <f ca="1">IF((A1)=(2),"",IF((46)=(Q4),IF(IF((INDEX(B1:XFD1,((A3)+(1))+(0)))=("store"),(INDEX(B1:XFD1,((A3)+(1))+(1)))=("Q"),"false"),B3,Q50),Q50))</f>
        <v>#VALUE!</v>
      </c>
      <c r="R50" t="e">
        <f ca="1">IF((A1)=(2),"",IF((46)=(R4),IF(IF((INDEX(B1:XFD1,((A3)+(1))+(0)))=("store"),(INDEX(B1:XFD1,((A3)+(1))+(1)))=("R"),"false"),B3,R50),R50))</f>
        <v>#VALUE!</v>
      </c>
      <c r="S50" t="e">
        <f ca="1">IF((A1)=(2),"",IF((46)=(S4),IF(IF((INDEX(B1:XFD1,((A3)+(1))+(0)))=("store"),(INDEX(B1:XFD1,((A3)+(1))+(1)))=("S"),"false"),B3,S50),S50))</f>
        <v>#VALUE!</v>
      </c>
      <c r="T50" t="e">
        <f ca="1">IF((A1)=(2),"",IF((46)=(T4),IF(IF((INDEX(B1:XFD1,((A3)+(1))+(0)))=("store"),(INDEX(B1:XFD1,((A3)+(1))+(1)))=("T"),"false"),B3,T50),T50))</f>
        <v>#VALUE!</v>
      </c>
      <c r="U50" t="e">
        <f ca="1">IF((A1)=(2),"",IF((46)=(U4),IF(IF((INDEX(B1:XFD1,((A3)+(1))+(0)))=("store"),(INDEX(B1:XFD1,((A3)+(1))+(1)))=("U"),"false"),B3,U50),U50))</f>
        <v>#VALUE!</v>
      </c>
      <c r="V50" t="e">
        <f ca="1">IF((A1)=(2),"",IF((46)=(V4),IF(IF((INDEX(B1:XFD1,((A3)+(1))+(0)))=("store"),(INDEX(B1:XFD1,((A3)+(1))+(1)))=("V"),"false"),B3,V50),V50))</f>
        <v>#VALUE!</v>
      </c>
      <c r="W50" t="e">
        <f ca="1">IF((A1)=(2),"",IF((46)=(W4),IF(IF((INDEX(B1:XFD1,((A3)+(1))+(0)))=("store"),(INDEX(B1:XFD1,((A3)+(1))+(1)))=("W"),"false"),B3,W50),W50))</f>
        <v>#VALUE!</v>
      </c>
      <c r="X50" t="e">
        <f ca="1">IF((A1)=(2),"",IF((46)=(X4),IF(IF((INDEX(B1:XFD1,((A3)+(1))+(0)))=("store"),(INDEX(B1:XFD1,((A3)+(1))+(1)))=("X"),"false"),B3,X50),X50))</f>
        <v>#VALUE!</v>
      </c>
      <c r="Y50" t="e">
        <f ca="1">IF((A1)=(2),"",IF((46)=(Y4),IF(IF((INDEX(B1:XFD1,((A3)+(1))+(0)))=("store"),(INDEX(B1:XFD1,((A3)+(1))+(1)))=("Y"),"false"),B3,Y50),Y50))</f>
        <v>#VALUE!</v>
      </c>
      <c r="Z50" t="e">
        <f ca="1">IF((A1)=(2),"",IF((46)=(Z4),IF(IF((INDEX(B1:XFD1,((A3)+(1))+(0)))=("store"),(INDEX(B1:XFD1,((A3)+(1))+(1)))=("Z"),"false"),B3,Z50),Z50))</f>
        <v>#VALUE!</v>
      </c>
      <c r="AA50" t="e">
        <f ca="1">IF((A1)=(2),"",IF((46)=(AA4),IF(IF((INDEX(B1:XFD1,((A3)+(1))+(0)))=("store"),(INDEX(B1:XFD1,((A3)+(1))+(1)))=("AA"),"false"),B3,AA50),AA50))</f>
        <v>#VALUE!</v>
      </c>
      <c r="AB50" t="e">
        <f ca="1">IF((A1)=(2),"",IF((46)=(AB4),IF(IF((INDEX(B1:XFD1,((A3)+(1))+(0)))=("store"),(INDEX(B1:XFD1,((A3)+(1))+(1)))=("AB"),"false"),B3,AB50),AB50))</f>
        <v>#VALUE!</v>
      </c>
      <c r="AC50" t="e">
        <f ca="1">IF((A1)=(2),"",IF((46)=(AC4),IF(IF((INDEX(B1:XFD1,((A3)+(1))+(0)))=("store"),(INDEX(B1:XFD1,((A3)+(1))+(1)))=("AC"),"false"),B3,AC50),AC50))</f>
        <v>#VALUE!</v>
      </c>
      <c r="AD50" t="e">
        <f ca="1">IF((A1)=(2),"",IF((46)=(AD4),IF(IF((INDEX(B1:XFD1,((A3)+(1))+(0)))=("store"),(INDEX(B1:XFD1,((A3)+(1))+(1)))=("AD"),"false"),B3,AD50),AD50))</f>
        <v>#VALUE!</v>
      </c>
    </row>
    <row r="51" spans="1:30" x14ac:dyDescent="0.25">
      <c r="A51" t="e">
        <f ca="1">IF((A1)=(2),"",IF((47)=(A4),IF(("call")=(INDEX(B1:XFD1,((A3)+(1))+(0))),(B3)*(2),IF(("goto")=(INDEX(B1:XFD1,((A3)+(1))+(0))),(INDEX(B1:XFD1,((A3)+(1))+(1)))*(2),IF(("gotoiftrue")=(INDEX(B1:XFD1,((A3)+(1))+(0))),IF(B3,(INDEX(B1:XFD1,((A3)+(1))+(1)))*(2),(A51)+(2)),(A51)+(2)))),A51))</f>
        <v>#VALUE!</v>
      </c>
      <c r="B51" t="e">
        <f ca="1">IF((A1)=(2),"",IF((47)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51)+(1)),IF(("add")=(INDEX(B1:XFD1,((A3)+(1))+(0))),(INDEX(B5:B405,(B4)+(1)))+(B51),IF(("equals")=(INDEX(B1:XFD1,((A3)+(1))+(0))),(INDEX(B5:B405,(B4)+(1)))=(B51),IF(("leq")=(INDEX(B1:XFD1,((A3)+(1))+(0))),(INDEX(B5:B405,(B4)+(1)))&lt;=(B51),IF(("greater")=(INDEX(B1:XFD1,((A3)+(1))+(0))),(INDEX(B5:B405,(B4)+(1)))&gt;(B51),IF(("mod")=(INDEX(B1:XFD1,((A3)+(1))+(0))),MOD(INDEX(B5:B405,(B4)+(1)),B51),B51))))))))),B51))</f>
        <v>#VALUE!</v>
      </c>
      <c r="C51" t="e">
        <f ca="1">IF((A1)=(2),1,IF(AND((INDEX(B1:XFD1,((A3)+(1))+(0)))=("writeheap"),(INDEX(B5:B405,(B4)+(1)))=(46)),INDEX(B5:B405,(B4)+(2)),IF((A1)=(2),"",IF((47)=(C4),C51,C51))))</f>
        <v>#VALUE!</v>
      </c>
      <c r="F51" t="e">
        <f ca="1">IF((A1)=(2),"",IF((47)=(F4),IF(IF((INDEX(B1:XFD1,((A3)+(1))+(0)))=("store"),(INDEX(B1:XFD1,((A3)+(1))+(1)))=("F"),"false"),B3,F51),F51))</f>
        <v>#VALUE!</v>
      </c>
      <c r="G51" t="e">
        <f ca="1">IF((A1)=(2),"",IF((47)=(G4),IF(IF((INDEX(B1:XFD1,((A3)+(1))+(0)))=("store"),(INDEX(B1:XFD1,((A3)+(1))+(1)))=("G"),"false"),B3,G51),G51))</f>
        <v>#VALUE!</v>
      </c>
      <c r="H51" t="e">
        <f ca="1">IF((A1)=(2),"",IF((47)=(H4),IF(IF((INDEX(B1:XFD1,((A3)+(1))+(0)))=("store"),(INDEX(B1:XFD1,((A3)+(1))+(1)))=("H"),"false"),B3,H51),H51))</f>
        <v>#VALUE!</v>
      </c>
      <c r="I51" t="e">
        <f ca="1">IF((A1)=(2),"",IF((47)=(I4),IF(IF((INDEX(B1:XFD1,((A3)+(1))+(0)))=("store"),(INDEX(B1:XFD1,((A3)+(1))+(1)))=("I"),"false"),B3,I51),I51))</f>
        <v>#VALUE!</v>
      </c>
      <c r="J51" t="e">
        <f ca="1">IF((A1)=(2),"",IF((47)=(J4),IF(IF((INDEX(B1:XFD1,((A3)+(1))+(0)))=("store"),(INDEX(B1:XFD1,((A3)+(1))+(1)))=("J"),"false"),B3,J51),J51))</f>
        <v>#VALUE!</v>
      </c>
      <c r="K51" t="e">
        <f ca="1">IF((A1)=(2),"",IF((47)=(K4),IF(IF((INDEX(B1:XFD1,((A3)+(1))+(0)))=("store"),(INDEX(B1:XFD1,((A3)+(1))+(1)))=("K"),"false"),B3,K51),K51))</f>
        <v>#VALUE!</v>
      </c>
      <c r="L51" t="e">
        <f ca="1">IF((A1)=(2),"",IF((47)=(L4),IF(IF((INDEX(B1:XFD1,((A3)+(1))+(0)))=("store"),(INDEX(B1:XFD1,((A3)+(1))+(1)))=("L"),"false"),B3,L51),L51))</f>
        <v>#VALUE!</v>
      </c>
      <c r="M51" t="e">
        <f ca="1">IF((A1)=(2),"",IF((47)=(M4),IF(IF((INDEX(B1:XFD1,((A3)+(1))+(0)))=("store"),(INDEX(B1:XFD1,((A3)+(1))+(1)))=("M"),"false"),B3,M51),M51))</f>
        <v>#VALUE!</v>
      </c>
      <c r="N51" t="e">
        <f ca="1">IF((A1)=(2),"",IF((47)=(N4),IF(IF((INDEX(B1:XFD1,((A3)+(1))+(0)))=("store"),(INDEX(B1:XFD1,((A3)+(1))+(1)))=("N"),"false"),B3,N51),N51))</f>
        <v>#VALUE!</v>
      </c>
      <c r="O51" t="e">
        <f ca="1">IF((A1)=(2),"",IF((47)=(O4),IF(IF((INDEX(B1:XFD1,((A3)+(1))+(0)))=("store"),(INDEX(B1:XFD1,((A3)+(1))+(1)))=("O"),"false"),B3,O51),O51))</f>
        <v>#VALUE!</v>
      </c>
      <c r="P51" t="e">
        <f ca="1">IF((A1)=(2),"",IF((47)=(P4),IF(IF((INDEX(B1:XFD1,((A3)+(1))+(0)))=("store"),(INDEX(B1:XFD1,((A3)+(1))+(1)))=("P"),"false"),B3,P51),P51))</f>
        <v>#VALUE!</v>
      </c>
      <c r="Q51" t="e">
        <f ca="1">IF((A1)=(2),"",IF((47)=(Q4),IF(IF((INDEX(B1:XFD1,((A3)+(1))+(0)))=("store"),(INDEX(B1:XFD1,((A3)+(1))+(1)))=("Q"),"false"),B3,Q51),Q51))</f>
        <v>#VALUE!</v>
      </c>
      <c r="R51" t="e">
        <f ca="1">IF((A1)=(2),"",IF((47)=(R4),IF(IF((INDEX(B1:XFD1,((A3)+(1))+(0)))=("store"),(INDEX(B1:XFD1,((A3)+(1))+(1)))=("R"),"false"),B3,R51),R51))</f>
        <v>#VALUE!</v>
      </c>
      <c r="S51" t="e">
        <f ca="1">IF((A1)=(2),"",IF((47)=(S4),IF(IF((INDEX(B1:XFD1,((A3)+(1))+(0)))=("store"),(INDEX(B1:XFD1,((A3)+(1))+(1)))=("S"),"false"),B3,S51),S51))</f>
        <v>#VALUE!</v>
      </c>
      <c r="T51" t="e">
        <f ca="1">IF((A1)=(2),"",IF((47)=(T4),IF(IF((INDEX(B1:XFD1,((A3)+(1))+(0)))=("store"),(INDEX(B1:XFD1,((A3)+(1))+(1)))=("T"),"false"),B3,T51),T51))</f>
        <v>#VALUE!</v>
      </c>
      <c r="U51" t="e">
        <f ca="1">IF((A1)=(2),"",IF((47)=(U4),IF(IF((INDEX(B1:XFD1,((A3)+(1))+(0)))=("store"),(INDEX(B1:XFD1,((A3)+(1))+(1)))=("U"),"false"),B3,U51),U51))</f>
        <v>#VALUE!</v>
      </c>
      <c r="V51" t="e">
        <f ca="1">IF((A1)=(2),"",IF((47)=(V4),IF(IF((INDEX(B1:XFD1,((A3)+(1))+(0)))=("store"),(INDEX(B1:XFD1,((A3)+(1))+(1)))=("V"),"false"),B3,V51),V51))</f>
        <v>#VALUE!</v>
      </c>
      <c r="W51" t="e">
        <f ca="1">IF((A1)=(2),"",IF((47)=(W4),IF(IF((INDEX(B1:XFD1,((A3)+(1))+(0)))=("store"),(INDEX(B1:XFD1,((A3)+(1))+(1)))=("W"),"false"),B3,W51),W51))</f>
        <v>#VALUE!</v>
      </c>
      <c r="X51" t="e">
        <f ca="1">IF((A1)=(2),"",IF((47)=(X4),IF(IF((INDEX(B1:XFD1,((A3)+(1))+(0)))=("store"),(INDEX(B1:XFD1,((A3)+(1))+(1)))=("X"),"false"),B3,X51),X51))</f>
        <v>#VALUE!</v>
      </c>
      <c r="Y51" t="e">
        <f ca="1">IF((A1)=(2),"",IF((47)=(Y4),IF(IF((INDEX(B1:XFD1,((A3)+(1))+(0)))=("store"),(INDEX(B1:XFD1,((A3)+(1))+(1)))=("Y"),"false"),B3,Y51),Y51))</f>
        <v>#VALUE!</v>
      </c>
      <c r="Z51" t="e">
        <f ca="1">IF((A1)=(2),"",IF((47)=(Z4),IF(IF((INDEX(B1:XFD1,((A3)+(1))+(0)))=("store"),(INDEX(B1:XFD1,((A3)+(1))+(1)))=("Z"),"false"),B3,Z51),Z51))</f>
        <v>#VALUE!</v>
      </c>
      <c r="AA51" t="e">
        <f ca="1">IF((A1)=(2),"",IF((47)=(AA4),IF(IF((INDEX(B1:XFD1,((A3)+(1))+(0)))=("store"),(INDEX(B1:XFD1,((A3)+(1))+(1)))=("AA"),"false"),B3,AA51),AA51))</f>
        <v>#VALUE!</v>
      </c>
      <c r="AB51" t="e">
        <f ca="1">IF((A1)=(2),"",IF((47)=(AB4),IF(IF((INDEX(B1:XFD1,((A3)+(1))+(0)))=("store"),(INDEX(B1:XFD1,((A3)+(1))+(1)))=("AB"),"false"),B3,AB51),AB51))</f>
        <v>#VALUE!</v>
      </c>
      <c r="AC51" t="e">
        <f ca="1">IF((A1)=(2),"",IF((47)=(AC4),IF(IF((INDEX(B1:XFD1,((A3)+(1))+(0)))=("store"),(INDEX(B1:XFD1,((A3)+(1))+(1)))=("AC"),"false"),B3,AC51),AC51))</f>
        <v>#VALUE!</v>
      </c>
      <c r="AD51" t="e">
        <f ca="1">IF((A1)=(2),"",IF((47)=(AD4),IF(IF((INDEX(B1:XFD1,((A3)+(1))+(0)))=("store"),(INDEX(B1:XFD1,((A3)+(1))+(1)))=("AD"),"false"),B3,AD51),AD51))</f>
        <v>#VALUE!</v>
      </c>
    </row>
    <row r="52" spans="1:30" x14ac:dyDescent="0.25">
      <c r="A52" t="e">
        <f ca="1">IF((A1)=(2),"",IF((48)=(A4),IF(("call")=(INDEX(B1:XFD1,((A3)+(1))+(0))),(B3)*(2),IF(("goto")=(INDEX(B1:XFD1,((A3)+(1))+(0))),(INDEX(B1:XFD1,((A3)+(1))+(1)))*(2),IF(("gotoiftrue")=(INDEX(B1:XFD1,((A3)+(1))+(0))),IF(B3,(INDEX(B1:XFD1,((A3)+(1))+(1)))*(2),(A52)+(2)),(A52)+(2)))),A52))</f>
        <v>#VALUE!</v>
      </c>
      <c r="B52" t="e">
        <f ca="1">IF((A1)=(2),"",IF((48)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52)+(1)),IF(("add")=(INDEX(B1:XFD1,((A3)+(1))+(0))),(INDEX(B5:B405,(B4)+(1)))+(B52),IF(("equals")=(INDEX(B1:XFD1,((A3)+(1))+(0))),(INDEX(B5:B405,(B4)+(1)))=(B52),IF(("leq")=(INDEX(B1:XFD1,((A3)+(1))+(0))),(INDEX(B5:B405,(B4)+(1)))&lt;=(B52),IF(("greater")=(INDEX(B1:XFD1,((A3)+(1))+(0))),(INDEX(B5:B405,(B4)+(1)))&gt;(B52),IF(("mod")=(INDEX(B1:XFD1,((A3)+(1))+(0))),MOD(INDEX(B5:B405,(B4)+(1)),B52),B52))))))))),B52))</f>
        <v>#VALUE!</v>
      </c>
      <c r="C52" t="e">
        <f ca="1">IF((A1)=(2),1,IF(AND((INDEX(B1:XFD1,((A3)+(1))+(0)))=("writeheap"),(INDEX(B5:B405,(B4)+(1)))=(47)),INDEX(B5:B405,(B4)+(2)),IF((A1)=(2),"",IF((48)=(C4),C52,C52))))</f>
        <v>#VALUE!</v>
      </c>
      <c r="F52" t="e">
        <f ca="1">IF((A1)=(2),"",IF((48)=(F4),IF(IF((INDEX(B1:XFD1,((A3)+(1))+(0)))=("store"),(INDEX(B1:XFD1,((A3)+(1))+(1)))=("F"),"false"),B3,F52),F52))</f>
        <v>#VALUE!</v>
      </c>
      <c r="G52" t="e">
        <f ca="1">IF((A1)=(2),"",IF((48)=(G4),IF(IF((INDEX(B1:XFD1,((A3)+(1))+(0)))=("store"),(INDEX(B1:XFD1,((A3)+(1))+(1)))=("G"),"false"),B3,G52),G52))</f>
        <v>#VALUE!</v>
      </c>
      <c r="H52" t="e">
        <f ca="1">IF((A1)=(2),"",IF((48)=(H4),IF(IF((INDEX(B1:XFD1,((A3)+(1))+(0)))=("store"),(INDEX(B1:XFD1,((A3)+(1))+(1)))=("H"),"false"),B3,H52),H52))</f>
        <v>#VALUE!</v>
      </c>
      <c r="I52" t="e">
        <f ca="1">IF((A1)=(2),"",IF((48)=(I4),IF(IF((INDEX(B1:XFD1,((A3)+(1))+(0)))=("store"),(INDEX(B1:XFD1,((A3)+(1))+(1)))=("I"),"false"),B3,I52),I52))</f>
        <v>#VALUE!</v>
      </c>
      <c r="J52" t="e">
        <f ca="1">IF((A1)=(2),"",IF((48)=(J4),IF(IF((INDEX(B1:XFD1,((A3)+(1))+(0)))=("store"),(INDEX(B1:XFD1,((A3)+(1))+(1)))=("J"),"false"),B3,J52),J52))</f>
        <v>#VALUE!</v>
      </c>
      <c r="K52" t="e">
        <f ca="1">IF((A1)=(2),"",IF((48)=(K4),IF(IF((INDEX(B1:XFD1,((A3)+(1))+(0)))=("store"),(INDEX(B1:XFD1,((A3)+(1))+(1)))=("K"),"false"),B3,K52),K52))</f>
        <v>#VALUE!</v>
      </c>
      <c r="L52" t="e">
        <f ca="1">IF((A1)=(2),"",IF((48)=(L4),IF(IF((INDEX(B1:XFD1,((A3)+(1))+(0)))=("store"),(INDEX(B1:XFD1,((A3)+(1))+(1)))=("L"),"false"),B3,L52),L52))</f>
        <v>#VALUE!</v>
      </c>
      <c r="M52" t="e">
        <f ca="1">IF((A1)=(2),"",IF((48)=(M4),IF(IF((INDEX(B1:XFD1,((A3)+(1))+(0)))=("store"),(INDEX(B1:XFD1,((A3)+(1))+(1)))=("M"),"false"),B3,M52),M52))</f>
        <v>#VALUE!</v>
      </c>
      <c r="N52" t="e">
        <f ca="1">IF((A1)=(2),"",IF((48)=(N4),IF(IF((INDEX(B1:XFD1,((A3)+(1))+(0)))=("store"),(INDEX(B1:XFD1,((A3)+(1))+(1)))=("N"),"false"),B3,N52),N52))</f>
        <v>#VALUE!</v>
      </c>
      <c r="O52" t="e">
        <f ca="1">IF((A1)=(2),"",IF((48)=(O4),IF(IF((INDEX(B1:XFD1,((A3)+(1))+(0)))=("store"),(INDEX(B1:XFD1,((A3)+(1))+(1)))=("O"),"false"),B3,O52),O52))</f>
        <v>#VALUE!</v>
      </c>
      <c r="P52" t="e">
        <f ca="1">IF((A1)=(2),"",IF((48)=(P4),IF(IF((INDEX(B1:XFD1,((A3)+(1))+(0)))=("store"),(INDEX(B1:XFD1,((A3)+(1))+(1)))=("P"),"false"),B3,P52),P52))</f>
        <v>#VALUE!</v>
      </c>
      <c r="Q52" t="e">
        <f ca="1">IF((A1)=(2),"",IF((48)=(Q4),IF(IF((INDEX(B1:XFD1,((A3)+(1))+(0)))=("store"),(INDEX(B1:XFD1,((A3)+(1))+(1)))=("Q"),"false"),B3,Q52),Q52))</f>
        <v>#VALUE!</v>
      </c>
      <c r="R52" t="e">
        <f ca="1">IF((A1)=(2),"",IF((48)=(R4),IF(IF((INDEX(B1:XFD1,((A3)+(1))+(0)))=("store"),(INDEX(B1:XFD1,((A3)+(1))+(1)))=("R"),"false"),B3,R52),R52))</f>
        <v>#VALUE!</v>
      </c>
      <c r="S52" t="e">
        <f ca="1">IF((A1)=(2),"",IF((48)=(S4),IF(IF((INDEX(B1:XFD1,((A3)+(1))+(0)))=("store"),(INDEX(B1:XFD1,((A3)+(1))+(1)))=("S"),"false"),B3,S52),S52))</f>
        <v>#VALUE!</v>
      </c>
      <c r="T52" t="e">
        <f ca="1">IF((A1)=(2),"",IF((48)=(T4),IF(IF((INDEX(B1:XFD1,((A3)+(1))+(0)))=("store"),(INDEX(B1:XFD1,((A3)+(1))+(1)))=("T"),"false"),B3,T52),T52))</f>
        <v>#VALUE!</v>
      </c>
      <c r="U52" t="e">
        <f ca="1">IF((A1)=(2),"",IF((48)=(U4),IF(IF((INDEX(B1:XFD1,((A3)+(1))+(0)))=("store"),(INDEX(B1:XFD1,((A3)+(1))+(1)))=("U"),"false"),B3,U52),U52))</f>
        <v>#VALUE!</v>
      </c>
      <c r="V52" t="e">
        <f ca="1">IF((A1)=(2),"",IF((48)=(V4),IF(IF((INDEX(B1:XFD1,((A3)+(1))+(0)))=("store"),(INDEX(B1:XFD1,((A3)+(1))+(1)))=("V"),"false"),B3,V52),V52))</f>
        <v>#VALUE!</v>
      </c>
      <c r="W52" t="e">
        <f ca="1">IF((A1)=(2),"",IF((48)=(W4),IF(IF((INDEX(B1:XFD1,((A3)+(1))+(0)))=("store"),(INDEX(B1:XFD1,((A3)+(1))+(1)))=("W"),"false"),B3,W52),W52))</f>
        <v>#VALUE!</v>
      </c>
      <c r="X52" t="e">
        <f ca="1">IF((A1)=(2),"",IF((48)=(X4),IF(IF((INDEX(B1:XFD1,((A3)+(1))+(0)))=("store"),(INDEX(B1:XFD1,((A3)+(1))+(1)))=("X"),"false"),B3,X52),X52))</f>
        <v>#VALUE!</v>
      </c>
      <c r="Y52" t="e">
        <f ca="1">IF((A1)=(2),"",IF((48)=(Y4),IF(IF((INDEX(B1:XFD1,((A3)+(1))+(0)))=("store"),(INDEX(B1:XFD1,((A3)+(1))+(1)))=("Y"),"false"),B3,Y52),Y52))</f>
        <v>#VALUE!</v>
      </c>
      <c r="Z52" t="e">
        <f ca="1">IF((A1)=(2),"",IF((48)=(Z4),IF(IF((INDEX(B1:XFD1,((A3)+(1))+(0)))=("store"),(INDEX(B1:XFD1,((A3)+(1))+(1)))=("Z"),"false"),B3,Z52),Z52))</f>
        <v>#VALUE!</v>
      </c>
      <c r="AA52" t="e">
        <f ca="1">IF((A1)=(2),"",IF((48)=(AA4),IF(IF((INDEX(B1:XFD1,((A3)+(1))+(0)))=("store"),(INDEX(B1:XFD1,((A3)+(1))+(1)))=("AA"),"false"),B3,AA52),AA52))</f>
        <v>#VALUE!</v>
      </c>
      <c r="AB52" t="e">
        <f ca="1">IF((A1)=(2),"",IF((48)=(AB4),IF(IF((INDEX(B1:XFD1,((A3)+(1))+(0)))=("store"),(INDEX(B1:XFD1,((A3)+(1))+(1)))=("AB"),"false"),B3,AB52),AB52))</f>
        <v>#VALUE!</v>
      </c>
      <c r="AC52" t="e">
        <f ca="1">IF((A1)=(2),"",IF((48)=(AC4),IF(IF((INDEX(B1:XFD1,((A3)+(1))+(0)))=("store"),(INDEX(B1:XFD1,((A3)+(1))+(1)))=("AC"),"false"),B3,AC52),AC52))</f>
        <v>#VALUE!</v>
      </c>
      <c r="AD52" t="e">
        <f ca="1">IF((A1)=(2),"",IF((48)=(AD4),IF(IF((INDEX(B1:XFD1,((A3)+(1))+(0)))=("store"),(INDEX(B1:XFD1,((A3)+(1))+(1)))=("AD"),"false"),B3,AD52),AD52))</f>
        <v>#VALUE!</v>
      </c>
    </row>
    <row r="53" spans="1:30" x14ac:dyDescent="0.25">
      <c r="A53" t="e">
        <f ca="1">IF((A1)=(2),"",IF((49)=(A4),IF(("call")=(INDEX(B1:XFD1,((A3)+(1))+(0))),(B3)*(2),IF(("goto")=(INDEX(B1:XFD1,((A3)+(1))+(0))),(INDEX(B1:XFD1,((A3)+(1))+(1)))*(2),IF(("gotoiftrue")=(INDEX(B1:XFD1,((A3)+(1))+(0))),IF(B3,(INDEX(B1:XFD1,((A3)+(1))+(1)))*(2),(A53)+(2)),(A53)+(2)))),A53))</f>
        <v>#VALUE!</v>
      </c>
      <c r="B53" t="e">
        <f ca="1">IF((A1)=(2),"",IF((49)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53)+(1)),IF(("add")=(INDEX(B1:XFD1,((A3)+(1))+(0))),(INDEX(B5:B405,(B4)+(1)))+(B53),IF(("equals")=(INDEX(B1:XFD1,((A3)+(1))+(0))),(INDEX(B5:B405,(B4)+(1)))=(B53),IF(("leq")=(INDEX(B1:XFD1,((A3)+(1))+(0))),(INDEX(B5:B405,(B4)+(1)))&lt;=(B53),IF(("greater")=(INDEX(B1:XFD1,((A3)+(1))+(0))),(INDEX(B5:B405,(B4)+(1)))&gt;(B53),IF(("mod")=(INDEX(B1:XFD1,((A3)+(1))+(0))),MOD(INDEX(B5:B405,(B4)+(1)),B53),B53))))))))),B53))</f>
        <v>#VALUE!</v>
      </c>
      <c r="C53" t="e">
        <f ca="1">IF((A1)=(2),1,IF(AND((INDEX(B1:XFD1,((A3)+(1))+(0)))=("writeheap"),(INDEX(B5:B405,(B4)+(1)))=(48)),INDEX(B5:B405,(B4)+(2)),IF((A1)=(2),"",IF((49)=(C4),C53,C53))))</f>
        <v>#VALUE!</v>
      </c>
      <c r="F53" t="e">
        <f ca="1">IF((A1)=(2),"",IF((49)=(F4),IF(IF((INDEX(B1:XFD1,((A3)+(1))+(0)))=("store"),(INDEX(B1:XFD1,((A3)+(1))+(1)))=("F"),"false"),B3,F53),F53))</f>
        <v>#VALUE!</v>
      </c>
      <c r="G53" t="e">
        <f ca="1">IF((A1)=(2),"",IF((49)=(G4),IF(IF((INDEX(B1:XFD1,((A3)+(1))+(0)))=("store"),(INDEX(B1:XFD1,((A3)+(1))+(1)))=("G"),"false"),B3,G53),G53))</f>
        <v>#VALUE!</v>
      </c>
      <c r="H53" t="e">
        <f ca="1">IF((A1)=(2),"",IF((49)=(H4),IF(IF((INDEX(B1:XFD1,((A3)+(1))+(0)))=("store"),(INDEX(B1:XFD1,((A3)+(1))+(1)))=("H"),"false"),B3,H53),H53))</f>
        <v>#VALUE!</v>
      </c>
      <c r="I53" t="e">
        <f ca="1">IF((A1)=(2),"",IF((49)=(I4),IF(IF((INDEX(B1:XFD1,((A3)+(1))+(0)))=("store"),(INDEX(B1:XFD1,((A3)+(1))+(1)))=("I"),"false"),B3,I53),I53))</f>
        <v>#VALUE!</v>
      </c>
      <c r="J53" t="e">
        <f ca="1">IF((A1)=(2),"",IF((49)=(J4),IF(IF((INDEX(B1:XFD1,((A3)+(1))+(0)))=("store"),(INDEX(B1:XFD1,((A3)+(1))+(1)))=("J"),"false"),B3,J53),J53))</f>
        <v>#VALUE!</v>
      </c>
      <c r="K53" t="e">
        <f ca="1">IF((A1)=(2),"",IF((49)=(K4),IF(IF((INDEX(B1:XFD1,((A3)+(1))+(0)))=("store"),(INDEX(B1:XFD1,((A3)+(1))+(1)))=("K"),"false"),B3,K53),K53))</f>
        <v>#VALUE!</v>
      </c>
      <c r="L53" t="e">
        <f ca="1">IF((A1)=(2),"",IF((49)=(L4),IF(IF((INDEX(B1:XFD1,((A3)+(1))+(0)))=("store"),(INDEX(B1:XFD1,((A3)+(1))+(1)))=("L"),"false"),B3,L53),L53))</f>
        <v>#VALUE!</v>
      </c>
      <c r="M53" t="e">
        <f ca="1">IF((A1)=(2),"",IF((49)=(M4),IF(IF((INDEX(B1:XFD1,((A3)+(1))+(0)))=("store"),(INDEX(B1:XFD1,((A3)+(1))+(1)))=("M"),"false"),B3,M53),M53))</f>
        <v>#VALUE!</v>
      </c>
      <c r="N53" t="e">
        <f ca="1">IF((A1)=(2),"",IF((49)=(N4),IF(IF((INDEX(B1:XFD1,((A3)+(1))+(0)))=("store"),(INDEX(B1:XFD1,((A3)+(1))+(1)))=("N"),"false"),B3,N53),N53))</f>
        <v>#VALUE!</v>
      </c>
      <c r="O53" t="e">
        <f ca="1">IF((A1)=(2),"",IF((49)=(O4),IF(IF((INDEX(B1:XFD1,((A3)+(1))+(0)))=("store"),(INDEX(B1:XFD1,((A3)+(1))+(1)))=("O"),"false"),B3,O53),O53))</f>
        <v>#VALUE!</v>
      </c>
      <c r="P53" t="e">
        <f ca="1">IF((A1)=(2),"",IF((49)=(P4),IF(IF((INDEX(B1:XFD1,((A3)+(1))+(0)))=("store"),(INDEX(B1:XFD1,((A3)+(1))+(1)))=("P"),"false"),B3,P53),P53))</f>
        <v>#VALUE!</v>
      </c>
      <c r="Q53" t="e">
        <f ca="1">IF((A1)=(2),"",IF((49)=(Q4),IF(IF((INDEX(B1:XFD1,((A3)+(1))+(0)))=("store"),(INDEX(B1:XFD1,((A3)+(1))+(1)))=("Q"),"false"),B3,Q53),Q53))</f>
        <v>#VALUE!</v>
      </c>
      <c r="R53" t="e">
        <f ca="1">IF((A1)=(2),"",IF((49)=(R4),IF(IF((INDEX(B1:XFD1,((A3)+(1))+(0)))=("store"),(INDEX(B1:XFD1,((A3)+(1))+(1)))=("R"),"false"),B3,R53),R53))</f>
        <v>#VALUE!</v>
      </c>
      <c r="S53" t="e">
        <f ca="1">IF((A1)=(2),"",IF((49)=(S4),IF(IF((INDEX(B1:XFD1,((A3)+(1))+(0)))=("store"),(INDEX(B1:XFD1,((A3)+(1))+(1)))=("S"),"false"),B3,S53),S53))</f>
        <v>#VALUE!</v>
      </c>
      <c r="T53" t="e">
        <f ca="1">IF((A1)=(2),"",IF((49)=(T4),IF(IF((INDEX(B1:XFD1,((A3)+(1))+(0)))=("store"),(INDEX(B1:XFD1,((A3)+(1))+(1)))=("T"),"false"),B3,T53),T53))</f>
        <v>#VALUE!</v>
      </c>
      <c r="U53" t="e">
        <f ca="1">IF((A1)=(2),"",IF((49)=(U4),IF(IF((INDEX(B1:XFD1,((A3)+(1))+(0)))=("store"),(INDEX(B1:XFD1,((A3)+(1))+(1)))=("U"),"false"),B3,U53),U53))</f>
        <v>#VALUE!</v>
      </c>
      <c r="V53" t="e">
        <f ca="1">IF((A1)=(2),"",IF((49)=(V4),IF(IF((INDEX(B1:XFD1,((A3)+(1))+(0)))=("store"),(INDEX(B1:XFD1,((A3)+(1))+(1)))=("V"),"false"),B3,V53),V53))</f>
        <v>#VALUE!</v>
      </c>
      <c r="W53" t="e">
        <f ca="1">IF((A1)=(2),"",IF((49)=(W4),IF(IF((INDEX(B1:XFD1,((A3)+(1))+(0)))=("store"),(INDEX(B1:XFD1,((A3)+(1))+(1)))=("W"),"false"),B3,W53),W53))</f>
        <v>#VALUE!</v>
      </c>
      <c r="X53" t="e">
        <f ca="1">IF((A1)=(2),"",IF((49)=(X4),IF(IF((INDEX(B1:XFD1,((A3)+(1))+(0)))=("store"),(INDEX(B1:XFD1,((A3)+(1))+(1)))=("X"),"false"),B3,X53),X53))</f>
        <v>#VALUE!</v>
      </c>
      <c r="Y53" t="e">
        <f ca="1">IF((A1)=(2),"",IF((49)=(Y4),IF(IF((INDEX(B1:XFD1,((A3)+(1))+(0)))=("store"),(INDEX(B1:XFD1,((A3)+(1))+(1)))=("Y"),"false"),B3,Y53),Y53))</f>
        <v>#VALUE!</v>
      </c>
      <c r="Z53" t="e">
        <f ca="1">IF((A1)=(2),"",IF((49)=(Z4),IF(IF((INDEX(B1:XFD1,((A3)+(1))+(0)))=("store"),(INDEX(B1:XFD1,((A3)+(1))+(1)))=("Z"),"false"),B3,Z53),Z53))</f>
        <v>#VALUE!</v>
      </c>
      <c r="AA53" t="e">
        <f ca="1">IF((A1)=(2),"",IF((49)=(AA4),IF(IF((INDEX(B1:XFD1,((A3)+(1))+(0)))=("store"),(INDEX(B1:XFD1,((A3)+(1))+(1)))=("AA"),"false"),B3,AA53),AA53))</f>
        <v>#VALUE!</v>
      </c>
      <c r="AB53" t="e">
        <f ca="1">IF((A1)=(2),"",IF((49)=(AB4),IF(IF((INDEX(B1:XFD1,((A3)+(1))+(0)))=("store"),(INDEX(B1:XFD1,((A3)+(1))+(1)))=("AB"),"false"),B3,AB53),AB53))</f>
        <v>#VALUE!</v>
      </c>
      <c r="AC53" t="e">
        <f ca="1">IF((A1)=(2),"",IF((49)=(AC4),IF(IF((INDEX(B1:XFD1,((A3)+(1))+(0)))=("store"),(INDEX(B1:XFD1,((A3)+(1))+(1)))=("AC"),"false"),B3,AC53),AC53))</f>
        <v>#VALUE!</v>
      </c>
      <c r="AD53" t="e">
        <f ca="1">IF((A1)=(2),"",IF((49)=(AD4),IF(IF((INDEX(B1:XFD1,((A3)+(1))+(0)))=("store"),(INDEX(B1:XFD1,((A3)+(1))+(1)))=("AD"),"false"),B3,AD53),AD53))</f>
        <v>#VALUE!</v>
      </c>
    </row>
    <row r="54" spans="1:30" x14ac:dyDescent="0.25">
      <c r="A54" t="e">
        <f ca="1">IF((A1)=(2),"",IF((50)=(A4),IF(("call")=(INDEX(B1:XFD1,((A3)+(1))+(0))),(B3)*(2),IF(("goto")=(INDEX(B1:XFD1,((A3)+(1))+(0))),(INDEX(B1:XFD1,((A3)+(1))+(1)))*(2),IF(("gotoiftrue")=(INDEX(B1:XFD1,((A3)+(1))+(0))),IF(B3,(INDEX(B1:XFD1,((A3)+(1))+(1)))*(2),(A54)+(2)),(A54)+(2)))),A54))</f>
        <v>#VALUE!</v>
      </c>
      <c r="B54" t="e">
        <f ca="1">IF((A1)=(2),"",IF((50)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54)+(1)),IF(("add")=(INDEX(B1:XFD1,((A3)+(1))+(0))),(INDEX(B5:B405,(B4)+(1)))+(B54),IF(("equals")=(INDEX(B1:XFD1,((A3)+(1))+(0))),(INDEX(B5:B405,(B4)+(1)))=(B54),IF(("leq")=(INDEX(B1:XFD1,((A3)+(1))+(0))),(INDEX(B5:B405,(B4)+(1)))&lt;=(B54),IF(("greater")=(INDEX(B1:XFD1,((A3)+(1))+(0))),(INDEX(B5:B405,(B4)+(1)))&gt;(B54),IF(("mod")=(INDEX(B1:XFD1,((A3)+(1))+(0))),MOD(INDEX(B5:B405,(B4)+(1)),B54),B54))))))))),B54))</f>
        <v>#VALUE!</v>
      </c>
      <c r="C54" t="e">
        <f ca="1">IF((A1)=(2),1,IF(AND((INDEX(B1:XFD1,((A3)+(1))+(0)))=("writeheap"),(INDEX(B5:B405,(B4)+(1)))=(49)),INDEX(B5:B405,(B4)+(2)),IF((A1)=(2),"",IF((50)=(C4),C54,C54))))</f>
        <v>#VALUE!</v>
      </c>
      <c r="F54" t="e">
        <f ca="1">IF((A1)=(2),"",IF((50)=(F4),IF(IF((INDEX(B1:XFD1,((A3)+(1))+(0)))=("store"),(INDEX(B1:XFD1,((A3)+(1))+(1)))=("F"),"false"),B3,F54),F54))</f>
        <v>#VALUE!</v>
      </c>
      <c r="G54" t="e">
        <f ca="1">IF((A1)=(2),"",IF((50)=(G4),IF(IF((INDEX(B1:XFD1,((A3)+(1))+(0)))=("store"),(INDEX(B1:XFD1,((A3)+(1))+(1)))=("G"),"false"),B3,G54),G54))</f>
        <v>#VALUE!</v>
      </c>
      <c r="H54" t="e">
        <f ca="1">IF((A1)=(2),"",IF((50)=(H4),IF(IF((INDEX(B1:XFD1,((A3)+(1))+(0)))=("store"),(INDEX(B1:XFD1,((A3)+(1))+(1)))=("H"),"false"),B3,H54),H54))</f>
        <v>#VALUE!</v>
      </c>
      <c r="I54" t="e">
        <f ca="1">IF((A1)=(2),"",IF((50)=(I4),IF(IF((INDEX(B1:XFD1,((A3)+(1))+(0)))=("store"),(INDEX(B1:XFD1,((A3)+(1))+(1)))=("I"),"false"),B3,I54),I54))</f>
        <v>#VALUE!</v>
      </c>
      <c r="J54" t="e">
        <f ca="1">IF((A1)=(2),"",IF((50)=(J4),IF(IF((INDEX(B1:XFD1,((A3)+(1))+(0)))=("store"),(INDEX(B1:XFD1,((A3)+(1))+(1)))=("J"),"false"),B3,J54),J54))</f>
        <v>#VALUE!</v>
      </c>
      <c r="K54" t="e">
        <f ca="1">IF((A1)=(2),"",IF((50)=(K4),IF(IF((INDEX(B1:XFD1,((A3)+(1))+(0)))=("store"),(INDEX(B1:XFD1,((A3)+(1))+(1)))=("K"),"false"),B3,K54),K54))</f>
        <v>#VALUE!</v>
      </c>
      <c r="L54" t="e">
        <f ca="1">IF((A1)=(2),"",IF((50)=(L4),IF(IF((INDEX(B1:XFD1,((A3)+(1))+(0)))=("store"),(INDEX(B1:XFD1,((A3)+(1))+(1)))=("L"),"false"),B3,L54),L54))</f>
        <v>#VALUE!</v>
      </c>
      <c r="M54" t="e">
        <f ca="1">IF((A1)=(2),"",IF((50)=(M4),IF(IF((INDEX(B1:XFD1,((A3)+(1))+(0)))=("store"),(INDEX(B1:XFD1,((A3)+(1))+(1)))=("M"),"false"),B3,M54),M54))</f>
        <v>#VALUE!</v>
      </c>
      <c r="N54" t="e">
        <f ca="1">IF((A1)=(2),"",IF((50)=(N4),IF(IF((INDEX(B1:XFD1,((A3)+(1))+(0)))=("store"),(INDEX(B1:XFD1,((A3)+(1))+(1)))=("N"),"false"),B3,N54),N54))</f>
        <v>#VALUE!</v>
      </c>
      <c r="O54" t="e">
        <f ca="1">IF((A1)=(2),"",IF((50)=(O4),IF(IF((INDEX(B1:XFD1,((A3)+(1))+(0)))=("store"),(INDEX(B1:XFD1,((A3)+(1))+(1)))=("O"),"false"),B3,O54),O54))</f>
        <v>#VALUE!</v>
      </c>
      <c r="P54" t="e">
        <f ca="1">IF((A1)=(2),"",IF((50)=(P4),IF(IF((INDEX(B1:XFD1,((A3)+(1))+(0)))=("store"),(INDEX(B1:XFD1,((A3)+(1))+(1)))=("P"),"false"),B3,P54),P54))</f>
        <v>#VALUE!</v>
      </c>
      <c r="Q54" t="e">
        <f ca="1">IF((A1)=(2),"",IF((50)=(Q4),IF(IF((INDEX(B1:XFD1,((A3)+(1))+(0)))=("store"),(INDEX(B1:XFD1,((A3)+(1))+(1)))=("Q"),"false"),B3,Q54),Q54))</f>
        <v>#VALUE!</v>
      </c>
      <c r="R54" t="e">
        <f ca="1">IF((A1)=(2),"",IF((50)=(R4),IF(IF((INDEX(B1:XFD1,((A3)+(1))+(0)))=("store"),(INDEX(B1:XFD1,((A3)+(1))+(1)))=("R"),"false"),B3,R54),R54))</f>
        <v>#VALUE!</v>
      </c>
      <c r="S54" t="e">
        <f ca="1">IF((A1)=(2),"",IF((50)=(S4),IF(IF((INDEX(B1:XFD1,((A3)+(1))+(0)))=("store"),(INDEX(B1:XFD1,((A3)+(1))+(1)))=("S"),"false"),B3,S54),S54))</f>
        <v>#VALUE!</v>
      </c>
      <c r="T54" t="e">
        <f ca="1">IF((A1)=(2),"",IF((50)=(T4),IF(IF((INDEX(B1:XFD1,((A3)+(1))+(0)))=("store"),(INDEX(B1:XFD1,((A3)+(1))+(1)))=("T"),"false"),B3,T54),T54))</f>
        <v>#VALUE!</v>
      </c>
      <c r="U54" t="e">
        <f ca="1">IF((A1)=(2),"",IF((50)=(U4),IF(IF((INDEX(B1:XFD1,((A3)+(1))+(0)))=("store"),(INDEX(B1:XFD1,((A3)+(1))+(1)))=("U"),"false"),B3,U54),U54))</f>
        <v>#VALUE!</v>
      </c>
      <c r="V54" t="e">
        <f ca="1">IF((A1)=(2),"",IF((50)=(V4),IF(IF((INDEX(B1:XFD1,((A3)+(1))+(0)))=("store"),(INDEX(B1:XFD1,((A3)+(1))+(1)))=("V"),"false"),B3,V54),V54))</f>
        <v>#VALUE!</v>
      </c>
      <c r="W54" t="e">
        <f ca="1">IF((A1)=(2),"",IF((50)=(W4),IF(IF((INDEX(B1:XFD1,((A3)+(1))+(0)))=("store"),(INDEX(B1:XFD1,((A3)+(1))+(1)))=("W"),"false"),B3,W54),W54))</f>
        <v>#VALUE!</v>
      </c>
      <c r="X54" t="e">
        <f ca="1">IF((A1)=(2),"",IF((50)=(X4),IF(IF((INDEX(B1:XFD1,((A3)+(1))+(0)))=("store"),(INDEX(B1:XFD1,((A3)+(1))+(1)))=("X"),"false"),B3,X54),X54))</f>
        <v>#VALUE!</v>
      </c>
      <c r="Y54" t="e">
        <f ca="1">IF((A1)=(2),"",IF((50)=(Y4),IF(IF((INDEX(B1:XFD1,((A3)+(1))+(0)))=("store"),(INDEX(B1:XFD1,((A3)+(1))+(1)))=("Y"),"false"),B3,Y54),Y54))</f>
        <v>#VALUE!</v>
      </c>
      <c r="Z54" t="e">
        <f ca="1">IF((A1)=(2),"",IF((50)=(Z4),IF(IF((INDEX(B1:XFD1,((A3)+(1))+(0)))=("store"),(INDEX(B1:XFD1,((A3)+(1))+(1)))=("Z"),"false"),B3,Z54),Z54))</f>
        <v>#VALUE!</v>
      </c>
      <c r="AA54" t="e">
        <f ca="1">IF((A1)=(2),"",IF((50)=(AA4),IF(IF((INDEX(B1:XFD1,((A3)+(1))+(0)))=("store"),(INDEX(B1:XFD1,((A3)+(1))+(1)))=("AA"),"false"),B3,AA54),AA54))</f>
        <v>#VALUE!</v>
      </c>
      <c r="AB54" t="e">
        <f ca="1">IF((A1)=(2),"",IF((50)=(AB4),IF(IF((INDEX(B1:XFD1,((A3)+(1))+(0)))=("store"),(INDEX(B1:XFD1,((A3)+(1))+(1)))=("AB"),"false"),B3,AB54),AB54))</f>
        <v>#VALUE!</v>
      </c>
      <c r="AC54" t="e">
        <f ca="1">IF((A1)=(2),"",IF((50)=(AC4),IF(IF((INDEX(B1:XFD1,((A3)+(1))+(0)))=("store"),(INDEX(B1:XFD1,((A3)+(1))+(1)))=("AC"),"false"),B3,AC54),AC54))</f>
        <v>#VALUE!</v>
      </c>
      <c r="AD54" t="e">
        <f ca="1">IF((A1)=(2),"",IF((50)=(AD4),IF(IF((INDEX(B1:XFD1,((A3)+(1))+(0)))=("store"),(INDEX(B1:XFD1,((A3)+(1))+(1)))=("AD"),"false"),B3,AD54),AD54))</f>
        <v>#VALUE!</v>
      </c>
    </row>
    <row r="55" spans="1:30" x14ac:dyDescent="0.25">
      <c r="A55" t="e">
        <f ca="1">IF((A1)=(2),"",IF((51)=(A4),IF(("call")=(INDEX(B1:XFD1,((A3)+(1))+(0))),(B3)*(2),IF(("goto")=(INDEX(B1:XFD1,((A3)+(1))+(0))),(INDEX(B1:XFD1,((A3)+(1))+(1)))*(2),IF(("gotoiftrue")=(INDEX(B1:XFD1,((A3)+(1))+(0))),IF(B3,(INDEX(B1:XFD1,((A3)+(1))+(1)))*(2),(A55)+(2)),(A55)+(2)))),A55))</f>
        <v>#VALUE!</v>
      </c>
      <c r="B55" t="e">
        <f ca="1">IF((A1)=(2),"",IF((51)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55)+(1)),IF(("add")=(INDEX(B1:XFD1,((A3)+(1))+(0))),(INDEX(B5:B405,(B4)+(1)))+(B55),IF(("equals")=(INDEX(B1:XFD1,((A3)+(1))+(0))),(INDEX(B5:B405,(B4)+(1)))=(B55),IF(("leq")=(INDEX(B1:XFD1,((A3)+(1))+(0))),(INDEX(B5:B405,(B4)+(1)))&lt;=(B55),IF(("greater")=(INDEX(B1:XFD1,((A3)+(1))+(0))),(INDEX(B5:B405,(B4)+(1)))&gt;(B55),IF(("mod")=(INDEX(B1:XFD1,((A3)+(1))+(0))),MOD(INDEX(B5:B405,(B4)+(1)),B55),B55))))))))),B55))</f>
        <v>#VALUE!</v>
      </c>
      <c r="C55" t="e">
        <f ca="1">IF((A1)=(2),1,IF(AND((INDEX(B1:XFD1,((A3)+(1))+(0)))=("writeheap"),(INDEX(B5:B405,(B4)+(1)))=(50)),INDEX(B5:B405,(B4)+(2)),IF((A1)=(2),"",IF((51)=(C4),C55,C55))))</f>
        <v>#VALUE!</v>
      </c>
      <c r="F55" t="e">
        <f ca="1">IF((A1)=(2),"",IF((51)=(F4),IF(IF((INDEX(B1:XFD1,((A3)+(1))+(0)))=("store"),(INDEX(B1:XFD1,((A3)+(1))+(1)))=("F"),"false"),B3,F55),F55))</f>
        <v>#VALUE!</v>
      </c>
      <c r="G55" t="e">
        <f ca="1">IF((A1)=(2),"",IF((51)=(G4),IF(IF((INDEX(B1:XFD1,((A3)+(1))+(0)))=("store"),(INDEX(B1:XFD1,((A3)+(1))+(1)))=("G"),"false"),B3,G55),G55))</f>
        <v>#VALUE!</v>
      </c>
      <c r="H55" t="e">
        <f ca="1">IF((A1)=(2),"",IF((51)=(H4),IF(IF((INDEX(B1:XFD1,((A3)+(1))+(0)))=("store"),(INDEX(B1:XFD1,((A3)+(1))+(1)))=("H"),"false"),B3,H55),H55))</f>
        <v>#VALUE!</v>
      </c>
      <c r="I55" t="e">
        <f ca="1">IF((A1)=(2),"",IF((51)=(I4),IF(IF((INDEX(B1:XFD1,((A3)+(1))+(0)))=("store"),(INDEX(B1:XFD1,((A3)+(1))+(1)))=("I"),"false"),B3,I55),I55))</f>
        <v>#VALUE!</v>
      </c>
      <c r="J55" t="e">
        <f ca="1">IF((A1)=(2),"",IF((51)=(J4),IF(IF((INDEX(B1:XFD1,((A3)+(1))+(0)))=("store"),(INDEX(B1:XFD1,((A3)+(1))+(1)))=("J"),"false"),B3,J55),J55))</f>
        <v>#VALUE!</v>
      </c>
      <c r="K55" t="e">
        <f ca="1">IF((A1)=(2),"",IF((51)=(K4),IF(IF((INDEX(B1:XFD1,((A3)+(1))+(0)))=("store"),(INDEX(B1:XFD1,((A3)+(1))+(1)))=("K"),"false"),B3,K55),K55))</f>
        <v>#VALUE!</v>
      </c>
      <c r="L55" t="e">
        <f ca="1">IF((A1)=(2),"",IF((51)=(L4),IF(IF((INDEX(B1:XFD1,((A3)+(1))+(0)))=("store"),(INDEX(B1:XFD1,((A3)+(1))+(1)))=("L"),"false"),B3,L55),L55))</f>
        <v>#VALUE!</v>
      </c>
      <c r="M55" t="e">
        <f ca="1">IF((A1)=(2),"",IF((51)=(M4),IF(IF((INDEX(B1:XFD1,((A3)+(1))+(0)))=("store"),(INDEX(B1:XFD1,((A3)+(1))+(1)))=("M"),"false"),B3,M55),M55))</f>
        <v>#VALUE!</v>
      </c>
      <c r="N55" t="e">
        <f ca="1">IF((A1)=(2),"",IF((51)=(N4),IF(IF((INDEX(B1:XFD1,((A3)+(1))+(0)))=("store"),(INDEX(B1:XFD1,((A3)+(1))+(1)))=("N"),"false"),B3,N55),N55))</f>
        <v>#VALUE!</v>
      </c>
      <c r="O55" t="e">
        <f ca="1">IF((A1)=(2),"",IF((51)=(O4),IF(IF((INDEX(B1:XFD1,((A3)+(1))+(0)))=("store"),(INDEX(B1:XFD1,((A3)+(1))+(1)))=("O"),"false"),B3,O55),O55))</f>
        <v>#VALUE!</v>
      </c>
      <c r="P55" t="e">
        <f ca="1">IF((A1)=(2),"",IF((51)=(P4),IF(IF((INDEX(B1:XFD1,((A3)+(1))+(0)))=("store"),(INDEX(B1:XFD1,((A3)+(1))+(1)))=("P"),"false"),B3,P55),P55))</f>
        <v>#VALUE!</v>
      </c>
      <c r="Q55" t="e">
        <f ca="1">IF((A1)=(2),"",IF((51)=(Q4),IF(IF((INDEX(B1:XFD1,((A3)+(1))+(0)))=("store"),(INDEX(B1:XFD1,((A3)+(1))+(1)))=("Q"),"false"),B3,Q55),Q55))</f>
        <v>#VALUE!</v>
      </c>
      <c r="R55" t="e">
        <f ca="1">IF((A1)=(2),"",IF((51)=(R4),IF(IF((INDEX(B1:XFD1,((A3)+(1))+(0)))=("store"),(INDEX(B1:XFD1,((A3)+(1))+(1)))=("R"),"false"),B3,R55),R55))</f>
        <v>#VALUE!</v>
      </c>
      <c r="S55" t="e">
        <f ca="1">IF((A1)=(2),"",IF((51)=(S4),IF(IF((INDEX(B1:XFD1,((A3)+(1))+(0)))=("store"),(INDEX(B1:XFD1,((A3)+(1))+(1)))=("S"),"false"),B3,S55),S55))</f>
        <v>#VALUE!</v>
      </c>
      <c r="T55" t="e">
        <f ca="1">IF((A1)=(2),"",IF((51)=(T4),IF(IF((INDEX(B1:XFD1,((A3)+(1))+(0)))=("store"),(INDEX(B1:XFD1,((A3)+(1))+(1)))=("T"),"false"),B3,T55),T55))</f>
        <v>#VALUE!</v>
      </c>
      <c r="U55" t="e">
        <f ca="1">IF((A1)=(2),"",IF((51)=(U4),IF(IF((INDEX(B1:XFD1,((A3)+(1))+(0)))=("store"),(INDEX(B1:XFD1,((A3)+(1))+(1)))=("U"),"false"),B3,U55),U55))</f>
        <v>#VALUE!</v>
      </c>
      <c r="V55" t="e">
        <f ca="1">IF((A1)=(2),"",IF((51)=(V4),IF(IF((INDEX(B1:XFD1,((A3)+(1))+(0)))=("store"),(INDEX(B1:XFD1,((A3)+(1))+(1)))=("V"),"false"),B3,V55),V55))</f>
        <v>#VALUE!</v>
      </c>
      <c r="W55" t="e">
        <f ca="1">IF((A1)=(2),"",IF((51)=(W4),IF(IF((INDEX(B1:XFD1,((A3)+(1))+(0)))=("store"),(INDEX(B1:XFD1,((A3)+(1))+(1)))=("W"),"false"),B3,W55),W55))</f>
        <v>#VALUE!</v>
      </c>
      <c r="X55" t="e">
        <f ca="1">IF((A1)=(2),"",IF((51)=(X4),IF(IF((INDEX(B1:XFD1,((A3)+(1))+(0)))=("store"),(INDEX(B1:XFD1,((A3)+(1))+(1)))=("X"),"false"),B3,X55),X55))</f>
        <v>#VALUE!</v>
      </c>
      <c r="Y55" t="e">
        <f ca="1">IF((A1)=(2),"",IF((51)=(Y4),IF(IF((INDEX(B1:XFD1,((A3)+(1))+(0)))=("store"),(INDEX(B1:XFD1,((A3)+(1))+(1)))=("Y"),"false"),B3,Y55),Y55))</f>
        <v>#VALUE!</v>
      </c>
      <c r="Z55" t="e">
        <f ca="1">IF((A1)=(2),"",IF((51)=(Z4),IF(IF((INDEX(B1:XFD1,((A3)+(1))+(0)))=("store"),(INDEX(B1:XFD1,((A3)+(1))+(1)))=("Z"),"false"),B3,Z55),Z55))</f>
        <v>#VALUE!</v>
      </c>
      <c r="AA55" t="e">
        <f ca="1">IF((A1)=(2),"",IF((51)=(AA4),IF(IF((INDEX(B1:XFD1,((A3)+(1))+(0)))=("store"),(INDEX(B1:XFD1,((A3)+(1))+(1)))=("AA"),"false"),B3,AA55),AA55))</f>
        <v>#VALUE!</v>
      </c>
      <c r="AB55" t="e">
        <f ca="1">IF((A1)=(2),"",IF((51)=(AB4),IF(IF((INDEX(B1:XFD1,((A3)+(1))+(0)))=("store"),(INDEX(B1:XFD1,((A3)+(1))+(1)))=("AB"),"false"),B3,AB55),AB55))</f>
        <v>#VALUE!</v>
      </c>
      <c r="AC55" t="e">
        <f ca="1">IF((A1)=(2),"",IF((51)=(AC4),IF(IF((INDEX(B1:XFD1,((A3)+(1))+(0)))=("store"),(INDEX(B1:XFD1,((A3)+(1))+(1)))=("AC"),"false"),B3,AC55),AC55))</f>
        <v>#VALUE!</v>
      </c>
      <c r="AD55" t="e">
        <f ca="1">IF((A1)=(2),"",IF((51)=(AD4),IF(IF((INDEX(B1:XFD1,((A3)+(1))+(0)))=("store"),(INDEX(B1:XFD1,((A3)+(1))+(1)))=("AD"),"false"),B3,AD55),AD55))</f>
        <v>#VALUE!</v>
      </c>
    </row>
    <row r="56" spans="1:30" x14ac:dyDescent="0.25">
      <c r="A56" t="e">
        <f ca="1">IF((A1)=(2),"",IF((52)=(A4),IF(("call")=(INDEX(B1:XFD1,((A3)+(1))+(0))),(B3)*(2),IF(("goto")=(INDEX(B1:XFD1,((A3)+(1))+(0))),(INDEX(B1:XFD1,((A3)+(1))+(1)))*(2),IF(("gotoiftrue")=(INDEX(B1:XFD1,((A3)+(1))+(0))),IF(B3,(INDEX(B1:XFD1,((A3)+(1))+(1)))*(2),(A56)+(2)),(A56)+(2)))),A56))</f>
        <v>#VALUE!</v>
      </c>
      <c r="B56" t="e">
        <f ca="1">IF((A1)=(2),"",IF((52)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56)+(1)),IF(("add")=(INDEX(B1:XFD1,((A3)+(1))+(0))),(INDEX(B5:B405,(B4)+(1)))+(B56),IF(("equals")=(INDEX(B1:XFD1,((A3)+(1))+(0))),(INDEX(B5:B405,(B4)+(1)))=(B56),IF(("leq")=(INDEX(B1:XFD1,((A3)+(1))+(0))),(INDEX(B5:B405,(B4)+(1)))&lt;=(B56),IF(("greater")=(INDEX(B1:XFD1,((A3)+(1))+(0))),(INDEX(B5:B405,(B4)+(1)))&gt;(B56),IF(("mod")=(INDEX(B1:XFD1,((A3)+(1))+(0))),MOD(INDEX(B5:B405,(B4)+(1)),B56),B56))))))))),B56))</f>
        <v>#VALUE!</v>
      </c>
      <c r="C56" t="e">
        <f ca="1">IF((A1)=(2),1,IF(AND((INDEX(B1:XFD1,((A3)+(1))+(0)))=("writeheap"),(INDEX(B5:B405,(B4)+(1)))=(51)),INDEX(B5:B405,(B4)+(2)),IF((A1)=(2),"",IF((52)=(C4),C56,C56))))</f>
        <v>#VALUE!</v>
      </c>
      <c r="F56" t="e">
        <f ca="1">IF((A1)=(2),"",IF((52)=(F4),IF(IF((INDEX(B1:XFD1,((A3)+(1))+(0)))=("store"),(INDEX(B1:XFD1,((A3)+(1))+(1)))=("F"),"false"),B3,F56),F56))</f>
        <v>#VALUE!</v>
      </c>
      <c r="G56" t="e">
        <f ca="1">IF((A1)=(2),"",IF((52)=(G4),IF(IF((INDEX(B1:XFD1,((A3)+(1))+(0)))=("store"),(INDEX(B1:XFD1,((A3)+(1))+(1)))=("G"),"false"),B3,G56),G56))</f>
        <v>#VALUE!</v>
      </c>
      <c r="H56" t="e">
        <f ca="1">IF((A1)=(2),"",IF((52)=(H4),IF(IF((INDEX(B1:XFD1,((A3)+(1))+(0)))=("store"),(INDEX(B1:XFD1,((A3)+(1))+(1)))=("H"),"false"),B3,H56),H56))</f>
        <v>#VALUE!</v>
      </c>
      <c r="I56" t="e">
        <f ca="1">IF((A1)=(2),"",IF((52)=(I4),IF(IF((INDEX(B1:XFD1,((A3)+(1))+(0)))=("store"),(INDEX(B1:XFD1,((A3)+(1))+(1)))=("I"),"false"),B3,I56),I56))</f>
        <v>#VALUE!</v>
      </c>
      <c r="J56" t="e">
        <f ca="1">IF((A1)=(2),"",IF((52)=(J4),IF(IF((INDEX(B1:XFD1,((A3)+(1))+(0)))=("store"),(INDEX(B1:XFD1,((A3)+(1))+(1)))=("J"),"false"),B3,J56),J56))</f>
        <v>#VALUE!</v>
      </c>
      <c r="K56" t="e">
        <f ca="1">IF((A1)=(2),"",IF((52)=(K4),IF(IF((INDEX(B1:XFD1,((A3)+(1))+(0)))=("store"),(INDEX(B1:XFD1,((A3)+(1))+(1)))=("K"),"false"),B3,K56),K56))</f>
        <v>#VALUE!</v>
      </c>
      <c r="L56" t="e">
        <f ca="1">IF((A1)=(2),"",IF((52)=(L4),IF(IF((INDEX(B1:XFD1,((A3)+(1))+(0)))=("store"),(INDEX(B1:XFD1,((A3)+(1))+(1)))=("L"),"false"),B3,L56),L56))</f>
        <v>#VALUE!</v>
      </c>
      <c r="M56" t="e">
        <f ca="1">IF((A1)=(2),"",IF((52)=(M4),IF(IF((INDEX(B1:XFD1,((A3)+(1))+(0)))=("store"),(INDEX(B1:XFD1,((A3)+(1))+(1)))=("M"),"false"),B3,M56),M56))</f>
        <v>#VALUE!</v>
      </c>
      <c r="N56" t="e">
        <f ca="1">IF((A1)=(2),"",IF((52)=(N4),IF(IF((INDEX(B1:XFD1,((A3)+(1))+(0)))=("store"),(INDEX(B1:XFD1,((A3)+(1))+(1)))=("N"),"false"),B3,N56),N56))</f>
        <v>#VALUE!</v>
      </c>
      <c r="O56" t="e">
        <f ca="1">IF((A1)=(2),"",IF((52)=(O4),IF(IF((INDEX(B1:XFD1,((A3)+(1))+(0)))=("store"),(INDEX(B1:XFD1,((A3)+(1))+(1)))=("O"),"false"),B3,O56),O56))</f>
        <v>#VALUE!</v>
      </c>
      <c r="P56" t="e">
        <f ca="1">IF((A1)=(2),"",IF((52)=(P4),IF(IF((INDEX(B1:XFD1,((A3)+(1))+(0)))=("store"),(INDEX(B1:XFD1,((A3)+(1))+(1)))=("P"),"false"),B3,P56),P56))</f>
        <v>#VALUE!</v>
      </c>
      <c r="Q56" t="e">
        <f ca="1">IF((A1)=(2),"",IF((52)=(Q4),IF(IF((INDEX(B1:XFD1,((A3)+(1))+(0)))=("store"),(INDEX(B1:XFD1,((A3)+(1))+(1)))=("Q"),"false"),B3,Q56),Q56))</f>
        <v>#VALUE!</v>
      </c>
      <c r="R56" t="e">
        <f ca="1">IF((A1)=(2),"",IF((52)=(R4),IF(IF((INDEX(B1:XFD1,((A3)+(1))+(0)))=("store"),(INDEX(B1:XFD1,((A3)+(1))+(1)))=("R"),"false"),B3,R56),R56))</f>
        <v>#VALUE!</v>
      </c>
      <c r="S56" t="e">
        <f ca="1">IF((A1)=(2),"",IF((52)=(S4),IF(IF((INDEX(B1:XFD1,((A3)+(1))+(0)))=("store"),(INDEX(B1:XFD1,((A3)+(1))+(1)))=("S"),"false"),B3,S56),S56))</f>
        <v>#VALUE!</v>
      </c>
      <c r="T56" t="e">
        <f ca="1">IF((A1)=(2),"",IF((52)=(T4),IF(IF((INDEX(B1:XFD1,((A3)+(1))+(0)))=("store"),(INDEX(B1:XFD1,((A3)+(1))+(1)))=("T"),"false"),B3,T56),T56))</f>
        <v>#VALUE!</v>
      </c>
      <c r="U56" t="e">
        <f ca="1">IF((A1)=(2),"",IF((52)=(U4),IF(IF((INDEX(B1:XFD1,((A3)+(1))+(0)))=("store"),(INDEX(B1:XFD1,((A3)+(1))+(1)))=("U"),"false"),B3,U56),U56))</f>
        <v>#VALUE!</v>
      </c>
      <c r="V56" t="e">
        <f ca="1">IF((A1)=(2),"",IF((52)=(V4),IF(IF((INDEX(B1:XFD1,((A3)+(1))+(0)))=("store"),(INDEX(B1:XFD1,((A3)+(1))+(1)))=("V"),"false"),B3,V56),V56))</f>
        <v>#VALUE!</v>
      </c>
      <c r="W56" t="e">
        <f ca="1">IF((A1)=(2),"",IF((52)=(W4),IF(IF((INDEX(B1:XFD1,((A3)+(1))+(0)))=("store"),(INDEX(B1:XFD1,((A3)+(1))+(1)))=("W"),"false"),B3,W56),W56))</f>
        <v>#VALUE!</v>
      </c>
      <c r="X56" t="e">
        <f ca="1">IF((A1)=(2),"",IF((52)=(X4),IF(IF((INDEX(B1:XFD1,((A3)+(1))+(0)))=("store"),(INDEX(B1:XFD1,((A3)+(1))+(1)))=("X"),"false"),B3,X56),X56))</f>
        <v>#VALUE!</v>
      </c>
      <c r="Y56" t="e">
        <f ca="1">IF((A1)=(2),"",IF((52)=(Y4),IF(IF((INDEX(B1:XFD1,((A3)+(1))+(0)))=("store"),(INDEX(B1:XFD1,((A3)+(1))+(1)))=("Y"),"false"),B3,Y56),Y56))</f>
        <v>#VALUE!</v>
      </c>
      <c r="Z56" t="e">
        <f ca="1">IF((A1)=(2),"",IF((52)=(Z4),IF(IF((INDEX(B1:XFD1,((A3)+(1))+(0)))=("store"),(INDEX(B1:XFD1,((A3)+(1))+(1)))=("Z"),"false"),B3,Z56),Z56))</f>
        <v>#VALUE!</v>
      </c>
      <c r="AA56" t="e">
        <f ca="1">IF((A1)=(2),"",IF((52)=(AA4),IF(IF((INDEX(B1:XFD1,((A3)+(1))+(0)))=("store"),(INDEX(B1:XFD1,((A3)+(1))+(1)))=("AA"),"false"),B3,AA56),AA56))</f>
        <v>#VALUE!</v>
      </c>
      <c r="AB56" t="e">
        <f ca="1">IF((A1)=(2),"",IF((52)=(AB4),IF(IF((INDEX(B1:XFD1,((A3)+(1))+(0)))=("store"),(INDEX(B1:XFD1,((A3)+(1))+(1)))=("AB"),"false"),B3,AB56),AB56))</f>
        <v>#VALUE!</v>
      </c>
      <c r="AC56" t="e">
        <f ca="1">IF((A1)=(2),"",IF((52)=(AC4),IF(IF((INDEX(B1:XFD1,((A3)+(1))+(0)))=("store"),(INDEX(B1:XFD1,((A3)+(1))+(1)))=("AC"),"false"),B3,AC56),AC56))</f>
        <v>#VALUE!</v>
      </c>
      <c r="AD56" t="e">
        <f ca="1">IF((A1)=(2),"",IF((52)=(AD4),IF(IF((INDEX(B1:XFD1,((A3)+(1))+(0)))=("store"),(INDEX(B1:XFD1,((A3)+(1))+(1)))=("AD"),"false"),B3,AD56),AD56))</f>
        <v>#VALUE!</v>
      </c>
    </row>
    <row r="57" spans="1:30" x14ac:dyDescent="0.25">
      <c r="A57" t="e">
        <f ca="1">IF((A1)=(2),"",IF((53)=(A4),IF(("call")=(INDEX(B1:XFD1,((A3)+(1))+(0))),(B3)*(2),IF(("goto")=(INDEX(B1:XFD1,((A3)+(1))+(0))),(INDEX(B1:XFD1,((A3)+(1))+(1)))*(2),IF(("gotoiftrue")=(INDEX(B1:XFD1,((A3)+(1))+(0))),IF(B3,(INDEX(B1:XFD1,((A3)+(1))+(1)))*(2),(A57)+(2)),(A57)+(2)))),A57))</f>
        <v>#VALUE!</v>
      </c>
      <c r="B57" t="e">
        <f ca="1">IF((A1)=(2),"",IF((53)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57)+(1)),IF(("add")=(INDEX(B1:XFD1,((A3)+(1))+(0))),(INDEX(B5:B405,(B4)+(1)))+(B57),IF(("equals")=(INDEX(B1:XFD1,((A3)+(1))+(0))),(INDEX(B5:B405,(B4)+(1)))=(B57),IF(("leq")=(INDEX(B1:XFD1,((A3)+(1))+(0))),(INDEX(B5:B405,(B4)+(1)))&lt;=(B57),IF(("greater")=(INDEX(B1:XFD1,((A3)+(1))+(0))),(INDEX(B5:B405,(B4)+(1)))&gt;(B57),IF(("mod")=(INDEX(B1:XFD1,((A3)+(1))+(0))),MOD(INDEX(B5:B405,(B4)+(1)),B57),B57))))))))),B57))</f>
        <v>#VALUE!</v>
      </c>
      <c r="C57" t="e">
        <f ca="1">IF((A1)=(2),1,IF(AND((INDEX(B1:XFD1,((A3)+(1))+(0)))=("writeheap"),(INDEX(B5:B405,(B4)+(1)))=(52)),INDEX(B5:B405,(B4)+(2)),IF((A1)=(2),"",IF((53)=(C4),C57,C57))))</f>
        <v>#VALUE!</v>
      </c>
      <c r="F57" t="e">
        <f ca="1">IF((A1)=(2),"",IF((53)=(F4),IF(IF((INDEX(B1:XFD1,((A3)+(1))+(0)))=("store"),(INDEX(B1:XFD1,((A3)+(1))+(1)))=("F"),"false"),B3,F57),F57))</f>
        <v>#VALUE!</v>
      </c>
      <c r="G57" t="e">
        <f ca="1">IF((A1)=(2),"",IF((53)=(G4),IF(IF((INDEX(B1:XFD1,((A3)+(1))+(0)))=("store"),(INDEX(B1:XFD1,((A3)+(1))+(1)))=("G"),"false"),B3,G57),G57))</f>
        <v>#VALUE!</v>
      </c>
      <c r="H57" t="e">
        <f ca="1">IF((A1)=(2),"",IF((53)=(H4),IF(IF((INDEX(B1:XFD1,((A3)+(1))+(0)))=("store"),(INDEX(B1:XFD1,((A3)+(1))+(1)))=("H"),"false"),B3,H57),H57))</f>
        <v>#VALUE!</v>
      </c>
      <c r="I57" t="e">
        <f ca="1">IF((A1)=(2),"",IF((53)=(I4),IF(IF((INDEX(B1:XFD1,((A3)+(1))+(0)))=("store"),(INDEX(B1:XFD1,((A3)+(1))+(1)))=("I"),"false"),B3,I57),I57))</f>
        <v>#VALUE!</v>
      </c>
      <c r="J57" t="e">
        <f ca="1">IF((A1)=(2),"",IF((53)=(J4),IF(IF((INDEX(B1:XFD1,((A3)+(1))+(0)))=("store"),(INDEX(B1:XFD1,((A3)+(1))+(1)))=("J"),"false"),B3,J57),J57))</f>
        <v>#VALUE!</v>
      </c>
      <c r="K57" t="e">
        <f ca="1">IF((A1)=(2),"",IF((53)=(K4),IF(IF((INDEX(B1:XFD1,((A3)+(1))+(0)))=("store"),(INDEX(B1:XFD1,((A3)+(1))+(1)))=("K"),"false"),B3,K57),K57))</f>
        <v>#VALUE!</v>
      </c>
      <c r="L57" t="e">
        <f ca="1">IF((A1)=(2),"",IF((53)=(L4),IF(IF((INDEX(B1:XFD1,((A3)+(1))+(0)))=("store"),(INDEX(B1:XFD1,((A3)+(1))+(1)))=("L"),"false"),B3,L57),L57))</f>
        <v>#VALUE!</v>
      </c>
      <c r="M57" t="e">
        <f ca="1">IF((A1)=(2),"",IF((53)=(M4),IF(IF((INDEX(B1:XFD1,((A3)+(1))+(0)))=("store"),(INDEX(B1:XFD1,((A3)+(1))+(1)))=("M"),"false"),B3,M57),M57))</f>
        <v>#VALUE!</v>
      </c>
      <c r="N57" t="e">
        <f ca="1">IF((A1)=(2),"",IF((53)=(N4),IF(IF((INDEX(B1:XFD1,((A3)+(1))+(0)))=("store"),(INDEX(B1:XFD1,((A3)+(1))+(1)))=("N"),"false"),B3,N57),N57))</f>
        <v>#VALUE!</v>
      </c>
      <c r="O57" t="e">
        <f ca="1">IF((A1)=(2),"",IF((53)=(O4),IF(IF((INDEX(B1:XFD1,((A3)+(1))+(0)))=("store"),(INDEX(B1:XFD1,((A3)+(1))+(1)))=("O"),"false"),B3,O57),O57))</f>
        <v>#VALUE!</v>
      </c>
      <c r="P57" t="e">
        <f ca="1">IF((A1)=(2),"",IF((53)=(P4),IF(IF((INDEX(B1:XFD1,((A3)+(1))+(0)))=("store"),(INDEX(B1:XFD1,((A3)+(1))+(1)))=("P"),"false"),B3,P57),P57))</f>
        <v>#VALUE!</v>
      </c>
      <c r="Q57" t="e">
        <f ca="1">IF((A1)=(2),"",IF((53)=(Q4),IF(IF((INDEX(B1:XFD1,((A3)+(1))+(0)))=("store"),(INDEX(B1:XFD1,((A3)+(1))+(1)))=("Q"),"false"),B3,Q57),Q57))</f>
        <v>#VALUE!</v>
      </c>
      <c r="R57" t="e">
        <f ca="1">IF((A1)=(2),"",IF((53)=(R4),IF(IF((INDEX(B1:XFD1,((A3)+(1))+(0)))=("store"),(INDEX(B1:XFD1,((A3)+(1))+(1)))=("R"),"false"),B3,R57),R57))</f>
        <v>#VALUE!</v>
      </c>
      <c r="S57" t="e">
        <f ca="1">IF((A1)=(2),"",IF((53)=(S4),IF(IF((INDEX(B1:XFD1,((A3)+(1))+(0)))=("store"),(INDEX(B1:XFD1,((A3)+(1))+(1)))=("S"),"false"),B3,S57),S57))</f>
        <v>#VALUE!</v>
      </c>
      <c r="T57" t="e">
        <f ca="1">IF((A1)=(2),"",IF((53)=(T4),IF(IF((INDEX(B1:XFD1,((A3)+(1))+(0)))=("store"),(INDEX(B1:XFD1,((A3)+(1))+(1)))=("T"),"false"),B3,T57),T57))</f>
        <v>#VALUE!</v>
      </c>
      <c r="U57" t="e">
        <f ca="1">IF((A1)=(2),"",IF((53)=(U4),IF(IF((INDEX(B1:XFD1,((A3)+(1))+(0)))=("store"),(INDEX(B1:XFD1,((A3)+(1))+(1)))=("U"),"false"),B3,U57),U57))</f>
        <v>#VALUE!</v>
      </c>
      <c r="V57" t="e">
        <f ca="1">IF((A1)=(2),"",IF((53)=(V4),IF(IF((INDEX(B1:XFD1,((A3)+(1))+(0)))=("store"),(INDEX(B1:XFD1,((A3)+(1))+(1)))=("V"),"false"),B3,V57),V57))</f>
        <v>#VALUE!</v>
      </c>
      <c r="W57" t="e">
        <f ca="1">IF((A1)=(2),"",IF((53)=(W4),IF(IF((INDEX(B1:XFD1,((A3)+(1))+(0)))=("store"),(INDEX(B1:XFD1,((A3)+(1))+(1)))=("W"),"false"),B3,W57),W57))</f>
        <v>#VALUE!</v>
      </c>
      <c r="X57" t="e">
        <f ca="1">IF((A1)=(2),"",IF((53)=(X4),IF(IF((INDEX(B1:XFD1,((A3)+(1))+(0)))=("store"),(INDEX(B1:XFD1,((A3)+(1))+(1)))=("X"),"false"),B3,X57),X57))</f>
        <v>#VALUE!</v>
      </c>
      <c r="Y57" t="e">
        <f ca="1">IF((A1)=(2),"",IF((53)=(Y4),IF(IF((INDEX(B1:XFD1,((A3)+(1))+(0)))=("store"),(INDEX(B1:XFD1,((A3)+(1))+(1)))=("Y"),"false"),B3,Y57),Y57))</f>
        <v>#VALUE!</v>
      </c>
      <c r="Z57" t="e">
        <f ca="1">IF((A1)=(2),"",IF((53)=(Z4),IF(IF((INDEX(B1:XFD1,((A3)+(1))+(0)))=("store"),(INDEX(B1:XFD1,((A3)+(1))+(1)))=("Z"),"false"),B3,Z57),Z57))</f>
        <v>#VALUE!</v>
      </c>
      <c r="AA57" t="e">
        <f ca="1">IF((A1)=(2),"",IF((53)=(AA4),IF(IF((INDEX(B1:XFD1,((A3)+(1))+(0)))=("store"),(INDEX(B1:XFD1,((A3)+(1))+(1)))=("AA"),"false"),B3,AA57),AA57))</f>
        <v>#VALUE!</v>
      </c>
      <c r="AB57" t="e">
        <f ca="1">IF((A1)=(2),"",IF((53)=(AB4),IF(IF((INDEX(B1:XFD1,((A3)+(1))+(0)))=("store"),(INDEX(B1:XFD1,((A3)+(1))+(1)))=("AB"),"false"),B3,AB57),AB57))</f>
        <v>#VALUE!</v>
      </c>
      <c r="AC57" t="e">
        <f ca="1">IF((A1)=(2),"",IF((53)=(AC4),IF(IF((INDEX(B1:XFD1,((A3)+(1))+(0)))=("store"),(INDEX(B1:XFD1,((A3)+(1))+(1)))=("AC"),"false"),B3,AC57),AC57))</f>
        <v>#VALUE!</v>
      </c>
      <c r="AD57" t="e">
        <f ca="1">IF((A1)=(2),"",IF((53)=(AD4),IF(IF((INDEX(B1:XFD1,((A3)+(1))+(0)))=("store"),(INDEX(B1:XFD1,((A3)+(1))+(1)))=("AD"),"false"),B3,AD57),AD57))</f>
        <v>#VALUE!</v>
      </c>
    </row>
    <row r="58" spans="1:30" x14ac:dyDescent="0.25">
      <c r="A58" t="e">
        <f ca="1">IF((A1)=(2),"",IF((54)=(A4),IF(("call")=(INDEX(B1:XFD1,((A3)+(1))+(0))),(B3)*(2),IF(("goto")=(INDEX(B1:XFD1,((A3)+(1))+(0))),(INDEX(B1:XFD1,((A3)+(1))+(1)))*(2),IF(("gotoiftrue")=(INDEX(B1:XFD1,((A3)+(1))+(0))),IF(B3,(INDEX(B1:XFD1,((A3)+(1))+(1)))*(2),(A58)+(2)),(A58)+(2)))),A58))</f>
        <v>#VALUE!</v>
      </c>
      <c r="B58" t="e">
        <f ca="1">IF((A1)=(2),"",IF((54)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58)+(1)),IF(("add")=(INDEX(B1:XFD1,((A3)+(1))+(0))),(INDEX(B5:B405,(B4)+(1)))+(B58),IF(("equals")=(INDEX(B1:XFD1,((A3)+(1))+(0))),(INDEX(B5:B405,(B4)+(1)))=(B58),IF(("leq")=(INDEX(B1:XFD1,((A3)+(1))+(0))),(INDEX(B5:B405,(B4)+(1)))&lt;=(B58),IF(("greater")=(INDEX(B1:XFD1,((A3)+(1))+(0))),(INDEX(B5:B405,(B4)+(1)))&gt;(B58),IF(("mod")=(INDEX(B1:XFD1,((A3)+(1))+(0))),MOD(INDEX(B5:B405,(B4)+(1)),B58),B58))))))))),B58))</f>
        <v>#VALUE!</v>
      </c>
      <c r="C58" t="e">
        <f ca="1">IF((A1)=(2),1,IF(AND((INDEX(B1:XFD1,((A3)+(1))+(0)))=("writeheap"),(INDEX(B5:B405,(B4)+(1)))=(53)),INDEX(B5:B405,(B4)+(2)),IF((A1)=(2),"",IF((54)=(C4),C58,C58))))</f>
        <v>#VALUE!</v>
      </c>
      <c r="F58" t="e">
        <f ca="1">IF((A1)=(2),"",IF((54)=(F4),IF(IF((INDEX(B1:XFD1,((A3)+(1))+(0)))=("store"),(INDEX(B1:XFD1,((A3)+(1))+(1)))=("F"),"false"),B3,F58),F58))</f>
        <v>#VALUE!</v>
      </c>
      <c r="G58" t="e">
        <f ca="1">IF((A1)=(2),"",IF((54)=(G4),IF(IF((INDEX(B1:XFD1,((A3)+(1))+(0)))=("store"),(INDEX(B1:XFD1,((A3)+(1))+(1)))=("G"),"false"),B3,G58),G58))</f>
        <v>#VALUE!</v>
      </c>
      <c r="H58" t="e">
        <f ca="1">IF((A1)=(2),"",IF((54)=(H4),IF(IF((INDEX(B1:XFD1,((A3)+(1))+(0)))=("store"),(INDEX(B1:XFD1,((A3)+(1))+(1)))=("H"),"false"),B3,H58),H58))</f>
        <v>#VALUE!</v>
      </c>
      <c r="I58" t="e">
        <f ca="1">IF((A1)=(2),"",IF((54)=(I4),IF(IF((INDEX(B1:XFD1,((A3)+(1))+(0)))=("store"),(INDEX(B1:XFD1,((A3)+(1))+(1)))=("I"),"false"),B3,I58),I58))</f>
        <v>#VALUE!</v>
      </c>
      <c r="J58" t="e">
        <f ca="1">IF((A1)=(2),"",IF((54)=(J4),IF(IF((INDEX(B1:XFD1,((A3)+(1))+(0)))=("store"),(INDEX(B1:XFD1,((A3)+(1))+(1)))=("J"),"false"),B3,J58),J58))</f>
        <v>#VALUE!</v>
      </c>
      <c r="K58" t="e">
        <f ca="1">IF((A1)=(2),"",IF((54)=(K4),IF(IF((INDEX(B1:XFD1,((A3)+(1))+(0)))=("store"),(INDEX(B1:XFD1,((A3)+(1))+(1)))=("K"),"false"),B3,K58),K58))</f>
        <v>#VALUE!</v>
      </c>
      <c r="L58" t="e">
        <f ca="1">IF((A1)=(2),"",IF((54)=(L4),IF(IF((INDEX(B1:XFD1,((A3)+(1))+(0)))=("store"),(INDEX(B1:XFD1,((A3)+(1))+(1)))=("L"),"false"),B3,L58),L58))</f>
        <v>#VALUE!</v>
      </c>
      <c r="M58" t="e">
        <f ca="1">IF((A1)=(2),"",IF((54)=(M4),IF(IF((INDEX(B1:XFD1,((A3)+(1))+(0)))=("store"),(INDEX(B1:XFD1,((A3)+(1))+(1)))=("M"),"false"),B3,M58),M58))</f>
        <v>#VALUE!</v>
      </c>
      <c r="N58" t="e">
        <f ca="1">IF((A1)=(2),"",IF((54)=(N4),IF(IF((INDEX(B1:XFD1,((A3)+(1))+(0)))=("store"),(INDEX(B1:XFD1,((A3)+(1))+(1)))=("N"),"false"),B3,N58),N58))</f>
        <v>#VALUE!</v>
      </c>
      <c r="O58" t="e">
        <f ca="1">IF((A1)=(2),"",IF((54)=(O4),IF(IF((INDEX(B1:XFD1,((A3)+(1))+(0)))=("store"),(INDEX(B1:XFD1,((A3)+(1))+(1)))=("O"),"false"),B3,O58),O58))</f>
        <v>#VALUE!</v>
      </c>
      <c r="P58" t="e">
        <f ca="1">IF((A1)=(2),"",IF((54)=(P4),IF(IF((INDEX(B1:XFD1,((A3)+(1))+(0)))=("store"),(INDEX(B1:XFD1,((A3)+(1))+(1)))=("P"),"false"),B3,P58),P58))</f>
        <v>#VALUE!</v>
      </c>
      <c r="Q58" t="e">
        <f ca="1">IF((A1)=(2),"",IF((54)=(Q4),IF(IF((INDEX(B1:XFD1,((A3)+(1))+(0)))=("store"),(INDEX(B1:XFD1,((A3)+(1))+(1)))=("Q"),"false"),B3,Q58),Q58))</f>
        <v>#VALUE!</v>
      </c>
      <c r="R58" t="e">
        <f ca="1">IF((A1)=(2),"",IF((54)=(R4),IF(IF((INDEX(B1:XFD1,((A3)+(1))+(0)))=("store"),(INDEX(B1:XFD1,((A3)+(1))+(1)))=("R"),"false"),B3,R58),R58))</f>
        <v>#VALUE!</v>
      </c>
      <c r="S58" t="e">
        <f ca="1">IF((A1)=(2),"",IF((54)=(S4),IF(IF((INDEX(B1:XFD1,((A3)+(1))+(0)))=("store"),(INDEX(B1:XFD1,((A3)+(1))+(1)))=("S"),"false"),B3,S58),S58))</f>
        <v>#VALUE!</v>
      </c>
      <c r="T58" t="e">
        <f ca="1">IF((A1)=(2),"",IF((54)=(T4),IF(IF((INDEX(B1:XFD1,((A3)+(1))+(0)))=("store"),(INDEX(B1:XFD1,((A3)+(1))+(1)))=("T"),"false"),B3,T58),T58))</f>
        <v>#VALUE!</v>
      </c>
      <c r="U58" t="e">
        <f ca="1">IF((A1)=(2),"",IF((54)=(U4),IF(IF((INDEX(B1:XFD1,((A3)+(1))+(0)))=("store"),(INDEX(B1:XFD1,((A3)+(1))+(1)))=("U"),"false"),B3,U58),U58))</f>
        <v>#VALUE!</v>
      </c>
      <c r="V58" t="e">
        <f ca="1">IF((A1)=(2),"",IF((54)=(V4),IF(IF((INDEX(B1:XFD1,((A3)+(1))+(0)))=("store"),(INDEX(B1:XFD1,((A3)+(1))+(1)))=("V"),"false"),B3,V58),V58))</f>
        <v>#VALUE!</v>
      </c>
      <c r="W58" t="e">
        <f ca="1">IF((A1)=(2),"",IF((54)=(W4),IF(IF((INDEX(B1:XFD1,((A3)+(1))+(0)))=("store"),(INDEX(B1:XFD1,((A3)+(1))+(1)))=("W"),"false"),B3,W58),W58))</f>
        <v>#VALUE!</v>
      </c>
      <c r="X58" t="e">
        <f ca="1">IF((A1)=(2),"",IF((54)=(X4),IF(IF((INDEX(B1:XFD1,((A3)+(1))+(0)))=("store"),(INDEX(B1:XFD1,((A3)+(1))+(1)))=("X"),"false"),B3,X58),X58))</f>
        <v>#VALUE!</v>
      </c>
      <c r="Y58" t="e">
        <f ca="1">IF((A1)=(2),"",IF((54)=(Y4),IF(IF((INDEX(B1:XFD1,((A3)+(1))+(0)))=("store"),(INDEX(B1:XFD1,((A3)+(1))+(1)))=("Y"),"false"),B3,Y58),Y58))</f>
        <v>#VALUE!</v>
      </c>
      <c r="Z58" t="e">
        <f ca="1">IF((A1)=(2),"",IF((54)=(Z4),IF(IF((INDEX(B1:XFD1,((A3)+(1))+(0)))=("store"),(INDEX(B1:XFD1,((A3)+(1))+(1)))=("Z"),"false"),B3,Z58),Z58))</f>
        <v>#VALUE!</v>
      </c>
      <c r="AA58" t="e">
        <f ca="1">IF((A1)=(2),"",IF((54)=(AA4),IF(IF((INDEX(B1:XFD1,((A3)+(1))+(0)))=("store"),(INDEX(B1:XFD1,((A3)+(1))+(1)))=("AA"),"false"),B3,AA58),AA58))</f>
        <v>#VALUE!</v>
      </c>
      <c r="AB58" t="e">
        <f ca="1">IF((A1)=(2),"",IF((54)=(AB4),IF(IF((INDEX(B1:XFD1,((A3)+(1))+(0)))=("store"),(INDEX(B1:XFD1,((A3)+(1))+(1)))=("AB"),"false"),B3,AB58),AB58))</f>
        <v>#VALUE!</v>
      </c>
      <c r="AC58" t="e">
        <f ca="1">IF((A1)=(2),"",IF((54)=(AC4),IF(IF((INDEX(B1:XFD1,((A3)+(1))+(0)))=("store"),(INDEX(B1:XFD1,((A3)+(1))+(1)))=("AC"),"false"),B3,AC58),AC58))</f>
        <v>#VALUE!</v>
      </c>
      <c r="AD58" t="e">
        <f ca="1">IF((A1)=(2),"",IF((54)=(AD4),IF(IF((INDEX(B1:XFD1,((A3)+(1))+(0)))=("store"),(INDEX(B1:XFD1,((A3)+(1))+(1)))=("AD"),"false"),B3,AD58),AD58))</f>
        <v>#VALUE!</v>
      </c>
    </row>
    <row r="59" spans="1:30" x14ac:dyDescent="0.25">
      <c r="A59" t="e">
        <f ca="1">IF((A1)=(2),"",IF((55)=(A4),IF(("call")=(INDEX(B1:XFD1,((A3)+(1))+(0))),(B3)*(2),IF(("goto")=(INDEX(B1:XFD1,((A3)+(1))+(0))),(INDEX(B1:XFD1,((A3)+(1))+(1)))*(2),IF(("gotoiftrue")=(INDEX(B1:XFD1,((A3)+(1))+(0))),IF(B3,(INDEX(B1:XFD1,((A3)+(1))+(1)))*(2),(A59)+(2)),(A59)+(2)))),A59))</f>
        <v>#VALUE!</v>
      </c>
      <c r="B59" t="e">
        <f ca="1">IF((A1)=(2),"",IF((55)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59)+(1)),IF(("add")=(INDEX(B1:XFD1,((A3)+(1))+(0))),(INDEX(B5:B405,(B4)+(1)))+(B59),IF(("equals")=(INDEX(B1:XFD1,((A3)+(1))+(0))),(INDEX(B5:B405,(B4)+(1)))=(B59),IF(("leq")=(INDEX(B1:XFD1,((A3)+(1))+(0))),(INDEX(B5:B405,(B4)+(1)))&lt;=(B59),IF(("greater")=(INDEX(B1:XFD1,((A3)+(1))+(0))),(INDEX(B5:B405,(B4)+(1)))&gt;(B59),IF(("mod")=(INDEX(B1:XFD1,((A3)+(1))+(0))),MOD(INDEX(B5:B405,(B4)+(1)),B59),B59))))))))),B59))</f>
        <v>#VALUE!</v>
      </c>
      <c r="C59" t="e">
        <f ca="1">IF((A1)=(2),1,IF(AND((INDEX(B1:XFD1,((A3)+(1))+(0)))=("writeheap"),(INDEX(B5:B405,(B4)+(1)))=(54)),INDEX(B5:B405,(B4)+(2)),IF((A1)=(2),"",IF((55)=(C4),C59,C59))))</f>
        <v>#VALUE!</v>
      </c>
      <c r="F59" t="e">
        <f ca="1">IF((A1)=(2),"",IF((55)=(F4),IF(IF((INDEX(B1:XFD1,((A3)+(1))+(0)))=("store"),(INDEX(B1:XFD1,((A3)+(1))+(1)))=("F"),"false"),B3,F59),F59))</f>
        <v>#VALUE!</v>
      </c>
      <c r="G59" t="e">
        <f ca="1">IF((A1)=(2),"",IF((55)=(G4),IF(IF((INDEX(B1:XFD1,((A3)+(1))+(0)))=("store"),(INDEX(B1:XFD1,((A3)+(1))+(1)))=("G"),"false"),B3,G59),G59))</f>
        <v>#VALUE!</v>
      </c>
      <c r="H59" t="e">
        <f ca="1">IF((A1)=(2),"",IF((55)=(H4),IF(IF((INDEX(B1:XFD1,((A3)+(1))+(0)))=("store"),(INDEX(B1:XFD1,((A3)+(1))+(1)))=("H"),"false"),B3,H59),H59))</f>
        <v>#VALUE!</v>
      </c>
      <c r="I59" t="e">
        <f ca="1">IF((A1)=(2),"",IF((55)=(I4),IF(IF((INDEX(B1:XFD1,((A3)+(1))+(0)))=("store"),(INDEX(B1:XFD1,((A3)+(1))+(1)))=("I"),"false"),B3,I59),I59))</f>
        <v>#VALUE!</v>
      </c>
      <c r="J59" t="e">
        <f ca="1">IF((A1)=(2),"",IF((55)=(J4),IF(IF((INDEX(B1:XFD1,((A3)+(1))+(0)))=("store"),(INDEX(B1:XFD1,((A3)+(1))+(1)))=("J"),"false"),B3,J59),J59))</f>
        <v>#VALUE!</v>
      </c>
      <c r="K59" t="e">
        <f ca="1">IF((A1)=(2),"",IF((55)=(K4),IF(IF((INDEX(B1:XFD1,((A3)+(1))+(0)))=("store"),(INDEX(B1:XFD1,((A3)+(1))+(1)))=("K"),"false"),B3,K59),K59))</f>
        <v>#VALUE!</v>
      </c>
      <c r="L59" t="e">
        <f ca="1">IF((A1)=(2),"",IF((55)=(L4),IF(IF((INDEX(B1:XFD1,((A3)+(1))+(0)))=("store"),(INDEX(B1:XFD1,((A3)+(1))+(1)))=("L"),"false"),B3,L59),L59))</f>
        <v>#VALUE!</v>
      </c>
      <c r="M59" t="e">
        <f ca="1">IF((A1)=(2),"",IF((55)=(M4),IF(IF((INDEX(B1:XFD1,((A3)+(1))+(0)))=("store"),(INDEX(B1:XFD1,((A3)+(1))+(1)))=("M"),"false"),B3,M59),M59))</f>
        <v>#VALUE!</v>
      </c>
      <c r="N59" t="e">
        <f ca="1">IF((A1)=(2),"",IF((55)=(N4),IF(IF((INDEX(B1:XFD1,((A3)+(1))+(0)))=("store"),(INDEX(B1:XFD1,((A3)+(1))+(1)))=("N"),"false"),B3,N59),N59))</f>
        <v>#VALUE!</v>
      </c>
      <c r="O59" t="e">
        <f ca="1">IF((A1)=(2),"",IF((55)=(O4),IF(IF((INDEX(B1:XFD1,((A3)+(1))+(0)))=("store"),(INDEX(B1:XFD1,((A3)+(1))+(1)))=("O"),"false"),B3,O59),O59))</f>
        <v>#VALUE!</v>
      </c>
      <c r="P59" t="e">
        <f ca="1">IF((A1)=(2),"",IF((55)=(P4),IF(IF((INDEX(B1:XFD1,((A3)+(1))+(0)))=("store"),(INDEX(B1:XFD1,((A3)+(1))+(1)))=("P"),"false"),B3,P59),P59))</f>
        <v>#VALUE!</v>
      </c>
      <c r="Q59" t="e">
        <f ca="1">IF((A1)=(2),"",IF((55)=(Q4),IF(IF((INDEX(B1:XFD1,((A3)+(1))+(0)))=("store"),(INDEX(B1:XFD1,((A3)+(1))+(1)))=("Q"),"false"),B3,Q59),Q59))</f>
        <v>#VALUE!</v>
      </c>
      <c r="R59" t="e">
        <f ca="1">IF((A1)=(2),"",IF((55)=(R4),IF(IF((INDEX(B1:XFD1,((A3)+(1))+(0)))=("store"),(INDEX(B1:XFD1,((A3)+(1))+(1)))=("R"),"false"),B3,R59),R59))</f>
        <v>#VALUE!</v>
      </c>
      <c r="S59" t="e">
        <f ca="1">IF((A1)=(2),"",IF((55)=(S4),IF(IF((INDEX(B1:XFD1,((A3)+(1))+(0)))=("store"),(INDEX(B1:XFD1,((A3)+(1))+(1)))=("S"),"false"),B3,S59),S59))</f>
        <v>#VALUE!</v>
      </c>
      <c r="T59" t="e">
        <f ca="1">IF((A1)=(2),"",IF((55)=(T4),IF(IF((INDEX(B1:XFD1,((A3)+(1))+(0)))=("store"),(INDEX(B1:XFD1,((A3)+(1))+(1)))=("T"),"false"),B3,T59),T59))</f>
        <v>#VALUE!</v>
      </c>
      <c r="U59" t="e">
        <f ca="1">IF((A1)=(2),"",IF((55)=(U4),IF(IF((INDEX(B1:XFD1,((A3)+(1))+(0)))=("store"),(INDEX(B1:XFD1,((A3)+(1))+(1)))=("U"),"false"),B3,U59),U59))</f>
        <v>#VALUE!</v>
      </c>
      <c r="V59" t="e">
        <f ca="1">IF((A1)=(2),"",IF((55)=(V4),IF(IF((INDEX(B1:XFD1,((A3)+(1))+(0)))=("store"),(INDEX(B1:XFD1,((A3)+(1))+(1)))=("V"),"false"),B3,V59),V59))</f>
        <v>#VALUE!</v>
      </c>
      <c r="W59" t="e">
        <f ca="1">IF((A1)=(2),"",IF((55)=(W4),IF(IF((INDEX(B1:XFD1,((A3)+(1))+(0)))=("store"),(INDEX(B1:XFD1,((A3)+(1))+(1)))=("W"),"false"),B3,W59),W59))</f>
        <v>#VALUE!</v>
      </c>
      <c r="X59" t="e">
        <f ca="1">IF((A1)=(2),"",IF((55)=(X4),IF(IF((INDEX(B1:XFD1,((A3)+(1))+(0)))=("store"),(INDEX(B1:XFD1,((A3)+(1))+(1)))=("X"),"false"),B3,X59),X59))</f>
        <v>#VALUE!</v>
      </c>
      <c r="Y59" t="e">
        <f ca="1">IF((A1)=(2),"",IF((55)=(Y4),IF(IF((INDEX(B1:XFD1,((A3)+(1))+(0)))=("store"),(INDEX(B1:XFD1,((A3)+(1))+(1)))=("Y"),"false"),B3,Y59),Y59))</f>
        <v>#VALUE!</v>
      </c>
      <c r="Z59" t="e">
        <f ca="1">IF((A1)=(2),"",IF((55)=(Z4),IF(IF((INDEX(B1:XFD1,((A3)+(1))+(0)))=("store"),(INDEX(B1:XFD1,((A3)+(1))+(1)))=("Z"),"false"),B3,Z59),Z59))</f>
        <v>#VALUE!</v>
      </c>
      <c r="AA59" t="e">
        <f ca="1">IF((A1)=(2),"",IF((55)=(AA4),IF(IF((INDEX(B1:XFD1,((A3)+(1))+(0)))=("store"),(INDEX(B1:XFD1,((A3)+(1))+(1)))=("AA"),"false"),B3,AA59),AA59))</f>
        <v>#VALUE!</v>
      </c>
      <c r="AB59" t="e">
        <f ca="1">IF((A1)=(2),"",IF((55)=(AB4),IF(IF((INDEX(B1:XFD1,((A3)+(1))+(0)))=("store"),(INDEX(B1:XFD1,((A3)+(1))+(1)))=("AB"),"false"),B3,AB59),AB59))</f>
        <v>#VALUE!</v>
      </c>
      <c r="AC59" t="e">
        <f ca="1">IF((A1)=(2),"",IF((55)=(AC4),IF(IF((INDEX(B1:XFD1,((A3)+(1))+(0)))=("store"),(INDEX(B1:XFD1,((A3)+(1))+(1)))=("AC"),"false"),B3,AC59),AC59))</f>
        <v>#VALUE!</v>
      </c>
      <c r="AD59" t="e">
        <f ca="1">IF((A1)=(2),"",IF((55)=(AD4),IF(IF((INDEX(B1:XFD1,((A3)+(1))+(0)))=("store"),(INDEX(B1:XFD1,((A3)+(1))+(1)))=("AD"),"false"),B3,AD59),AD59))</f>
        <v>#VALUE!</v>
      </c>
    </row>
    <row r="60" spans="1:30" x14ac:dyDescent="0.25">
      <c r="A60" t="e">
        <f ca="1">IF((A1)=(2),"",IF((56)=(A4),IF(("call")=(INDEX(B1:XFD1,((A3)+(1))+(0))),(B3)*(2),IF(("goto")=(INDEX(B1:XFD1,((A3)+(1))+(0))),(INDEX(B1:XFD1,((A3)+(1))+(1)))*(2),IF(("gotoiftrue")=(INDEX(B1:XFD1,((A3)+(1))+(0))),IF(B3,(INDEX(B1:XFD1,((A3)+(1))+(1)))*(2),(A60)+(2)),(A60)+(2)))),A60))</f>
        <v>#VALUE!</v>
      </c>
      <c r="B60" t="e">
        <f ca="1">IF((A1)=(2),"",IF((56)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60)+(1)),IF(("add")=(INDEX(B1:XFD1,((A3)+(1))+(0))),(INDEX(B5:B405,(B4)+(1)))+(B60),IF(("equals")=(INDEX(B1:XFD1,((A3)+(1))+(0))),(INDEX(B5:B405,(B4)+(1)))=(B60),IF(("leq")=(INDEX(B1:XFD1,((A3)+(1))+(0))),(INDEX(B5:B405,(B4)+(1)))&lt;=(B60),IF(("greater")=(INDEX(B1:XFD1,((A3)+(1))+(0))),(INDEX(B5:B405,(B4)+(1)))&gt;(B60),IF(("mod")=(INDEX(B1:XFD1,((A3)+(1))+(0))),MOD(INDEX(B5:B405,(B4)+(1)),B60),B60))))))))),B60))</f>
        <v>#VALUE!</v>
      </c>
      <c r="C60" t="e">
        <f ca="1">IF((A1)=(2),1,IF(AND((INDEX(B1:XFD1,((A3)+(1))+(0)))=("writeheap"),(INDEX(B5:B405,(B4)+(1)))=(55)),INDEX(B5:B405,(B4)+(2)),IF((A1)=(2),"",IF((56)=(C4),C60,C60))))</f>
        <v>#VALUE!</v>
      </c>
      <c r="F60" t="e">
        <f ca="1">IF((A1)=(2),"",IF((56)=(F4),IF(IF((INDEX(B1:XFD1,((A3)+(1))+(0)))=("store"),(INDEX(B1:XFD1,((A3)+(1))+(1)))=("F"),"false"),B3,F60),F60))</f>
        <v>#VALUE!</v>
      </c>
      <c r="G60" t="e">
        <f ca="1">IF((A1)=(2),"",IF((56)=(G4),IF(IF((INDEX(B1:XFD1,((A3)+(1))+(0)))=("store"),(INDEX(B1:XFD1,((A3)+(1))+(1)))=("G"),"false"),B3,G60),G60))</f>
        <v>#VALUE!</v>
      </c>
      <c r="H60" t="e">
        <f ca="1">IF((A1)=(2),"",IF((56)=(H4),IF(IF((INDEX(B1:XFD1,((A3)+(1))+(0)))=("store"),(INDEX(B1:XFD1,((A3)+(1))+(1)))=("H"),"false"),B3,H60),H60))</f>
        <v>#VALUE!</v>
      </c>
      <c r="I60" t="e">
        <f ca="1">IF((A1)=(2),"",IF((56)=(I4),IF(IF((INDEX(B1:XFD1,((A3)+(1))+(0)))=("store"),(INDEX(B1:XFD1,((A3)+(1))+(1)))=("I"),"false"),B3,I60),I60))</f>
        <v>#VALUE!</v>
      </c>
      <c r="J60" t="e">
        <f ca="1">IF((A1)=(2),"",IF((56)=(J4),IF(IF((INDEX(B1:XFD1,((A3)+(1))+(0)))=("store"),(INDEX(B1:XFD1,((A3)+(1))+(1)))=("J"),"false"),B3,J60),J60))</f>
        <v>#VALUE!</v>
      </c>
      <c r="K60" t="e">
        <f ca="1">IF((A1)=(2),"",IF((56)=(K4),IF(IF((INDEX(B1:XFD1,((A3)+(1))+(0)))=("store"),(INDEX(B1:XFD1,((A3)+(1))+(1)))=("K"),"false"),B3,K60),K60))</f>
        <v>#VALUE!</v>
      </c>
      <c r="L60" t="e">
        <f ca="1">IF((A1)=(2),"",IF((56)=(L4),IF(IF((INDEX(B1:XFD1,((A3)+(1))+(0)))=("store"),(INDEX(B1:XFD1,((A3)+(1))+(1)))=("L"),"false"),B3,L60),L60))</f>
        <v>#VALUE!</v>
      </c>
      <c r="M60" t="e">
        <f ca="1">IF((A1)=(2),"",IF((56)=(M4),IF(IF((INDEX(B1:XFD1,((A3)+(1))+(0)))=("store"),(INDEX(B1:XFD1,((A3)+(1))+(1)))=("M"),"false"),B3,M60),M60))</f>
        <v>#VALUE!</v>
      </c>
      <c r="N60" t="e">
        <f ca="1">IF((A1)=(2),"",IF((56)=(N4),IF(IF((INDEX(B1:XFD1,((A3)+(1))+(0)))=("store"),(INDEX(B1:XFD1,((A3)+(1))+(1)))=("N"),"false"),B3,N60),N60))</f>
        <v>#VALUE!</v>
      </c>
      <c r="O60" t="e">
        <f ca="1">IF((A1)=(2),"",IF((56)=(O4),IF(IF((INDEX(B1:XFD1,((A3)+(1))+(0)))=("store"),(INDEX(B1:XFD1,((A3)+(1))+(1)))=("O"),"false"),B3,O60),O60))</f>
        <v>#VALUE!</v>
      </c>
      <c r="P60" t="e">
        <f ca="1">IF((A1)=(2),"",IF((56)=(P4),IF(IF((INDEX(B1:XFD1,((A3)+(1))+(0)))=("store"),(INDEX(B1:XFD1,((A3)+(1))+(1)))=("P"),"false"),B3,P60),P60))</f>
        <v>#VALUE!</v>
      </c>
      <c r="Q60" t="e">
        <f ca="1">IF((A1)=(2),"",IF((56)=(Q4),IF(IF((INDEX(B1:XFD1,((A3)+(1))+(0)))=("store"),(INDEX(B1:XFD1,((A3)+(1))+(1)))=("Q"),"false"),B3,Q60),Q60))</f>
        <v>#VALUE!</v>
      </c>
      <c r="R60" t="e">
        <f ca="1">IF((A1)=(2),"",IF((56)=(R4),IF(IF((INDEX(B1:XFD1,((A3)+(1))+(0)))=("store"),(INDEX(B1:XFD1,((A3)+(1))+(1)))=("R"),"false"),B3,R60),R60))</f>
        <v>#VALUE!</v>
      </c>
      <c r="S60" t="e">
        <f ca="1">IF((A1)=(2),"",IF((56)=(S4),IF(IF((INDEX(B1:XFD1,((A3)+(1))+(0)))=("store"),(INDEX(B1:XFD1,((A3)+(1))+(1)))=("S"),"false"),B3,S60),S60))</f>
        <v>#VALUE!</v>
      </c>
      <c r="T60" t="e">
        <f ca="1">IF((A1)=(2),"",IF((56)=(T4),IF(IF((INDEX(B1:XFD1,((A3)+(1))+(0)))=("store"),(INDEX(B1:XFD1,((A3)+(1))+(1)))=("T"),"false"),B3,T60),T60))</f>
        <v>#VALUE!</v>
      </c>
      <c r="U60" t="e">
        <f ca="1">IF((A1)=(2),"",IF((56)=(U4),IF(IF((INDEX(B1:XFD1,((A3)+(1))+(0)))=("store"),(INDEX(B1:XFD1,((A3)+(1))+(1)))=("U"),"false"),B3,U60),U60))</f>
        <v>#VALUE!</v>
      </c>
      <c r="V60" t="e">
        <f ca="1">IF((A1)=(2),"",IF((56)=(V4),IF(IF((INDEX(B1:XFD1,((A3)+(1))+(0)))=("store"),(INDEX(B1:XFD1,((A3)+(1))+(1)))=("V"),"false"),B3,V60),V60))</f>
        <v>#VALUE!</v>
      </c>
      <c r="W60" t="e">
        <f ca="1">IF((A1)=(2),"",IF((56)=(W4),IF(IF((INDEX(B1:XFD1,((A3)+(1))+(0)))=("store"),(INDEX(B1:XFD1,((A3)+(1))+(1)))=("W"),"false"),B3,W60),W60))</f>
        <v>#VALUE!</v>
      </c>
      <c r="X60" t="e">
        <f ca="1">IF((A1)=(2),"",IF((56)=(X4),IF(IF((INDEX(B1:XFD1,((A3)+(1))+(0)))=("store"),(INDEX(B1:XFD1,((A3)+(1))+(1)))=("X"),"false"),B3,X60),X60))</f>
        <v>#VALUE!</v>
      </c>
      <c r="Y60" t="e">
        <f ca="1">IF((A1)=(2),"",IF((56)=(Y4),IF(IF((INDEX(B1:XFD1,((A3)+(1))+(0)))=("store"),(INDEX(B1:XFD1,((A3)+(1))+(1)))=("Y"),"false"),B3,Y60),Y60))</f>
        <v>#VALUE!</v>
      </c>
      <c r="Z60" t="e">
        <f ca="1">IF((A1)=(2),"",IF((56)=(Z4),IF(IF((INDEX(B1:XFD1,((A3)+(1))+(0)))=("store"),(INDEX(B1:XFD1,((A3)+(1))+(1)))=("Z"),"false"),B3,Z60),Z60))</f>
        <v>#VALUE!</v>
      </c>
      <c r="AA60" t="e">
        <f ca="1">IF((A1)=(2),"",IF((56)=(AA4),IF(IF((INDEX(B1:XFD1,((A3)+(1))+(0)))=("store"),(INDEX(B1:XFD1,((A3)+(1))+(1)))=("AA"),"false"),B3,AA60),AA60))</f>
        <v>#VALUE!</v>
      </c>
      <c r="AB60" t="e">
        <f ca="1">IF((A1)=(2),"",IF((56)=(AB4),IF(IF((INDEX(B1:XFD1,((A3)+(1))+(0)))=("store"),(INDEX(B1:XFD1,((A3)+(1))+(1)))=("AB"),"false"),B3,AB60),AB60))</f>
        <v>#VALUE!</v>
      </c>
      <c r="AC60" t="e">
        <f ca="1">IF((A1)=(2),"",IF((56)=(AC4),IF(IF((INDEX(B1:XFD1,((A3)+(1))+(0)))=("store"),(INDEX(B1:XFD1,((A3)+(1))+(1)))=("AC"),"false"),B3,AC60),AC60))</f>
        <v>#VALUE!</v>
      </c>
      <c r="AD60" t="e">
        <f ca="1">IF((A1)=(2),"",IF((56)=(AD4),IF(IF((INDEX(B1:XFD1,((A3)+(1))+(0)))=("store"),(INDEX(B1:XFD1,((A3)+(1))+(1)))=("AD"),"false"),B3,AD60),AD60))</f>
        <v>#VALUE!</v>
      </c>
    </row>
    <row r="61" spans="1:30" x14ac:dyDescent="0.25">
      <c r="A61" t="e">
        <f ca="1">IF((A1)=(2),"",IF((57)=(A4),IF(("call")=(INDEX(B1:XFD1,((A3)+(1))+(0))),(B3)*(2),IF(("goto")=(INDEX(B1:XFD1,((A3)+(1))+(0))),(INDEX(B1:XFD1,((A3)+(1))+(1)))*(2),IF(("gotoiftrue")=(INDEX(B1:XFD1,((A3)+(1))+(0))),IF(B3,(INDEX(B1:XFD1,((A3)+(1))+(1)))*(2),(A61)+(2)),(A61)+(2)))),A61))</f>
        <v>#VALUE!</v>
      </c>
      <c r="B61" t="e">
        <f ca="1">IF((A1)=(2),"",IF((57)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61)+(1)),IF(("add")=(INDEX(B1:XFD1,((A3)+(1))+(0))),(INDEX(B5:B405,(B4)+(1)))+(B61),IF(("equals")=(INDEX(B1:XFD1,((A3)+(1))+(0))),(INDEX(B5:B405,(B4)+(1)))=(B61),IF(("leq")=(INDEX(B1:XFD1,((A3)+(1))+(0))),(INDEX(B5:B405,(B4)+(1)))&lt;=(B61),IF(("greater")=(INDEX(B1:XFD1,((A3)+(1))+(0))),(INDEX(B5:B405,(B4)+(1)))&gt;(B61),IF(("mod")=(INDEX(B1:XFD1,((A3)+(1))+(0))),MOD(INDEX(B5:B405,(B4)+(1)),B61),B61))))))))),B61))</f>
        <v>#VALUE!</v>
      </c>
      <c r="C61" t="e">
        <f ca="1">IF((A1)=(2),1,IF(AND((INDEX(B1:XFD1,((A3)+(1))+(0)))=("writeheap"),(INDEX(B5:B405,(B4)+(1)))=(56)),INDEX(B5:B405,(B4)+(2)),IF((A1)=(2),"",IF((57)=(C4),C61,C61))))</f>
        <v>#VALUE!</v>
      </c>
      <c r="F61" t="e">
        <f ca="1">IF((A1)=(2),"",IF((57)=(F4),IF(IF((INDEX(B1:XFD1,((A3)+(1))+(0)))=("store"),(INDEX(B1:XFD1,((A3)+(1))+(1)))=("F"),"false"),B3,F61),F61))</f>
        <v>#VALUE!</v>
      </c>
      <c r="G61" t="e">
        <f ca="1">IF((A1)=(2),"",IF((57)=(G4),IF(IF((INDEX(B1:XFD1,((A3)+(1))+(0)))=("store"),(INDEX(B1:XFD1,((A3)+(1))+(1)))=("G"),"false"),B3,G61),G61))</f>
        <v>#VALUE!</v>
      </c>
      <c r="H61" t="e">
        <f ca="1">IF((A1)=(2),"",IF((57)=(H4),IF(IF((INDEX(B1:XFD1,((A3)+(1))+(0)))=("store"),(INDEX(B1:XFD1,((A3)+(1))+(1)))=("H"),"false"),B3,H61),H61))</f>
        <v>#VALUE!</v>
      </c>
      <c r="I61" t="e">
        <f ca="1">IF((A1)=(2),"",IF((57)=(I4),IF(IF((INDEX(B1:XFD1,((A3)+(1))+(0)))=("store"),(INDEX(B1:XFD1,((A3)+(1))+(1)))=("I"),"false"),B3,I61),I61))</f>
        <v>#VALUE!</v>
      </c>
      <c r="J61" t="e">
        <f ca="1">IF((A1)=(2),"",IF((57)=(J4),IF(IF((INDEX(B1:XFD1,((A3)+(1))+(0)))=("store"),(INDEX(B1:XFD1,((A3)+(1))+(1)))=("J"),"false"),B3,J61),J61))</f>
        <v>#VALUE!</v>
      </c>
      <c r="K61" t="e">
        <f ca="1">IF((A1)=(2),"",IF((57)=(K4),IF(IF((INDEX(B1:XFD1,((A3)+(1))+(0)))=("store"),(INDEX(B1:XFD1,((A3)+(1))+(1)))=("K"),"false"),B3,K61),K61))</f>
        <v>#VALUE!</v>
      </c>
      <c r="L61" t="e">
        <f ca="1">IF((A1)=(2),"",IF((57)=(L4),IF(IF((INDEX(B1:XFD1,((A3)+(1))+(0)))=("store"),(INDEX(B1:XFD1,((A3)+(1))+(1)))=("L"),"false"),B3,L61),L61))</f>
        <v>#VALUE!</v>
      </c>
      <c r="M61" t="e">
        <f ca="1">IF((A1)=(2),"",IF((57)=(M4),IF(IF((INDEX(B1:XFD1,((A3)+(1))+(0)))=("store"),(INDEX(B1:XFD1,((A3)+(1))+(1)))=("M"),"false"),B3,M61),M61))</f>
        <v>#VALUE!</v>
      </c>
      <c r="N61" t="e">
        <f ca="1">IF((A1)=(2),"",IF((57)=(N4),IF(IF((INDEX(B1:XFD1,((A3)+(1))+(0)))=("store"),(INDEX(B1:XFD1,((A3)+(1))+(1)))=("N"),"false"),B3,N61),N61))</f>
        <v>#VALUE!</v>
      </c>
      <c r="O61" t="e">
        <f ca="1">IF((A1)=(2),"",IF((57)=(O4),IF(IF((INDEX(B1:XFD1,((A3)+(1))+(0)))=("store"),(INDEX(B1:XFD1,((A3)+(1))+(1)))=("O"),"false"),B3,O61),O61))</f>
        <v>#VALUE!</v>
      </c>
      <c r="P61" t="e">
        <f ca="1">IF((A1)=(2),"",IF((57)=(P4),IF(IF((INDEX(B1:XFD1,((A3)+(1))+(0)))=("store"),(INDEX(B1:XFD1,((A3)+(1))+(1)))=("P"),"false"),B3,P61),P61))</f>
        <v>#VALUE!</v>
      </c>
      <c r="Q61" t="e">
        <f ca="1">IF((A1)=(2),"",IF((57)=(Q4),IF(IF((INDEX(B1:XFD1,((A3)+(1))+(0)))=("store"),(INDEX(B1:XFD1,((A3)+(1))+(1)))=("Q"),"false"),B3,Q61),Q61))</f>
        <v>#VALUE!</v>
      </c>
      <c r="R61" t="e">
        <f ca="1">IF((A1)=(2),"",IF((57)=(R4),IF(IF((INDEX(B1:XFD1,((A3)+(1))+(0)))=("store"),(INDEX(B1:XFD1,((A3)+(1))+(1)))=("R"),"false"),B3,R61),R61))</f>
        <v>#VALUE!</v>
      </c>
      <c r="S61" t="e">
        <f ca="1">IF((A1)=(2),"",IF((57)=(S4),IF(IF((INDEX(B1:XFD1,((A3)+(1))+(0)))=("store"),(INDEX(B1:XFD1,((A3)+(1))+(1)))=("S"),"false"),B3,S61),S61))</f>
        <v>#VALUE!</v>
      </c>
      <c r="T61" t="e">
        <f ca="1">IF((A1)=(2),"",IF((57)=(T4),IF(IF((INDEX(B1:XFD1,((A3)+(1))+(0)))=("store"),(INDEX(B1:XFD1,((A3)+(1))+(1)))=("T"),"false"),B3,T61),T61))</f>
        <v>#VALUE!</v>
      </c>
      <c r="U61" t="e">
        <f ca="1">IF((A1)=(2),"",IF((57)=(U4),IF(IF((INDEX(B1:XFD1,((A3)+(1))+(0)))=("store"),(INDEX(B1:XFD1,((A3)+(1))+(1)))=("U"),"false"),B3,U61),U61))</f>
        <v>#VALUE!</v>
      </c>
      <c r="V61" t="e">
        <f ca="1">IF((A1)=(2),"",IF((57)=(V4),IF(IF((INDEX(B1:XFD1,((A3)+(1))+(0)))=("store"),(INDEX(B1:XFD1,((A3)+(1))+(1)))=("V"),"false"),B3,V61),V61))</f>
        <v>#VALUE!</v>
      </c>
      <c r="W61" t="e">
        <f ca="1">IF((A1)=(2),"",IF((57)=(W4),IF(IF((INDEX(B1:XFD1,((A3)+(1))+(0)))=("store"),(INDEX(B1:XFD1,((A3)+(1))+(1)))=("W"),"false"),B3,W61),W61))</f>
        <v>#VALUE!</v>
      </c>
      <c r="X61" t="e">
        <f ca="1">IF((A1)=(2),"",IF((57)=(X4),IF(IF((INDEX(B1:XFD1,((A3)+(1))+(0)))=("store"),(INDEX(B1:XFD1,((A3)+(1))+(1)))=("X"),"false"),B3,X61),X61))</f>
        <v>#VALUE!</v>
      </c>
      <c r="Y61" t="e">
        <f ca="1">IF((A1)=(2),"",IF((57)=(Y4),IF(IF((INDEX(B1:XFD1,((A3)+(1))+(0)))=("store"),(INDEX(B1:XFD1,((A3)+(1))+(1)))=("Y"),"false"),B3,Y61),Y61))</f>
        <v>#VALUE!</v>
      </c>
      <c r="Z61" t="e">
        <f ca="1">IF((A1)=(2),"",IF((57)=(Z4),IF(IF((INDEX(B1:XFD1,((A3)+(1))+(0)))=("store"),(INDEX(B1:XFD1,((A3)+(1))+(1)))=("Z"),"false"),B3,Z61),Z61))</f>
        <v>#VALUE!</v>
      </c>
      <c r="AA61" t="e">
        <f ca="1">IF((A1)=(2),"",IF((57)=(AA4),IF(IF((INDEX(B1:XFD1,((A3)+(1))+(0)))=("store"),(INDEX(B1:XFD1,((A3)+(1))+(1)))=("AA"),"false"),B3,AA61),AA61))</f>
        <v>#VALUE!</v>
      </c>
      <c r="AB61" t="e">
        <f ca="1">IF((A1)=(2),"",IF((57)=(AB4),IF(IF((INDEX(B1:XFD1,((A3)+(1))+(0)))=("store"),(INDEX(B1:XFD1,((A3)+(1))+(1)))=("AB"),"false"),B3,AB61),AB61))</f>
        <v>#VALUE!</v>
      </c>
      <c r="AC61" t="e">
        <f ca="1">IF((A1)=(2),"",IF((57)=(AC4),IF(IF((INDEX(B1:XFD1,((A3)+(1))+(0)))=("store"),(INDEX(B1:XFD1,((A3)+(1))+(1)))=("AC"),"false"),B3,AC61),AC61))</f>
        <v>#VALUE!</v>
      </c>
      <c r="AD61" t="e">
        <f ca="1">IF((A1)=(2),"",IF((57)=(AD4),IF(IF((INDEX(B1:XFD1,((A3)+(1))+(0)))=("store"),(INDEX(B1:XFD1,((A3)+(1))+(1)))=("AD"),"false"),B3,AD61),AD61))</f>
        <v>#VALUE!</v>
      </c>
    </row>
    <row r="62" spans="1:30" x14ac:dyDescent="0.25">
      <c r="A62" t="e">
        <f ca="1">IF((A1)=(2),"",IF((58)=(A4),IF(("call")=(INDEX(B1:XFD1,((A3)+(1))+(0))),(B3)*(2),IF(("goto")=(INDEX(B1:XFD1,((A3)+(1))+(0))),(INDEX(B1:XFD1,((A3)+(1))+(1)))*(2),IF(("gotoiftrue")=(INDEX(B1:XFD1,((A3)+(1))+(0))),IF(B3,(INDEX(B1:XFD1,((A3)+(1))+(1)))*(2),(A62)+(2)),(A62)+(2)))),A62))</f>
        <v>#VALUE!</v>
      </c>
      <c r="B62" t="e">
        <f ca="1">IF((A1)=(2),"",IF((58)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62)+(1)),IF(("add")=(INDEX(B1:XFD1,((A3)+(1))+(0))),(INDEX(B5:B405,(B4)+(1)))+(B62),IF(("equals")=(INDEX(B1:XFD1,((A3)+(1))+(0))),(INDEX(B5:B405,(B4)+(1)))=(B62),IF(("leq")=(INDEX(B1:XFD1,((A3)+(1))+(0))),(INDEX(B5:B405,(B4)+(1)))&lt;=(B62),IF(("greater")=(INDEX(B1:XFD1,((A3)+(1))+(0))),(INDEX(B5:B405,(B4)+(1)))&gt;(B62),IF(("mod")=(INDEX(B1:XFD1,((A3)+(1))+(0))),MOD(INDEX(B5:B405,(B4)+(1)),B62),B62))))))))),B62))</f>
        <v>#VALUE!</v>
      </c>
      <c r="C62" t="e">
        <f ca="1">IF((A1)=(2),1,IF(AND((INDEX(B1:XFD1,((A3)+(1))+(0)))=("writeheap"),(INDEX(B5:B405,(B4)+(1)))=(57)),INDEX(B5:B405,(B4)+(2)),IF((A1)=(2),"",IF((58)=(C4),C62,C62))))</f>
        <v>#VALUE!</v>
      </c>
      <c r="F62" t="e">
        <f ca="1">IF((A1)=(2),"",IF((58)=(F4),IF(IF((INDEX(B1:XFD1,((A3)+(1))+(0)))=("store"),(INDEX(B1:XFD1,((A3)+(1))+(1)))=("F"),"false"),B3,F62),F62))</f>
        <v>#VALUE!</v>
      </c>
      <c r="G62" t="e">
        <f ca="1">IF((A1)=(2),"",IF((58)=(G4),IF(IF((INDEX(B1:XFD1,((A3)+(1))+(0)))=("store"),(INDEX(B1:XFD1,((A3)+(1))+(1)))=("G"),"false"),B3,G62),G62))</f>
        <v>#VALUE!</v>
      </c>
      <c r="H62" t="e">
        <f ca="1">IF((A1)=(2),"",IF((58)=(H4),IF(IF((INDEX(B1:XFD1,((A3)+(1))+(0)))=("store"),(INDEX(B1:XFD1,((A3)+(1))+(1)))=("H"),"false"),B3,H62),H62))</f>
        <v>#VALUE!</v>
      </c>
      <c r="I62" t="e">
        <f ca="1">IF((A1)=(2),"",IF((58)=(I4),IF(IF((INDEX(B1:XFD1,((A3)+(1))+(0)))=("store"),(INDEX(B1:XFD1,((A3)+(1))+(1)))=("I"),"false"),B3,I62),I62))</f>
        <v>#VALUE!</v>
      </c>
      <c r="J62" t="e">
        <f ca="1">IF((A1)=(2),"",IF((58)=(J4),IF(IF((INDEX(B1:XFD1,((A3)+(1))+(0)))=("store"),(INDEX(B1:XFD1,((A3)+(1))+(1)))=("J"),"false"),B3,J62),J62))</f>
        <v>#VALUE!</v>
      </c>
      <c r="K62" t="e">
        <f ca="1">IF((A1)=(2),"",IF((58)=(K4),IF(IF((INDEX(B1:XFD1,((A3)+(1))+(0)))=("store"),(INDEX(B1:XFD1,((A3)+(1))+(1)))=("K"),"false"),B3,K62),K62))</f>
        <v>#VALUE!</v>
      </c>
      <c r="L62" t="e">
        <f ca="1">IF((A1)=(2),"",IF((58)=(L4),IF(IF((INDEX(B1:XFD1,((A3)+(1))+(0)))=("store"),(INDEX(B1:XFD1,((A3)+(1))+(1)))=("L"),"false"),B3,L62),L62))</f>
        <v>#VALUE!</v>
      </c>
      <c r="M62" t="e">
        <f ca="1">IF((A1)=(2),"",IF((58)=(M4),IF(IF((INDEX(B1:XFD1,((A3)+(1))+(0)))=("store"),(INDEX(B1:XFD1,((A3)+(1))+(1)))=("M"),"false"),B3,M62),M62))</f>
        <v>#VALUE!</v>
      </c>
      <c r="N62" t="e">
        <f ca="1">IF((A1)=(2),"",IF((58)=(N4),IF(IF((INDEX(B1:XFD1,((A3)+(1))+(0)))=("store"),(INDEX(B1:XFD1,((A3)+(1))+(1)))=("N"),"false"),B3,N62),N62))</f>
        <v>#VALUE!</v>
      </c>
      <c r="O62" t="e">
        <f ca="1">IF((A1)=(2),"",IF((58)=(O4),IF(IF((INDEX(B1:XFD1,((A3)+(1))+(0)))=("store"),(INDEX(B1:XFD1,((A3)+(1))+(1)))=("O"),"false"),B3,O62),O62))</f>
        <v>#VALUE!</v>
      </c>
      <c r="P62" t="e">
        <f ca="1">IF((A1)=(2),"",IF((58)=(P4),IF(IF((INDEX(B1:XFD1,((A3)+(1))+(0)))=("store"),(INDEX(B1:XFD1,((A3)+(1))+(1)))=("P"),"false"),B3,P62),P62))</f>
        <v>#VALUE!</v>
      </c>
      <c r="Q62" t="e">
        <f ca="1">IF((A1)=(2),"",IF((58)=(Q4),IF(IF((INDEX(B1:XFD1,((A3)+(1))+(0)))=("store"),(INDEX(B1:XFD1,((A3)+(1))+(1)))=("Q"),"false"),B3,Q62),Q62))</f>
        <v>#VALUE!</v>
      </c>
      <c r="R62" t="e">
        <f ca="1">IF((A1)=(2),"",IF((58)=(R4),IF(IF((INDEX(B1:XFD1,((A3)+(1))+(0)))=("store"),(INDEX(B1:XFD1,((A3)+(1))+(1)))=("R"),"false"),B3,R62),R62))</f>
        <v>#VALUE!</v>
      </c>
      <c r="S62" t="e">
        <f ca="1">IF((A1)=(2),"",IF((58)=(S4),IF(IF((INDEX(B1:XFD1,((A3)+(1))+(0)))=("store"),(INDEX(B1:XFD1,((A3)+(1))+(1)))=("S"),"false"),B3,S62),S62))</f>
        <v>#VALUE!</v>
      </c>
      <c r="T62" t="e">
        <f ca="1">IF((A1)=(2),"",IF((58)=(T4),IF(IF((INDEX(B1:XFD1,((A3)+(1))+(0)))=("store"),(INDEX(B1:XFD1,((A3)+(1))+(1)))=("T"),"false"),B3,T62),T62))</f>
        <v>#VALUE!</v>
      </c>
      <c r="U62" t="e">
        <f ca="1">IF((A1)=(2),"",IF((58)=(U4),IF(IF((INDEX(B1:XFD1,((A3)+(1))+(0)))=("store"),(INDEX(B1:XFD1,((A3)+(1))+(1)))=("U"),"false"),B3,U62),U62))</f>
        <v>#VALUE!</v>
      </c>
      <c r="V62" t="e">
        <f ca="1">IF((A1)=(2),"",IF((58)=(V4),IF(IF((INDEX(B1:XFD1,((A3)+(1))+(0)))=("store"),(INDEX(B1:XFD1,((A3)+(1))+(1)))=("V"),"false"),B3,V62),V62))</f>
        <v>#VALUE!</v>
      </c>
      <c r="W62" t="e">
        <f ca="1">IF((A1)=(2),"",IF((58)=(W4),IF(IF((INDEX(B1:XFD1,((A3)+(1))+(0)))=("store"),(INDEX(B1:XFD1,((A3)+(1))+(1)))=("W"),"false"),B3,W62),W62))</f>
        <v>#VALUE!</v>
      </c>
      <c r="X62" t="e">
        <f ca="1">IF((A1)=(2),"",IF((58)=(X4),IF(IF((INDEX(B1:XFD1,((A3)+(1))+(0)))=("store"),(INDEX(B1:XFD1,((A3)+(1))+(1)))=("X"),"false"),B3,X62),X62))</f>
        <v>#VALUE!</v>
      </c>
      <c r="Y62" t="e">
        <f ca="1">IF((A1)=(2),"",IF((58)=(Y4),IF(IF((INDEX(B1:XFD1,((A3)+(1))+(0)))=("store"),(INDEX(B1:XFD1,((A3)+(1))+(1)))=("Y"),"false"),B3,Y62),Y62))</f>
        <v>#VALUE!</v>
      </c>
      <c r="Z62" t="e">
        <f ca="1">IF((A1)=(2),"",IF((58)=(Z4),IF(IF((INDEX(B1:XFD1,((A3)+(1))+(0)))=("store"),(INDEX(B1:XFD1,((A3)+(1))+(1)))=("Z"),"false"),B3,Z62),Z62))</f>
        <v>#VALUE!</v>
      </c>
      <c r="AA62" t="e">
        <f ca="1">IF((A1)=(2),"",IF((58)=(AA4),IF(IF((INDEX(B1:XFD1,((A3)+(1))+(0)))=("store"),(INDEX(B1:XFD1,((A3)+(1))+(1)))=("AA"),"false"),B3,AA62),AA62))</f>
        <v>#VALUE!</v>
      </c>
      <c r="AB62" t="e">
        <f ca="1">IF((A1)=(2),"",IF((58)=(AB4),IF(IF((INDEX(B1:XFD1,((A3)+(1))+(0)))=("store"),(INDEX(B1:XFD1,((A3)+(1))+(1)))=("AB"),"false"),B3,AB62),AB62))</f>
        <v>#VALUE!</v>
      </c>
      <c r="AC62" t="e">
        <f ca="1">IF((A1)=(2),"",IF((58)=(AC4),IF(IF((INDEX(B1:XFD1,((A3)+(1))+(0)))=("store"),(INDEX(B1:XFD1,((A3)+(1))+(1)))=("AC"),"false"),B3,AC62),AC62))</f>
        <v>#VALUE!</v>
      </c>
      <c r="AD62" t="e">
        <f ca="1">IF((A1)=(2),"",IF((58)=(AD4),IF(IF((INDEX(B1:XFD1,((A3)+(1))+(0)))=("store"),(INDEX(B1:XFD1,((A3)+(1))+(1)))=("AD"),"false"),B3,AD62),AD62))</f>
        <v>#VALUE!</v>
      </c>
    </row>
    <row r="63" spans="1:30" x14ac:dyDescent="0.25">
      <c r="A63" t="e">
        <f ca="1">IF((A1)=(2),"",IF((59)=(A4),IF(("call")=(INDEX(B1:XFD1,((A3)+(1))+(0))),(B3)*(2),IF(("goto")=(INDEX(B1:XFD1,((A3)+(1))+(0))),(INDEX(B1:XFD1,((A3)+(1))+(1)))*(2),IF(("gotoiftrue")=(INDEX(B1:XFD1,((A3)+(1))+(0))),IF(B3,(INDEX(B1:XFD1,((A3)+(1))+(1)))*(2),(A63)+(2)),(A63)+(2)))),A63))</f>
        <v>#VALUE!</v>
      </c>
      <c r="B63" t="e">
        <f ca="1">IF((A1)=(2),"",IF((59)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63)+(1)),IF(("add")=(INDEX(B1:XFD1,((A3)+(1))+(0))),(INDEX(B5:B405,(B4)+(1)))+(B63),IF(("equals")=(INDEX(B1:XFD1,((A3)+(1))+(0))),(INDEX(B5:B405,(B4)+(1)))=(B63),IF(("leq")=(INDEX(B1:XFD1,((A3)+(1))+(0))),(INDEX(B5:B405,(B4)+(1)))&lt;=(B63),IF(("greater")=(INDEX(B1:XFD1,((A3)+(1))+(0))),(INDEX(B5:B405,(B4)+(1)))&gt;(B63),IF(("mod")=(INDEX(B1:XFD1,((A3)+(1))+(0))),MOD(INDEX(B5:B405,(B4)+(1)),B63),B63))))))))),B63))</f>
        <v>#VALUE!</v>
      </c>
      <c r="C63" t="e">
        <f ca="1">IF((A1)=(2),1,IF(AND((INDEX(B1:XFD1,((A3)+(1))+(0)))=("writeheap"),(INDEX(B5:B405,(B4)+(1)))=(58)),INDEX(B5:B405,(B4)+(2)),IF((A1)=(2),"",IF((59)=(C4),C63,C63))))</f>
        <v>#VALUE!</v>
      </c>
      <c r="F63" t="e">
        <f ca="1">IF((A1)=(2),"",IF((59)=(F4),IF(IF((INDEX(B1:XFD1,((A3)+(1))+(0)))=("store"),(INDEX(B1:XFD1,((A3)+(1))+(1)))=("F"),"false"),B3,F63),F63))</f>
        <v>#VALUE!</v>
      </c>
      <c r="G63" t="e">
        <f ca="1">IF((A1)=(2),"",IF((59)=(G4),IF(IF((INDEX(B1:XFD1,((A3)+(1))+(0)))=("store"),(INDEX(B1:XFD1,((A3)+(1))+(1)))=("G"),"false"),B3,G63),G63))</f>
        <v>#VALUE!</v>
      </c>
      <c r="H63" t="e">
        <f ca="1">IF((A1)=(2),"",IF((59)=(H4),IF(IF((INDEX(B1:XFD1,((A3)+(1))+(0)))=("store"),(INDEX(B1:XFD1,((A3)+(1))+(1)))=("H"),"false"),B3,H63),H63))</f>
        <v>#VALUE!</v>
      </c>
      <c r="I63" t="e">
        <f ca="1">IF((A1)=(2),"",IF((59)=(I4),IF(IF((INDEX(B1:XFD1,((A3)+(1))+(0)))=("store"),(INDEX(B1:XFD1,((A3)+(1))+(1)))=("I"),"false"),B3,I63),I63))</f>
        <v>#VALUE!</v>
      </c>
      <c r="J63" t="e">
        <f ca="1">IF((A1)=(2),"",IF((59)=(J4),IF(IF((INDEX(B1:XFD1,((A3)+(1))+(0)))=("store"),(INDEX(B1:XFD1,((A3)+(1))+(1)))=("J"),"false"),B3,J63),J63))</f>
        <v>#VALUE!</v>
      </c>
      <c r="K63" t="e">
        <f ca="1">IF((A1)=(2),"",IF((59)=(K4),IF(IF((INDEX(B1:XFD1,((A3)+(1))+(0)))=("store"),(INDEX(B1:XFD1,((A3)+(1))+(1)))=("K"),"false"),B3,K63),K63))</f>
        <v>#VALUE!</v>
      </c>
      <c r="L63" t="e">
        <f ca="1">IF((A1)=(2),"",IF((59)=(L4),IF(IF((INDEX(B1:XFD1,((A3)+(1))+(0)))=("store"),(INDEX(B1:XFD1,((A3)+(1))+(1)))=("L"),"false"),B3,L63),L63))</f>
        <v>#VALUE!</v>
      </c>
      <c r="M63" t="e">
        <f ca="1">IF((A1)=(2),"",IF((59)=(M4),IF(IF((INDEX(B1:XFD1,((A3)+(1))+(0)))=("store"),(INDEX(B1:XFD1,((A3)+(1))+(1)))=("M"),"false"),B3,M63),M63))</f>
        <v>#VALUE!</v>
      </c>
      <c r="N63" t="e">
        <f ca="1">IF((A1)=(2),"",IF((59)=(N4),IF(IF((INDEX(B1:XFD1,((A3)+(1))+(0)))=("store"),(INDEX(B1:XFD1,((A3)+(1))+(1)))=("N"),"false"),B3,N63),N63))</f>
        <v>#VALUE!</v>
      </c>
      <c r="O63" t="e">
        <f ca="1">IF((A1)=(2),"",IF((59)=(O4),IF(IF((INDEX(B1:XFD1,((A3)+(1))+(0)))=("store"),(INDEX(B1:XFD1,((A3)+(1))+(1)))=("O"),"false"),B3,O63),O63))</f>
        <v>#VALUE!</v>
      </c>
      <c r="P63" t="e">
        <f ca="1">IF((A1)=(2),"",IF((59)=(P4),IF(IF((INDEX(B1:XFD1,((A3)+(1))+(0)))=("store"),(INDEX(B1:XFD1,((A3)+(1))+(1)))=("P"),"false"),B3,P63),P63))</f>
        <v>#VALUE!</v>
      </c>
      <c r="Q63" t="e">
        <f ca="1">IF((A1)=(2),"",IF((59)=(Q4),IF(IF((INDEX(B1:XFD1,((A3)+(1))+(0)))=("store"),(INDEX(B1:XFD1,((A3)+(1))+(1)))=("Q"),"false"),B3,Q63),Q63))</f>
        <v>#VALUE!</v>
      </c>
      <c r="R63" t="e">
        <f ca="1">IF((A1)=(2),"",IF((59)=(R4),IF(IF((INDEX(B1:XFD1,((A3)+(1))+(0)))=("store"),(INDEX(B1:XFD1,((A3)+(1))+(1)))=("R"),"false"),B3,R63),R63))</f>
        <v>#VALUE!</v>
      </c>
      <c r="S63" t="e">
        <f ca="1">IF((A1)=(2),"",IF((59)=(S4),IF(IF((INDEX(B1:XFD1,((A3)+(1))+(0)))=("store"),(INDEX(B1:XFD1,((A3)+(1))+(1)))=("S"),"false"),B3,S63),S63))</f>
        <v>#VALUE!</v>
      </c>
      <c r="T63" t="e">
        <f ca="1">IF((A1)=(2),"",IF((59)=(T4),IF(IF((INDEX(B1:XFD1,((A3)+(1))+(0)))=("store"),(INDEX(B1:XFD1,((A3)+(1))+(1)))=("T"),"false"),B3,T63),T63))</f>
        <v>#VALUE!</v>
      </c>
      <c r="U63" t="e">
        <f ca="1">IF((A1)=(2),"",IF((59)=(U4),IF(IF((INDEX(B1:XFD1,((A3)+(1))+(0)))=("store"),(INDEX(B1:XFD1,((A3)+(1))+(1)))=("U"),"false"),B3,U63),U63))</f>
        <v>#VALUE!</v>
      </c>
      <c r="V63" t="e">
        <f ca="1">IF((A1)=(2),"",IF((59)=(V4),IF(IF((INDEX(B1:XFD1,((A3)+(1))+(0)))=("store"),(INDEX(B1:XFD1,((A3)+(1))+(1)))=("V"),"false"),B3,V63),V63))</f>
        <v>#VALUE!</v>
      </c>
      <c r="W63" t="e">
        <f ca="1">IF((A1)=(2),"",IF((59)=(W4),IF(IF((INDEX(B1:XFD1,((A3)+(1))+(0)))=("store"),(INDEX(B1:XFD1,((A3)+(1))+(1)))=("W"),"false"),B3,W63),W63))</f>
        <v>#VALUE!</v>
      </c>
      <c r="X63" t="e">
        <f ca="1">IF((A1)=(2),"",IF((59)=(X4),IF(IF((INDEX(B1:XFD1,((A3)+(1))+(0)))=("store"),(INDEX(B1:XFD1,((A3)+(1))+(1)))=("X"),"false"),B3,X63),X63))</f>
        <v>#VALUE!</v>
      </c>
      <c r="Y63" t="e">
        <f ca="1">IF((A1)=(2),"",IF((59)=(Y4),IF(IF((INDEX(B1:XFD1,((A3)+(1))+(0)))=("store"),(INDEX(B1:XFD1,((A3)+(1))+(1)))=("Y"),"false"),B3,Y63),Y63))</f>
        <v>#VALUE!</v>
      </c>
      <c r="Z63" t="e">
        <f ca="1">IF((A1)=(2),"",IF((59)=(Z4),IF(IF((INDEX(B1:XFD1,((A3)+(1))+(0)))=("store"),(INDEX(B1:XFD1,((A3)+(1))+(1)))=("Z"),"false"),B3,Z63),Z63))</f>
        <v>#VALUE!</v>
      </c>
      <c r="AA63" t="e">
        <f ca="1">IF((A1)=(2),"",IF((59)=(AA4),IF(IF((INDEX(B1:XFD1,((A3)+(1))+(0)))=("store"),(INDEX(B1:XFD1,((A3)+(1))+(1)))=("AA"),"false"),B3,AA63),AA63))</f>
        <v>#VALUE!</v>
      </c>
      <c r="AB63" t="e">
        <f ca="1">IF((A1)=(2),"",IF((59)=(AB4),IF(IF((INDEX(B1:XFD1,((A3)+(1))+(0)))=("store"),(INDEX(B1:XFD1,((A3)+(1))+(1)))=("AB"),"false"),B3,AB63),AB63))</f>
        <v>#VALUE!</v>
      </c>
      <c r="AC63" t="e">
        <f ca="1">IF((A1)=(2),"",IF((59)=(AC4),IF(IF((INDEX(B1:XFD1,((A3)+(1))+(0)))=("store"),(INDEX(B1:XFD1,((A3)+(1))+(1)))=("AC"),"false"),B3,AC63),AC63))</f>
        <v>#VALUE!</v>
      </c>
      <c r="AD63" t="e">
        <f ca="1">IF((A1)=(2),"",IF((59)=(AD4),IF(IF((INDEX(B1:XFD1,((A3)+(1))+(0)))=("store"),(INDEX(B1:XFD1,((A3)+(1))+(1)))=("AD"),"false"),B3,AD63),AD63))</f>
        <v>#VALUE!</v>
      </c>
    </row>
    <row r="64" spans="1:30" x14ac:dyDescent="0.25">
      <c r="A64" t="e">
        <f ca="1">IF((A1)=(2),"",IF((60)=(A4),IF(("call")=(INDEX(B1:XFD1,((A3)+(1))+(0))),(B3)*(2),IF(("goto")=(INDEX(B1:XFD1,((A3)+(1))+(0))),(INDEX(B1:XFD1,((A3)+(1))+(1)))*(2),IF(("gotoiftrue")=(INDEX(B1:XFD1,((A3)+(1))+(0))),IF(B3,(INDEX(B1:XFD1,((A3)+(1))+(1)))*(2),(A64)+(2)),(A64)+(2)))),A64))</f>
        <v>#VALUE!</v>
      </c>
      <c r="B64" t="e">
        <f ca="1">IF((A1)=(2),"",IF((60)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64)+(1)),IF(("add")=(INDEX(B1:XFD1,((A3)+(1))+(0))),(INDEX(B5:B405,(B4)+(1)))+(B64),IF(("equals")=(INDEX(B1:XFD1,((A3)+(1))+(0))),(INDEX(B5:B405,(B4)+(1)))=(B64),IF(("leq")=(INDEX(B1:XFD1,((A3)+(1))+(0))),(INDEX(B5:B405,(B4)+(1)))&lt;=(B64),IF(("greater")=(INDEX(B1:XFD1,((A3)+(1))+(0))),(INDEX(B5:B405,(B4)+(1)))&gt;(B64),IF(("mod")=(INDEX(B1:XFD1,((A3)+(1))+(0))),MOD(INDEX(B5:B405,(B4)+(1)),B64),B64))))))))),B64))</f>
        <v>#VALUE!</v>
      </c>
      <c r="C64" t="e">
        <f ca="1">IF((A1)=(2),1,IF(AND((INDEX(B1:XFD1,((A3)+(1))+(0)))=("writeheap"),(INDEX(B5:B405,(B4)+(1)))=(59)),INDEX(B5:B405,(B4)+(2)),IF((A1)=(2),"",IF((60)=(C4),C64,C64))))</f>
        <v>#VALUE!</v>
      </c>
      <c r="F64" t="e">
        <f ca="1">IF((A1)=(2),"",IF((60)=(F4),IF(IF((INDEX(B1:XFD1,((A3)+(1))+(0)))=("store"),(INDEX(B1:XFD1,((A3)+(1))+(1)))=("F"),"false"),B3,F64),F64))</f>
        <v>#VALUE!</v>
      </c>
      <c r="G64" t="e">
        <f ca="1">IF((A1)=(2),"",IF((60)=(G4),IF(IF((INDEX(B1:XFD1,((A3)+(1))+(0)))=("store"),(INDEX(B1:XFD1,((A3)+(1))+(1)))=("G"),"false"),B3,G64),G64))</f>
        <v>#VALUE!</v>
      </c>
      <c r="H64" t="e">
        <f ca="1">IF((A1)=(2),"",IF((60)=(H4),IF(IF((INDEX(B1:XFD1,((A3)+(1))+(0)))=("store"),(INDEX(B1:XFD1,((A3)+(1))+(1)))=("H"),"false"),B3,H64),H64))</f>
        <v>#VALUE!</v>
      </c>
      <c r="I64" t="e">
        <f ca="1">IF((A1)=(2),"",IF((60)=(I4),IF(IF((INDEX(B1:XFD1,((A3)+(1))+(0)))=("store"),(INDEX(B1:XFD1,((A3)+(1))+(1)))=("I"),"false"),B3,I64),I64))</f>
        <v>#VALUE!</v>
      </c>
      <c r="J64" t="e">
        <f ca="1">IF((A1)=(2),"",IF((60)=(J4),IF(IF((INDEX(B1:XFD1,((A3)+(1))+(0)))=("store"),(INDEX(B1:XFD1,((A3)+(1))+(1)))=("J"),"false"),B3,J64),J64))</f>
        <v>#VALUE!</v>
      </c>
      <c r="K64" t="e">
        <f ca="1">IF((A1)=(2),"",IF((60)=(K4),IF(IF((INDEX(B1:XFD1,((A3)+(1))+(0)))=("store"),(INDEX(B1:XFD1,((A3)+(1))+(1)))=("K"),"false"),B3,K64),K64))</f>
        <v>#VALUE!</v>
      </c>
      <c r="L64" t="e">
        <f ca="1">IF((A1)=(2),"",IF((60)=(L4),IF(IF((INDEX(B1:XFD1,((A3)+(1))+(0)))=("store"),(INDEX(B1:XFD1,((A3)+(1))+(1)))=("L"),"false"),B3,L64),L64))</f>
        <v>#VALUE!</v>
      </c>
      <c r="M64" t="e">
        <f ca="1">IF((A1)=(2),"",IF((60)=(M4),IF(IF((INDEX(B1:XFD1,((A3)+(1))+(0)))=("store"),(INDEX(B1:XFD1,((A3)+(1))+(1)))=("M"),"false"),B3,M64),M64))</f>
        <v>#VALUE!</v>
      </c>
      <c r="N64" t="e">
        <f ca="1">IF((A1)=(2),"",IF((60)=(N4),IF(IF((INDEX(B1:XFD1,((A3)+(1))+(0)))=("store"),(INDEX(B1:XFD1,((A3)+(1))+(1)))=("N"),"false"),B3,N64),N64))</f>
        <v>#VALUE!</v>
      </c>
      <c r="O64" t="e">
        <f ca="1">IF((A1)=(2),"",IF((60)=(O4),IF(IF((INDEX(B1:XFD1,((A3)+(1))+(0)))=("store"),(INDEX(B1:XFD1,((A3)+(1))+(1)))=("O"),"false"),B3,O64),O64))</f>
        <v>#VALUE!</v>
      </c>
      <c r="P64" t="e">
        <f ca="1">IF((A1)=(2),"",IF((60)=(P4),IF(IF((INDEX(B1:XFD1,((A3)+(1))+(0)))=("store"),(INDEX(B1:XFD1,((A3)+(1))+(1)))=("P"),"false"),B3,P64),P64))</f>
        <v>#VALUE!</v>
      </c>
      <c r="Q64" t="e">
        <f ca="1">IF((A1)=(2),"",IF((60)=(Q4),IF(IF((INDEX(B1:XFD1,((A3)+(1))+(0)))=("store"),(INDEX(B1:XFD1,((A3)+(1))+(1)))=("Q"),"false"),B3,Q64),Q64))</f>
        <v>#VALUE!</v>
      </c>
      <c r="R64" t="e">
        <f ca="1">IF((A1)=(2),"",IF((60)=(R4),IF(IF((INDEX(B1:XFD1,((A3)+(1))+(0)))=("store"),(INDEX(B1:XFD1,((A3)+(1))+(1)))=("R"),"false"),B3,R64),R64))</f>
        <v>#VALUE!</v>
      </c>
      <c r="S64" t="e">
        <f ca="1">IF((A1)=(2),"",IF((60)=(S4),IF(IF((INDEX(B1:XFD1,((A3)+(1))+(0)))=("store"),(INDEX(B1:XFD1,((A3)+(1))+(1)))=("S"),"false"),B3,S64),S64))</f>
        <v>#VALUE!</v>
      </c>
      <c r="T64" t="e">
        <f ca="1">IF((A1)=(2),"",IF((60)=(T4),IF(IF((INDEX(B1:XFD1,((A3)+(1))+(0)))=("store"),(INDEX(B1:XFD1,((A3)+(1))+(1)))=("T"),"false"),B3,T64),T64))</f>
        <v>#VALUE!</v>
      </c>
      <c r="U64" t="e">
        <f ca="1">IF((A1)=(2),"",IF((60)=(U4),IF(IF((INDEX(B1:XFD1,((A3)+(1))+(0)))=("store"),(INDEX(B1:XFD1,((A3)+(1))+(1)))=("U"),"false"),B3,U64),U64))</f>
        <v>#VALUE!</v>
      </c>
      <c r="V64" t="e">
        <f ca="1">IF((A1)=(2),"",IF((60)=(V4),IF(IF((INDEX(B1:XFD1,((A3)+(1))+(0)))=("store"),(INDEX(B1:XFD1,((A3)+(1))+(1)))=("V"),"false"),B3,V64),V64))</f>
        <v>#VALUE!</v>
      </c>
      <c r="W64" t="e">
        <f ca="1">IF((A1)=(2),"",IF((60)=(W4),IF(IF((INDEX(B1:XFD1,((A3)+(1))+(0)))=("store"),(INDEX(B1:XFD1,((A3)+(1))+(1)))=("W"),"false"),B3,W64),W64))</f>
        <v>#VALUE!</v>
      </c>
      <c r="X64" t="e">
        <f ca="1">IF((A1)=(2),"",IF((60)=(X4),IF(IF((INDEX(B1:XFD1,((A3)+(1))+(0)))=("store"),(INDEX(B1:XFD1,((A3)+(1))+(1)))=("X"),"false"),B3,X64),X64))</f>
        <v>#VALUE!</v>
      </c>
      <c r="Y64" t="e">
        <f ca="1">IF((A1)=(2),"",IF((60)=(Y4),IF(IF((INDEX(B1:XFD1,((A3)+(1))+(0)))=("store"),(INDEX(B1:XFD1,((A3)+(1))+(1)))=("Y"),"false"),B3,Y64),Y64))</f>
        <v>#VALUE!</v>
      </c>
      <c r="Z64" t="e">
        <f ca="1">IF((A1)=(2),"",IF((60)=(Z4),IF(IF((INDEX(B1:XFD1,((A3)+(1))+(0)))=("store"),(INDEX(B1:XFD1,((A3)+(1))+(1)))=("Z"),"false"),B3,Z64),Z64))</f>
        <v>#VALUE!</v>
      </c>
      <c r="AA64" t="e">
        <f ca="1">IF((A1)=(2),"",IF((60)=(AA4),IF(IF((INDEX(B1:XFD1,((A3)+(1))+(0)))=("store"),(INDEX(B1:XFD1,((A3)+(1))+(1)))=("AA"),"false"),B3,AA64),AA64))</f>
        <v>#VALUE!</v>
      </c>
      <c r="AB64" t="e">
        <f ca="1">IF((A1)=(2),"",IF((60)=(AB4),IF(IF((INDEX(B1:XFD1,((A3)+(1))+(0)))=("store"),(INDEX(B1:XFD1,((A3)+(1))+(1)))=("AB"),"false"),B3,AB64),AB64))</f>
        <v>#VALUE!</v>
      </c>
      <c r="AC64" t="e">
        <f ca="1">IF((A1)=(2),"",IF((60)=(AC4),IF(IF((INDEX(B1:XFD1,((A3)+(1))+(0)))=("store"),(INDEX(B1:XFD1,((A3)+(1))+(1)))=("AC"),"false"),B3,AC64),AC64))</f>
        <v>#VALUE!</v>
      </c>
      <c r="AD64" t="e">
        <f ca="1">IF((A1)=(2),"",IF((60)=(AD4),IF(IF((INDEX(B1:XFD1,((A3)+(1))+(0)))=("store"),(INDEX(B1:XFD1,((A3)+(1))+(1)))=("AD"),"false"),B3,AD64),AD64))</f>
        <v>#VALUE!</v>
      </c>
    </row>
    <row r="65" spans="1:30" x14ac:dyDescent="0.25">
      <c r="A65" t="e">
        <f ca="1">IF((A1)=(2),"",IF((61)=(A4),IF(("call")=(INDEX(B1:XFD1,((A3)+(1))+(0))),(B3)*(2),IF(("goto")=(INDEX(B1:XFD1,((A3)+(1))+(0))),(INDEX(B1:XFD1,((A3)+(1))+(1)))*(2),IF(("gotoiftrue")=(INDEX(B1:XFD1,((A3)+(1))+(0))),IF(B3,(INDEX(B1:XFD1,((A3)+(1))+(1)))*(2),(A65)+(2)),(A65)+(2)))),A65))</f>
        <v>#VALUE!</v>
      </c>
      <c r="B65" t="e">
        <f ca="1">IF((A1)=(2),"",IF((61)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65)+(1)),IF(("add")=(INDEX(B1:XFD1,((A3)+(1))+(0))),(INDEX(B5:B405,(B4)+(1)))+(B65),IF(("equals")=(INDEX(B1:XFD1,((A3)+(1))+(0))),(INDEX(B5:B405,(B4)+(1)))=(B65),IF(("leq")=(INDEX(B1:XFD1,((A3)+(1))+(0))),(INDEX(B5:B405,(B4)+(1)))&lt;=(B65),IF(("greater")=(INDEX(B1:XFD1,((A3)+(1))+(0))),(INDEX(B5:B405,(B4)+(1)))&gt;(B65),IF(("mod")=(INDEX(B1:XFD1,((A3)+(1))+(0))),MOD(INDEX(B5:B405,(B4)+(1)),B65),B65))))))))),B65))</f>
        <v>#VALUE!</v>
      </c>
      <c r="C65" t="e">
        <f ca="1">IF((A1)=(2),1,IF(AND((INDEX(B1:XFD1,((A3)+(1))+(0)))=("writeheap"),(INDEX(B5:B405,(B4)+(1)))=(60)),INDEX(B5:B405,(B4)+(2)),IF((A1)=(2),"",IF((61)=(C4),C65,C65))))</f>
        <v>#VALUE!</v>
      </c>
      <c r="F65" t="e">
        <f ca="1">IF((A1)=(2),"",IF((61)=(F4),IF(IF((INDEX(B1:XFD1,((A3)+(1))+(0)))=("store"),(INDEX(B1:XFD1,((A3)+(1))+(1)))=("F"),"false"),B3,F65),F65))</f>
        <v>#VALUE!</v>
      </c>
      <c r="G65" t="e">
        <f ca="1">IF((A1)=(2),"",IF((61)=(G4),IF(IF((INDEX(B1:XFD1,((A3)+(1))+(0)))=("store"),(INDEX(B1:XFD1,((A3)+(1))+(1)))=("G"),"false"),B3,G65),G65))</f>
        <v>#VALUE!</v>
      </c>
      <c r="H65" t="e">
        <f ca="1">IF((A1)=(2),"",IF((61)=(H4),IF(IF((INDEX(B1:XFD1,((A3)+(1))+(0)))=("store"),(INDEX(B1:XFD1,((A3)+(1))+(1)))=("H"),"false"),B3,H65),H65))</f>
        <v>#VALUE!</v>
      </c>
      <c r="I65" t="e">
        <f ca="1">IF((A1)=(2),"",IF((61)=(I4),IF(IF((INDEX(B1:XFD1,((A3)+(1))+(0)))=("store"),(INDEX(B1:XFD1,((A3)+(1))+(1)))=("I"),"false"),B3,I65),I65))</f>
        <v>#VALUE!</v>
      </c>
      <c r="J65" t="e">
        <f ca="1">IF((A1)=(2),"",IF((61)=(J4),IF(IF((INDEX(B1:XFD1,((A3)+(1))+(0)))=("store"),(INDEX(B1:XFD1,((A3)+(1))+(1)))=("J"),"false"),B3,J65),J65))</f>
        <v>#VALUE!</v>
      </c>
      <c r="K65" t="e">
        <f ca="1">IF((A1)=(2),"",IF((61)=(K4),IF(IF((INDEX(B1:XFD1,((A3)+(1))+(0)))=("store"),(INDEX(B1:XFD1,((A3)+(1))+(1)))=("K"),"false"),B3,K65),K65))</f>
        <v>#VALUE!</v>
      </c>
      <c r="L65" t="e">
        <f ca="1">IF((A1)=(2),"",IF((61)=(L4),IF(IF((INDEX(B1:XFD1,((A3)+(1))+(0)))=("store"),(INDEX(B1:XFD1,((A3)+(1))+(1)))=("L"),"false"),B3,L65),L65))</f>
        <v>#VALUE!</v>
      </c>
      <c r="M65" t="e">
        <f ca="1">IF((A1)=(2),"",IF((61)=(M4),IF(IF((INDEX(B1:XFD1,((A3)+(1))+(0)))=("store"),(INDEX(B1:XFD1,((A3)+(1))+(1)))=("M"),"false"),B3,M65),M65))</f>
        <v>#VALUE!</v>
      </c>
      <c r="N65" t="e">
        <f ca="1">IF((A1)=(2),"",IF((61)=(N4),IF(IF((INDEX(B1:XFD1,((A3)+(1))+(0)))=("store"),(INDEX(B1:XFD1,((A3)+(1))+(1)))=("N"),"false"),B3,N65),N65))</f>
        <v>#VALUE!</v>
      </c>
      <c r="O65" t="e">
        <f ca="1">IF((A1)=(2),"",IF((61)=(O4),IF(IF((INDEX(B1:XFD1,((A3)+(1))+(0)))=("store"),(INDEX(B1:XFD1,((A3)+(1))+(1)))=("O"),"false"),B3,O65),O65))</f>
        <v>#VALUE!</v>
      </c>
      <c r="P65" t="e">
        <f ca="1">IF((A1)=(2),"",IF((61)=(P4),IF(IF((INDEX(B1:XFD1,((A3)+(1))+(0)))=("store"),(INDEX(B1:XFD1,((A3)+(1))+(1)))=("P"),"false"),B3,P65),P65))</f>
        <v>#VALUE!</v>
      </c>
      <c r="Q65" t="e">
        <f ca="1">IF((A1)=(2),"",IF((61)=(Q4),IF(IF((INDEX(B1:XFD1,((A3)+(1))+(0)))=("store"),(INDEX(B1:XFD1,((A3)+(1))+(1)))=("Q"),"false"),B3,Q65),Q65))</f>
        <v>#VALUE!</v>
      </c>
      <c r="R65" t="e">
        <f ca="1">IF((A1)=(2),"",IF((61)=(R4),IF(IF((INDEX(B1:XFD1,((A3)+(1))+(0)))=("store"),(INDEX(B1:XFD1,((A3)+(1))+(1)))=("R"),"false"),B3,R65),R65))</f>
        <v>#VALUE!</v>
      </c>
      <c r="S65" t="e">
        <f ca="1">IF((A1)=(2),"",IF((61)=(S4),IF(IF((INDEX(B1:XFD1,((A3)+(1))+(0)))=("store"),(INDEX(B1:XFD1,((A3)+(1))+(1)))=("S"),"false"),B3,S65),S65))</f>
        <v>#VALUE!</v>
      </c>
      <c r="T65" t="e">
        <f ca="1">IF((A1)=(2),"",IF((61)=(T4),IF(IF((INDEX(B1:XFD1,((A3)+(1))+(0)))=("store"),(INDEX(B1:XFD1,((A3)+(1))+(1)))=("T"),"false"),B3,T65),T65))</f>
        <v>#VALUE!</v>
      </c>
      <c r="U65" t="e">
        <f ca="1">IF((A1)=(2),"",IF((61)=(U4),IF(IF((INDEX(B1:XFD1,((A3)+(1))+(0)))=("store"),(INDEX(B1:XFD1,((A3)+(1))+(1)))=("U"),"false"),B3,U65),U65))</f>
        <v>#VALUE!</v>
      </c>
      <c r="V65" t="e">
        <f ca="1">IF((A1)=(2),"",IF((61)=(V4),IF(IF((INDEX(B1:XFD1,((A3)+(1))+(0)))=("store"),(INDEX(B1:XFD1,((A3)+(1))+(1)))=("V"),"false"),B3,V65),V65))</f>
        <v>#VALUE!</v>
      </c>
      <c r="W65" t="e">
        <f ca="1">IF((A1)=(2),"",IF((61)=(W4),IF(IF((INDEX(B1:XFD1,((A3)+(1))+(0)))=("store"),(INDEX(B1:XFD1,((A3)+(1))+(1)))=("W"),"false"),B3,W65),W65))</f>
        <v>#VALUE!</v>
      </c>
      <c r="X65" t="e">
        <f ca="1">IF((A1)=(2),"",IF((61)=(X4),IF(IF((INDEX(B1:XFD1,((A3)+(1))+(0)))=("store"),(INDEX(B1:XFD1,((A3)+(1))+(1)))=("X"),"false"),B3,X65),X65))</f>
        <v>#VALUE!</v>
      </c>
      <c r="Y65" t="e">
        <f ca="1">IF((A1)=(2),"",IF((61)=(Y4),IF(IF((INDEX(B1:XFD1,((A3)+(1))+(0)))=("store"),(INDEX(B1:XFD1,((A3)+(1))+(1)))=("Y"),"false"),B3,Y65),Y65))</f>
        <v>#VALUE!</v>
      </c>
      <c r="Z65" t="e">
        <f ca="1">IF((A1)=(2),"",IF((61)=(Z4),IF(IF((INDEX(B1:XFD1,((A3)+(1))+(0)))=("store"),(INDEX(B1:XFD1,((A3)+(1))+(1)))=("Z"),"false"),B3,Z65),Z65))</f>
        <v>#VALUE!</v>
      </c>
      <c r="AA65" t="e">
        <f ca="1">IF((A1)=(2),"",IF((61)=(AA4),IF(IF((INDEX(B1:XFD1,((A3)+(1))+(0)))=("store"),(INDEX(B1:XFD1,((A3)+(1))+(1)))=("AA"),"false"),B3,AA65),AA65))</f>
        <v>#VALUE!</v>
      </c>
      <c r="AB65" t="e">
        <f ca="1">IF((A1)=(2),"",IF((61)=(AB4),IF(IF((INDEX(B1:XFD1,((A3)+(1))+(0)))=("store"),(INDEX(B1:XFD1,((A3)+(1))+(1)))=("AB"),"false"),B3,AB65),AB65))</f>
        <v>#VALUE!</v>
      </c>
      <c r="AC65" t="e">
        <f ca="1">IF((A1)=(2),"",IF((61)=(AC4),IF(IF((INDEX(B1:XFD1,((A3)+(1))+(0)))=("store"),(INDEX(B1:XFD1,((A3)+(1))+(1)))=("AC"),"false"),B3,AC65),AC65))</f>
        <v>#VALUE!</v>
      </c>
      <c r="AD65" t="e">
        <f ca="1">IF((A1)=(2),"",IF((61)=(AD4),IF(IF((INDEX(B1:XFD1,((A3)+(1))+(0)))=("store"),(INDEX(B1:XFD1,((A3)+(1))+(1)))=("AD"),"false"),B3,AD65),AD65))</f>
        <v>#VALUE!</v>
      </c>
    </row>
    <row r="66" spans="1:30" x14ac:dyDescent="0.25">
      <c r="A66" t="e">
        <f ca="1">IF((A1)=(2),"",IF((62)=(A4),IF(("call")=(INDEX(B1:XFD1,((A3)+(1))+(0))),(B3)*(2),IF(("goto")=(INDEX(B1:XFD1,((A3)+(1))+(0))),(INDEX(B1:XFD1,((A3)+(1))+(1)))*(2),IF(("gotoiftrue")=(INDEX(B1:XFD1,((A3)+(1))+(0))),IF(B3,(INDEX(B1:XFD1,((A3)+(1))+(1)))*(2),(A66)+(2)),(A66)+(2)))),A66))</f>
        <v>#VALUE!</v>
      </c>
      <c r="B66" t="e">
        <f ca="1">IF((A1)=(2),"",IF((62)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66)+(1)),IF(("add")=(INDEX(B1:XFD1,((A3)+(1))+(0))),(INDEX(B5:B405,(B4)+(1)))+(B66),IF(("equals")=(INDEX(B1:XFD1,((A3)+(1))+(0))),(INDEX(B5:B405,(B4)+(1)))=(B66),IF(("leq")=(INDEX(B1:XFD1,((A3)+(1))+(0))),(INDEX(B5:B405,(B4)+(1)))&lt;=(B66),IF(("greater")=(INDEX(B1:XFD1,((A3)+(1))+(0))),(INDEX(B5:B405,(B4)+(1)))&gt;(B66),IF(("mod")=(INDEX(B1:XFD1,((A3)+(1))+(0))),MOD(INDEX(B5:B405,(B4)+(1)),B66),B66))))))))),B66))</f>
        <v>#VALUE!</v>
      </c>
      <c r="C66" t="e">
        <f ca="1">IF((A1)=(2),1,IF(AND((INDEX(B1:XFD1,((A3)+(1))+(0)))=("writeheap"),(INDEX(B5:B405,(B4)+(1)))=(61)),INDEX(B5:B405,(B4)+(2)),IF((A1)=(2),"",IF((62)=(C4),C66,C66))))</f>
        <v>#VALUE!</v>
      </c>
      <c r="F66" t="e">
        <f ca="1">IF((A1)=(2),"",IF((62)=(F4),IF(IF((INDEX(B1:XFD1,((A3)+(1))+(0)))=("store"),(INDEX(B1:XFD1,((A3)+(1))+(1)))=("F"),"false"),B3,F66),F66))</f>
        <v>#VALUE!</v>
      </c>
      <c r="G66" t="e">
        <f ca="1">IF((A1)=(2),"",IF((62)=(G4),IF(IF((INDEX(B1:XFD1,((A3)+(1))+(0)))=("store"),(INDEX(B1:XFD1,((A3)+(1))+(1)))=("G"),"false"),B3,G66),G66))</f>
        <v>#VALUE!</v>
      </c>
      <c r="H66" t="e">
        <f ca="1">IF((A1)=(2),"",IF((62)=(H4),IF(IF((INDEX(B1:XFD1,((A3)+(1))+(0)))=("store"),(INDEX(B1:XFD1,((A3)+(1))+(1)))=("H"),"false"),B3,H66),H66))</f>
        <v>#VALUE!</v>
      </c>
      <c r="I66" t="e">
        <f ca="1">IF((A1)=(2),"",IF((62)=(I4),IF(IF((INDEX(B1:XFD1,((A3)+(1))+(0)))=("store"),(INDEX(B1:XFD1,((A3)+(1))+(1)))=("I"),"false"),B3,I66),I66))</f>
        <v>#VALUE!</v>
      </c>
      <c r="J66" t="e">
        <f ca="1">IF((A1)=(2),"",IF((62)=(J4),IF(IF((INDEX(B1:XFD1,((A3)+(1))+(0)))=("store"),(INDEX(B1:XFD1,((A3)+(1))+(1)))=("J"),"false"),B3,J66),J66))</f>
        <v>#VALUE!</v>
      </c>
      <c r="K66" t="e">
        <f ca="1">IF((A1)=(2),"",IF((62)=(K4),IF(IF((INDEX(B1:XFD1,((A3)+(1))+(0)))=("store"),(INDEX(B1:XFD1,((A3)+(1))+(1)))=("K"),"false"),B3,K66),K66))</f>
        <v>#VALUE!</v>
      </c>
      <c r="L66" t="e">
        <f ca="1">IF((A1)=(2),"",IF((62)=(L4),IF(IF((INDEX(B1:XFD1,((A3)+(1))+(0)))=("store"),(INDEX(B1:XFD1,((A3)+(1))+(1)))=("L"),"false"),B3,L66),L66))</f>
        <v>#VALUE!</v>
      </c>
      <c r="M66" t="e">
        <f ca="1">IF((A1)=(2),"",IF((62)=(M4),IF(IF((INDEX(B1:XFD1,((A3)+(1))+(0)))=("store"),(INDEX(B1:XFD1,((A3)+(1))+(1)))=("M"),"false"),B3,M66),M66))</f>
        <v>#VALUE!</v>
      </c>
      <c r="N66" t="e">
        <f ca="1">IF((A1)=(2),"",IF((62)=(N4),IF(IF((INDEX(B1:XFD1,((A3)+(1))+(0)))=("store"),(INDEX(B1:XFD1,((A3)+(1))+(1)))=("N"),"false"),B3,N66),N66))</f>
        <v>#VALUE!</v>
      </c>
      <c r="O66" t="e">
        <f ca="1">IF((A1)=(2),"",IF((62)=(O4),IF(IF((INDEX(B1:XFD1,((A3)+(1))+(0)))=("store"),(INDEX(B1:XFD1,((A3)+(1))+(1)))=("O"),"false"),B3,O66),O66))</f>
        <v>#VALUE!</v>
      </c>
      <c r="P66" t="e">
        <f ca="1">IF((A1)=(2),"",IF((62)=(P4),IF(IF((INDEX(B1:XFD1,((A3)+(1))+(0)))=("store"),(INDEX(B1:XFD1,((A3)+(1))+(1)))=("P"),"false"),B3,P66),P66))</f>
        <v>#VALUE!</v>
      </c>
      <c r="Q66" t="e">
        <f ca="1">IF((A1)=(2),"",IF((62)=(Q4),IF(IF((INDEX(B1:XFD1,((A3)+(1))+(0)))=("store"),(INDEX(B1:XFD1,((A3)+(1))+(1)))=("Q"),"false"),B3,Q66),Q66))</f>
        <v>#VALUE!</v>
      </c>
      <c r="R66" t="e">
        <f ca="1">IF((A1)=(2),"",IF((62)=(R4),IF(IF((INDEX(B1:XFD1,((A3)+(1))+(0)))=("store"),(INDEX(B1:XFD1,((A3)+(1))+(1)))=("R"),"false"),B3,R66),R66))</f>
        <v>#VALUE!</v>
      </c>
      <c r="S66" t="e">
        <f ca="1">IF((A1)=(2),"",IF((62)=(S4),IF(IF((INDEX(B1:XFD1,((A3)+(1))+(0)))=("store"),(INDEX(B1:XFD1,((A3)+(1))+(1)))=("S"),"false"),B3,S66),S66))</f>
        <v>#VALUE!</v>
      </c>
      <c r="T66" t="e">
        <f ca="1">IF((A1)=(2),"",IF((62)=(T4),IF(IF((INDEX(B1:XFD1,((A3)+(1))+(0)))=("store"),(INDEX(B1:XFD1,((A3)+(1))+(1)))=("T"),"false"),B3,T66),T66))</f>
        <v>#VALUE!</v>
      </c>
      <c r="U66" t="e">
        <f ca="1">IF((A1)=(2),"",IF((62)=(U4),IF(IF((INDEX(B1:XFD1,((A3)+(1))+(0)))=("store"),(INDEX(B1:XFD1,((A3)+(1))+(1)))=("U"),"false"),B3,U66),U66))</f>
        <v>#VALUE!</v>
      </c>
      <c r="V66" t="e">
        <f ca="1">IF((A1)=(2),"",IF((62)=(V4),IF(IF((INDEX(B1:XFD1,((A3)+(1))+(0)))=("store"),(INDEX(B1:XFD1,((A3)+(1))+(1)))=("V"),"false"),B3,V66),V66))</f>
        <v>#VALUE!</v>
      </c>
      <c r="W66" t="e">
        <f ca="1">IF((A1)=(2),"",IF((62)=(W4),IF(IF((INDEX(B1:XFD1,((A3)+(1))+(0)))=("store"),(INDEX(B1:XFD1,((A3)+(1))+(1)))=("W"),"false"),B3,W66),W66))</f>
        <v>#VALUE!</v>
      </c>
      <c r="X66" t="e">
        <f ca="1">IF((A1)=(2),"",IF((62)=(X4),IF(IF((INDEX(B1:XFD1,((A3)+(1))+(0)))=("store"),(INDEX(B1:XFD1,((A3)+(1))+(1)))=("X"),"false"),B3,X66),X66))</f>
        <v>#VALUE!</v>
      </c>
      <c r="Y66" t="e">
        <f ca="1">IF((A1)=(2),"",IF((62)=(Y4),IF(IF((INDEX(B1:XFD1,((A3)+(1))+(0)))=("store"),(INDEX(B1:XFD1,((A3)+(1))+(1)))=("Y"),"false"),B3,Y66),Y66))</f>
        <v>#VALUE!</v>
      </c>
      <c r="Z66" t="e">
        <f ca="1">IF((A1)=(2),"",IF((62)=(Z4),IF(IF((INDEX(B1:XFD1,((A3)+(1))+(0)))=("store"),(INDEX(B1:XFD1,((A3)+(1))+(1)))=("Z"),"false"),B3,Z66),Z66))</f>
        <v>#VALUE!</v>
      </c>
      <c r="AA66" t="e">
        <f ca="1">IF((A1)=(2),"",IF((62)=(AA4),IF(IF((INDEX(B1:XFD1,((A3)+(1))+(0)))=("store"),(INDEX(B1:XFD1,((A3)+(1))+(1)))=("AA"),"false"),B3,AA66),AA66))</f>
        <v>#VALUE!</v>
      </c>
      <c r="AB66" t="e">
        <f ca="1">IF((A1)=(2),"",IF((62)=(AB4),IF(IF((INDEX(B1:XFD1,((A3)+(1))+(0)))=("store"),(INDEX(B1:XFD1,((A3)+(1))+(1)))=("AB"),"false"),B3,AB66),AB66))</f>
        <v>#VALUE!</v>
      </c>
      <c r="AC66" t="e">
        <f ca="1">IF((A1)=(2),"",IF((62)=(AC4),IF(IF((INDEX(B1:XFD1,((A3)+(1))+(0)))=("store"),(INDEX(B1:XFD1,((A3)+(1))+(1)))=("AC"),"false"),B3,AC66),AC66))</f>
        <v>#VALUE!</v>
      </c>
      <c r="AD66" t="e">
        <f ca="1">IF((A1)=(2),"",IF((62)=(AD4),IF(IF((INDEX(B1:XFD1,((A3)+(1))+(0)))=("store"),(INDEX(B1:XFD1,((A3)+(1))+(1)))=("AD"),"false"),B3,AD66),AD66))</f>
        <v>#VALUE!</v>
      </c>
    </row>
    <row r="67" spans="1:30" x14ac:dyDescent="0.25">
      <c r="A67" t="e">
        <f ca="1">IF((A1)=(2),"",IF((63)=(A4),IF(("call")=(INDEX(B1:XFD1,((A3)+(1))+(0))),(B3)*(2),IF(("goto")=(INDEX(B1:XFD1,((A3)+(1))+(0))),(INDEX(B1:XFD1,((A3)+(1))+(1)))*(2),IF(("gotoiftrue")=(INDEX(B1:XFD1,((A3)+(1))+(0))),IF(B3,(INDEX(B1:XFD1,((A3)+(1))+(1)))*(2),(A67)+(2)),(A67)+(2)))),A67))</f>
        <v>#VALUE!</v>
      </c>
      <c r="B67" t="e">
        <f ca="1">IF((A1)=(2),"",IF((63)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67)+(1)),IF(("add")=(INDEX(B1:XFD1,((A3)+(1))+(0))),(INDEX(B5:B405,(B4)+(1)))+(B67),IF(("equals")=(INDEX(B1:XFD1,((A3)+(1))+(0))),(INDEX(B5:B405,(B4)+(1)))=(B67),IF(("leq")=(INDEX(B1:XFD1,((A3)+(1))+(0))),(INDEX(B5:B405,(B4)+(1)))&lt;=(B67),IF(("greater")=(INDEX(B1:XFD1,((A3)+(1))+(0))),(INDEX(B5:B405,(B4)+(1)))&gt;(B67),IF(("mod")=(INDEX(B1:XFD1,((A3)+(1))+(0))),MOD(INDEX(B5:B405,(B4)+(1)),B67),B67))))))))),B67))</f>
        <v>#VALUE!</v>
      </c>
      <c r="C67" t="e">
        <f ca="1">IF((A1)=(2),1,IF(AND((INDEX(B1:XFD1,((A3)+(1))+(0)))=("writeheap"),(INDEX(B5:B405,(B4)+(1)))=(62)),INDEX(B5:B405,(B4)+(2)),IF((A1)=(2),"",IF((63)=(C4),C67,C67))))</f>
        <v>#VALUE!</v>
      </c>
      <c r="F67" t="e">
        <f ca="1">IF((A1)=(2),"",IF((63)=(F4),IF(IF((INDEX(B1:XFD1,((A3)+(1))+(0)))=("store"),(INDEX(B1:XFD1,((A3)+(1))+(1)))=("F"),"false"),B3,F67),F67))</f>
        <v>#VALUE!</v>
      </c>
      <c r="G67" t="e">
        <f ca="1">IF((A1)=(2),"",IF((63)=(G4),IF(IF((INDEX(B1:XFD1,((A3)+(1))+(0)))=("store"),(INDEX(B1:XFD1,((A3)+(1))+(1)))=("G"),"false"),B3,G67),G67))</f>
        <v>#VALUE!</v>
      </c>
      <c r="H67" t="e">
        <f ca="1">IF((A1)=(2),"",IF((63)=(H4),IF(IF((INDEX(B1:XFD1,((A3)+(1))+(0)))=("store"),(INDEX(B1:XFD1,((A3)+(1))+(1)))=("H"),"false"),B3,H67),H67))</f>
        <v>#VALUE!</v>
      </c>
      <c r="I67" t="e">
        <f ca="1">IF((A1)=(2),"",IF((63)=(I4),IF(IF((INDEX(B1:XFD1,((A3)+(1))+(0)))=("store"),(INDEX(B1:XFD1,((A3)+(1))+(1)))=("I"),"false"),B3,I67),I67))</f>
        <v>#VALUE!</v>
      </c>
      <c r="J67" t="e">
        <f ca="1">IF((A1)=(2),"",IF((63)=(J4),IF(IF((INDEX(B1:XFD1,((A3)+(1))+(0)))=("store"),(INDEX(B1:XFD1,((A3)+(1))+(1)))=("J"),"false"),B3,J67),J67))</f>
        <v>#VALUE!</v>
      </c>
      <c r="K67" t="e">
        <f ca="1">IF((A1)=(2),"",IF((63)=(K4),IF(IF((INDEX(B1:XFD1,((A3)+(1))+(0)))=("store"),(INDEX(B1:XFD1,((A3)+(1))+(1)))=("K"),"false"),B3,K67),K67))</f>
        <v>#VALUE!</v>
      </c>
      <c r="L67" t="e">
        <f ca="1">IF((A1)=(2),"",IF((63)=(L4),IF(IF((INDEX(B1:XFD1,((A3)+(1))+(0)))=("store"),(INDEX(B1:XFD1,((A3)+(1))+(1)))=("L"),"false"),B3,L67),L67))</f>
        <v>#VALUE!</v>
      </c>
      <c r="M67" t="e">
        <f ca="1">IF((A1)=(2),"",IF((63)=(M4),IF(IF((INDEX(B1:XFD1,((A3)+(1))+(0)))=("store"),(INDEX(B1:XFD1,((A3)+(1))+(1)))=("M"),"false"),B3,M67),M67))</f>
        <v>#VALUE!</v>
      </c>
      <c r="N67" t="e">
        <f ca="1">IF((A1)=(2),"",IF((63)=(N4),IF(IF((INDEX(B1:XFD1,((A3)+(1))+(0)))=("store"),(INDEX(B1:XFD1,((A3)+(1))+(1)))=("N"),"false"),B3,N67),N67))</f>
        <v>#VALUE!</v>
      </c>
      <c r="O67" t="e">
        <f ca="1">IF((A1)=(2),"",IF((63)=(O4),IF(IF((INDEX(B1:XFD1,((A3)+(1))+(0)))=("store"),(INDEX(B1:XFD1,((A3)+(1))+(1)))=("O"),"false"),B3,O67),O67))</f>
        <v>#VALUE!</v>
      </c>
      <c r="P67" t="e">
        <f ca="1">IF((A1)=(2),"",IF((63)=(P4),IF(IF((INDEX(B1:XFD1,((A3)+(1))+(0)))=("store"),(INDEX(B1:XFD1,((A3)+(1))+(1)))=("P"),"false"),B3,P67),P67))</f>
        <v>#VALUE!</v>
      </c>
      <c r="Q67" t="e">
        <f ca="1">IF((A1)=(2),"",IF((63)=(Q4),IF(IF((INDEX(B1:XFD1,((A3)+(1))+(0)))=("store"),(INDEX(B1:XFD1,((A3)+(1))+(1)))=("Q"),"false"),B3,Q67),Q67))</f>
        <v>#VALUE!</v>
      </c>
      <c r="R67" t="e">
        <f ca="1">IF((A1)=(2),"",IF((63)=(R4),IF(IF((INDEX(B1:XFD1,((A3)+(1))+(0)))=("store"),(INDEX(B1:XFD1,((A3)+(1))+(1)))=("R"),"false"),B3,R67),R67))</f>
        <v>#VALUE!</v>
      </c>
      <c r="S67" t="e">
        <f ca="1">IF((A1)=(2),"",IF((63)=(S4),IF(IF((INDEX(B1:XFD1,((A3)+(1))+(0)))=("store"),(INDEX(B1:XFD1,((A3)+(1))+(1)))=("S"),"false"),B3,S67),S67))</f>
        <v>#VALUE!</v>
      </c>
      <c r="T67" t="e">
        <f ca="1">IF((A1)=(2),"",IF((63)=(T4),IF(IF((INDEX(B1:XFD1,((A3)+(1))+(0)))=("store"),(INDEX(B1:XFD1,((A3)+(1))+(1)))=("T"),"false"),B3,T67),T67))</f>
        <v>#VALUE!</v>
      </c>
      <c r="U67" t="e">
        <f ca="1">IF((A1)=(2),"",IF((63)=(U4),IF(IF((INDEX(B1:XFD1,((A3)+(1))+(0)))=("store"),(INDEX(B1:XFD1,((A3)+(1))+(1)))=("U"),"false"),B3,U67),U67))</f>
        <v>#VALUE!</v>
      </c>
      <c r="V67" t="e">
        <f ca="1">IF((A1)=(2),"",IF((63)=(V4),IF(IF((INDEX(B1:XFD1,((A3)+(1))+(0)))=("store"),(INDEX(B1:XFD1,((A3)+(1))+(1)))=("V"),"false"),B3,V67),V67))</f>
        <v>#VALUE!</v>
      </c>
      <c r="W67" t="e">
        <f ca="1">IF((A1)=(2),"",IF((63)=(W4),IF(IF((INDEX(B1:XFD1,((A3)+(1))+(0)))=("store"),(INDEX(B1:XFD1,((A3)+(1))+(1)))=("W"),"false"),B3,W67),W67))</f>
        <v>#VALUE!</v>
      </c>
      <c r="X67" t="e">
        <f ca="1">IF((A1)=(2),"",IF((63)=(X4),IF(IF((INDEX(B1:XFD1,((A3)+(1))+(0)))=("store"),(INDEX(B1:XFD1,((A3)+(1))+(1)))=("X"),"false"),B3,X67),X67))</f>
        <v>#VALUE!</v>
      </c>
      <c r="Y67" t="e">
        <f ca="1">IF((A1)=(2),"",IF((63)=(Y4),IF(IF((INDEX(B1:XFD1,((A3)+(1))+(0)))=("store"),(INDEX(B1:XFD1,((A3)+(1))+(1)))=("Y"),"false"),B3,Y67),Y67))</f>
        <v>#VALUE!</v>
      </c>
      <c r="Z67" t="e">
        <f ca="1">IF((A1)=(2),"",IF((63)=(Z4),IF(IF((INDEX(B1:XFD1,((A3)+(1))+(0)))=("store"),(INDEX(B1:XFD1,((A3)+(1))+(1)))=("Z"),"false"),B3,Z67),Z67))</f>
        <v>#VALUE!</v>
      </c>
      <c r="AA67" t="e">
        <f ca="1">IF((A1)=(2),"",IF((63)=(AA4),IF(IF((INDEX(B1:XFD1,((A3)+(1))+(0)))=("store"),(INDEX(B1:XFD1,((A3)+(1))+(1)))=("AA"),"false"),B3,AA67),AA67))</f>
        <v>#VALUE!</v>
      </c>
      <c r="AB67" t="e">
        <f ca="1">IF((A1)=(2),"",IF((63)=(AB4),IF(IF((INDEX(B1:XFD1,((A3)+(1))+(0)))=("store"),(INDEX(B1:XFD1,((A3)+(1))+(1)))=("AB"),"false"),B3,AB67),AB67))</f>
        <v>#VALUE!</v>
      </c>
      <c r="AC67" t="e">
        <f ca="1">IF((A1)=(2),"",IF((63)=(AC4),IF(IF((INDEX(B1:XFD1,((A3)+(1))+(0)))=("store"),(INDEX(B1:XFD1,((A3)+(1))+(1)))=("AC"),"false"),B3,AC67),AC67))</f>
        <v>#VALUE!</v>
      </c>
      <c r="AD67" t="e">
        <f ca="1">IF((A1)=(2),"",IF((63)=(AD4),IF(IF((INDEX(B1:XFD1,((A3)+(1))+(0)))=("store"),(INDEX(B1:XFD1,((A3)+(1))+(1)))=("AD"),"false"),B3,AD67),AD67))</f>
        <v>#VALUE!</v>
      </c>
    </row>
    <row r="68" spans="1:30" x14ac:dyDescent="0.25">
      <c r="A68" t="e">
        <f ca="1">IF((A1)=(2),"",IF((64)=(A4),IF(("call")=(INDEX(B1:XFD1,((A3)+(1))+(0))),(B3)*(2),IF(("goto")=(INDEX(B1:XFD1,((A3)+(1))+(0))),(INDEX(B1:XFD1,((A3)+(1))+(1)))*(2),IF(("gotoiftrue")=(INDEX(B1:XFD1,((A3)+(1))+(0))),IF(B3,(INDEX(B1:XFD1,((A3)+(1))+(1)))*(2),(A68)+(2)),(A68)+(2)))),A68))</f>
        <v>#VALUE!</v>
      </c>
      <c r="B68" t="e">
        <f ca="1">IF((A1)=(2),"",IF((64)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68)+(1)),IF(("add")=(INDEX(B1:XFD1,((A3)+(1))+(0))),(INDEX(B5:B405,(B4)+(1)))+(B68),IF(("equals")=(INDEX(B1:XFD1,((A3)+(1))+(0))),(INDEX(B5:B405,(B4)+(1)))=(B68),IF(("leq")=(INDEX(B1:XFD1,((A3)+(1))+(0))),(INDEX(B5:B405,(B4)+(1)))&lt;=(B68),IF(("greater")=(INDEX(B1:XFD1,((A3)+(1))+(0))),(INDEX(B5:B405,(B4)+(1)))&gt;(B68),IF(("mod")=(INDEX(B1:XFD1,((A3)+(1))+(0))),MOD(INDEX(B5:B405,(B4)+(1)),B68),B68))))))))),B68))</f>
        <v>#VALUE!</v>
      </c>
      <c r="C68" t="e">
        <f ca="1">IF((A1)=(2),1,IF(AND((INDEX(B1:XFD1,((A3)+(1))+(0)))=("writeheap"),(INDEX(B5:B405,(B4)+(1)))=(63)),INDEX(B5:B405,(B4)+(2)),IF((A1)=(2),"",IF((64)=(C4),C68,C68))))</f>
        <v>#VALUE!</v>
      </c>
      <c r="F68" t="e">
        <f ca="1">IF((A1)=(2),"",IF((64)=(F4),IF(IF((INDEX(B1:XFD1,((A3)+(1))+(0)))=("store"),(INDEX(B1:XFD1,((A3)+(1))+(1)))=("F"),"false"),B3,F68),F68))</f>
        <v>#VALUE!</v>
      </c>
      <c r="G68" t="e">
        <f ca="1">IF((A1)=(2),"",IF((64)=(G4),IF(IF((INDEX(B1:XFD1,((A3)+(1))+(0)))=("store"),(INDEX(B1:XFD1,((A3)+(1))+(1)))=("G"),"false"),B3,G68),G68))</f>
        <v>#VALUE!</v>
      </c>
      <c r="H68" t="e">
        <f ca="1">IF((A1)=(2),"",IF((64)=(H4),IF(IF((INDEX(B1:XFD1,((A3)+(1))+(0)))=("store"),(INDEX(B1:XFD1,((A3)+(1))+(1)))=("H"),"false"),B3,H68),H68))</f>
        <v>#VALUE!</v>
      </c>
      <c r="I68" t="e">
        <f ca="1">IF((A1)=(2),"",IF((64)=(I4),IF(IF((INDEX(B1:XFD1,((A3)+(1))+(0)))=("store"),(INDEX(B1:XFD1,((A3)+(1))+(1)))=("I"),"false"),B3,I68),I68))</f>
        <v>#VALUE!</v>
      </c>
      <c r="J68" t="e">
        <f ca="1">IF((A1)=(2),"",IF((64)=(J4),IF(IF((INDEX(B1:XFD1,((A3)+(1))+(0)))=("store"),(INDEX(B1:XFD1,((A3)+(1))+(1)))=("J"),"false"),B3,J68),J68))</f>
        <v>#VALUE!</v>
      </c>
      <c r="K68" t="e">
        <f ca="1">IF((A1)=(2),"",IF((64)=(K4),IF(IF((INDEX(B1:XFD1,((A3)+(1))+(0)))=("store"),(INDEX(B1:XFD1,((A3)+(1))+(1)))=("K"),"false"),B3,K68),K68))</f>
        <v>#VALUE!</v>
      </c>
      <c r="L68" t="e">
        <f ca="1">IF((A1)=(2),"",IF((64)=(L4),IF(IF((INDEX(B1:XFD1,((A3)+(1))+(0)))=("store"),(INDEX(B1:XFD1,((A3)+(1))+(1)))=("L"),"false"),B3,L68),L68))</f>
        <v>#VALUE!</v>
      </c>
      <c r="M68" t="e">
        <f ca="1">IF((A1)=(2),"",IF((64)=(M4),IF(IF((INDEX(B1:XFD1,((A3)+(1))+(0)))=("store"),(INDEX(B1:XFD1,((A3)+(1))+(1)))=("M"),"false"),B3,M68),M68))</f>
        <v>#VALUE!</v>
      </c>
      <c r="N68" t="e">
        <f ca="1">IF((A1)=(2),"",IF((64)=(N4),IF(IF((INDEX(B1:XFD1,((A3)+(1))+(0)))=("store"),(INDEX(B1:XFD1,((A3)+(1))+(1)))=("N"),"false"),B3,N68),N68))</f>
        <v>#VALUE!</v>
      </c>
      <c r="O68" t="e">
        <f ca="1">IF((A1)=(2),"",IF((64)=(O4),IF(IF((INDEX(B1:XFD1,((A3)+(1))+(0)))=("store"),(INDEX(B1:XFD1,((A3)+(1))+(1)))=("O"),"false"),B3,O68),O68))</f>
        <v>#VALUE!</v>
      </c>
      <c r="P68" t="e">
        <f ca="1">IF((A1)=(2),"",IF((64)=(P4),IF(IF((INDEX(B1:XFD1,((A3)+(1))+(0)))=("store"),(INDEX(B1:XFD1,((A3)+(1))+(1)))=("P"),"false"),B3,P68),P68))</f>
        <v>#VALUE!</v>
      </c>
      <c r="Q68" t="e">
        <f ca="1">IF((A1)=(2),"",IF((64)=(Q4),IF(IF((INDEX(B1:XFD1,((A3)+(1))+(0)))=("store"),(INDEX(B1:XFD1,((A3)+(1))+(1)))=("Q"),"false"),B3,Q68),Q68))</f>
        <v>#VALUE!</v>
      </c>
      <c r="R68" t="e">
        <f ca="1">IF((A1)=(2),"",IF((64)=(R4),IF(IF((INDEX(B1:XFD1,((A3)+(1))+(0)))=("store"),(INDEX(B1:XFD1,((A3)+(1))+(1)))=("R"),"false"),B3,R68),R68))</f>
        <v>#VALUE!</v>
      </c>
      <c r="S68" t="e">
        <f ca="1">IF((A1)=(2),"",IF((64)=(S4),IF(IF((INDEX(B1:XFD1,((A3)+(1))+(0)))=("store"),(INDEX(B1:XFD1,((A3)+(1))+(1)))=("S"),"false"),B3,S68),S68))</f>
        <v>#VALUE!</v>
      </c>
      <c r="T68" t="e">
        <f ca="1">IF((A1)=(2),"",IF((64)=(T4),IF(IF((INDEX(B1:XFD1,((A3)+(1))+(0)))=("store"),(INDEX(B1:XFD1,((A3)+(1))+(1)))=("T"),"false"),B3,T68),T68))</f>
        <v>#VALUE!</v>
      </c>
      <c r="U68" t="e">
        <f ca="1">IF((A1)=(2),"",IF((64)=(U4),IF(IF((INDEX(B1:XFD1,((A3)+(1))+(0)))=("store"),(INDEX(B1:XFD1,((A3)+(1))+(1)))=("U"),"false"),B3,U68),U68))</f>
        <v>#VALUE!</v>
      </c>
      <c r="V68" t="e">
        <f ca="1">IF((A1)=(2),"",IF((64)=(V4),IF(IF((INDEX(B1:XFD1,((A3)+(1))+(0)))=("store"),(INDEX(B1:XFD1,((A3)+(1))+(1)))=("V"),"false"),B3,V68),V68))</f>
        <v>#VALUE!</v>
      </c>
      <c r="W68" t="e">
        <f ca="1">IF((A1)=(2),"",IF((64)=(W4),IF(IF((INDEX(B1:XFD1,((A3)+(1))+(0)))=("store"),(INDEX(B1:XFD1,((A3)+(1))+(1)))=("W"),"false"),B3,W68),W68))</f>
        <v>#VALUE!</v>
      </c>
      <c r="X68" t="e">
        <f ca="1">IF((A1)=(2),"",IF((64)=(X4),IF(IF((INDEX(B1:XFD1,((A3)+(1))+(0)))=("store"),(INDEX(B1:XFD1,((A3)+(1))+(1)))=("X"),"false"),B3,X68),X68))</f>
        <v>#VALUE!</v>
      </c>
      <c r="Y68" t="e">
        <f ca="1">IF((A1)=(2),"",IF((64)=(Y4),IF(IF((INDEX(B1:XFD1,((A3)+(1))+(0)))=("store"),(INDEX(B1:XFD1,((A3)+(1))+(1)))=("Y"),"false"),B3,Y68),Y68))</f>
        <v>#VALUE!</v>
      </c>
      <c r="Z68" t="e">
        <f ca="1">IF((A1)=(2),"",IF((64)=(Z4),IF(IF((INDEX(B1:XFD1,((A3)+(1))+(0)))=("store"),(INDEX(B1:XFD1,((A3)+(1))+(1)))=("Z"),"false"),B3,Z68),Z68))</f>
        <v>#VALUE!</v>
      </c>
      <c r="AA68" t="e">
        <f ca="1">IF((A1)=(2),"",IF((64)=(AA4),IF(IF((INDEX(B1:XFD1,((A3)+(1))+(0)))=("store"),(INDEX(B1:XFD1,((A3)+(1))+(1)))=("AA"),"false"),B3,AA68),AA68))</f>
        <v>#VALUE!</v>
      </c>
      <c r="AB68" t="e">
        <f ca="1">IF((A1)=(2),"",IF((64)=(AB4),IF(IF((INDEX(B1:XFD1,((A3)+(1))+(0)))=("store"),(INDEX(B1:XFD1,((A3)+(1))+(1)))=("AB"),"false"),B3,AB68),AB68))</f>
        <v>#VALUE!</v>
      </c>
      <c r="AC68" t="e">
        <f ca="1">IF((A1)=(2),"",IF((64)=(AC4),IF(IF((INDEX(B1:XFD1,((A3)+(1))+(0)))=("store"),(INDEX(B1:XFD1,((A3)+(1))+(1)))=("AC"),"false"),B3,AC68),AC68))</f>
        <v>#VALUE!</v>
      </c>
      <c r="AD68" t="e">
        <f ca="1">IF((A1)=(2),"",IF((64)=(AD4),IF(IF((INDEX(B1:XFD1,((A3)+(1))+(0)))=("store"),(INDEX(B1:XFD1,((A3)+(1))+(1)))=("AD"),"false"),B3,AD68),AD68))</f>
        <v>#VALUE!</v>
      </c>
    </row>
    <row r="69" spans="1:30" x14ac:dyDescent="0.25">
      <c r="A69" t="e">
        <f ca="1">IF((A1)=(2),"",IF((65)=(A4),IF(("call")=(INDEX(B1:XFD1,((A3)+(1))+(0))),(B3)*(2),IF(("goto")=(INDEX(B1:XFD1,((A3)+(1))+(0))),(INDEX(B1:XFD1,((A3)+(1))+(1)))*(2),IF(("gotoiftrue")=(INDEX(B1:XFD1,((A3)+(1))+(0))),IF(B3,(INDEX(B1:XFD1,((A3)+(1))+(1)))*(2),(A69)+(2)),(A69)+(2)))),A69))</f>
        <v>#VALUE!</v>
      </c>
      <c r="B69" t="e">
        <f ca="1">IF((A1)=(2),"",IF((65)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69)+(1)),IF(("add")=(INDEX(B1:XFD1,((A3)+(1))+(0))),(INDEX(B5:B405,(B4)+(1)))+(B69),IF(("equals")=(INDEX(B1:XFD1,((A3)+(1))+(0))),(INDEX(B5:B405,(B4)+(1)))=(B69),IF(("leq")=(INDEX(B1:XFD1,((A3)+(1))+(0))),(INDEX(B5:B405,(B4)+(1)))&lt;=(B69),IF(("greater")=(INDEX(B1:XFD1,((A3)+(1))+(0))),(INDEX(B5:B405,(B4)+(1)))&gt;(B69),IF(("mod")=(INDEX(B1:XFD1,((A3)+(1))+(0))),MOD(INDEX(B5:B405,(B4)+(1)),B69),B69))))))))),B69))</f>
        <v>#VALUE!</v>
      </c>
      <c r="C69" t="e">
        <f ca="1">IF((A1)=(2),1,IF(AND((INDEX(B1:XFD1,((A3)+(1))+(0)))=("writeheap"),(INDEX(B5:B405,(B4)+(1)))=(64)),INDEX(B5:B405,(B4)+(2)),IF((A1)=(2),"",IF((65)=(C4),C69,C69))))</f>
        <v>#VALUE!</v>
      </c>
      <c r="F69" t="e">
        <f ca="1">IF((A1)=(2),"",IF((65)=(F4),IF(IF((INDEX(B1:XFD1,((A3)+(1))+(0)))=("store"),(INDEX(B1:XFD1,((A3)+(1))+(1)))=("F"),"false"),B3,F69),F69))</f>
        <v>#VALUE!</v>
      </c>
      <c r="G69" t="e">
        <f ca="1">IF((A1)=(2),"",IF((65)=(G4),IF(IF((INDEX(B1:XFD1,((A3)+(1))+(0)))=("store"),(INDEX(B1:XFD1,((A3)+(1))+(1)))=("G"),"false"),B3,G69),G69))</f>
        <v>#VALUE!</v>
      </c>
      <c r="H69" t="e">
        <f ca="1">IF((A1)=(2),"",IF((65)=(H4),IF(IF((INDEX(B1:XFD1,((A3)+(1))+(0)))=("store"),(INDEX(B1:XFD1,((A3)+(1))+(1)))=("H"),"false"),B3,H69),H69))</f>
        <v>#VALUE!</v>
      </c>
      <c r="I69" t="e">
        <f ca="1">IF((A1)=(2),"",IF((65)=(I4),IF(IF((INDEX(B1:XFD1,((A3)+(1))+(0)))=("store"),(INDEX(B1:XFD1,((A3)+(1))+(1)))=("I"),"false"),B3,I69),I69))</f>
        <v>#VALUE!</v>
      </c>
      <c r="J69" t="e">
        <f ca="1">IF((A1)=(2),"",IF((65)=(J4),IF(IF((INDEX(B1:XFD1,((A3)+(1))+(0)))=("store"),(INDEX(B1:XFD1,((A3)+(1))+(1)))=("J"),"false"),B3,J69),J69))</f>
        <v>#VALUE!</v>
      </c>
      <c r="K69" t="e">
        <f ca="1">IF((A1)=(2),"",IF((65)=(K4),IF(IF((INDEX(B1:XFD1,((A3)+(1))+(0)))=("store"),(INDEX(B1:XFD1,((A3)+(1))+(1)))=("K"),"false"),B3,K69),K69))</f>
        <v>#VALUE!</v>
      </c>
      <c r="L69" t="e">
        <f ca="1">IF((A1)=(2),"",IF((65)=(L4),IF(IF((INDEX(B1:XFD1,((A3)+(1))+(0)))=("store"),(INDEX(B1:XFD1,((A3)+(1))+(1)))=("L"),"false"),B3,L69),L69))</f>
        <v>#VALUE!</v>
      </c>
      <c r="M69" t="e">
        <f ca="1">IF((A1)=(2),"",IF((65)=(M4),IF(IF((INDEX(B1:XFD1,((A3)+(1))+(0)))=("store"),(INDEX(B1:XFD1,((A3)+(1))+(1)))=("M"),"false"),B3,M69),M69))</f>
        <v>#VALUE!</v>
      </c>
      <c r="N69" t="e">
        <f ca="1">IF((A1)=(2),"",IF((65)=(N4),IF(IF((INDEX(B1:XFD1,((A3)+(1))+(0)))=("store"),(INDEX(B1:XFD1,((A3)+(1))+(1)))=("N"),"false"),B3,N69),N69))</f>
        <v>#VALUE!</v>
      </c>
      <c r="O69" t="e">
        <f ca="1">IF((A1)=(2),"",IF((65)=(O4),IF(IF((INDEX(B1:XFD1,((A3)+(1))+(0)))=("store"),(INDEX(B1:XFD1,((A3)+(1))+(1)))=("O"),"false"),B3,O69),O69))</f>
        <v>#VALUE!</v>
      </c>
      <c r="P69" t="e">
        <f ca="1">IF((A1)=(2),"",IF((65)=(P4),IF(IF((INDEX(B1:XFD1,((A3)+(1))+(0)))=("store"),(INDEX(B1:XFD1,((A3)+(1))+(1)))=("P"),"false"),B3,P69),P69))</f>
        <v>#VALUE!</v>
      </c>
      <c r="Q69" t="e">
        <f ca="1">IF((A1)=(2),"",IF((65)=(Q4),IF(IF((INDEX(B1:XFD1,((A3)+(1))+(0)))=("store"),(INDEX(B1:XFD1,((A3)+(1))+(1)))=("Q"),"false"),B3,Q69),Q69))</f>
        <v>#VALUE!</v>
      </c>
      <c r="R69" t="e">
        <f ca="1">IF((A1)=(2),"",IF((65)=(R4),IF(IF((INDEX(B1:XFD1,((A3)+(1))+(0)))=("store"),(INDEX(B1:XFD1,((A3)+(1))+(1)))=("R"),"false"),B3,R69),R69))</f>
        <v>#VALUE!</v>
      </c>
      <c r="S69" t="e">
        <f ca="1">IF((A1)=(2),"",IF((65)=(S4),IF(IF((INDEX(B1:XFD1,((A3)+(1))+(0)))=("store"),(INDEX(B1:XFD1,((A3)+(1))+(1)))=("S"),"false"),B3,S69),S69))</f>
        <v>#VALUE!</v>
      </c>
      <c r="T69" t="e">
        <f ca="1">IF((A1)=(2),"",IF((65)=(T4),IF(IF((INDEX(B1:XFD1,((A3)+(1))+(0)))=("store"),(INDEX(B1:XFD1,((A3)+(1))+(1)))=("T"),"false"),B3,T69),T69))</f>
        <v>#VALUE!</v>
      </c>
      <c r="U69" t="e">
        <f ca="1">IF((A1)=(2),"",IF((65)=(U4),IF(IF((INDEX(B1:XFD1,((A3)+(1))+(0)))=("store"),(INDEX(B1:XFD1,((A3)+(1))+(1)))=("U"),"false"),B3,U69),U69))</f>
        <v>#VALUE!</v>
      </c>
      <c r="V69" t="e">
        <f ca="1">IF((A1)=(2),"",IF((65)=(V4),IF(IF((INDEX(B1:XFD1,((A3)+(1))+(0)))=("store"),(INDEX(B1:XFD1,((A3)+(1))+(1)))=("V"),"false"),B3,V69),V69))</f>
        <v>#VALUE!</v>
      </c>
      <c r="W69" t="e">
        <f ca="1">IF((A1)=(2),"",IF((65)=(W4),IF(IF((INDEX(B1:XFD1,((A3)+(1))+(0)))=("store"),(INDEX(B1:XFD1,((A3)+(1))+(1)))=("W"),"false"),B3,W69),W69))</f>
        <v>#VALUE!</v>
      </c>
      <c r="X69" t="e">
        <f ca="1">IF((A1)=(2),"",IF((65)=(X4),IF(IF((INDEX(B1:XFD1,((A3)+(1))+(0)))=("store"),(INDEX(B1:XFD1,((A3)+(1))+(1)))=("X"),"false"),B3,X69),X69))</f>
        <v>#VALUE!</v>
      </c>
      <c r="Y69" t="e">
        <f ca="1">IF((A1)=(2),"",IF((65)=(Y4),IF(IF((INDEX(B1:XFD1,((A3)+(1))+(0)))=("store"),(INDEX(B1:XFD1,((A3)+(1))+(1)))=("Y"),"false"),B3,Y69),Y69))</f>
        <v>#VALUE!</v>
      </c>
      <c r="Z69" t="e">
        <f ca="1">IF((A1)=(2),"",IF((65)=(Z4),IF(IF((INDEX(B1:XFD1,((A3)+(1))+(0)))=("store"),(INDEX(B1:XFD1,((A3)+(1))+(1)))=("Z"),"false"),B3,Z69),Z69))</f>
        <v>#VALUE!</v>
      </c>
      <c r="AA69" t="e">
        <f ca="1">IF((A1)=(2),"",IF((65)=(AA4),IF(IF((INDEX(B1:XFD1,((A3)+(1))+(0)))=("store"),(INDEX(B1:XFD1,((A3)+(1))+(1)))=("AA"),"false"),B3,AA69),AA69))</f>
        <v>#VALUE!</v>
      </c>
      <c r="AB69" t="e">
        <f ca="1">IF((A1)=(2),"",IF((65)=(AB4),IF(IF((INDEX(B1:XFD1,((A3)+(1))+(0)))=("store"),(INDEX(B1:XFD1,((A3)+(1))+(1)))=("AB"),"false"),B3,AB69),AB69))</f>
        <v>#VALUE!</v>
      </c>
      <c r="AC69" t="e">
        <f ca="1">IF((A1)=(2),"",IF((65)=(AC4),IF(IF((INDEX(B1:XFD1,((A3)+(1))+(0)))=("store"),(INDEX(B1:XFD1,((A3)+(1))+(1)))=("AC"),"false"),B3,AC69),AC69))</f>
        <v>#VALUE!</v>
      </c>
      <c r="AD69" t="e">
        <f ca="1">IF((A1)=(2),"",IF((65)=(AD4),IF(IF((INDEX(B1:XFD1,((A3)+(1))+(0)))=("store"),(INDEX(B1:XFD1,((A3)+(1))+(1)))=("AD"),"false"),B3,AD69),AD69))</f>
        <v>#VALUE!</v>
      </c>
    </row>
    <row r="70" spans="1:30" x14ac:dyDescent="0.25">
      <c r="A70" t="e">
        <f ca="1">IF((A1)=(2),"",IF((66)=(A4),IF(("call")=(INDEX(B1:XFD1,((A3)+(1))+(0))),(B3)*(2),IF(("goto")=(INDEX(B1:XFD1,((A3)+(1))+(0))),(INDEX(B1:XFD1,((A3)+(1))+(1)))*(2),IF(("gotoiftrue")=(INDEX(B1:XFD1,((A3)+(1))+(0))),IF(B3,(INDEX(B1:XFD1,((A3)+(1))+(1)))*(2),(A70)+(2)),(A70)+(2)))),A70))</f>
        <v>#VALUE!</v>
      </c>
      <c r="B70" t="e">
        <f ca="1">IF((A1)=(2),"",IF((66)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70)+(1)),IF(("add")=(INDEX(B1:XFD1,((A3)+(1))+(0))),(INDEX(B5:B405,(B4)+(1)))+(B70),IF(("equals")=(INDEX(B1:XFD1,((A3)+(1))+(0))),(INDEX(B5:B405,(B4)+(1)))=(B70),IF(("leq")=(INDEX(B1:XFD1,((A3)+(1))+(0))),(INDEX(B5:B405,(B4)+(1)))&lt;=(B70),IF(("greater")=(INDEX(B1:XFD1,((A3)+(1))+(0))),(INDEX(B5:B405,(B4)+(1)))&gt;(B70),IF(("mod")=(INDEX(B1:XFD1,((A3)+(1))+(0))),MOD(INDEX(B5:B405,(B4)+(1)),B70),B70))))))))),B70))</f>
        <v>#VALUE!</v>
      </c>
      <c r="C70" t="e">
        <f ca="1">IF((A1)=(2),1,IF(AND((INDEX(B1:XFD1,((A3)+(1))+(0)))=("writeheap"),(INDEX(B5:B405,(B4)+(1)))=(65)),INDEX(B5:B405,(B4)+(2)),IF((A1)=(2),"",IF((66)=(C4),C70,C70))))</f>
        <v>#VALUE!</v>
      </c>
      <c r="F70" t="e">
        <f ca="1">IF((A1)=(2),"",IF((66)=(F4),IF(IF((INDEX(B1:XFD1,((A3)+(1))+(0)))=("store"),(INDEX(B1:XFD1,((A3)+(1))+(1)))=("F"),"false"),B3,F70),F70))</f>
        <v>#VALUE!</v>
      </c>
      <c r="G70" t="e">
        <f ca="1">IF((A1)=(2),"",IF((66)=(G4),IF(IF((INDEX(B1:XFD1,((A3)+(1))+(0)))=("store"),(INDEX(B1:XFD1,((A3)+(1))+(1)))=("G"),"false"),B3,G70),G70))</f>
        <v>#VALUE!</v>
      </c>
      <c r="H70" t="e">
        <f ca="1">IF((A1)=(2),"",IF((66)=(H4),IF(IF((INDEX(B1:XFD1,((A3)+(1))+(0)))=("store"),(INDEX(B1:XFD1,((A3)+(1))+(1)))=("H"),"false"),B3,H70),H70))</f>
        <v>#VALUE!</v>
      </c>
      <c r="I70" t="e">
        <f ca="1">IF((A1)=(2),"",IF((66)=(I4),IF(IF((INDEX(B1:XFD1,((A3)+(1))+(0)))=("store"),(INDEX(B1:XFD1,((A3)+(1))+(1)))=("I"),"false"),B3,I70),I70))</f>
        <v>#VALUE!</v>
      </c>
      <c r="J70" t="e">
        <f ca="1">IF((A1)=(2),"",IF((66)=(J4),IF(IF((INDEX(B1:XFD1,((A3)+(1))+(0)))=("store"),(INDEX(B1:XFD1,((A3)+(1))+(1)))=("J"),"false"),B3,J70),J70))</f>
        <v>#VALUE!</v>
      </c>
      <c r="K70" t="e">
        <f ca="1">IF((A1)=(2),"",IF((66)=(K4),IF(IF((INDEX(B1:XFD1,((A3)+(1))+(0)))=("store"),(INDEX(B1:XFD1,((A3)+(1))+(1)))=("K"),"false"),B3,K70),K70))</f>
        <v>#VALUE!</v>
      </c>
      <c r="L70" t="e">
        <f ca="1">IF((A1)=(2),"",IF((66)=(L4),IF(IF((INDEX(B1:XFD1,((A3)+(1))+(0)))=("store"),(INDEX(B1:XFD1,((A3)+(1))+(1)))=("L"),"false"),B3,L70),L70))</f>
        <v>#VALUE!</v>
      </c>
      <c r="M70" t="e">
        <f ca="1">IF((A1)=(2),"",IF((66)=(M4),IF(IF((INDEX(B1:XFD1,((A3)+(1))+(0)))=("store"),(INDEX(B1:XFD1,((A3)+(1))+(1)))=("M"),"false"),B3,M70),M70))</f>
        <v>#VALUE!</v>
      </c>
      <c r="N70" t="e">
        <f ca="1">IF((A1)=(2),"",IF((66)=(N4),IF(IF((INDEX(B1:XFD1,((A3)+(1))+(0)))=("store"),(INDEX(B1:XFD1,((A3)+(1))+(1)))=("N"),"false"),B3,N70),N70))</f>
        <v>#VALUE!</v>
      </c>
      <c r="O70" t="e">
        <f ca="1">IF((A1)=(2),"",IF((66)=(O4),IF(IF((INDEX(B1:XFD1,((A3)+(1))+(0)))=("store"),(INDEX(B1:XFD1,((A3)+(1))+(1)))=("O"),"false"),B3,O70),O70))</f>
        <v>#VALUE!</v>
      </c>
      <c r="P70" t="e">
        <f ca="1">IF((A1)=(2),"",IF((66)=(P4),IF(IF((INDEX(B1:XFD1,((A3)+(1))+(0)))=("store"),(INDEX(B1:XFD1,((A3)+(1))+(1)))=("P"),"false"),B3,P70),P70))</f>
        <v>#VALUE!</v>
      </c>
      <c r="Q70" t="e">
        <f ca="1">IF((A1)=(2),"",IF((66)=(Q4),IF(IF((INDEX(B1:XFD1,((A3)+(1))+(0)))=("store"),(INDEX(B1:XFD1,((A3)+(1))+(1)))=("Q"),"false"),B3,Q70),Q70))</f>
        <v>#VALUE!</v>
      </c>
      <c r="R70" t="e">
        <f ca="1">IF((A1)=(2),"",IF((66)=(R4),IF(IF((INDEX(B1:XFD1,((A3)+(1))+(0)))=("store"),(INDEX(B1:XFD1,((A3)+(1))+(1)))=("R"),"false"),B3,R70),R70))</f>
        <v>#VALUE!</v>
      </c>
      <c r="S70" t="e">
        <f ca="1">IF((A1)=(2),"",IF((66)=(S4),IF(IF((INDEX(B1:XFD1,((A3)+(1))+(0)))=("store"),(INDEX(B1:XFD1,((A3)+(1))+(1)))=("S"),"false"),B3,S70),S70))</f>
        <v>#VALUE!</v>
      </c>
      <c r="T70" t="e">
        <f ca="1">IF((A1)=(2),"",IF((66)=(T4),IF(IF((INDEX(B1:XFD1,((A3)+(1))+(0)))=("store"),(INDEX(B1:XFD1,((A3)+(1))+(1)))=("T"),"false"),B3,T70),T70))</f>
        <v>#VALUE!</v>
      </c>
      <c r="U70" t="e">
        <f ca="1">IF((A1)=(2),"",IF((66)=(U4),IF(IF((INDEX(B1:XFD1,((A3)+(1))+(0)))=("store"),(INDEX(B1:XFD1,((A3)+(1))+(1)))=("U"),"false"),B3,U70),U70))</f>
        <v>#VALUE!</v>
      </c>
      <c r="V70" t="e">
        <f ca="1">IF((A1)=(2),"",IF((66)=(V4),IF(IF((INDEX(B1:XFD1,((A3)+(1))+(0)))=("store"),(INDEX(B1:XFD1,((A3)+(1))+(1)))=("V"),"false"),B3,V70),V70))</f>
        <v>#VALUE!</v>
      </c>
      <c r="W70" t="e">
        <f ca="1">IF((A1)=(2),"",IF((66)=(W4),IF(IF((INDEX(B1:XFD1,((A3)+(1))+(0)))=("store"),(INDEX(B1:XFD1,((A3)+(1))+(1)))=("W"),"false"),B3,W70),W70))</f>
        <v>#VALUE!</v>
      </c>
      <c r="X70" t="e">
        <f ca="1">IF((A1)=(2),"",IF((66)=(X4),IF(IF((INDEX(B1:XFD1,((A3)+(1))+(0)))=("store"),(INDEX(B1:XFD1,((A3)+(1))+(1)))=("X"),"false"),B3,X70),X70))</f>
        <v>#VALUE!</v>
      </c>
      <c r="Y70" t="e">
        <f ca="1">IF((A1)=(2),"",IF((66)=(Y4),IF(IF((INDEX(B1:XFD1,((A3)+(1))+(0)))=("store"),(INDEX(B1:XFD1,((A3)+(1))+(1)))=("Y"),"false"),B3,Y70),Y70))</f>
        <v>#VALUE!</v>
      </c>
      <c r="Z70" t="e">
        <f ca="1">IF((A1)=(2),"",IF((66)=(Z4),IF(IF((INDEX(B1:XFD1,((A3)+(1))+(0)))=("store"),(INDEX(B1:XFD1,((A3)+(1))+(1)))=("Z"),"false"),B3,Z70),Z70))</f>
        <v>#VALUE!</v>
      </c>
      <c r="AA70" t="e">
        <f ca="1">IF((A1)=(2),"",IF((66)=(AA4),IF(IF((INDEX(B1:XFD1,((A3)+(1))+(0)))=("store"),(INDEX(B1:XFD1,((A3)+(1))+(1)))=("AA"),"false"),B3,AA70),AA70))</f>
        <v>#VALUE!</v>
      </c>
      <c r="AB70" t="e">
        <f ca="1">IF((A1)=(2),"",IF((66)=(AB4),IF(IF((INDEX(B1:XFD1,((A3)+(1))+(0)))=("store"),(INDEX(B1:XFD1,((A3)+(1))+(1)))=("AB"),"false"),B3,AB70),AB70))</f>
        <v>#VALUE!</v>
      </c>
      <c r="AC70" t="e">
        <f ca="1">IF((A1)=(2),"",IF((66)=(AC4),IF(IF((INDEX(B1:XFD1,((A3)+(1))+(0)))=("store"),(INDEX(B1:XFD1,((A3)+(1))+(1)))=("AC"),"false"),B3,AC70),AC70))</f>
        <v>#VALUE!</v>
      </c>
      <c r="AD70" t="e">
        <f ca="1">IF((A1)=(2),"",IF((66)=(AD4),IF(IF((INDEX(B1:XFD1,((A3)+(1))+(0)))=("store"),(INDEX(B1:XFD1,((A3)+(1))+(1)))=("AD"),"false"),B3,AD70),AD70))</f>
        <v>#VALUE!</v>
      </c>
    </row>
    <row r="71" spans="1:30" x14ac:dyDescent="0.25">
      <c r="A71" t="e">
        <f ca="1">IF((A1)=(2),"",IF((67)=(A4),IF(("call")=(INDEX(B1:XFD1,((A3)+(1))+(0))),(B3)*(2),IF(("goto")=(INDEX(B1:XFD1,((A3)+(1))+(0))),(INDEX(B1:XFD1,((A3)+(1))+(1)))*(2),IF(("gotoiftrue")=(INDEX(B1:XFD1,((A3)+(1))+(0))),IF(B3,(INDEX(B1:XFD1,((A3)+(1))+(1)))*(2),(A71)+(2)),(A71)+(2)))),A71))</f>
        <v>#VALUE!</v>
      </c>
      <c r="B71" t="e">
        <f ca="1">IF((A1)=(2),"",IF((67)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71)+(1)),IF(("add")=(INDEX(B1:XFD1,((A3)+(1))+(0))),(INDEX(B5:B405,(B4)+(1)))+(B71),IF(("equals")=(INDEX(B1:XFD1,((A3)+(1))+(0))),(INDEX(B5:B405,(B4)+(1)))=(B71),IF(("leq")=(INDEX(B1:XFD1,((A3)+(1))+(0))),(INDEX(B5:B405,(B4)+(1)))&lt;=(B71),IF(("greater")=(INDEX(B1:XFD1,((A3)+(1))+(0))),(INDEX(B5:B405,(B4)+(1)))&gt;(B71),IF(("mod")=(INDEX(B1:XFD1,((A3)+(1))+(0))),MOD(INDEX(B5:B405,(B4)+(1)),B71),B71))))))))),B71))</f>
        <v>#VALUE!</v>
      </c>
      <c r="C71" t="e">
        <f ca="1">IF((A1)=(2),1,IF(AND((INDEX(B1:XFD1,((A3)+(1))+(0)))=("writeheap"),(INDEX(B5:B405,(B4)+(1)))=(66)),INDEX(B5:B405,(B4)+(2)),IF((A1)=(2),"",IF((67)=(C4),C71,C71))))</f>
        <v>#VALUE!</v>
      </c>
      <c r="F71" t="e">
        <f ca="1">IF((A1)=(2),"",IF((67)=(F4),IF(IF((INDEX(B1:XFD1,((A3)+(1))+(0)))=("store"),(INDEX(B1:XFD1,((A3)+(1))+(1)))=("F"),"false"),B3,F71),F71))</f>
        <v>#VALUE!</v>
      </c>
      <c r="G71" t="e">
        <f ca="1">IF((A1)=(2),"",IF((67)=(G4),IF(IF((INDEX(B1:XFD1,((A3)+(1))+(0)))=("store"),(INDEX(B1:XFD1,((A3)+(1))+(1)))=("G"),"false"),B3,G71),G71))</f>
        <v>#VALUE!</v>
      </c>
      <c r="H71" t="e">
        <f ca="1">IF((A1)=(2),"",IF((67)=(H4),IF(IF((INDEX(B1:XFD1,((A3)+(1))+(0)))=("store"),(INDEX(B1:XFD1,((A3)+(1))+(1)))=("H"),"false"),B3,H71),H71))</f>
        <v>#VALUE!</v>
      </c>
      <c r="I71" t="e">
        <f ca="1">IF((A1)=(2),"",IF((67)=(I4),IF(IF((INDEX(B1:XFD1,((A3)+(1))+(0)))=("store"),(INDEX(B1:XFD1,((A3)+(1))+(1)))=("I"),"false"),B3,I71),I71))</f>
        <v>#VALUE!</v>
      </c>
      <c r="J71" t="e">
        <f ca="1">IF((A1)=(2),"",IF((67)=(J4),IF(IF((INDEX(B1:XFD1,((A3)+(1))+(0)))=("store"),(INDEX(B1:XFD1,((A3)+(1))+(1)))=("J"),"false"),B3,J71),J71))</f>
        <v>#VALUE!</v>
      </c>
      <c r="K71" t="e">
        <f ca="1">IF((A1)=(2),"",IF((67)=(K4),IF(IF((INDEX(B1:XFD1,((A3)+(1))+(0)))=("store"),(INDEX(B1:XFD1,((A3)+(1))+(1)))=("K"),"false"),B3,K71),K71))</f>
        <v>#VALUE!</v>
      </c>
      <c r="L71" t="e">
        <f ca="1">IF((A1)=(2),"",IF((67)=(L4),IF(IF((INDEX(B1:XFD1,((A3)+(1))+(0)))=("store"),(INDEX(B1:XFD1,((A3)+(1))+(1)))=("L"),"false"),B3,L71),L71))</f>
        <v>#VALUE!</v>
      </c>
      <c r="M71" t="e">
        <f ca="1">IF((A1)=(2),"",IF((67)=(M4),IF(IF((INDEX(B1:XFD1,((A3)+(1))+(0)))=("store"),(INDEX(B1:XFD1,((A3)+(1))+(1)))=("M"),"false"),B3,M71),M71))</f>
        <v>#VALUE!</v>
      </c>
      <c r="N71" t="e">
        <f ca="1">IF((A1)=(2),"",IF((67)=(N4),IF(IF((INDEX(B1:XFD1,((A3)+(1))+(0)))=("store"),(INDEX(B1:XFD1,((A3)+(1))+(1)))=("N"),"false"),B3,N71),N71))</f>
        <v>#VALUE!</v>
      </c>
      <c r="O71" t="e">
        <f ca="1">IF((A1)=(2),"",IF((67)=(O4),IF(IF((INDEX(B1:XFD1,((A3)+(1))+(0)))=("store"),(INDEX(B1:XFD1,((A3)+(1))+(1)))=("O"),"false"),B3,O71),O71))</f>
        <v>#VALUE!</v>
      </c>
      <c r="P71" t="e">
        <f ca="1">IF((A1)=(2),"",IF((67)=(P4),IF(IF((INDEX(B1:XFD1,((A3)+(1))+(0)))=("store"),(INDEX(B1:XFD1,((A3)+(1))+(1)))=("P"),"false"),B3,P71),P71))</f>
        <v>#VALUE!</v>
      </c>
      <c r="Q71" t="e">
        <f ca="1">IF((A1)=(2),"",IF((67)=(Q4),IF(IF((INDEX(B1:XFD1,((A3)+(1))+(0)))=("store"),(INDEX(B1:XFD1,((A3)+(1))+(1)))=("Q"),"false"),B3,Q71),Q71))</f>
        <v>#VALUE!</v>
      </c>
      <c r="R71" t="e">
        <f ca="1">IF((A1)=(2),"",IF((67)=(R4),IF(IF((INDEX(B1:XFD1,((A3)+(1))+(0)))=("store"),(INDEX(B1:XFD1,((A3)+(1))+(1)))=("R"),"false"),B3,R71),R71))</f>
        <v>#VALUE!</v>
      </c>
      <c r="S71" t="e">
        <f ca="1">IF((A1)=(2),"",IF((67)=(S4),IF(IF((INDEX(B1:XFD1,((A3)+(1))+(0)))=("store"),(INDEX(B1:XFD1,((A3)+(1))+(1)))=("S"),"false"),B3,S71),S71))</f>
        <v>#VALUE!</v>
      </c>
      <c r="T71" t="e">
        <f ca="1">IF((A1)=(2),"",IF((67)=(T4),IF(IF((INDEX(B1:XFD1,((A3)+(1))+(0)))=("store"),(INDEX(B1:XFD1,((A3)+(1))+(1)))=("T"),"false"),B3,T71),T71))</f>
        <v>#VALUE!</v>
      </c>
      <c r="U71" t="e">
        <f ca="1">IF((A1)=(2),"",IF((67)=(U4),IF(IF((INDEX(B1:XFD1,((A3)+(1))+(0)))=("store"),(INDEX(B1:XFD1,((A3)+(1))+(1)))=("U"),"false"),B3,U71),U71))</f>
        <v>#VALUE!</v>
      </c>
      <c r="V71" t="e">
        <f ca="1">IF((A1)=(2),"",IF((67)=(V4),IF(IF((INDEX(B1:XFD1,((A3)+(1))+(0)))=("store"),(INDEX(B1:XFD1,((A3)+(1))+(1)))=("V"),"false"),B3,V71),V71))</f>
        <v>#VALUE!</v>
      </c>
      <c r="W71" t="e">
        <f ca="1">IF((A1)=(2),"",IF((67)=(W4),IF(IF((INDEX(B1:XFD1,((A3)+(1))+(0)))=("store"),(INDEX(B1:XFD1,((A3)+(1))+(1)))=("W"),"false"),B3,W71),W71))</f>
        <v>#VALUE!</v>
      </c>
      <c r="X71" t="e">
        <f ca="1">IF((A1)=(2),"",IF((67)=(X4),IF(IF((INDEX(B1:XFD1,((A3)+(1))+(0)))=("store"),(INDEX(B1:XFD1,((A3)+(1))+(1)))=("X"),"false"),B3,X71),X71))</f>
        <v>#VALUE!</v>
      </c>
      <c r="Y71" t="e">
        <f ca="1">IF((A1)=(2),"",IF((67)=(Y4),IF(IF((INDEX(B1:XFD1,((A3)+(1))+(0)))=("store"),(INDEX(B1:XFD1,((A3)+(1))+(1)))=("Y"),"false"),B3,Y71),Y71))</f>
        <v>#VALUE!</v>
      </c>
      <c r="Z71" t="e">
        <f ca="1">IF((A1)=(2),"",IF((67)=(Z4),IF(IF((INDEX(B1:XFD1,((A3)+(1))+(0)))=("store"),(INDEX(B1:XFD1,((A3)+(1))+(1)))=("Z"),"false"),B3,Z71),Z71))</f>
        <v>#VALUE!</v>
      </c>
      <c r="AA71" t="e">
        <f ca="1">IF((A1)=(2),"",IF((67)=(AA4),IF(IF((INDEX(B1:XFD1,((A3)+(1))+(0)))=("store"),(INDEX(B1:XFD1,((A3)+(1))+(1)))=("AA"),"false"),B3,AA71),AA71))</f>
        <v>#VALUE!</v>
      </c>
      <c r="AB71" t="e">
        <f ca="1">IF((A1)=(2),"",IF((67)=(AB4),IF(IF((INDEX(B1:XFD1,((A3)+(1))+(0)))=("store"),(INDEX(B1:XFD1,((A3)+(1))+(1)))=("AB"),"false"),B3,AB71),AB71))</f>
        <v>#VALUE!</v>
      </c>
      <c r="AC71" t="e">
        <f ca="1">IF((A1)=(2),"",IF((67)=(AC4),IF(IF((INDEX(B1:XFD1,((A3)+(1))+(0)))=("store"),(INDEX(B1:XFD1,((A3)+(1))+(1)))=("AC"),"false"),B3,AC71),AC71))</f>
        <v>#VALUE!</v>
      </c>
      <c r="AD71" t="e">
        <f ca="1">IF((A1)=(2),"",IF((67)=(AD4),IF(IF((INDEX(B1:XFD1,((A3)+(1))+(0)))=("store"),(INDEX(B1:XFD1,((A3)+(1))+(1)))=("AD"),"false"),B3,AD71),AD71))</f>
        <v>#VALUE!</v>
      </c>
    </row>
    <row r="72" spans="1:30" x14ac:dyDescent="0.25">
      <c r="A72" t="e">
        <f ca="1">IF((A1)=(2),"",IF((68)=(A4),IF(("call")=(INDEX(B1:XFD1,((A3)+(1))+(0))),(B3)*(2),IF(("goto")=(INDEX(B1:XFD1,((A3)+(1))+(0))),(INDEX(B1:XFD1,((A3)+(1))+(1)))*(2),IF(("gotoiftrue")=(INDEX(B1:XFD1,((A3)+(1))+(0))),IF(B3,(INDEX(B1:XFD1,((A3)+(1))+(1)))*(2),(A72)+(2)),(A72)+(2)))),A72))</f>
        <v>#VALUE!</v>
      </c>
      <c r="B72" t="e">
        <f ca="1">IF((A1)=(2),"",IF((68)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72)+(1)),IF(("add")=(INDEX(B1:XFD1,((A3)+(1))+(0))),(INDEX(B5:B405,(B4)+(1)))+(B72),IF(("equals")=(INDEX(B1:XFD1,((A3)+(1))+(0))),(INDEX(B5:B405,(B4)+(1)))=(B72),IF(("leq")=(INDEX(B1:XFD1,((A3)+(1))+(0))),(INDEX(B5:B405,(B4)+(1)))&lt;=(B72),IF(("greater")=(INDEX(B1:XFD1,((A3)+(1))+(0))),(INDEX(B5:B405,(B4)+(1)))&gt;(B72),IF(("mod")=(INDEX(B1:XFD1,((A3)+(1))+(0))),MOD(INDEX(B5:B405,(B4)+(1)),B72),B72))))))))),B72))</f>
        <v>#VALUE!</v>
      </c>
      <c r="C72" t="e">
        <f ca="1">IF((A1)=(2),1,IF(AND((INDEX(B1:XFD1,((A3)+(1))+(0)))=("writeheap"),(INDEX(B5:B405,(B4)+(1)))=(67)),INDEX(B5:B405,(B4)+(2)),IF((A1)=(2),"",IF((68)=(C4),C72,C72))))</f>
        <v>#VALUE!</v>
      </c>
      <c r="F72" t="e">
        <f ca="1">IF((A1)=(2),"",IF((68)=(F4),IF(IF((INDEX(B1:XFD1,((A3)+(1))+(0)))=("store"),(INDEX(B1:XFD1,((A3)+(1))+(1)))=("F"),"false"),B3,F72),F72))</f>
        <v>#VALUE!</v>
      </c>
      <c r="G72" t="e">
        <f ca="1">IF((A1)=(2),"",IF((68)=(G4),IF(IF((INDEX(B1:XFD1,((A3)+(1))+(0)))=("store"),(INDEX(B1:XFD1,((A3)+(1))+(1)))=("G"),"false"),B3,G72),G72))</f>
        <v>#VALUE!</v>
      </c>
      <c r="H72" t="e">
        <f ca="1">IF((A1)=(2),"",IF((68)=(H4),IF(IF((INDEX(B1:XFD1,((A3)+(1))+(0)))=("store"),(INDEX(B1:XFD1,((A3)+(1))+(1)))=("H"),"false"),B3,H72),H72))</f>
        <v>#VALUE!</v>
      </c>
      <c r="I72" t="e">
        <f ca="1">IF((A1)=(2),"",IF((68)=(I4),IF(IF((INDEX(B1:XFD1,((A3)+(1))+(0)))=("store"),(INDEX(B1:XFD1,((A3)+(1))+(1)))=("I"),"false"),B3,I72),I72))</f>
        <v>#VALUE!</v>
      </c>
      <c r="J72" t="e">
        <f ca="1">IF((A1)=(2),"",IF((68)=(J4),IF(IF((INDEX(B1:XFD1,((A3)+(1))+(0)))=("store"),(INDEX(B1:XFD1,((A3)+(1))+(1)))=("J"),"false"),B3,J72),J72))</f>
        <v>#VALUE!</v>
      </c>
      <c r="K72" t="e">
        <f ca="1">IF((A1)=(2),"",IF((68)=(K4),IF(IF((INDEX(B1:XFD1,((A3)+(1))+(0)))=("store"),(INDEX(B1:XFD1,((A3)+(1))+(1)))=("K"),"false"),B3,K72),K72))</f>
        <v>#VALUE!</v>
      </c>
      <c r="L72" t="e">
        <f ca="1">IF((A1)=(2),"",IF((68)=(L4),IF(IF((INDEX(B1:XFD1,((A3)+(1))+(0)))=("store"),(INDEX(B1:XFD1,((A3)+(1))+(1)))=("L"),"false"),B3,L72),L72))</f>
        <v>#VALUE!</v>
      </c>
      <c r="M72" t="e">
        <f ca="1">IF((A1)=(2),"",IF((68)=(M4),IF(IF((INDEX(B1:XFD1,((A3)+(1))+(0)))=("store"),(INDEX(B1:XFD1,((A3)+(1))+(1)))=("M"),"false"),B3,M72),M72))</f>
        <v>#VALUE!</v>
      </c>
      <c r="N72" t="e">
        <f ca="1">IF((A1)=(2),"",IF((68)=(N4),IF(IF((INDEX(B1:XFD1,((A3)+(1))+(0)))=("store"),(INDEX(B1:XFD1,((A3)+(1))+(1)))=("N"),"false"),B3,N72),N72))</f>
        <v>#VALUE!</v>
      </c>
      <c r="O72" t="e">
        <f ca="1">IF((A1)=(2),"",IF((68)=(O4),IF(IF((INDEX(B1:XFD1,((A3)+(1))+(0)))=("store"),(INDEX(B1:XFD1,((A3)+(1))+(1)))=("O"),"false"),B3,O72),O72))</f>
        <v>#VALUE!</v>
      </c>
      <c r="P72" t="e">
        <f ca="1">IF((A1)=(2),"",IF((68)=(P4),IF(IF((INDEX(B1:XFD1,((A3)+(1))+(0)))=("store"),(INDEX(B1:XFD1,((A3)+(1))+(1)))=("P"),"false"),B3,P72),P72))</f>
        <v>#VALUE!</v>
      </c>
      <c r="Q72" t="e">
        <f ca="1">IF((A1)=(2),"",IF((68)=(Q4),IF(IF((INDEX(B1:XFD1,((A3)+(1))+(0)))=("store"),(INDEX(B1:XFD1,((A3)+(1))+(1)))=("Q"),"false"),B3,Q72),Q72))</f>
        <v>#VALUE!</v>
      </c>
      <c r="R72" t="e">
        <f ca="1">IF((A1)=(2),"",IF((68)=(R4),IF(IF((INDEX(B1:XFD1,((A3)+(1))+(0)))=("store"),(INDEX(B1:XFD1,((A3)+(1))+(1)))=("R"),"false"),B3,R72),R72))</f>
        <v>#VALUE!</v>
      </c>
      <c r="S72" t="e">
        <f ca="1">IF((A1)=(2),"",IF((68)=(S4),IF(IF((INDEX(B1:XFD1,((A3)+(1))+(0)))=("store"),(INDEX(B1:XFD1,((A3)+(1))+(1)))=("S"),"false"),B3,S72),S72))</f>
        <v>#VALUE!</v>
      </c>
      <c r="T72" t="e">
        <f ca="1">IF((A1)=(2),"",IF((68)=(T4),IF(IF((INDEX(B1:XFD1,((A3)+(1))+(0)))=("store"),(INDEX(B1:XFD1,((A3)+(1))+(1)))=("T"),"false"),B3,T72),T72))</f>
        <v>#VALUE!</v>
      </c>
      <c r="U72" t="e">
        <f ca="1">IF((A1)=(2),"",IF((68)=(U4),IF(IF((INDEX(B1:XFD1,((A3)+(1))+(0)))=("store"),(INDEX(B1:XFD1,((A3)+(1))+(1)))=("U"),"false"),B3,U72),U72))</f>
        <v>#VALUE!</v>
      </c>
      <c r="V72" t="e">
        <f ca="1">IF((A1)=(2),"",IF((68)=(V4),IF(IF((INDEX(B1:XFD1,((A3)+(1))+(0)))=("store"),(INDEX(B1:XFD1,((A3)+(1))+(1)))=("V"),"false"),B3,V72),V72))</f>
        <v>#VALUE!</v>
      </c>
      <c r="W72" t="e">
        <f ca="1">IF((A1)=(2),"",IF((68)=(W4),IF(IF((INDEX(B1:XFD1,((A3)+(1))+(0)))=("store"),(INDEX(B1:XFD1,((A3)+(1))+(1)))=("W"),"false"),B3,W72),W72))</f>
        <v>#VALUE!</v>
      </c>
      <c r="X72" t="e">
        <f ca="1">IF((A1)=(2),"",IF((68)=(X4),IF(IF((INDEX(B1:XFD1,((A3)+(1))+(0)))=("store"),(INDEX(B1:XFD1,((A3)+(1))+(1)))=("X"),"false"),B3,X72),X72))</f>
        <v>#VALUE!</v>
      </c>
      <c r="Y72" t="e">
        <f ca="1">IF((A1)=(2),"",IF((68)=(Y4),IF(IF((INDEX(B1:XFD1,((A3)+(1))+(0)))=("store"),(INDEX(B1:XFD1,((A3)+(1))+(1)))=("Y"),"false"),B3,Y72),Y72))</f>
        <v>#VALUE!</v>
      </c>
      <c r="Z72" t="e">
        <f ca="1">IF((A1)=(2),"",IF((68)=(Z4),IF(IF((INDEX(B1:XFD1,((A3)+(1))+(0)))=("store"),(INDEX(B1:XFD1,((A3)+(1))+(1)))=("Z"),"false"),B3,Z72),Z72))</f>
        <v>#VALUE!</v>
      </c>
      <c r="AA72" t="e">
        <f ca="1">IF((A1)=(2),"",IF((68)=(AA4),IF(IF((INDEX(B1:XFD1,((A3)+(1))+(0)))=("store"),(INDEX(B1:XFD1,((A3)+(1))+(1)))=("AA"),"false"),B3,AA72),AA72))</f>
        <v>#VALUE!</v>
      </c>
      <c r="AB72" t="e">
        <f ca="1">IF((A1)=(2),"",IF((68)=(AB4),IF(IF((INDEX(B1:XFD1,((A3)+(1))+(0)))=("store"),(INDEX(B1:XFD1,((A3)+(1))+(1)))=("AB"),"false"),B3,AB72),AB72))</f>
        <v>#VALUE!</v>
      </c>
      <c r="AC72" t="e">
        <f ca="1">IF((A1)=(2),"",IF((68)=(AC4),IF(IF((INDEX(B1:XFD1,((A3)+(1))+(0)))=("store"),(INDEX(B1:XFD1,((A3)+(1))+(1)))=("AC"),"false"),B3,AC72),AC72))</f>
        <v>#VALUE!</v>
      </c>
      <c r="AD72" t="e">
        <f ca="1">IF((A1)=(2),"",IF((68)=(AD4),IF(IF((INDEX(B1:XFD1,((A3)+(1))+(0)))=("store"),(INDEX(B1:XFD1,((A3)+(1))+(1)))=("AD"),"false"),B3,AD72),AD72))</f>
        <v>#VALUE!</v>
      </c>
    </row>
    <row r="73" spans="1:30" x14ac:dyDescent="0.25">
      <c r="A73" t="e">
        <f ca="1">IF((A1)=(2),"",IF((69)=(A4),IF(("call")=(INDEX(B1:XFD1,((A3)+(1))+(0))),(B3)*(2),IF(("goto")=(INDEX(B1:XFD1,((A3)+(1))+(0))),(INDEX(B1:XFD1,((A3)+(1))+(1)))*(2),IF(("gotoiftrue")=(INDEX(B1:XFD1,((A3)+(1))+(0))),IF(B3,(INDEX(B1:XFD1,((A3)+(1))+(1)))*(2),(A73)+(2)),(A73)+(2)))),A73))</f>
        <v>#VALUE!</v>
      </c>
      <c r="B73" t="e">
        <f ca="1">IF((A1)=(2),"",IF((69)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73)+(1)),IF(("add")=(INDEX(B1:XFD1,((A3)+(1))+(0))),(INDEX(B5:B405,(B4)+(1)))+(B73),IF(("equals")=(INDEX(B1:XFD1,((A3)+(1))+(0))),(INDEX(B5:B405,(B4)+(1)))=(B73),IF(("leq")=(INDEX(B1:XFD1,((A3)+(1))+(0))),(INDEX(B5:B405,(B4)+(1)))&lt;=(B73),IF(("greater")=(INDEX(B1:XFD1,((A3)+(1))+(0))),(INDEX(B5:B405,(B4)+(1)))&gt;(B73),IF(("mod")=(INDEX(B1:XFD1,((A3)+(1))+(0))),MOD(INDEX(B5:B405,(B4)+(1)),B73),B73))))))))),B73))</f>
        <v>#VALUE!</v>
      </c>
      <c r="C73" t="e">
        <f ca="1">IF((A1)=(2),1,IF(AND((INDEX(B1:XFD1,((A3)+(1))+(0)))=("writeheap"),(INDEX(B5:B405,(B4)+(1)))=(68)),INDEX(B5:B405,(B4)+(2)),IF((A1)=(2),"",IF((69)=(C4),C73,C73))))</f>
        <v>#VALUE!</v>
      </c>
      <c r="F73" t="e">
        <f ca="1">IF((A1)=(2),"",IF((69)=(F4),IF(IF((INDEX(B1:XFD1,((A3)+(1))+(0)))=("store"),(INDEX(B1:XFD1,((A3)+(1))+(1)))=("F"),"false"),B3,F73),F73))</f>
        <v>#VALUE!</v>
      </c>
      <c r="G73" t="e">
        <f ca="1">IF((A1)=(2),"",IF((69)=(G4),IF(IF((INDEX(B1:XFD1,((A3)+(1))+(0)))=("store"),(INDEX(B1:XFD1,((A3)+(1))+(1)))=("G"),"false"),B3,G73),G73))</f>
        <v>#VALUE!</v>
      </c>
      <c r="H73" t="e">
        <f ca="1">IF((A1)=(2),"",IF((69)=(H4),IF(IF((INDEX(B1:XFD1,((A3)+(1))+(0)))=("store"),(INDEX(B1:XFD1,((A3)+(1))+(1)))=("H"),"false"),B3,H73),H73))</f>
        <v>#VALUE!</v>
      </c>
      <c r="I73" t="e">
        <f ca="1">IF((A1)=(2),"",IF((69)=(I4),IF(IF((INDEX(B1:XFD1,((A3)+(1))+(0)))=("store"),(INDEX(B1:XFD1,((A3)+(1))+(1)))=("I"),"false"),B3,I73),I73))</f>
        <v>#VALUE!</v>
      </c>
      <c r="J73" t="e">
        <f ca="1">IF((A1)=(2),"",IF((69)=(J4),IF(IF((INDEX(B1:XFD1,((A3)+(1))+(0)))=("store"),(INDEX(B1:XFD1,((A3)+(1))+(1)))=("J"),"false"),B3,J73),J73))</f>
        <v>#VALUE!</v>
      </c>
      <c r="K73" t="e">
        <f ca="1">IF((A1)=(2),"",IF((69)=(K4),IF(IF((INDEX(B1:XFD1,((A3)+(1))+(0)))=("store"),(INDEX(B1:XFD1,((A3)+(1))+(1)))=("K"),"false"),B3,K73),K73))</f>
        <v>#VALUE!</v>
      </c>
      <c r="L73" t="e">
        <f ca="1">IF((A1)=(2),"",IF((69)=(L4),IF(IF((INDEX(B1:XFD1,((A3)+(1))+(0)))=("store"),(INDEX(B1:XFD1,((A3)+(1))+(1)))=("L"),"false"),B3,L73),L73))</f>
        <v>#VALUE!</v>
      </c>
      <c r="M73" t="e">
        <f ca="1">IF((A1)=(2),"",IF((69)=(M4),IF(IF((INDEX(B1:XFD1,((A3)+(1))+(0)))=("store"),(INDEX(B1:XFD1,((A3)+(1))+(1)))=("M"),"false"),B3,M73),M73))</f>
        <v>#VALUE!</v>
      </c>
      <c r="N73" t="e">
        <f ca="1">IF((A1)=(2),"",IF((69)=(N4),IF(IF((INDEX(B1:XFD1,((A3)+(1))+(0)))=("store"),(INDEX(B1:XFD1,((A3)+(1))+(1)))=("N"),"false"),B3,N73),N73))</f>
        <v>#VALUE!</v>
      </c>
      <c r="O73" t="e">
        <f ca="1">IF((A1)=(2),"",IF((69)=(O4),IF(IF((INDEX(B1:XFD1,((A3)+(1))+(0)))=("store"),(INDEX(B1:XFD1,((A3)+(1))+(1)))=("O"),"false"),B3,O73),O73))</f>
        <v>#VALUE!</v>
      </c>
      <c r="P73" t="e">
        <f ca="1">IF((A1)=(2),"",IF((69)=(P4),IF(IF((INDEX(B1:XFD1,((A3)+(1))+(0)))=("store"),(INDEX(B1:XFD1,((A3)+(1))+(1)))=("P"),"false"),B3,P73),P73))</f>
        <v>#VALUE!</v>
      </c>
      <c r="Q73" t="e">
        <f ca="1">IF((A1)=(2),"",IF((69)=(Q4),IF(IF((INDEX(B1:XFD1,((A3)+(1))+(0)))=("store"),(INDEX(B1:XFD1,((A3)+(1))+(1)))=("Q"),"false"),B3,Q73),Q73))</f>
        <v>#VALUE!</v>
      </c>
      <c r="R73" t="e">
        <f ca="1">IF((A1)=(2),"",IF((69)=(R4),IF(IF((INDEX(B1:XFD1,((A3)+(1))+(0)))=("store"),(INDEX(B1:XFD1,((A3)+(1))+(1)))=("R"),"false"),B3,R73),R73))</f>
        <v>#VALUE!</v>
      </c>
      <c r="S73" t="e">
        <f ca="1">IF((A1)=(2),"",IF((69)=(S4),IF(IF((INDEX(B1:XFD1,((A3)+(1))+(0)))=("store"),(INDEX(B1:XFD1,((A3)+(1))+(1)))=("S"),"false"),B3,S73),S73))</f>
        <v>#VALUE!</v>
      </c>
      <c r="T73" t="e">
        <f ca="1">IF((A1)=(2),"",IF((69)=(T4),IF(IF((INDEX(B1:XFD1,((A3)+(1))+(0)))=("store"),(INDEX(B1:XFD1,((A3)+(1))+(1)))=("T"),"false"),B3,T73),T73))</f>
        <v>#VALUE!</v>
      </c>
      <c r="U73" t="e">
        <f ca="1">IF((A1)=(2),"",IF((69)=(U4),IF(IF((INDEX(B1:XFD1,((A3)+(1))+(0)))=("store"),(INDEX(B1:XFD1,((A3)+(1))+(1)))=("U"),"false"),B3,U73),U73))</f>
        <v>#VALUE!</v>
      </c>
      <c r="V73" t="e">
        <f ca="1">IF((A1)=(2),"",IF((69)=(V4),IF(IF((INDEX(B1:XFD1,((A3)+(1))+(0)))=("store"),(INDEX(B1:XFD1,((A3)+(1))+(1)))=("V"),"false"),B3,V73),V73))</f>
        <v>#VALUE!</v>
      </c>
      <c r="W73" t="e">
        <f ca="1">IF((A1)=(2),"",IF((69)=(W4),IF(IF((INDEX(B1:XFD1,((A3)+(1))+(0)))=("store"),(INDEX(B1:XFD1,((A3)+(1))+(1)))=("W"),"false"),B3,W73),W73))</f>
        <v>#VALUE!</v>
      </c>
      <c r="X73" t="e">
        <f ca="1">IF((A1)=(2),"",IF((69)=(X4),IF(IF((INDEX(B1:XFD1,((A3)+(1))+(0)))=("store"),(INDEX(B1:XFD1,((A3)+(1))+(1)))=("X"),"false"),B3,X73),X73))</f>
        <v>#VALUE!</v>
      </c>
      <c r="Y73" t="e">
        <f ca="1">IF((A1)=(2),"",IF((69)=(Y4),IF(IF((INDEX(B1:XFD1,((A3)+(1))+(0)))=("store"),(INDEX(B1:XFD1,((A3)+(1))+(1)))=("Y"),"false"),B3,Y73),Y73))</f>
        <v>#VALUE!</v>
      </c>
      <c r="Z73" t="e">
        <f ca="1">IF((A1)=(2),"",IF((69)=(Z4),IF(IF((INDEX(B1:XFD1,((A3)+(1))+(0)))=("store"),(INDEX(B1:XFD1,((A3)+(1))+(1)))=("Z"),"false"),B3,Z73),Z73))</f>
        <v>#VALUE!</v>
      </c>
      <c r="AA73" t="e">
        <f ca="1">IF((A1)=(2),"",IF((69)=(AA4),IF(IF((INDEX(B1:XFD1,((A3)+(1))+(0)))=("store"),(INDEX(B1:XFD1,((A3)+(1))+(1)))=("AA"),"false"),B3,AA73),AA73))</f>
        <v>#VALUE!</v>
      </c>
      <c r="AB73" t="e">
        <f ca="1">IF((A1)=(2),"",IF((69)=(AB4),IF(IF((INDEX(B1:XFD1,((A3)+(1))+(0)))=("store"),(INDEX(B1:XFD1,((A3)+(1))+(1)))=("AB"),"false"),B3,AB73),AB73))</f>
        <v>#VALUE!</v>
      </c>
      <c r="AC73" t="e">
        <f ca="1">IF((A1)=(2),"",IF((69)=(AC4),IF(IF((INDEX(B1:XFD1,((A3)+(1))+(0)))=("store"),(INDEX(B1:XFD1,((A3)+(1))+(1)))=("AC"),"false"),B3,AC73),AC73))</f>
        <v>#VALUE!</v>
      </c>
      <c r="AD73" t="e">
        <f ca="1">IF((A1)=(2),"",IF((69)=(AD4),IF(IF((INDEX(B1:XFD1,((A3)+(1))+(0)))=("store"),(INDEX(B1:XFD1,((A3)+(1))+(1)))=("AD"),"false"),B3,AD73),AD73))</f>
        <v>#VALUE!</v>
      </c>
    </row>
    <row r="74" spans="1:30" x14ac:dyDescent="0.25">
      <c r="A74" t="e">
        <f ca="1">IF((A1)=(2),"",IF((70)=(A4),IF(("call")=(INDEX(B1:XFD1,((A3)+(1))+(0))),(B3)*(2),IF(("goto")=(INDEX(B1:XFD1,((A3)+(1))+(0))),(INDEX(B1:XFD1,((A3)+(1))+(1)))*(2),IF(("gotoiftrue")=(INDEX(B1:XFD1,((A3)+(1))+(0))),IF(B3,(INDEX(B1:XFD1,((A3)+(1))+(1)))*(2),(A74)+(2)),(A74)+(2)))),A74))</f>
        <v>#VALUE!</v>
      </c>
      <c r="B74" t="e">
        <f ca="1">IF((A1)=(2),"",IF((70)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74)+(1)),IF(("add")=(INDEX(B1:XFD1,((A3)+(1))+(0))),(INDEX(B5:B405,(B4)+(1)))+(B74),IF(("equals")=(INDEX(B1:XFD1,((A3)+(1))+(0))),(INDEX(B5:B405,(B4)+(1)))=(B74),IF(("leq")=(INDEX(B1:XFD1,((A3)+(1))+(0))),(INDEX(B5:B405,(B4)+(1)))&lt;=(B74),IF(("greater")=(INDEX(B1:XFD1,((A3)+(1))+(0))),(INDEX(B5:B405,(B4)+(1)))&gt;(B74),IF(("mod")=(INDEX(B1:XFD1,((A3)+(1))+(0))),MOD(INDEX(B5:B405,(B4)+(1)),B74),B74))))))))),B74))</f>
        <v>#VALUE!</v>
      </c>
      <c r="C74" t="e">
        <f ca="1">IF((A1)=(2),1,IF(AND((INDEX(B1:XFD1,((A3)+(1))+(0)))=("writeheap"),(INDEX(B5:B405,(B4)+(1)))=(69)),INDEX(B5:B405,(B4)+(2)),IF((A1)=(2),"",IF((70)=(C4),C74,C74))))</f>
        <v>#VALUE!</v>
      </c>
      <c r="F74" t="e">
        <f ca="1">IF((A1)=(2),"",IF((70)=(F4),IF(IF((INDEX(B1:XFD1,((A3)+(1))+(0)))=("store"),(INDEX(B1:XFD1,((A3)+(1))+(1)))=("F"),"false"),B3,F74),F74))</f>
        <v>#VALUE!</v>
      </c>
      <c r="G74" t="e">
        <f ca="1">IF((A1)=(2),"",IF((70)=(G4),IF(IF((INDEX(B1:XFD1,((A3)+(1))+(0)))=("store"),(INDEX(B1:XFD1,((A3)+(1))+(1)))=("G"),"false"),B3,G74),G74))</f>
        <v>#VALUE!</v>
      </c>
      <c r="H74" t="e">
        <f ca="1">IF((A1)=(2),"",IF((70)=(H4),IF(IF((INDEX(B1:XFD1,((A3)+(1))+(0)))=("store"),(INDEX(B1:XFD1,((A3)+(1))+(1)))=("H"),"false"),B3,H74),H74))</f>
        <v>#VALUE!</v>
      </c>
      <c r="I74" t="e">
        <f ca="1">IF((A1)=(2),"",IF((70)=(I4),IF(IF((INDEX(B1:XFD1,((A3)+(1))+(0)))=("store"),(INDEX(B1:XFD1,((A3)+(1))+(1)))=("I"),"false"),B3,I74),I74))</f>
        <v>#VALUE!</v>
      </c>
      <c r="J74" t="e">
        <f ca="1">IF((A1)=(2),"",IF((70)=(J4),IF(IF((INDEX(B1:XFD1,((A3)+(1))+(0)))=("store"),(INDEX(B1:XFD1,((A3)+(1))+(1)))=("J"),"false"),B3,J74),J74))</f>
        <v>#VALUE!</v>
      </c>
      <c r="K74" t="e">
        <f ca="1">IF((A1)=(2),"",IF((70)=(K4),IF(IF((INDEX(B1:XFD1,((A3)+(1))+(0)))=("store"),(INDEX(B1:XFD1,((A3)+(1))+(1)))=("K"),"false"),B3,K74),K74))</f>
        <v>#VALUE!</v>
      </c>
      <c r="L74" t="e">
        <f ca="1">IF((A1)=(2),"",IF((70)=(L4),IF(IF((INDEX(B1:XFD1,((A3)+(1))+(0)))=("store"),(INDEX(B1:XFD1,((A3)+(1))+(1)))=("L"),"false"),B3,L74),L74))</f>
        <v>#VALUE!</v>
      </c>
      <c r="M74" t="e">
        <f ca="1">IF((A1)=(2),"",IF((70)=(M4),IF(IF((INDEX(B1:XFD1,((A3)+(1))+(0)))=("store"),(INDEX(B1:XFD1,((A3)+(1))+(1)))=("M"),"false"),B3,M74),M74))</f>
        <v>#VALUE!</v>
      </c>
      <c r="N74" t="e">
        <f ca="1">IF((A1)=(2),"",IF((70)=(N4),IF(IF((INDEX(B1:XFD1,((A3)+(1))+(0)))=("store"),(INDEX(B1:XFD1,((A3)+(1))+(1)))=("N"),"false"),B3,N74),N74))</f>
        <v>#VALUE!</v>
      </c>
      <c r="O74" t="e">
        <f ca="1">IF((A1)=(2),"",IF((70)=(O4),IF(IF((INDEX(B1:XFD1,((A3)+(1))+(0)))=("store"),(INDEX(B1:XFD1,((A3)+(1))+(1)))=("O"),"false"),B3,O74),O74))</f>
        <v>#VALUE!</v>
      </c>
      <c r="P74" t="e">
        <f ca="1">IF((A1)=(2),"",IF((70)=(P4),IF(IF((INDEX(B1:XFD1,((A3)+(1))+(0)))=("store"),(INDEX(B1:XFD1,((A3)+(1))+(1)))=("P"),"false"),B3,P74),P74))</f>
        <v>#VALUE!</v>
      </c>
      <c r="Q74" t="e">
        <f ca="1">IF((A1)=(2),"",IF((70)=(Q4),IF(IF((INDEX(B1:XFD1,((A3)+(1))+(0)))=("store"),(INDEX(B1:XFD1,((A3)+(1))+(1)))=("Q"),"false"),B3,Q74),Q74))</f>
        <v>#VALUE!</v>
      </c>
      <c r="R74" t="e">
        <f ca="1">IF((A1)=(2),"",IF((70)=(R4),IF(IF((INDEX(B1:XFD1,((A3)+(1))+(0)))=("store"),(INDEX(B1:XFD1,((A3)+(1))+(1)))=("R"),"false"),B3,R74),R74))</f>
        <v>#VALUE!</v>
      </c>
      <c r="S74" t="e">
        <f ca="1">IF((A1)=(2),"",IF((70)=(S4),IF(IF((INDEX(B1:XFD1,((A3)+(1))+(0)))=("store"),(INDEX(B1:XFD1,((A3)+(1))+(1)))=("S"),"false"),B3,S74),S74))</f>
        <v>#VALUE!</v>
      </c>
      <c r="T74" t="e">
        <f ca="1">IF((A1)=(2),"",IF((70)=(T4),IF(IF((INDEX(B1:XFD1,((A3)+(1))+(0)))=("store"),(INDEX(B1:XFD1,((A3)+(1))+(1)))=("T"),"false"),B3,T74),T74))</f>
        <v>#VALUE!</v>
      </c>
      <c r="U74" t="e">
        <f ca="1">IF((A1)=(2),"",IF((70)=(U4),IF(IF((INDEX(B1:XFD1,((A3)+(1))+(0)))=("store"),(INDEX(B1:XFD1,((A3)+(1))+(1)))=("U"),"false"),B3,U74),U74))</f>
        <v>#VALUE!</v>
      </c>
      <c r="V74" t="e">
        <f ca="1">IF((A1)=(2),"",IF((70)=(V4),IF(IF((INDEX(B1:XFD1,((A3)+(1))+(0)))=("store"),(INDEX(B1:XFD1,((A3)+(1))+(1)))=("V"),"false"),B3,V74),V74))</f>
        <v>#VALUE!</v>
      </c>
      <c r="W74" t="e">
        <f ca="1">IF((A1)=(2),"",IF((70)=(W4),IF(IF((INDEX(B1:XFD1,((A3)+(1))+(0)))=("store"),(INDEX(B1:XFD1,((A3)+(1))+(1)))=("W"),"false"),B3,W74),W74))</f>
        <v>#VALUE!</v>
      </c>
      <c r="X74" t="e">
        <f ca="1">IF((A1)=(2),"",IF((70)=(X4),IF(IF((INDEX(B1:XFD1,((A3)+(1))+(0)))=("store"),(INDEX(B1:XFD1,((A3)+(1))+(1)))=("X"),"false"),B3,X74),X74))</f>
        <v>#VALUE!</v>
      </c>
      <c r="Y74" t="e">
        <f ca="1">IF((A1)=(2),"",IF((70)=(Y4),IF(IF((INDEX(B1:XFD1,((A3)+(1))+(0)))=("store"),(INDEX(B1:XFD1,((A3)+(1))+(1)))=("Y"),"false"),B3,Y74),Y74))</f>
        <v>#VALUE!</v>
      </c>
      <c r="Z74" t="e">
        <f ca="1">IF((A1)=(2),"",IF((70)=(Z4),IF(IF((INDEX(B1:XFD1,((A3)+(1))+(0)))=("store"),(INDEX(B1:XFD1,((A3)+(1))+(1)))=("Z"),"false"),B3,Z74),Z74))</f>
        <v>#VALUE!</v>
      </c>
      <c r="AA74" t="e">
        <f ca="1">IF((A1)=(2),"",IF((70)=(AA4),IF(IF((INDEX(B1:XFD1,((A3)+(1))+(0)))=("store"),(INDEX(B1:XFD1,((A3)+(1))+(1)))=("AA"),"false"),B3,AA74),AA74))</f>
        <v>#VALUE!</v>
      </c>
      <c r="AB74" t="e">
        <f ca="1">IF((A1)=(2),"",IF((70)=(AB4),IF(IF((INDEX(B1:XFD1,((A3)+(1))+(0)))=("store"),(INDEX(B1:XFD1,((A3)+(1))+(1)))=("AB"),"false"),B3,AB74),AB74))</f>
        <v>#VALUE!</v>
      </c>
      <c r="AC74" t="e">
        <f ca="1">IF((A1)=(2),"",IF((70)=(AC4),IF(IF((INDEX(B1:XFD1,((A3)+(1))+(0)))=("store"),(INDEX(B1:XFD1,((A3)+(1))+(1)))=("AC"),"false"),B3,AC74),AC74))</f>
        <v>#VALUE!</v>
      </c>
      <c r="AD74" t="e">
        <f ca="1">IF((A1)=(2),"",IF((70)=(AD4),IF(IF((INDEX(B1:XFD1,((A3)+(1))+(0)))=("store"),(INDEX(B1:XFD1,((A3)+(1))+(1)))=("AD"),"false"),B3,AD74),AD74))</f>
        <v>#VALUE!</v>
      </c>
    </row>
    <row r="75" spans="1:30" x14ac:dyDescent="0.25">
      <c r="A75" t="e">
        <f ca="1">IF((A1)=(2),"",IF((71)=(A4),IF(("call")=(INDEX(B1:XFD1,((A3)+(1))+(0))),(B3)*(2),IF(("goto")=(INDEX(B1:XFD1,((A3)+(1))+(0))),(INDEX(B1:XFD1,((A3)+(1))+(1)))*(2),IF(("gotoiftrue")=(INDEX(B1:XFD1,((A3)+(1))+(0))),IF(B3,(INDEX(B1:XFD1,((A3)+(1))+(1)))*(2),(A75)+(2)),(A75)+(2)))),A75))</f>
        <v>#VALUE!</v>
      </c>
      <c r="B75" t="e">
        <f ca="1">IF((A1)=(2),"",IF((71)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75)+(1)),IF(("add")=(INDEX(B1:XFD1,((A3)+(1))+(0))),(INDEX(B5:B405,(B4)+(1)))+(B75),IF(("equals")=(INDEX(B1:XFD1,((A3)+(1))+(0))),(INDEX(B5:B405,(B4)+(1)))=(B75),IF(("leq")=(INDEX(B1:XFD1,((A3)+(1))+(0))),(INDEX(B5:B405,(B4)+(1)))&lt;=(B75),IF(("greater")=(INDEX(B1:XFD1,((A3)+(1))+(0))),(INDEX(B5:B405,(B4)+(1)))&gt;(B75),IF(("mod")=(INDEX(B1:XFD1,((A3)+(1))+(0))),MOD(INDEX(B5:B405,(B4)+(1)),B75),B75))))))))),B75))</f>
        <v>#VALUE!</v>
      </c>
      <c r="C75" t="e">
        <f ca="1">IF((A1)=(2),1,IF(AND((INDEX(B1:XFD1,((A3)+(1))+(0)))=("writeheap"),(INDEX(B5:B405,(B4)+(1)))=(70)),INDEX(B5:B405,(B4)+(2)),IF((A1)=(2),"",IF((71)=(C4),C75,C75))))</f>
        <v>#VALUE!</v>
      </c>
      <c r="F75" t="e">
        <f ca="1">IF((A1)=(2),"",IF((71)=(F4),IF(IF((INDEX(B1:XFD1,((A3)+(1))+(0)))=("store"),(INDEX(B1:XFD1,((A3)+(1))+(1)))=("F"),"false"),B3,F75),F75))</f>
        <v>#VALUE!</v>
      </c>
      <c r="G75" t="e">
        <f ca="1">IF((A1)=(2),"",IF((71)=(G4),IF(IF((INDEX(B1:XFD1,((A3)+(1))+(0)))=("store"),(INDEX(B1:XFD1,((A3)+(1))+(1)))=("G"),"false"),B3,G75),G75))</f>
        <v>#VALUE!</v>
      </c>
      <c r="H75" t="e">
        <f ca="1">IF((A1)=(2),"",IF((71)=(H4),IF(IF((INDEX(B1:XFD1,((A3)+(1))+(0)))=("store"),(INDEX(B1:XFD1,((A3)+(1))+(1)))=("H"),"false"),B3,H75),H75))</f>
        <v>#VALUE!</v>
      </c>
      <c r="I75" t="e">
        <f ca="1">IF((A1)=(2),"",IF((71)=(I4),IF(IF((INDEX(B1:XFD1,((A3)+(1))+(0)))=("store"),(INDEX(B1:XFD1,((A3)+(1))+(1)))=("I"),"false"),B3,I75),I75))</f>
        <v>#VALUE!</v>
      </c>
      <c r="J75" t="e">
        <f ca="1">IF((A1)=(2),"",IF((71)=(J4),IF(IF((INDEX(B1:XFD1,((A3)+(1))+(0)))=("store"),(INDEX(B1:XFD1,((A3)+(1))+(1)))=("J"),"false"),B3,J75),J75))</f>
        <v>#VALUE!</v>
      </c>
      <c r="K75" t="e">
        <f ca="1">IF((A1)=(2),"",IF((71)=(K4),IF(IF((INDEX(B1:XFD1,((A3)+(1))+(0)))=("store"),(INDEX(B1:XFD1,((A3)+(1))+(1)))=("K"),"false"),B3,K75),K75))</f>
        <v>#VALUE!</v>
      </c>
      <c r="L75" t="e">
        <f ca="1">IF((A1)=(2),"",IF((71)=(L4),IF(IF((INDEX(B1:XFD1,((A3)+(1))+(0)))=("store"),(INDEX(B1:XFD1,((A3)+(1))+(1)))=("L"),"false"),B3,L75),L75))</f>
        <v>#VALUE!</v>
      </c>
      <c r="M75" t="e">
        <f ca="1">IF((A1)=(2),"",IF((71)=(M4),IF(IF((INDEX(B1:XFD1,((A3)+(1))+(0)))=("store"),(INDEX(B1:XFD1,((A3)+(1))+(1)))=("M"),"false"),B3,M75),M75))</f>
        <v>#VALUE!</v>
      </c>
      <c r="N75" t="e">
        <f ca="1">IF((A1)=(2),"",IF((71)=(N4),IF(IF((INDEX(B1:XFD1,((A3)+(1))+(0)))=("store"),(INDEX(B1:XFD1,((A3)+(1))+(1)))=("N"),"false"),B3,N75),N75))</f>
        <v>#VALUE!</v>
      </c>
      <c r="O75" t="e">
        <f ca="1">IF((A1)=(2),"",IF((71)=(O4),IF(IF((INDEX(B1:XFD1,((A3)+(1))+(0)))=("store"),(INDEX(B1:XFD1,((A3)+(1))+(1)))=("O"),"false"),B3,O75),O75))</f>
        <v>#VALUE!</v>
      </c>
      <c r="P75" t="e">
        <f ca="1">IF((A1)=(2),"",IF((71)=(P4),IF(IF((INDEX(B1:XFD1,((A3)+(1))+(0)))=("store"),(INDEX(B1:XFD1,((A3)+(1))+(1)))=("P"),"false"),B3,P75),P75))</f>
        <v>#VALUE!</v>
      </c>
      <c r="Q75" t="e">
        <f ca="1">IF((A1)=(2),"",IF((71)=(Q4),IF(IF((INDEX(B1:XFD1,((A3)+(1))+(0)))=("store"),(INDEX(B1:XFD1,((A3)+(1))+(1)))=("Q"),"false"),B3,Q75),Q75))</f>
        <v>#VALUE!</v>
      </c>
      <c r="R75" t="e">
        <f ca="1">IF((A1)=(2),"",IF((71)=(R4),IF(IF((INDEX(B1:XFD1,((A3)+(1))+(0)))=("store"),(INDEX(B1:XFD1,((A3)+(1))+(1)))=("R"),"false"),B3,R75),R75))</f>
        <v>#VALUE!</v>
      </c>
      <c r="S75" t="e">
        <f ca="1">IF((A1)=(2),"",IF((71)=(S4),IF(IF((INDEX(B1:XFD1,((A3)+(1))+(0)))=("store"),(INDEX(B1:XFD1,((A3)+(1))+(1)))=("S"),"false"),B3,S75),S75))</f>
        <v>#VALUE!</v>
      </c>
      <c r="T75" t="e">
        <f ca="1">IF((A1)=(2),"",IF((71)=(T4),IF(IF((INDEX(B1:XFD1,((A3)+(1))+(0)))=("store"),(INDEX(B1:XFD1,((A3)+(1))+(1)))=("T"),"false"),B3,T75),T75))</f>
        <v>#VALUE!</v>
      </c>
      <c r="U75" t="e">
        <f ca="1">IF((A1)=(2),"",IF((71)=(U4),IF(IF((INDEX(B1:XFD1,((A3)+(1))+(0)))=("store"),(INDEX(B1:XFD1,((A3)+(1))+(1)))=("U"),"false"),B3,U75),U75))</f>
        <v>#VALUE!</v>
      </c>
      <c r="V75" t="e">
        <f ca="1">IF((A1)=(2),"",IF((71)=(V4),IF(IF((INDEX(B1:XFD1,((A3)+(1))+(0)))=("store"),(INDEX(B1:XFD1,((A3)+(1))+(1)))=("V"),"false"),B3,V75),V75))</f>
        <v>#VALUE!</v>
      </c>
      <c r="W75" t="e">
        <f ca="1">IF((A1)=(2),"",IF((71)=(W4),IF(IF((INDEX(B1:XFD1,((A3)+(1))+(0)))=("store"),(INDEX(B1:XFD1,((A3)+(1))+(1)))=("W"),"false"),B3,W75),W75))</f>
        <v>#VALUE!</v>
      </c>
      <c r="X75" t="e">
        <f ca="1">IF((A1)=(2),"",IF((71)=(X4),IF(IF((INDEX(B1:XFD1,((A3)+(1))+(0)))=("store"),(INDEX(B1:XFD1,((A3)+(1))+(1)))=("X"),"false"),B3,X75),X75))</f>
        <v>#VALUE!</v>
      </c>
      <c r="Y75" t="e">
        <f ca="1">IF((A1)=(2),"",IF((71)=(Y4),IF(IF((INDEX(B1:XFD1,((A3)+(1))+(0)))=("store"),(INDEX(B1:XFD1,((A3)+(1))+(1)))=("Y"),"false"),B3,Y75),Y75))</f>
        <v>#VALUE!</v>
      </c>
      <c r="Z75" t="e">
        <f ca="1">IF((A1)=(2),"",IF((71)=(Z4),IF(IF((INDEX(B1:XFD1,((A3)+(1))+(0)))=("store"),(INDEX(B1:XFD1,((A3)+(1))+(1)))=("Z"),"false"),B3,Z75),Z75))</f>
        <v>#VALUE!</v>
      </c>
      <c r="AA75" t="e">
        <f ca="1">IF((A1)=(2),"",IF((71)=(AA4),IF(IF((INDEX(B1:XFD1,((A3)+(1))+(0)))=("store"),(INDEX(B1:XFD1,((A3)+(1))+(1)))=("AA"),"false"),B3,AA75),AA75))</f>
        <v>#VALUE!</v>
      </c>
      <c r="AB75" t="e">
        <f ca="1">IF((A1)=(2),"",IF((71)=(AB4),IF(IF((INDEX(B1:XFD1,((A3)+(1))+(0)))=("store"),(INDEX(B1:XFD1,((A3)+(1))+(1)))=("AB"),"false"),B3,AB75),AB75))</f>
        <v>#VALUE!</v>
      </c>
      <c r="AC75" t="e">
        <f ca="1">IF((A1)=(2),"",IF((71)=(AC4),IF(IF((INDEX(B1:XFD1,((A3)+(1))+(0)))=("store"),(INDEX(B1:XFD1,((A3)+(1))+(1)))=("AC"),"false"),B3,AC75),AC75))</f>
        <v>#VALUE!</v>
      </c>
      <c r="AD75" t="e">
        <f ca="1">IF((A1)=(2),"",IF((71)=(AD4),IF(IF((INDEX(B1:XFD1,((A3)+(1))+(0)))=("store"),(INDEX(B1:XFD1,((A3)+(1))+(1)))=("AD"),"false"),B3,AD75),AD75))</f>
        <v>#VALUE!</v>
      </c>
    </row>
    <row r="76" spans="1:30" x14ac:dyDescent="0.25">
      <c r="A76" t="e">
        <f ca="1">IF((A1)=(2),"",IF((72)=(A4),IF(("call")=(INDEX(B1:XFD1,((A3)+(1))+(0))),(B3)*(2),IF(("goto")=(INDEX(B1:XFD1,((A3)+(1))+(0))),(INDEX(B1:XFD1,((A3)+(1))+(1)))*(2),IF(("gotoiftrue")=(INDEX(B1:XFD1,((A3)+(1))+(0))),IF(B3,(INDEX(B1:XFD1,((A3)+(1))+(1)))*(2),(A76)+(2)),(A76)+(2)))),A76))</f>
        <v>#VALUE!</v>
      </c>
      <c r="B76" t="e">
        <f ca="1">IF((A1)=(2),"",IF((72)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76)+(1)),IF(("add")=(INDEX(B1:XFD1,((A3)+(1))+(0))),(INDEX(B5:B405,(B4)+(1)))+(B76),IF(("equals")=(INDEX(B1:XFD1,((A3)+(1))+(0))),(INDEX(B5:B405,(B4)+(1)))=(B76),IF(("leq")=(INDEX(B1:XFD1,((A3)+(1))+(0))),(INDEX(B5:B405,(B4)+(1)))&lt;=(B76),IF(("greater")=(INDEX(B1:XFD1,((A3)+(1))+(0))),(INDEX(B5:B405,(B4)+(1)))&gt;(B76),IF(("mod")=(INDEX(B1:XFD1,((A3)+(1))+(0))),MOD(INDEX(B5:B405,(B4)+(1)),B76),B76))))))))),B76))</f>
        <v>#VALUE!</v>
      </c>
      <c r="C76" t="e">
        <f ca="1">IF((A1)=(2),1,IF(AND((INDEX(B1:XFD1,((A3)+(1))+(0)))=("writeheap"),(INDEX(B5:B405,(B4)+(1)))=(71)),INDEX(B5:B405,(B4)+(2)),IF((A1)=(2),"",IF((72)=(C4),C76,C76))))</f>
        <v>#VALUE!</v>
      </c>
      <c r="F76" t="e">
        <f ca="1">IF((A1)=(2),"",IF((72)=(F4),IF(IF((INDEX(B1:XFD1,((A3)+(1))+(0)))=("store"),(INDEX(B1:XFD1,((A3)+(1))+(1)))=("F"),"false"),B3,F76),F76))</f>
        <v>#VALUE!</v>
      </c>
      <c r="G76" t="e">
        <f ca="1">IF((A1)=(2),"",IF((72)=(G4),IF(IF((INDEX(B1:XFD1,((A3)+(1))+(0)))=("store"),(INDEX(B1:XFD1,((A3)+(1))+(1)))=("G"),"false"),B3,G76),G76))</f>
        <v>#VALUE!</v>
      </c>
      <c r="H76" t="e">
        <f ca="1">IF((A1)=(2),"",IF((72)=(H4),IF(IF((INDEX(B1:XFD1,((A3)+(1))+(0)))=("store"),(INDEX(B1:XFD1,((A3)+(1))+(1)))=("H"),"false"),B3,H76),H76))</f>
        <v>#VALUE!</v>
      </c>
      <c r="I76" t="e">
        <f ca="1">IF((A1)=(2),"",IF((72)=(I4),IF(IF((INDEX(B1:XFD1,((A3)+(1))+(0)))=("store"),(INDEX(B1:XFD1,((A3)+(1))+(1)))=("I"),"false"),B3,I76),I76))</f>
        <v>#VALUE!</v>
      </c>
      <c r="J76" t="e">
        <f ca="1">IF((A1)=(2),"",IF((72)=(J4),IF(IF((INDEX(B1:XFD1,((A3)+(1))+(0)))=("store"),(INDEX(B1:XFD1,((A3)+(1))+(1)))=("J"),"false"),B3,J76),J76))</f>
        <v>#VALUE!</v>
      </c>
      <c r="K76" t="e">
        <f ca="1">IF((A1)=(2),"",IF((72)=(K4),IF(IF((INDEX(B1:XFD1,((A3)+(1))+(0)))=("store"),(INDEX(B1:XFD1,((A3)+(1))+(1)))=("K"),"false"),B3,K76),K76))</f>
        <v>#VALUE!</v>
      </c>
      <c r="L76" t="e">
        <f ca="1">IF((A1)=(2),"",IF((72)=(L4),IF(IF((INDEX(B1:XFD1,((A3)+(1))+(0)))=("store"),(INDEX(B1:XFD1,((A3)+(1))+(1)))=("L"),"false"),B3,L76),L76))</f>
        <v>#VALUE!</v>
      </c>
      <c r="M76" t="e">
        <f ca="1">IF((A1)=(2),"",IF((72)=(M4),IF(IF((INDEX(B1:XFD1,((A3)+(1))+(0)))=("store"),(INDEX(B1:XFD1,((A3)+(1))+(1)))=("M"),"false"),B3,M76),M76))</f>
        <v>#VALUE!</v>
      </c>
      <c r="N76" t="e">
        <f ca="1">IF((A1)=(2),"",IF((72)=(N4),IF(IF((INDEX(B1:XFD1,((A3)+(1))+(0)))=("store"),(INDEX(B1:XFD1,((A3)+(1))+(1)))=("N"),"false"),B3,N76),N76))</f>
        <v>#VALUE!</v>
      </c>
      <c r="O76" t="e">
        <f ca="1">IF((A1)=(2),"",IF((72)=(O4),IF(IF((INDEX(B1:XFD1,((A3)+(1))+(0)))=("store"),(INDEX(B1:XFD1,((A3)+(1))+(1)))=("O"),"false"),B3,O76),O76))</f>
        <v>#VALUE!</v>
      </c>
      <c r="P76" t="e">
        <f ca="1">IF((A1)=(2),"",IF((72)=(P4),IF(IF((INDEX(B1:XFD1,((A3)+(1))+(0)))=("store"),(INDEX(B1:XFD1,((A3)+(1))+(1)))=("P"),"false"),B3,P76),P76))</f>
        <v>#VALUE!</v>
      </c>
      <c r="Q76" t="e">
        <f ca="1">IF((A1)=(2),"",IF((72)=(Q4),IF(IF((INDEX(B1:XFD1,((A3)+(1))+(0)))=("store"),(INDEX(B1:XFD1,((A3)+(1))+(1)))=("Q"),"false"),B3,Q76),Q76))</f>
        <v>#VALUE!</v>
      </c>
      <c r="R76" t="e">
        <f ca="1">IF((A1)=(2),"",IF((72)=(R4),IF(IF((INDEX(B1:XFD1,((A3)+(1))+(0)))=("store"),(INDEX(B1:XFD1,((A3)+(1))+(1)))=("R"),"false"),B3,R76),R76))</f>
        <v>#VALUE!</v>
      </c>
      <c r="S76" t="e">
        <f ca="1">IF((A1)=(2),"",IF((72)=(S4),IF(IF((INDEX(B1:XFD1,((A3)+(1))+(0)))=("store"),(INDEX(B1:XFD1,((A3)+(1))+(1)))=("S"),"false"),B3,S76),S76))</f>
        <v>#VALUE!</v>
      </c>
      <c r="T76" t="e">
        <f ca="1">IF((A1)=(2),"",IF((72)=(T4),IF(IF((INDEX(B1:XFD1,((A3)+(1))+(0)))=("store"),(INDEX(B1:XFD1,((A3)+(1))+(1)))=("T"),"false"),B3,T76),T76))</f>
        <v>#VALUE!</v>
      </c>
      <c r="U76" t="e">
        <f ca="1">IF((A1)=(2),"",IF((72)=(U4),IF(IF((INDEX(B1:XFD1,((A3)+(1))+(0)))=("store"),(INDEX(B1:XFD1,((A3)+(1))+(1)))=("U"),"false"),B3,U76),U76))</f>
        <v>#VALUE!</v>
      </c>
      <c r="V76" t="e">
        <f ca="1">IF((A1)=(2),"",IF((72)=(V4),IF(IF((INDEX(B1:XFD1,((A3)+(1))+(0)))=("store"),(INDEX(B1:XFD1,((A3)+(1))+(1)))=("V"),"false"),B3,V76),V76))</f>
        <v>#VALUE!</v>
      </c>
      <c r="W76" t="e">
        <f ca="1">IF((A1)=(2),"",IF((72)=(W4),IF(IF((INDEX(B1:XFD1,((A3)+(1))+(0)))=("store"),(INDEX(B1:XFD1,((A3)+(1))+(1)))=("W"),"false"),B3,W76),W76))</f>
        <v>#VALUE!</v>
      </c>
      <c r="X76" t="e">
        <f ca="1">IF((A1)=(2),"",IF((72)=(X4),IF(IF((INDEX(B1:XFD1,((A3)+(1))+(0)))=("store"),(INDEX(B1:XFD1,((A3)+(1))+(1)))=("X"),"false"),B3,X76),X76))</f>
        <v>#VALUE!</v>
      </c>
      <c r="Y76" t="e">
        <f ca="1">IF((A1)=(2),"",IF((72)=(Y4),IF(IF((INDEX(B1:XFD1,((A3)+(1))+(0)))=("store"),(INDEX(B1:XFD1,((A3)+(1))+(1)))=("Y"),"false"),B3,Y76),Y76))</f>
        <v>#VALUE!</v>
      </c>
      <c r="Z76" t="e">
        <f ca="1">IF((A1)=(2),"",IF((72)=(Z4),IF(IF((INDEX(B1:XFD1,((A3)+(1))+(0)))=("store"),(INDEX(B1:XFD1,((A3)+(1))+(1)))=("Z"),"false"),B3,Z76),Z76))</f>
        <v>#VALUE!</v>
      </c>
      <c r="AA76" t="e">
        <f ca="1">IF((A1)=(2),"",IF((72)=(AA4),IF(IF((INDEX(B1:XFD1,((A3)+(1))+(0)))=("store"),(INDEX(B1:XFD1,((A3)+(1))+(1)))=("AA"),"false"),B3,AA76),AA76))</f>
        <v>#VALUE!</v>
      </c>
      <c r="AB76" t="e">
        <f ca="1">IF((A1)=(2),"",IF((72)=(AB4),IF(IF((INDEX(B1:XFD1,((A3)+(1))+(0)))=("store"),(INDEX(B1:XFD1,((A3)+(1))+(1)))=("AB"),"false"),B3,AB76),AB76))</f>
        <v>#VALUE!</v>
      </c>
      <c r="AC76" t="e">
        <f ca="1">IF((A1)=(2),"",IF((72)=(AC4),IF(IF((INDEX(B1:XFD1,((A3)+(1))+(0)))=("store"),(INDEX(B1:XFD1,((A3)+(1))+(1)))=("AC"),"false"),B3,AC76),AC76))</f>
        <v>#VALUE!</v>
      </c>
      <c r="AD76" t="e">
        <f ca="1">IF((A1)=(2),"",IF((72)=(AD4),IF(IF((INDEX(B1:XFD1,((A3)+(1))+(0)))=("store"),(INDEX(B1:XFD1,((A3)+(1))+(1)))=("AD"),"false"),B3,AD76),AD76))</f>
        <v>#VALUE!</v>
      </c>
    </row>
    <row r="77" spans="1:30" x14ac:dyDescent="0.25">
      <c r="A77" t="e">
        <f ca="1">IF((A1)=(2),"",IF((73)=(A4),IF(("call")=(INDEX(B1:XFD1,((A3)+(1))+(0))),(B3)*(2),IF(("goto")=(INDEX(B1:XFD1,((A3)+(1))+(0))),(INDEX(B1:XFD1,((A3)+(1))+(1)))*(2),IF(("gotoiftrue")=(INDEX(B1:XFD1,((A3)+(1))+(0))),IF(B3,(INDEX(B1:XFD1,((A3)+(1))+(1)))*(2),(A77)+(2)),(A77)+(2)))),A77))</f>
        <v>#VALUE!</v>
      </c>
      <c r="B77" t="e">
        <f ca="1">IF((A1)=(2),"",IF((73)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77)+(1)),IF(("add")=(INDEX(B1:XFD1,((A3)+(1))+(0))),(INDEX(B5:B405,(B4)+(1)))+(B77),IF(("equals")=(INDEX(B1:XFD1,((A3)+(1))+(0))),(INDEX(B5:B405,(B4)+(1)))=(B77),IF(("leq")=(INDEX(B1:XFD1,((A3)+(1))+(0))),(INDEX(B5:B405,(B4)+(1)))&lt;=(B77),IF(("greater")=(INDEX(B1:XFD1,((A3)+(1))+(0))),(INDEX(B5:B405,(B4)+(1)))&gt;(B77),IF(("mod")=(INDEX(B1:XFD1,((A3)+(1))+(0))),MOD(INDEX(B5:B405,(B4)+(1)),B77),B77))))))))),B77))</f>
        <v>#VALUE!</v>
      </c>
      <c r="C77" t="e">
        <f ca="1">IF((A1)=(2),1,IF(AND((INDEX(B1:XFD1,((A3)+(1))+(0)))=("writeheap"),(INDEX(B5:B405,(B4)+(1)))=(72)),INDEX(B5:B405,(B4)+(2)),IF((A1)=(2),"",IF((73)=(C4),C77,C77))))</f>
        <v>#VALUE!</v>
      </c>
      <c r="F77" t="e">
        <f ca="1">IF((A1)=(2),"",IF((73)=(F4),IF(IF((INDEX(B1:XFD1,((A3)+(1))+(0)))=("store"),(INDEX(B1:XFD1,((A3)+(1))+(1)))=("F"),"false"),B3,F77),F77))</f>
        <v>#VALUE!</v>
      </c>
      <c r="G77" t="e">
        <f ca="1">IF((A1)=(2),"",IF((73)=(G4),IF(IF((INDEX(B1:XFD1,((A3)+(1))+(0)))=("store"),(INDEX(B1:XFD1,((A3)+(1))+(1)))=("G"),"false"),B3,G77),G77))</f>
        <v>#VALUE!</v>
      </c>
      <c r="H77" t="e">
        <f ca="1">IF((A1)=(2),"",IF((73)=(H4),IF(IF((INDEX(B1:XFD1,((A3)+(1))+(0)))=("store"),(INDEX(B1:XFD1,((A3)+(1))+(1)))=("H"),"false"),B3,H77),H77))</f>
        <v>#VALUE!</v>
      </c>
      <c r="I77" t="e">
        <f ca="1">IF((A1)=(2),"",IF((73)=(I4),IF(IF((INDEX(B1:XFD1,((A3)+(1))+(0)))=("store"),(INDEX(B1:XFD1,((A3)+(1))+(1)))=("I"),"false"),B3,I77),I77))</f>
        <v>#VALUE!</v>
      </c>
      <c r="J77" t="e">
        <f ca="1">IF((A1)=(2),"",IF((73)=(J4),IF(IF((INDEX(B1:XFD1,((A3)+(1))+(0)))=("store"),(INDEX(B1:XFD1,((A3)+(1))+(1)))=("J"),"false"),B3,J77),J77))</f>
        <v>#VALUE!</v>
      </c>
      <c r="K77" t="e">
        <f ca="1">IF((A1)=(2),"",IF((73)=(K4),IF(IF((INDEX(B1:XFD1,((A3)+(1))+(0)))=("store"),(INDEX(B1:XFD1,((A3)+(1))+(1)))=("K"),"false"),B3,K77),K77))</f>
        <v>#VALUE!</v>
      </c>
      <c r="L77" t="e">
        <f ca="1">IF((A1)=(2),"",IF((73)=(L4),IF(IF((INDEX(B1:XFD1,((A3)+(1))+(0)))=("store"),(INDEX(B1:XFD1,((A3)+(1))+(1)))=("L"),"false"),B3,L77),L77))</f>
        <v>#VALUE!</v>
      </c>
      <c r="M77" t="e">
        <f ca="1">IF((A1)=(2),"",IF((73)=(M4),IF(IF((INDEX(B1:XFD1,((A3)+(1))+(0)))=("store"),(INDEX(B1:XFD1,((A3)+(1))+(1)))=("M"),"false"),B3,M77),M77))</f>
        <v>#VALUE!</v>
      </c>
      <c r="N77" t="e">
        <f ca="1">IF((A1)=(2),"",IF((73)=(N4),IF(IF((INDEX(B1:XFD1,((A3)+(1))+(0)))=("store"),(INDEX(B1:XFD1,((A3)+(1))+(1)))=("N"),"false"),B3,N77),N77))</f>
        <v>#VALUE!</v>
      </c>
      <c r="O77" t="e">
        <f ca="1">IF((A1)=(2),"",IF((73)=(O4),IF(IF((INDEX(B1:XFD1,((A3)+(1))+(0)))=("store"),(INDEX(B1:XFD1,((A3)+(1))+(1)))=("O"),"false"),B3,O77),O77))</f>
        <v>#VALUE!</v>
      </c>
      <c r="P77" t="e">
        <f ca="1">IF((A1)=(2),"",IF((73)=(P4),IF(IF((INDEX(B1:XFD1,((A3)+(1))+(0)))=("store"),(INDEX(B1:XFD1,((A3)+(1))+(1)))=("P"),"false"),B3,P77),P77))</f>
        <v>#VALUE!</v>
      </c>
      <c r="Q77" t="e">
        <f ca="1">IF((A1)=(2),"",IF((73)=(Q4),IF(IF((INDEX(B1:XFD1,((A3)+(1))+(0)))=("store"),(INDEX(B1:XFD1,((A3)+(1))+(1)))=("Q"),"false"),B3,Q77),Q77))</f>
        <v>#VALUE!</v>
      </c>
      <c r="R77" t="e">
        <f ca="1">IF((A1)=(2),"",IF((73)=(R4),IF(IF((INDEX(B1:XFD1,((A3)+(1))+(0)))=("store"),(INDEX(B1:XFD1,((A3)+(1))+(1)))=("R"),"false"),B3,R77),R77))</f>
        <v>#VALUE!</v>
      </c>
      <c r="S77" t="e">
        <f ca="1">IF((A1)=(2),"",IF((73)=(S4),IF(IF((INDEX(B1:XFD1,((A3)+(1))+(0)))=("store"),(INDEX(B1:XFD1,((A3)+(1))+(1)))=("S"),"false"),B3,S77),S77))</f>
        <v>#VALUE!</v>
      </c>
      <c r="T77" t="e">
        <f ca="1">IF((A1)=(2),"",IF((73)=(T4),IF(IF((INDEX(B1:XFD1,((A3)+(1))+(0)))=("store"),(INDEX(B1:XFD1,((A3)+(1))+(1)))=("T"),"false"),B3,T77),T77))</f>
        <v>#VALUE!</v>
      </c>
      <c r="U77" t="e">
        <f ca="1">IF((A1)=(2),"",IF((73)=(U4),IF(IF((INDEX(B1:XFD1,((A3)+(1))+(0)))=("store"),(INDEX(B1:XFD1,((A3)+(1))+(1)))=("U"),"false"),B3,U77),U77))</f>
        <v>#VALUE!</v>
      </c>
      <c r="V77" t="e">
        <f ca="1">IF((A1)=(2),"",IF((73)=(V4),IF(IF((INDEX(B1:XFD1,((A3)+(1))+(0)))=("store"),(INDEX(B1:XFD1,((A3)+(1))+(1)))=("V"),"false"),B3,V77),V77))</f>
        <v>#VALUE!</v>
      </c>
      <c r="W77" t="e">
        <f ca="1">IF((A1)=(2),"",IF((73)=(W4),IF(IF((INDEX(B1:XFD1,((A3)+(1))+(0)))=("store"),(INDEX(B1:XFD1,((A3)+(1))+(1)))=("W"),"false"),B3,W77),W77))</f>
        <v>#VALUE!</v>
      </c>
      <c r="X77" t="e">
        <f ca="1">IF((A1)=(2),"",IF((73)=(X4),IF(IF((INDEX(B1:XFD1,((A3)+(1))+(0)))=("store"),(INDEX(B1:XFD1,((A3)+(1))+(1)))=("X"),"false"),B3,X77),X77))</f>
        <v>#VALUE!</v>
      </c>
      <c r="Y77" t="e">
        <f ca="1">IF((A1)=(2),"",IF((73)=(Y4),IF(IF((INDEX(B1:XFD1,((A3)+(1))+(0)))=("store"),(INDEX(B1:XFD1,((A3)+(1))+(1)))=("Y"),"false"),B3,Y77),Y77))</f>
        <v>#VALUE!</v>
      </c>
      <c r="Z77" t="e">
        <f ca="1">IF((A1)=(2),"",IF((73)=(Z4),IF(IF((INDEX(B1:XFD1,((A3)+(1))+(0)))=("store"),(INDEX(B1:XFD1,((A3)+(1))+(1)))=("Z"),"false"),B3,Z77),Z77))</f>
        <v>#VALUE!</v>
      </c>
      <c r="AA77" t="e">
        <f ca="1">IF((A1)=(2),"",IF((73)=(AA4),IF(IF((INDEX(B1:XFD1,((A3)+(1))+(0)))=("store"),(INDEX(B1:XFD1,((A3)+(1))+(1)))=("AA"),"false"),B3,AA77),AA77))</f>
        <v>#VALUE!</v>
      </c>
      <c r="AB77" t="e">
        <f ca="1">IF((A1)=(2),"",IF((73)=(AB4),IF(IF((INDEX(B1:XFD1,((A3)+(1))+(0)))=("store"),(INDEX(B1:XFD1,((A3)+(1))+(1)))=("AB"),"false"),B3,AB77),AB77))</f>
        <v>#VALUE!</v>
      </c>
      <c r="AC77" t="e">
        <f ca="1">IF((A1)=(2),"",IF((73)=(AC4),IF(IF((INDEX(B1:XFD1,((A3)+(1))+(0)))=("store"),(INDEX(B1:XFD1,((A3)+(1))+(1)))=("AC"),"false"),B3,AC77),AC77))</f>
        <v>#VALUE!</v>
      </c>
      <c r="AD77" t="e">
        <f ca="1">IF((A1)=(2),"",IF((73)=(AD4),IF(IF((INDEX(B1:XFD1,((A3)+(1))+(0)))=("store"),(INDEX(B1:XFD1,((A3)+(1))+(1)))=("AD"),"false"),B3,AD77),AD77))</f>
        <v>#VALUE!</v>
      </c>
    </row>
    <row r="78" spans="1:30" x14ac:dyDescent="0.25">
      <c r="A78" t="e">
        <f ca="1">IF((A1)=(2),"",IF((74)=(A4),IF(("call")=(INDEX(B1:XFD1,((A3)+(1))+(0))),(B3)*(2),IF(("goto")=(INDEX(B1:XFD1,((A3)+(1))+(0))),(INDEX(B1:XFD1,((A3)+(1))+(1)))*(2),IF(("gotoiftrue")=(INDEX(B1:XFD1,((A3)+(1))+(0))),IF(B3,(INDEX(B1:XFD1,((A3)+(1))+(1)))*(2),(A78)+(2)),(A78)+(2)))),A78))</f>
        <v>#VALUE!</v>
      </c>
      <c r="B78" t="e">
        <f ca="1">IF((A1)=(2),"",IF((74)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78)+(1)),IF(("add")=(INDEX(B1:XFD1,((A3)+(1))+(0))),(INDEX(B5:B405,(B4)+(1)))+(B78),IF(("equals")=(INDEX(B1:XFD1,((A3)+(1))+(0))),(INDEX(B5:B405,(B4)+(1)))=(B78),IF(("leq")=(INDEX(B1:XFD1,((A3)+(1))+(0))),(INDEX(B5:B405,(B4)+(1)))&lt;=(B78),IF(("greater")=(INDEX(B1:XFD1,((A3)+(1))+(0))),(INDEX(B5:B405,(B4)+(1)))&gt;(B78),IF(("mod")=(INDEX(B1:XFD1,((A3)+(1))+(0))),MOD(INDEX(B5:B405,(B4)+(1)),B78),B78))))))))),B78))</f>
        <v>#VALUE!</v>
      </c>
      <c r="C78" t="e">
        <f ca="1">IF((A1)=(2),1,IF(AND((INDEX(B1:XFD1,((A3)+(1))+(0)))=("writeheap"),(INDEX(B5:B405,(B4)+(1)))=(73)),INDEX(B5:B405,(B4)+(2)),IF((A1)=(2),"",IF((74)=(C4),C78,C78))))</f>
        <v>#VALUE!</v>
      </c>
      <c r="F78" t="e">
        <f ca="1">IF((A1)=(2),"",IF((74)=(F4),IF(IF((INDEX(B1:XFD1,((A3)+(1))+(0)))=("store"),(INDEX(B1:XFD1,((A3)+(1))+(1)))=("F"),"false"),B3,F78),F78))</f>
        <v>#VALUE!</v>
      </c>
      <c r="G78" t="e">
        <f ca="1">IF((A1)=(2),"",IF((74)=(G4),IF(IF((INDEX(B1:XFD1,((A3)+(1))+(0)))=("store"),(INDEX(B1:XFD1,((A3)+(1))+(1)))=("G"),"false"),B3,G78),G78))</f>
        <v>#VALUE!</v>
      </c>
      <c r="H78" t="e">
        <f ca="1">IF((A1)=(2),"",IF((74)=(H4),IF(IF((INDEX(B1:XFD1,((A3)+(1))+(0)))=("store"),(INDEX(B1:XFD1,((A3)+(1))+(1)))=("H"),"false"),B3,H78),H78))</f>
        <v>#VALUE!</v>
      </c>
      <c r="I78" t="e">
        <f ca="1">IF((A1)=(2),"",IF((74)=(I4),IF(IF((INDEX(B1:XFD1,((A3)+(1))+(0)))=("store"),(INDEX(B1:XFD1,((A3)+(1))+(1)))=("I"),"false"),B3,I78),I78))</f>
        <v>#VALUE!</v>
      </c>
      <c r="J78" t="e">
        <f ca="1">IF((A1)=(2),"",IF((74)=(J4),IF(IF((INDEX(B1:XFD1,((A3)+(1))+(0)))=("store"),(INDEX(B1:XFD1,((A3)+(1))+(1)))=("J"),"false"),B3,J78),J78))</f>
        <v>#VALUE!</v>
      </c>
      <c r="K78" t="e">
        <f ca="1">IF((A1)=(2),"",IF((74)=(K4),IF(IF((INDEX(B1:XFD1,((A3)+(1))+(0)))=("store"),(INDEX(B1:XFD1,((A3)+(1))+(1)))=("K"),"false"),B3,K78),K78))</f>
        <v>#VALUE!</v>
      </c>
      <c r="L78" t="e">
        <f ca="1">IF((A1)=(2),"",IF((74)=(L4),IF(IF((INDEX(B1:XFD1,((A3)+(1))+(0)))=("store"),(INDEX(B1:XFD1,((A3)+(1))+(1)))=("L"),"false"),B3,L78),L78))</f>
        <v>#VALUE!</v>
      </c>
      <c r="M78" t="e">
        <f ca="1">IF((A1)=(2),"",IF((74)=(M4),IF(IF((INDEX(B1:XFD1,((A3)+(1))+(0)))=("store"),(INDEX(B1:XFD1,((A3)+(1))+(1)))=("M"),"false"),B3,M78),M78))</f>
        <v>#VALUE!</v>
      </c>
      <c r="N78" t="e">
        <f ca="1">IF((A1)=(2),"",IF((74)=(N4),IF(IF((INDEX(B1:XFD1,((A3)+(1))+(0)))=("store"),(INDEX(B1:XFD1,((A3)+(1))+(1)))=("N"),"false"),B3,N78),N78))</f>
        <v>#VALUE!</v>
      </c>
      <c r="O78" t="e">
        <f ca="1">IF((A1)=(2),"",IF((74)=(O4),IF(IF((INDEX(B1:XFD1,((A3)+(1))+(0)))=("store"),(INDEX(B1:XFD1,((A3)+(1))+(1)))=("O"),"false"),B3,O78),O78))</f>
        <v>#VALUE!</v>
      </c>
      <c r="P78" t="e">
        <f ca="1">IF((A1)=(2),"",IF((74)=(P4),IF(IF((INDEX(B1:XFD1,((A3)+(1))+(0)))=("store"),(INDEX(B1:XFD1,((A3)+(1))+(1)))=("P"),"false"),B3,P78),P78))</f>
        <v>#VALUE!</v>
      </c>
      <c r="Q78" t="e">
        <f ca="1">IF((A1)=(2),"",IF((74)=(Q4),IF(IF((INDEX(B1:XFD1,((A3)+(1))+(0)))=("store"),(INDEX(B1:XFD1,((A3)+(1))+(1)))=("Q"),"false"),B3,Q78),Q78))</f>
        <v>#VALUE!</v>
      </c>
      <c r="R78" t="e">
        <f ca="1">IF((A1)=(2),"",IF((74)=(R4),IF(IF((INDEX(B1:XFD1,((A3)+(1))+(0)))=("store"),(INDEX(B1:XFD1,((A3)+(1))+(1)))=("R"),"false"),B3,R78),R78))</f>
        <v>#VALUE!</v>
      </c>
      <c r="S78" t="e">
        <f ca="1">IF((A1)=(2),"",IF((74)=(S4),IF(IF((INDEX(B1:XFD1,((A3)+(1))+(0)))=("store"),(INDEX(B1:XFD1,((A3)+(1))+(1)))=("S"),"false"),B3,S78),S78))</f>
        <v>#VALUE!</v>
      </c>
      <c r="T78" t="e">
        <f ca="1">IF((A1)=(2),"",IF((74)=(T4),IF(IF((INDEX(B1:XFD1,((A3)+(1))+(0)))=("store"),(INDEX(B1:XFD1,((A3)+(1))+(1)))=("T"),"false"),B3,T78),T78))</f>
        <v>#VALUE!</v>
      </c>
      <c r="U78" t="e">
        <f ca="1">IF((A1)=(2),"",IF((74)=(U4),IF(IF((INDEX(B1:XFD1,((A3)+(1))+(0)))=("store"),(INDEX(B1:XFD1,((A3)+(1))+(1)))=("U"),"false"),B3,U78),U78))</f>
        <v>#VALUE!</v>
      </c>
      <c r="V78" t="e">
        <f ca="1">IF((A1)=(2),"",IF((74)=(V4),IF(IF((INDEX(B1:XFD1,((A3)+(1))+(0)))=("store"),(INDEX(B1:XFD1,((A3)+(1))+(1)))=("V"),"false"),B3,V78),V78))</f>
        <v>#VALUE!</v>
      </c>
      <c r="W78" t="e">
        <f ca="1">IF((A1)=(2),"",IF((74)=(W4),IF(IF((INDEX(B1:XFD1,((A3)+(1))+(0)))=("store"),(INDEX(B1:XFD1,((A3)+(1))+(1)))=("W"),"false"),B3,W78),W78))</f>
        <v>#VALUE!</v>
      </c>
      <c r="X78" t="e">
        <f ca="1">IF((A1)=(2),"",IF((74)=(X4),IF(IF((INDEX(B1:XFD1,((A3)+(1))+(0)))=("store"),(INDEX(B1:XFD1,((A3)+(1))+(1)))=("X"),"false"),B3,X78),X78))</f>
        <v>#VALUE!</v>
      </c>
      <c r="Y78" t="e">
        <f ca="1">IF((A1)=(2),"",IF((74)=(Y4),IF(IF((INDEX(B1:XFD1,((A3)+(1))+(0)))=("store"),(INDEX(B1:XFD1,((A3)+(1))+(1)))=("Y"),"false"),B3,Y78),Y78))</f>
        <v>#VALUE!</v>
      </c>
      <c r="Z78" t="e">
        <f ca="1">IF((A1)=(2),"",IF((74)=(Z4),IF(IF((INDEX(B1:XFD1,((A3)+(1))+(0)))=("store"),(INDEX(B1:XFD1,((A3)+(1))+(1)))=("Z"),"false"),B3,Z78),Z78))</f>
        <v>#VALUE!</v>
      </c>
      <c r="AA78" t="e">
        <f ca="1">IF((A1)=(2),"",IF((74)=(AA4),IF(IF((INDEX(B1:XFD1,((A3)+(1))+(0)))=("store"),(INDEX(B1:XFD1,((A3)+(1))+(1)))=("AA"),"false"),B3,AA78),AA78))</f>
        <v>#VALUE!</v>
      </c>
      <c r="AB78" t="e">
        <f ca="1">IF((A1)=(2),"",IF((74)=(AB4),IF(IF((INDEX(B1:XFD1,((A3)+(1))+(0)))=("store"),(INDEX(B1:XFD1,((A3)+(1))+(1)))=("AB"),"false"),B3,AB78),AB78))</f>
        <v>#VALUE!</v>
      </c>
      <c r="AC78" t="e">
        <f ca="1">IF((A1)=(2),"",IF((74)=(AC4),IF(IF((INDEX(B1:XFD1,((A3)+(1))+(0)))=("store"),(INDEX(B1:XFD1,((A3)+(1))+(1)))=("AC"),"false"),B3,AC78),AC78))</f>
        <v>#VALUE!</v>
      </c>
      <c r="AD78" t="e">
        <f ca="1">IF((A1)=(2),"",IF((74)=(AD4),IF(IF((INDEX(B1:XFD1,((A3)+(1))+(0)))=("store"),(INDEX(B1:XFD1,((A3)+(1))+(1)))=("AD"),"false"),B3,AD78),AD78))</f>
        <v>#VALUE!</v>
      </c>
    </row>
    <row r="79" spans="1:30" x14ac:dyDescent="0.25">
      <c r="A79" t="e">
        <f ca="1">IF((A1)=(2),"",IF((75)=(A4),IF(("call")=(INDEX(B1:XFD1,((A3)+(1))+(0))),(B3)*(2),IF(("goto")=(INDEX(B1:XFD1,((A3)+(1))+(0))),(INDEX(B1:XFD1,((A3)+(1))+(1)))*(2),IF(("gotoiftrue")=(INDEX(B1:XFD1,((A3)+(1))+(0))),IF(B3,(INDEX(B1:XFD1,((A3)+(1))+(1)))*(2),(A79)+(2)),(A79)+(2)))),A79))</f>
        <v>#VALUE!</v>
      </c>
      <c r="B79" t="e">
        <f ca="1">IF((A1)=(2),"",IF((75)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79)+(1)),IF(("add")=(INDEX(B1:XFD1,((A3)+(1))+(0))),(INDEX(B5:B405,(B4)+(1)))+(B79),IF(("equals")=(INDEX(B1:XFD1,((A3)+(1))+(0))),(INDEX(B5:B405,(B4)+(1)))=(B79),IF(("leq")=(INDEX(B1:XFD1,((A3)+(1))+(0))),(INDEX(B5:B405,(B4)+(1)))&lt;=(B79),IF(("greater")=(INDEX(B1:XFD1,((A3)+(1))+(0))),(INDEX(B5:B405,(B4)+(1)))&gt;(B79),IF(("mod")=(INDEX(B1:XFD1,((A3)+(1))+(0))),MOD(INDEX(B5:B405,(B4)+(1)),B79),B79))))))))),B79))</f>
        <v>#VALUE!</v>
      </c>
      <c r="C79" t="e">
        <f ca="1">IF((A1)=(2),1,IF(AND((INDEX(B1:XFD1,((A3)+(1))+(0)))=("writeheap"),(INDEX(B5:B405,(B4)+(1)))=(74)),INDEX(B5:B405,(B4)+(2)),IF((A1)=(2),"",IF((75)=(C4),C79,C79))))</f>
        <v>#VALUE!</v>
      </c>
      <c r="F79" t="e">
        <f ca="1">IF((A1)=(2),"",IF((75)=(F4),IF(IF((INDEX(B1:XFD1,((A3)+(1))+(0)))=("store"),(INDEX(B1:XFD1,((A3)+(1))+(1)))=("F"),"false"),B3,F79),F79))</f>
        <v>#VALUE!</v>
      </c>
      <c r="G79" t="e">
        <f ca="1">IF((A1)=(2),"",IF((75)=(G4),IF(IF((INDEX(B1:XFD1,((A3)+(1))+(0)))=("store"),(INDEX(B1:XFD1,((A3)+(1))+(1)))=("G"),"false"),B3,G79),G79))</f>
        <v>#VALUE!</v>
      </c>
      <c r="H79" t="e">
        <f ca="1">IF((A1)=(2),"",IF((75)=(H4),IF(IF((INDEX(B1:XFD1,((A3)+(1))+(0)))=("store"),(INDEX(B1:XFD1,((A3)+(1))+(1)))=("H"),"false"),B3,H79),H79))</f>
        <v>#VALUE!</v>
      </c>
      <c r="I79" t="e">
        <f ca="1">IF((A1)=(2),"",IF((75)=(I4),IF(IF((INDEX(B1:XFD1,((A3)+(1))+(0)))=("store"),(INDEX(B1:XFD1,((A3)+(1))+(1)))=("I"),"false"),B3,I79),I79))</f>
        <v>#VALUE!</v>
      </c>
      <c r="J79" t="e">
        <f ca="1">IF((A1)=(2),"",IF((75)=(J4),IF(IF((INDEX(B1:XFD1,((A3)+(1))+(0)))=("store"),(INDEX(B1:XFD1,((A3)+(1))+(1)))=("J"),"false"),B3,J79),J79))</f>
        <v>#VALUE!</v>
      </c>
      <c r="K79" t="e">
        <f ca="1">IF((A1)=(2),"",IF((75)=(K4),IF(IF((INDEX(B1:XFD1,((A3)+(1))+(0)))=("store"),(INDEX(B1:XFD1,((A3)+(1))+(1)))=("K"),"false"),B3,K79),K79))</f>
        <v>#VALUE!</v>
      </c>
      <c r="L79" t="e">
        <f ca="1">IF((A1)=(2),"",IF((75)=(L4),IF(IF((INDEX(B1:XFD1,((A3)+(1))+(0)))=("store"),(INDEX(B1:XFD1,((A3)+(1))+(1)))=("L"),"false"),B3,L79),L79))</f>
        <v>#VALUE!</v>
      </c>
      <c r="M79" t="e">
        <f ca="1">IF((A1)=(2),"",IF((75)=(M4),IF(IF((INDEX(B1:XFD1,((A3)+(1))+(0)))=("store"),(INDEX(B1:XFD1,((A3)+(1))+(1)))=("M"),"false"),B3,M79),M79))</f>
        <v>#VALUE!</v>
      </c>
      <c r="N79" t="e">
        <f ca="1">IF((A1)=(2),"",IF((75)=(N4),IF(IF((INDEX(B1:XFD1,((A3)+(1))+(0)))=("store"),(INDEX(B1:XFD1,((A3)+(1))+(1)))=("N"),"false"),B3,N79),N79))</f>
        <v>#VALUE!</v>
      </c>
      <c r="O79" t="e">
        <f ca="1">IF((A1)=(2),"",IF((75)=(O4),IF(IF((INDEX(B1:XFD1,((A3)+(1))+(0)))=("store"),(INDEX(B1:XFD1,((A3)+(1))+(1)))=("O"),"false"),B3,O79),O79))</f>
        <v>#VALUE!</v>
      </c>
      <c r="P79" t="e">
        <f ca="1">IF((A1)=(2),"",IF((75)=(P4),IF(IF((INDEX(B1:XFD1,((A3)+(1))+(0)))=("store"),(INDEX(B1:XFD1,((A3)+(1))+(1)))=("P"),"false"),B3,P79),P79))</f>
        <v>#VALUE!</v>
      </c>
      <c r="Q79" t="e">
        <f ca="1">IF((A1)=(2),"",IF((75)=(Q4),IF(IF((INDEX(B1:XFD1,((A3)+(1))+(0)))=("store"),(INDEX(B1:XFD1,((A3)+(1))+(1)))=("Q"),"false"),B3,Q79),Q79))</f>
        <v>#VALUE!</v>
      </c>
      <c r="R79" t="e">
        <f ca="1">IF((A1)=(2),"",IF((75)=(R4),IF(IF((INDEX(B1:XFD1,((A3)+(1))+(0)))=("store"),(INDEX(B1:XFD1,((A3)+(1))+(1)))=("R"),"false"),B3,R79),R79))</f>
        <v>#VALUE!</v>
      </c>
      <c r="S79" t="e">
        <f ca="1">IF((A1)=(2),"",IF((75)=(S4),IF(IF((INDEX(B1:XFD1,((A3)+(1))+(0)))=("store"),(INDEX(B1:XFD1,((A3)+(1))+(1)))=("S"),"false"),B3,S79),S79))</f>
        <v>#VALUE!</v>
      </c>
      <c r="T79" t="e">
        <f ca="1">IF((A1)=(2),"",IF((75)=(T4),IF(IF((INDEX(B1:XFD1,((A3)+(1))+(0)))=("store"),(INDEX(B1:XFD1,((A3)+(1))+(1)))=("T"),"false"),B3,T79),T79))</f>
        <v>#VALUE!</v>
      </c>
      <c r="U79" t="e">
        <f ca="1">IF((A1)=(2),"",IF((75)=(U4),IF(IF((INDEX(B1:XFD1,((A3)+(1))+(0)))=("store"),(INDEX(B1:XFD1,((A3)+(1))+(1)))=("U"),"false"),B3,U79),U79))</f>
        <v>#VALUE!</v>
      </c>
      <c r="V79" t="e">
        <f ca="1">IF((A1)=(2),"",IF((75)=(V4),IF(IF((INDEX(B1:XFD1,((A3)+(1))+(0)))=("store"),(INDEX(B1:XFD1,((A3)+(1))+(1)))=("V"),"false"),B3,V79),V79))</f>
        <v>#VALUE!</v>
      </c>
      <c r="W79" t="e">
        <f ca="1">IF((A1)=(2),"",IF((75)=(W4),IF(IF((INDEX(B1:XFD1,((A3)+(1))+(0)))=("store"),(INDEX(B1:XFD1,((A3)+(1))+(1)))=("W"),"false"),B3,W79),W79))</f>
        <v>#VALUE!</v>
      </c>
      <c r="X79" t="e">
        <f ca="1">IF((A1)=(2),"",IF((75)=(X4),IF(IF((INDEX(B1:XFD1,((A3)+(1))+(0)))=("store"),(INDEX(B1:XFD1,((A3)+(1))+(1)))=("X"),"false"),B3,X79),X79))</f>
        <v>#VALUE!</v>
      </c>
      <c r="Y79" t="e">
        <f ca="1">IF((A1)=(2),"",IF((75)=(Y4),IF(IF((INDEX(B1:XFD1,((A3)+(1))+(0)))=("store"),(INDEX(B1:XFD1,((A3)+(1))+(1)))=("Y"),"false"),B3,Y79),Y79))</f>
        <v>#VALUE!</v>
      </c>
      <c r="Z79" t="e">
        <f ca="1">IF((A1)=(2),"",IF((75)=(Z4),IF(IF((INDEX(B1:XFD1,((A3)+(1))+(0)))=("store"),(INDEX(B1:XFD1,((A3)+(1))+(1)))=("Z"),"false"),B3,Z79),Z79))</f>
        <v>#VALUE!</v>
      </c>
      <c r="AA79" t="e">
        <f ca="1">IF((A1)=(2),"",IF((75)=(AA4),IF(IF((INDEX(B1:XFD1,((A3)+(1))+(0)))=("store"),(INDEX(B1:XFD1,((A3)+(1))+(1)))=("AA"),"false"),B3,AA79),AA79))</f>
        <v>#VALUE!</v>
      </c>
      <c r="AB79" t="e">
        <f ca="1">IF((A1)=(2),"",IF((75)=(AB4),IF(IF((INDEX(B1:XFD1,((A3)+(1))+(0)))=("store"),(INDEX(B1:XFD1,((A3)+(1))+(1)))=("AB"),"false"),B3,AB79),AB79))</f>
        <v>#VALUE!</v>
      </c>
      <c r="AC79" t="e">
        <f ca="1">IF((A1)=(2),"",IF((75)=(AC4),IF(IF((INDEX(B1:XFD1,((A3)+(1))+(0)))=("store"),(INDEX(B1:XFD1,((A3)+(1))+(1)))=("AC"),"false"),B3,AC79),AC79))</f>
        <v>#VALUE!</v>
      </c>
      <c r="AD79" t="e">
        <f ca="1">IF((A1)=(2),"",IF((75)=(AD4),IF(IF((INDEX(B1:XFD1,((A3)+(1))+(0)))=("store"),(INDEX(B1:XFD1,((A3)+(1))+(1)))=("AD"),"false"),B3,AD79),AD79))</f>
        <v>#VALUE!</v>
      </c>
    </row>
    <row r="80" spans="1:30" x14ac:dyDescent="0.25">
      <c r="A80" t="e">
        <f ca="1">IF((A1)=(2),"",IF((76)=(A4),IF(("call")=(INDEX(B1:XFD1,((A3)+(1))+(0))),(B3)*(2),IF(("goto")=(INDEX(B1:XFD1,((A3)+(1))+(0))),(INDEX(B1:XFD1,((A3)+(1))+(1)))*(2),IF(("gotoiftrue")=(INDEX(B1:XFD1,((A3)+(1))+(0))),IF(B3,(INDEX(B1:XFD1,((A3)+(1))+(1)))*(2),(A80)+(2)),(A80)+(2)))),A80))</f>
        <v>#VALUE!</v>
      </c>
      <c r="B80" t="e">
        <f ca="1">IF((A1)=(2),"",IF((76)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80)+(1)),IF(("add")=(INDEX(B1:XFD1,((A3)+(1))+(0))),(INDEX(B5:B405,(B4)+(1)))+(B80),IF(("equals")=(INDEX(B1:XFD1,((A3)+(1))+(0))),(INDEX(B5:B405,(B4)+(1)))=(B80),IF(("leq")=(INDEX(B1:XFD1,((A3)+(1))+(0))),(INDEX(B5:B405,(B4)+(1)))&lt;=(B80),IF(("greater")=(INDEX(B1:XFD1,((A3)+(1))+(0))),(INDEX(B5:B405,(B4)+(1)))&gt;(B80),IF(("mod")=(INDEX(B1:XFD1,((A3)+(1))+(0))),MOD(INDEX(B5:B405,(B4)+(1)),B80),B80))))))))),B80))</f>
        <v>#VALUE!</v>
      </c>
      <c r="C80" t="e">
        <f ca="1">IF((A1)=(2),1,IF(AND((INDEX(B1:XFD1,((A3)+(1))+(0)))=("writeheap"),(INDEX(B5:B405,(B4)+(1)))=(75)),INDEX(B5:B405,(B4)+(2)),IF((A1)=(2),"",IF((76)=(C4),C80,C80))))</f>
        <v>#VALUE!</v>
      </c>
      <c r="F80" t="e">
        <f ca="1">IF((A1)=(2),"",IF((76)=(F4),IF(IF((INDEX(B1:XFD1,((A3)+(1))+(0)))=("store"),(INDEX(B1:XFD1,((A3)+(1))+(1)))=("F"),"false"),B3,F80),F80))</f>
        <v>#VALUE!</v>
      </c>
      <c r="G80" t="e">
        <f ca="1">IF((A1)=(2),"",IF((76)=(G4),IF(IF((INDEX(B1:XFD1,((A3)+(1))+(0)))=("store"),(INDEX(B1:XFD1,((A3)+(1))+(1)))=("G"),"false"),B3,G80),G80))</f>
        <v>#VALUE!</v>
      </c>
      <c r="H80" t="e">
        <f ca="1">IF((A1)=(2),"",IF((76)=(H4),IF(IF((INDEX(B1:XFD1,((A3)+(1))+(0)))=("store"),(INDEX(B1:XFD1,((A3)+(1))+(1)))=("H"),"false"),B3,H80),H80))</f>
        <v>#VALUE!</v>
      </c>
      <c r="I80" t="e">
        <f ca="1">IF((A1)=(2),"",IF((76)=(I4),IF(IF((INDEX(B1:XFD1,((A3)+(1))+(0)))=("store"),(INDEX(B1:XFD1,((A3)+(1))+(1)))=("I"),"false"),B3,I80),I80))</f>
        <v>#VALUE!</v>
      </c>
      <c r="J80" t="e">
        <f ca="1">IF((A1)=(2),"",IF((76)=(J4),IF(IF((INDEX(B1:XFD1,((A3)+(1))+(0)))=("store"),(INDEX(B1:XFD1,((A3)+(1))+(1)))=("J"),"false"),B3,J80),J80))</f>
        <v>#VALUE!</v>
      </c>
      <c r="K80" t="e">
        <f ca="1">IF((A1)=(2),"",IF((76)=(K4),IF(IF((INDEX(B1:XFD1,((A3)+(1))+(0)))=("store"),(INDEX(B1:XFD1,((A3)+(1))+(1)))=("K"),"false"),B3,K80),K80))</f>
        <v>#VALUE!</v>
      </c>
      <c r="L80" t="e">
        <f ca="1">IF((A1)=(2),"",IF((76)=(L4),IF(IF((INDEX(B1:XFD1,((A3)+(1))+(0)))=("store"),(INDEX(B1:XFD1,((A3)+(1))+(1)))=("L"),"false"),B3,L80),L80))</f>
        <v>#VALUE!</v>
      </c>
      <c r="M80" t="e">
        <f ca="1">IF((A1)=(2),"",IF((76)=(M4),IF(IF((INDEX(B1:XFD1,((A3)+(1))+(0)))=("store"),(INDEX(B1:XFD1,((A3)+(1))+(1)))=("M"),"false"),B3,M80),M80))</f>
        <v>#VALUE!</v>
      </c>
      <c r="N80" t="e">
        <f ca="1">IF((A1)=(2),"",IF((76)=(N4),IF(IF((INDEX(B1:XFD1,((A3)+(1))+(0)))=("store"),(INDEX(B1:XFD1,((A3)+(1))+(1)))=("N"),"false"),B3,N80),N80))</f>
        <v>#VALUE!</v>
      </c>
      <c r="O80" t="e">
        <f ca="1">IF((A1)=(2),"",IF((76)=(O4),IF(IF((INDEX(B1:XFD1,((A3)+(1))+(0)))=("store"),(INDEX(B1:XFD1,((A3)+(1))+(1)))=("O"),"false"),B3,O80),O80))</f>
        <v>#VALUE!</v>
      </c>
      <c r="P80" t="e">
        <f ca="1">IF((A1)=(2),"",IF((76)=(P4),IF(IF((INDEX(B1:XFD1,((A3)+(1))+(0)))=("store"),(INDEX(B1:XFD1,((A3)+(1))+(1)))=("P"),"false"),B3,P80),P80))</f>
        <v>#VALUE!</v>
      </c>
      <c r="Q80" t="e">
        <f ca="1">IF((A1)=(2),"",IF((76)=(Q4),IF(IF((INDEX(B1:XFD1,((A3)+(1))+(0)))=("store"),(INDEX(B1:XFD1,((A3)+(1))+(1)))=("Q"),"false"),B3,Q80),Q80))</f>
        <v>#VALUE!</v>
      </c>
      <c r="R80" t="e">
        <f ca="1">IF((A1)=(2),"",IF((76)=(R4),IF(IF((INDEX(B1:XFD1,((A3)+(1))+(0)))=("store"),(INDEX(B1:XFD1,((A3)+(1))+(1)))=("R"),"false"),B3,R80),R80))</f>
        <v>#VALUE!</v>
      </c>
      <c r="S80" t="e">
        <f ca="1">IF((A1)=(2),"",IF((76)=(S4),IF(IF((INDEX(B1:XFD1,((A3)+(1))+(0)))=("store"),(INDEX(B1:XFD1,((A3)+(1))+(1)))=("S"),"false"),B3,S80),S80))</f>
        <v>#VALUE!</v>
      </c>
      <c r="T80" t="e">
        <f ca="1">IF((A1)=(2),"",IF((76)=(T4),IF(IF((INDEX(B1:XFD1,((A3)+(1))+(0)))=("store"),(INDEX(B1:XFD1,((A3)+(1))+(1)))=("T"),"false"),B3,T80),T80))</f>
        <v>#VALUE!</v>
      </c>
      <c r="U80" t="e">
        <f ca="1">IF((A1)=(2),"",IF((76)=(U4),IF(IF((INDEX(B1:XFD1,((A3)+(1))+(0)))=("store"),(INDEX(B1:XFD1,((A3)+(1))+(1)))=("U"),"false"),B3,U80),U80))</f>
        <v>#VALUE!</v>
      </c>
      <c r="V80" t="e">
        <f ca="1">IF((A1)=(2),"",IF((76)=(V4),IF(IF((INDEX(B1:XFD1,((A3)+(1))+(0)))=("store"),(INDEX(B1:XFD1,((A3)+(1))+(1)))=("V"),"false"),B3,V80),V80))</f>
        <v>#VALUE!</v>
      </c>
      <c r="W80" t="e">
        <f ca="1">IF((A1)=(2),"",IF((76)=(W4),IF(IF((INDEX(B1:XFD1,((A3)+(1))+(0)))=("store"),(INDEX(B1:XFD1,((A3)+(1))+(1)))=("W"),"false"),B3,W80),W80))</f>
        <v>#VALUE!</v>
      </c>
      <c r="X80" t="e">
        <f ca="1">IF((A1)=(2),"",IF((76)=(X4),IF(IF((INDEX(B1:XFD1,((A3)+(1))+(0)))=("store"),(INDEX(B1:XFD1,((A3)+(1))+(1)))=("X"),"false"),B3,X80),X80))</f>
        <v>#VALUE!</v>
      </c>
      <c r="Y80" t="e">
        <f ca="1">IF((A1)=(2),"",IF((76)=(Y4),IF(IF((INDEX(B1:XFD1,((A3)+(1))+(0)))=("store"),(INDEX(B1:XFD1,((A3)+(1))+(1)))=("Y"),"false"),B3,Y80),Y80))</f>
        <v>#VALUE!</v>
      </c>
      <c r="Z80" t="e">
        <f ca="1">IF((A1)=(2),"",IF((76)=(Z4),IF(IF((INDEX(B1:XFD1,((A3)+(1))+(0)))=("store"),(INDEX(B1:XFD1,((A3)+(1))+(1)))=("Z"),"false"),B3,Z80),Z80))</f>
        <v>#VALUE!</v>
      </c>
      <c r="AA80" t="e">
        <f ca="1">IF((A1)=(2),"",IF((76)=(AA4),IF(IF((INDEX(B1:XFD1,((A3)+(1))+(0)))=("store"),(INDEX(B1:XFD1,((A3)+(1))+(1)))=("AA"),"false"),B3,AA80),AA80))</f>
        <v>#VALUE!</v>
      </c>
      <c r="AB80" t="e">
        <f ca="1">IF((A1)=(2),"",IF((76)=(AB4),IF(IF((INDEX(B1:XFD1,((A3)+(1))+(0)))=("store"),(INDEX(B1:XFD1,((A3)+(1))+(1)))=("AB"),"false"),B3,AB80),AB80))</f>
        <v>#VALUE!</v>
      </c>
      <c r="AC80" t="e">
        <f ca="1">IF((A1)=(2),"",IF((76)=(AC4),IF(IF((INDEX(B1:XFD1,((A3)+(1))+(0)))=("store"),(INDEX(B1:XFD1,((A3)+(1))+(1)))=("AC"),"false"),B3,AC80),AC80))</f>
        <v>#VALUE!</v>
      </c>
      <c r="AD80" t="e">
        <f ca="1">IF((A1)=(2),"",IF((76)=(AD4),IF(IF((INDEX(B1:XFD1,((A3)+(1))+(0)))=("store"),(INDEX(B1:XFD1,((A3)+(1))+(1)))=("AD"),"false"),B3,AD80),AD80))</f>
        <v>#VALUE!</v>
      </c>
    </row>
    <row r="81" spans="1:30" x14ac:dyDescent="0.25">
      <c r="A81" t="e">
        <f ca="1">IF((A1)=(2),"",IF((77)=(A4),IF(("call")=(INDEX(B1:XFD1,((A3)+(1))+(0))),(B3)*(2),IF(("goto")=(INDEX(B1:XFD1,((A3)+(1))+(0))),(INDEX(B1:XFD1,((A3)+(1))+(1)))*(2),IF(("gotoiftrue")=(INDEX(B1:XFD1,((A3)+(1))+(0))),IF(B3,(INDEX(B1:XFD1,((A3)+(1))+(1)))*(2),(A81)+(2)),(A81)+(2)))),A81))</f>
        <v>#VALUE!</v>
      </c>
      <c r="B81" t="e">
        <f ca="1">IF((A1)=(2),"",IF((77)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81)+(1)),IF(("add")=(INDEX(B1:XFD1,((A3)+(1))+(0))),(INDEX(B5:B405,(B4)+(1)))+(B81),IF(("equals")=(INDEX(B1:XFD1,((A3)+(1))+(0))),(INDEX(B5:B405,(B4)+(1)))=(B81),IF(("leq")=(INDEX(B1:XFD1,((A3)+(1))+(0))),(INDEX(B5:B405,(B4)+(1)))&lt;=(B81),IF(("greater")=(INDEX(B1:XFD1,((A3)+(1))+(0))),(INDEX(B5:B405,(B4)+(1)))&gt;(B81),IF(("mod")=(INDEX(B1:XFD1,((A3)+(1))+(0))),MOD(INDEX(B5:B405,(B4)+(1)),B81),B81))))))))),B81))</f>
        <v>#VALUE!</v>
      </c>
      <c r="C81" t="e">
        <f ca="1">IF((A1)=(2),1,IF(AND((INDEX(B1:XFD1,((A3)+(1))+(0)))=("writeheap"),(INDEX(B5:B405,(B4)+(1)))=(76)),INDEX(B5:B405,(B4)+(2)),IF((A1)=(2),"",IF((77)=(C4),C81,C81))))</f>
        <v>#VALUE!</v>
      </c>
      <c r="F81" t="e">
        <f ca="1">IF((A1)=(2),"",IF((77)=(F4),IF(IF((INDEX(B1:XFD1,((A3)+(1))+(0)))=("store"),(INDEX(B1:XFD1,((A3)+(1))+(1)))=("F"),"false"),B3,F81),F81))</f>
        <v>#VALUE!</v>
      </c>
      <c r="G81" t="e">
        <f ca="1">IF((A1)=(2),"",IF((77)=(G4),IF(IF((INDEX(B1:XFD1,((A3)+(1))+(0)))=("store"),(INDEX(B1:XFD1,((A3)+(1))+(1)))=("G"),"false"),B3,G81),G81))</f>
        <v>#VALUE!</v>
      </c>
      <c r="H81" t="e">
        <f ca="1">IF((A1)=(2),"",IF((77)=(H4),IF(IF((INDEX(B1:XFD1,((A3)+(1))+(0)))=("store"),(INDEX(B1:XFD1,((A3)+(1))+(1)))=("H"),"false"),B3,H81),H81))</f>
        <v>#VALUE!</v>
      </c>
      <c r="I81" t="e">
        <f ca="1">IF((A1)=(2),"",IF((77)=(I4),IF(IF((INDEX(B1:XFD1,((A3)+(1))+(0)))=("store"),(INDEX(B1:XFD1,((A3)+(1))+(1)))=("I"),"false"),B3,I81),I81))</f>
        <v>#VALUE!</v>
      </c>
      <c r="J81" t="e">
        <f ca="1">IF((A1)=(2),"",IF((77)=(J4),IF(IF((INDEX(B1:XFD1,((A3)+(1))+(0)))=("store"),(INDEX(B1:XFD1,((A3)+(1))+(1)))=("J"),"false"),B3,J81),J81))</f>
        <v>#VALUE!</v>
      </c>
      <c r="K81" t="e">
        <f ca="1">IF((A1)=(2),"",IF((77)=(K4),IF(IF((INDEX(B1:XFD1,((A3)+(1))+(0)))=("store"),(INDEX(B1:XFD1,((A3)+(1))+(1)))=("K"),"false"),B3,K81),K81))</f>
        <v>#VALUE!</v>
      </c>
      <c r="L81" t="e">
        <f ca="1">IF((A1)=(2),"",IF((77)=(L4),IF(IF((INDEX(B1:XFD1,((A3)+(1))+(0)))=("store"),(INDEX(B1:XFD1,((A3)+(1))+(1)))=("L"),"false"),B3,L81),L81))</f>
        <v>#VALUE!</v>
      </c>
      <c r="M81" t="e">
        <f ca="1">IF((A1)=(2),"",IF((77)=(M4),IF(IF((INDEX(B1:XFD1,((A3)+(1))+(0)))=("store"),(INDEX(B1:XFD1,((A3)+(1))+(1)))=("M"),"false"),B3,M81),M81))</f>
        <v>#VALUE!</v>
      </c>
      <c r="N81" t="e">
        <f ca="1">IF((A1)=(2),"",IF((77)=(N4),IF(IF((INDEX(B1:XFD1,((A3)+(1))+(0)))=("store"),(INDEX(B1:XFD1,((A3)+(1))+(1)))=("N"),"false"),B3,N81),N81))</f>
        <v>#VALUE!</v>
      </c>
      <c r="O81" t="e">
        <f ca="1">IF((A1)=(2),"",IF((77)=(O4),IF(IF((INDEX(B1:XFD1,((A3)+(1))+(0)))=("store"),(INDEX(B1:XFD1,((A3)+(1))+(1)))=("O"),"false"),B3,O81),O81))</f>
        <v>#VALUE!</v>
      </c>
      <c r="P81" t="e">
        <f ca="1">IF((A1)=(2),"",IF((77)=(P4),IF(IF((INDEX(B1:XFD1,((A3)+(1))+(0)))=("store"),(INDEX(B1:XFD1,((A3)+(1))+(1)))=("P"),"false"),B3,P81),P81))</f>
        <v>#VALUE!</v>
      </c>
      <c r="Q81" t="e">
        <f ca="1">IF((A1)=(2),"",IF((77)=(Q4),IF(IF((INDEX(B1:XFD1,((A3)+(1))+(0)))=("store"),(INDEX(B1:XFD1,((A3)+(1))+(1)))=("Q"),"false"),B3,Q81),Q81))</f>
        <v>#VALUE!</v>
      </c>
      <c r="R81" t="e">
        <f ca="1">IF((A1)=(2),"",IF((77)=(R4),IF(IF((INDEX(B1:XFD1,((A3)+(1))+(0)))=("store"),(INDEX(B1:XFD1,((A3)+(1))+(1)))=("R"),"false"),B3,R81),R81))</f>
        <v>#VALUE!</v>
      </c>
      <c r="S81" t="e">
        <f ca="1">IF((A1)=(2),"",IF((77)=(S4),IF(IF((INDEX(B1:XFD1,((A3)+(1))+(0)))=("store"),(INDEX(B1:XFD1,((A3)+(1))+(1)))=("S"),"false"),B3,S81),S81))</f>
        <v>#VALUE!</v>
      </c>
      <c r="T81" t="e">
        <f ca="1">IF((A1)=(2),"",IF((77)=(T4),IF(IF((INDEX(B1:XFD1,((A3)+(1))+(0)))=("store"),(INDEX(B1:XFD1,((A3)+(1))+(1)))=("T"),"false"),B3,T81),T81))</f>
        <v>#VALUE!</v>
      </c>
      <c r="U81" t="e">
        <f ca="1">IF((A1)=(2),"",IF((77)=(U4),IF(IF((INDEX(B1:XFD1,((A3)+(1))+(0)))=("store"),(INDEX(B1:XFD1,((A3)+(1))+(1)))=("U"),"false"),B3,U81),U81))</f>
        <v>#VALUE!</v>
      </c>
      <c r="V81" t="e">
        <f ca="1">IF((A1)=(2),"",IF((77)=(V4),IF(IF((INDEX(B1:XFD1,((A3)+(1))+(0)))=("store"),(INDEX(B1:XFD1,((A3)+(1))+(1)))=("V"),"false"),B3,V81),V81))</f>
        <v>#VALUE!</v>
      </c>
      <c r="W81" t="e">
        <f ca="1">IF((A1)=(2),"",IF((77)=(W4),IF(IF((INDEX(B1:XFD1,((A3)+(1))+(0)))=("store"),(INDEX(B1:XFD1,((A3)+(1))+(1)))=("W"),"false"),B3,W81),W81))</f>
        <v>#VALUE!</v>
      </c>
      <c r="X81" t="e">
        <f ca="1">IF((A1)=(2),"",IF((77)=(X4),IF(IF((INDEX(B1:XFD1,((A3)+(1))+(0)))=("store"),(INDEX(B1:XFD1,((A3)+(1))+(1)))=("X"),"false"),B3,X81),X81))</f>
        <v>#VALUE!</v>
      </c>
      <c r="Y81" t="e">
        <f ca="1">IF((A1)=(2),"",IF((77)=(Y4),IF(IF((INDEX(B1:XFD1,((A3)+(1))+(0)))=("store"),(INDEX(B1:XFD1,((A3)+(1))+(1)))=("Y"),"false"),B3,Y81),Y81))</f>
        <v>#VALUE!</v>
      </c>
      <c r="Z81" t="e">
        <f ca="1">IF((A1)=(2),"",IF((77)=(Z4),IF(IF((INDEX(B1:XFD1,((A3)+(1))+(0)))=("store"),(INDEX(B1:XFD1,((A3)+(1))+(1)))=("Z"),"false"),B3,Z81),Z81))</f>
        <v>#VALUE!</v>
      </c>
      <c r="AA81" t="e">
        <f ca="1">IF((A1)=(2),"",IF((77)=(AA4),IF(IF((INDEX(B1:XFD1,((A3)+(1))+(0)))=("store"),(INDEX(B1:XFD1,((A3)+(1))+(1)))=("AA"),"false"),B3,AA81),AA81))</f>
        <v>#VALUE!</v>
      </c>
      <c r="AB81" t="e">
        <f ca="1">IF((A1)=(2),"",IF((77)=(AB4),IF(IF((INDEX(B1:XFD1,((A3)+(1))+(0)))=("store"),(INDEX(B1:XFD1,((A3)+(1))+(1)))=("AB"),"false"),B3,AB81),AB81))</f>
        <v>#VALUE!</v>
      </c>
      <c r="AC81" t="e">
        <f ca="1">IF((A1)=(2),"",IF((77)=(AC4),IF(IF((INDEX(B1:XFD1,((A3)+(1))+(0)))=("store"),(INDEX(B1:XFD1,((A3)+(1))+(1)))=("AC"),"false"),B3,AC81),AC81))</f>
        <v>#VALUE!</v>
      </c>
      <c r="AD81" t="e">
        <f ca="1">IF((A1)=(2),"",IF((77)=(AD4),IF(IF((INDEX(B1:XFD1,((A3)+(1))+(0)))=("store"),(INDEX(B1:XFD1,((A3)+(1))+(1)))=("AD"),"false"),B3,AD81),AD81))</f>
        <v>#VALUE!</v>
      </c>
    </row>
    <row r="82" spans="1:30" x14ac:dyDescent="0.25">
      <c r="A82" t="e">
        <f ca="1">IF((A1)=(2),"",IF((78)=(A4),IF(("call")=(INDEX(B1:XFD1,((A3)+(1))+(0))),(B3)*(2),IF(("goto")=(INDEX(B1:XFD1,((A3)+(1))+(0))),(INDEX(B1:XFD1,((A3)+(1))+(1)))*(2),IF(("gotoiftrue")=(INDEX(B1:XFD1,((A3)+(1))+(0))),IF(B3,(INDEX(B1:XFD1,((A3)+(1))+(1)))*(2),(A82)+(2)),(A82)+(2)))),A82))</f>
        <v>#VALUE!</v>
      </c>
      <c r="B82" t="e">
        <f ca="1">IF((A1)=(2),"",IF((78)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82)+(1)),IF(("add")=(INDEX(B1:XFD1,((A3)+(1))+(0))),(INDEX(B5:B405,(B4)+(1)))+(B82),IF(("equals")=(INDEX(B1:XFD1,((A3)+(1))+(0))),(INDEX(B5:B405,(B4)+(1)))=(B82),IF(("leq")=(INDEX(B1:XFD1,((A3)+(1))+(0))),(INDEX(B5:B405,(B4)+(1)))&lt;=(B82),IF(("greater")=(INDEX(B1:XFD1,((A3)+(1))+(0))),(INDEX(B5:B405,(B4)+(1)))&gt;(B82),IF(("mod")=(INDEX(B1:XFD1,((A3)+(1))+(0))),MOD(INDEX(B5:B405,(B4)+(1)),B82),B82))))))))),B82))</f>
        <v>#VALUE!</v>
      </c>
      <c r="C82" t="e">
        <f ca="1">IF((A1)=(2),1,IF(AND((INDEX(B1:XFD1,((A3)+(1))+(0)))=("writeheap"),(INDEX(B5:B405,(B4)+(1)))=(77)),INDEX(B5:B405,(B4)+(2)),IF((A1)=(2),"",IF((78)=(C4),C82,C82))))</f>
        <v>#VALUE!</v>
      </c>
      <c r="F82" t="e">
        <f ca="1">IF((A1)=(2),"",IF((78)=(F4),IF(IF((INDEX(B1:XFD1,((A3)+(1))+(0)))=("store"),(INDEX(B1:XFD1,((A3)+(1))+(1)))=("F"),"false"),B3,F82),F82))</f>
        <v>#VALUE!</v>
      </c>
      <c r="G82" t="e">
        <f ca="1">IF((A1)=(2),"",IF((78)=(G4),IF(IF((INDEX(B1:XFD1,((A3)+(1))+(0)))=("store"),(INDEX(B1:XFD1,((A3)+(1))+(1)))=("G"),"false"),B3,G82),G82))</f>
        <v>#VALUE!</v>
      </c>
      <c r="H82" t="e">
        <f ca="1">IF((A1)=(2),"",IF((78)=(H4),IF(IF((INDEX(B1:XFD1,((A3)+(1))+(0)))=("store"),(INDEX(B1:XFD1,((A3)+(1))+(1)))=("H"),"false"),B3,H82),H82))</f>
        <v>#VALUE!</v>
      </c>
      <c r="I82" t="e">
        <f ca="1">IF((A1)=(2),"",IF((78)=(I4),IF(IF((INDEX(B1:XFD1,((A3)+(1))+(0)))=("store"),(INDEX(B1:XFD1,((A3)+(1))+(1)))=("I"),"false"),B3,I82),I82))</f>
        <v>#VALUE!</v>
      </c>
      <c r="J82" t="e">
        <f ca="1">IF((A1)=(2),"",IF((78)=(J4),IF(IF((INDEX(B1:XFD1,((A3)+(1))+(0)))=("store"),(INDEX(B1:XFD1,((A3)+(1))+(1)))=("J"),"false"),B3,J82),J82))</f>
        <v>#VALUE!</v>
      </c>
      <c r="K82" t="e">
        <f ca="1">IF((A1)=(2),"",IF((78)=(K4),IF(IF((INDEX(B1:XFD1,((A3)+(1))+(0)))=("store"),(INDEX(B1:XFD1,((A3)+(1))+(1)))=("K"),"false"),B3,K82),K82))</f>
        <v>#VALUE!</v>
      </c>
      <c r="L82" t="e">
        <f ca="1">IF((A1)=(2),"",IF((78)=(L4),IF(IF((INDEX(B1:XFD1,((A3)+(1))+(0)))=("store"),(INDEX(B1:XFD1,((A3)+(1))+(1)))=("L"),"false"),B3,L82),L82))</f>
        <v>#VALUE!</v>
      </c>
      <c r="M82" t="e">
        <f ca="1">IF((A1)=(2),"",IF((78)=(M4),IF(IF((INDEX(B1:XFD1,((A3)+(1))+(0)))=("store"),(INDEX(B1:XFD1,((A3)+(1))+(1)))=("M"),"false"),B3,M82),M82))</f>
        <v>#VALUE!</v>
      </c>
      <c r="N82" t="e">
        <f ca="1">IF((A1)=(2),"",IF((78)=(N4),IF(IF((INDEX(B1:XFD1,((A3)+(1))+(0)))=("store"),(INDEX(B1:XFD1,((A3)+(1))+(1)))=("N"),"false"),B3,N82),N82))</f>
        <v>#VALUE!</v>
      </c>
      <c r="O82" t="e">
        <f ca="1">IF((A1)=(2),"",IF((78)=(O4),IF(IF((INDEX(B1:XFD1,((A3)+(1))+(0)))=("store"),(INDEX(B1:XFD1,((A3)+(1))+(1)))=("O"),"false"),B3,O82),O82))</f>
        <v>#VALUE!</v>
      </c>
      <c r="P82" t="e">
        <f ca="1">IF((A1)=(2),"",IF((78)=(P4),IF(IF((INDEX(B1:XFD1,((A3)+(1))+(0)))=("store"),(INDEX(B1:XFD1,((A3)+(1))+(1)))=("P"),"false"),B3,P82),P82))</f>
        <v>#VALUE!</v>
      </c>
      <c r="Q82" t="e">
        <f ca="1">IF((A1)=(2),"",IF((78)=(Q4),IF(IF((INDEX(B1:XFD1,((A3)+(1))+(0)))=("store"),(INDEX(B1:XFD1,((A3)+(1))+(1)))=("Q"),"false"),B3,Q82),Q82))</f>
        <v>#VALUE!</v>
      </c>
      <c r="R82" t="e">
        <f ca="1">IF((A1)=(2),"",IF((78)=(R4),IF(IF((INDEX(B1:XFD1,((A3)+(1))+(0)))=("store"),(INDEX(B1:XFD1,((A3)+(1))+(1)))=("R"),"false"),B3,R82),R82))</f>
        <v>#VALUE!</v>
      </c>
      <c r="S82" t="e">
        <f ca="1">IF((A1)=(2),"",IF((78)=(S4),IF(IF((INDEX(B1:XFD1,((A3)+(1))+(0)))=("store"),(INDEX(B1:XFD1,((A3)+(1))+(1)))=("S"),"false"),B3,S82),S82))</f>
        <v>#VALUE!</v>
      </c>
      <c r="T82" t="e">
        <f ca="1">IF((A1)=(2),"",IF((78)=(T4),IF(IF((INDEX(B1:XFD1,((A3)+(1))+(0)))=("store"),(INDEX(B1:XFD1,((A3)+(1))+(1)))=("T"),"false"),B3,T82),T82))</f>
        <v>#VALUE!</v>
      </c>
      <c r="U82" t="e">
        <f ca="1">IF((A1)=(2),"",IF((78)=(U4),IF(IF((INDEX(B1:XFD1,((A3)+(1))+(0)))=("store"),(INDEX(B1:XFD1,((A3)+(1))+(1)))=("U"),"false"),B3,U82),U82))</f>
        <v>#VALUE!</v>
      </c>
      <c r="V82" t="e">
        <f ca="1">IF((A1)=(2),"",IF((78)=(V4),IF(IF((INDEX(B1:XFD1,((A3)+(1))+(0)))=("store"),(INDEX(B1:XFD1,((A3)+(1))+(1)))=("V"),"false"),B3,V82),V82))</f>
        <v>#VALUE!</v>
      </c>
      <c r="W82" t="e">
        <f ca="1">IF((A1)=(2),"",IF((78)=(W4),IF(IF((INDEX(B1:XFD1,((A3)+(1))+(0)))=("store"),(INDEX(B1:XFD1,((A3)+(1))+(1)))=("W"),"false"),B3,W82),W82))</f>
        <v>#VALUE!</v>
      </c>
      <c r="X82" t="e">
        <f ca="1">IF((A1)=(2),"",IF((78)=(X4),IF(IF((INDEX(B1:XFD1,((A3)+(1))+(0)))=("store"),(INDEX(B1:XFD1,((A3)+(1))+(1)))=("X"),"false"),B3,X82),X82))</f>
        <v>#VALUE!</v>
      </c>
      <c r="Y82" t="e">
        <f ca="1">IF((A1)=(2),"",IF((78)=(Y4),IF(IF((INDEX(B1:XFD1,((A3)+(1))+(0)))=("store"),(INDEX(B1:XFD1,((A3)+(1))+(1)))=("Y"),"false"),B3,Y82),Y82))</f>
        <v>#VALUE!</v>
      </c>
      <c r="Z82" t="e">
        <f ca="1">IF((A1)=(2),"",IF((78)=(Z4),IF(IF((INDEX(B1:XFD1,((A3)+(1))+(0)))=("store"),(INDEX(B1:XFD1,((A3)+(1))+(1)))=("Z"),"false"),B3,Z82),Z82))</f>
        <v>#VALUE!</v>
      </c>
      <c r="AA82" t="e">
        <f ca="1">IF((A1)=(2),"",IF((78)=(AA4),IF(IF((INDEX(B1:XFD1,((A3)+(1))+(0)))=("store"),(INDEX(B1:XFD1,((A3)+(1))+(1)))=("AA"),"false"),B3,AA82),AA82))</f>
        <v>#VALUE!</v>
      </c>
      <c r="AB82" t="e">
        <f ca="1">IF((A1)=(2),"",IF((78)=(AB4),IF(IF((INDEX(B1:XFD1,((A3)+(1))+(0)))=("store"),(INDEX(B1:XFD1,((A3)+(1))+(1)))=("AB"),"false"),B3,AB82),AB82))</f>
        <v>#VALUE!</v>
      </c>
      <c r="AC82" t="e">
        <f ca="1">IF((A1)=(2),"",IF((78)=(AC4),IF(IF((INDEX(B1:XFD1,((A3)+(1))+(0)))=("store"),(INDEX(B1:XFD1,((A3)+(1))+(1)))=("AC"),"false"),B3,AC82),AC82))</f>
        <v>#VALUE!</v>
      </c>
      <c r="AD82" t="e">
        <f ca="1">IF((A1)=(2),"",IF((78)=(AD4),IF(IF((INDEX(B1:XFD1,((A3)+(1))+(0)))=("store"),(INDEX(B1:XFD1,((A3)+(1))+(1)))=("AD"),"false"),B3,AD82),AD82))</f>
        <v>#VALUE!</v>
      </c>
    </row>
    <row r="83" spans="1:30" x14ac:dyDescent="0.25">
      <c r="A83" t="e">
        <f ca="1">IF((A1)=(2),"",IF((79)=(A4),IF(("call")=(INDEX(B1:XFD1,((A3)+(1))+(0))),(B3)*(2),IF(("goto")=(INDEX(B1:XFD1,((A3)+(1))+(0))),(INDEX(B1:XFD1,((A3)+(1))+(1)))*(2),IF(("gotoiftrue")=(INDEX(B1:XFD1,((A3)+(1))+(0))),IF(B3,(INDEX(B1:XFD1,((A3)+(1))+(1)))*(2),(A83)+(2)),(A83)+(2)))),A83))</f>
        <v>#VALUE!</v>
      </c>
      <c r="B83" t="e">
        <f ca="1">IF((A1)=(2),"",IF((79)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83)+(1)),IF(("add")=(INDEX(B1:XFD1,((A3)+(1))+(0))),(INDEX(B5:B405,(B4)+(1)))+(B83),IF(("equals")=(INDEX(B1:XFD1,((A3)+(1))+(0))),(INDEX(B5:B405,(B4)+(1)))=(B83),IF(("leq")=(INDEX(B1:XFD1,((A3)+(1))+(0))),(INDEX(B5:B405,(B4)+(1)))&lt;=(B83),IF(("greater")=(INDEX(B1:XFD1,((A3)+(1))+(0))),(INDEX(B5:B405,(B4)+(1)))&gt;(B83),IF(("mod")=(INDEX(B1:XFD1,((A3)+(1))+(0))),MOD(INDEX(B5:B405,(B4)+(1)),B83),B83))))))))),B83))</f>
        <v>#VALUE!</v>
      </c>
      <c r="C83" t="e">
        <f ca="1">IF((A1)=(2),1,IF(AND((INDEX(B1:XFD1,((A3)+(1))+(0)))=("writeheap"),(INDEX(B5:B405,(B4)+(1)))=(78)),INDEX(B5:B405,(B4)+(2)),IF((A1)=(2),"",IF((79)=(C4),C83,C83))))</f>
        <v>#VALUE!</v>
      </c>
      <c r="F83" t="e">
        <f ca="1">IF((A1)=(2),"",IF((79)=(F4),IF(IF((INDEX(B1:XFD1,((A3)+(1))+(0)))=("store"),(INDEX(B1:XFD1,((A3)+(1))+(1)))=("F"),"false"),B3,F83),F83))</f>
        <v>#VALUE!</v>
      </c>
      <c r="G83" t="e">
        <f ca="1">IF((A1)=(2),"",IF((79)=(G4),IF(IF((INDEX(B1:XFD1,((A3)+(1))+(0)))=("store"),(INDEX(B1:XFD1,((A3)+(1))+(1)))=("G"),"false"),B3,G83),G83))</f>
        <v>#VALUE!</v>
      </c>
      <c r="H83" t="e">
        <f ca="1">IF((A1)=(2),"",IF((79)=(H4),IF(IF((INDEX(B1:XFD1,((A3)+(1))+(0)))=("store"),(INDEX(B1:XFD1,((A3)+(1))+(1)))=("H"),"false"),B3,H83),H83))</f>
        <v>#VALUE!</v>
      </c>
      <c r="I83" t="e">
        <f ca="1">IF((A1)=(2),"",IF((79)=(I4),IF(IF((INDEX(B1:XFD1,((A3)+(1))+(0)))=("store"),(INDEX(B1:XFD1,((A3)+(1))+(1)))=("I"),"false"),B3,I83),I83))</f>
        <v>#VALUE!</v>
      </c>
      <c r="J83" t="e">
        <f ca="1">IF((A1)=(2),"",IF((79)=(J4),IF(IF((INDEX(B1:XFD1,((A3)+(1))+(0)))=("store"),(INDEX(B1:XFD1,((A3)+(1))+(1)))=("J"),"false"),B3,J83),J83))</f>
        <v>#VALUE!</v>
      </c>
      <c r="K83" t="e">
        <f ca="1">IF((A1)=(2),"",IF((79)=(K4),IF(IF((INDEX(B1:XFD1,((A3)+(1))+(0)))=("store"),(INDEX(B1:XFD1,((A3)+(1))+(1)))=("K"),"false"),B3,K83),K83))</f>
        <v>#VALUE!</v>
      </c>
      <c r="L83" t="e">
        <f ca="1">IF((A1)=(2),"",IF((79)=(L4),IF(IF((INDEX(B1:XFD1,((A3)+(1))+(0)))=("store"),(INDEX(B1:XFD1,((A3)+(1))+(1)))=("L"),"false"),B3,L83),L83))</f>
        <v>#VALUE!</v>
      </c>
      <c r="M83" t="e">
        <f ca="1">IF((A1)=(2),"",IF((79)=(M4),IF(IF((INDEX(B1:XFD1,((A3)+(1))+(0)))=("store"),(INDEX(B1:XFD1,((A3)+(1))+(1)))=("M"),"false"),B3,M83),M83))</f>
        <v>#VALUE!</v>
      </c>
      <c r="N83" t="e">
        <f ca="1">IF((A1)=(2),"",IF((79)=(N4),IF(IF((INDEX(B1:XFD1,((A3)+(1))+(0)))=("store"),(INDEX(B1:XFD1,((A3)+(1))+(1)))=("N"),"false"),B3,N83),N83))</f>
        <v>#VALUE!</v>
      </c>
      <c r="O83" t="e">
        <f ca="1">IF((A1)=(2),"",IF((79)=(O4),IF(IF((INDEX(B1:XFD1,((A3)+(1))+(0)))=("store"),(INDEX(B1:XFD1,((A3)+(1))+(1)))=("O"),"false"),B3,O83),O83))</f>
        <v>#VALUE!</v>
      </c>
      <c r="P83" t="e">
        <f ca="1">IF((A1)=(2),"",IF((79)=(P4),IF(IF((INDEX(B1:XFD1,((A3)+(1))+(0)))=("store"),(INDEX(B1:XFD1,((A3)+(1))+(1)))=("P"),"false"),B3,P83),P83))</f>
        <v>#VALUE!</v>
      </c>
      <c r="Q83" t="e">
        <f ca="1">IF((A1)=(2),"",IF((79)=(Q4),IF(IF((INDEX(B1:XFD1,((A3)+(1))+(0)))=("store"),(INDEX(B1:XFD1,((A3)+(1))+(1)))=("Q"),"false"),B3,Q83),Q83))</f>
        <v>#VALUE!</v>
      </c>
      <c r="R83" t="e">
        <f ca="1">IF((A1)=(2),"",IF((79)=(R4),IF(IF((INDEX(B1:XFD1,((A3)+(1))+(0)))=("store"),(INDEX(B1:XFD1,((A3)+(1))+(1)))=("R"),"false"),B3,R83),R83))</f>
        <v>#VALUE!</v>
      </c>
      <c r="S83" t="e">
        <f ca="1">IF((A1)=(2),"",IF((79)=(S4),IF(IF((INDEX(B1:XFD1,((A3)+(1))+(0)))=("store"),(INDEX(B1:XFD1,((A3)+(1))+(1)))=("S"),"false"),B3,S83),S83))</f>
        <v>#VALUE!</v>
      </c>
      <c r="T83" t="e">
        <f ca="1">IF((A1)=(2),"",IF((79)=(T4),IF(IF((INDEX(B1:XFD1,((A3)+(1))+(0)))=("store"),(INDEX(B1:XFD1,((A3)+(1))+(1)))=("T"),"false"),B3,T83),T83))</f>
        <v>#VALUE!</v>
      </c>
      <c r="U83" t="e">
        <f ca="1">IF((A1)=(2),"",IF((79)=(U4),IF(IF((INDEX(B1:XFD1,((A3)+(1))+(0)))=("store"),(INDEX(B1:XFD1,((A3)+(1))+(1)))=("U"),"false"),B3,U83),U83))</f>
        <v>#VALUE!</v>
      </c>
      <c r="V83" t="e">
        <f ca="1">IF((A1)=(2),"",IF((79)=(V4),IF(IF((INDEX(B1:XFD1,((A3)+(1))+(0)))=("store"),(INDEX(B1:XFD1,((A3)+(1))+(1)))=("V"),"false"),B3,V83),V83))</f>
        <v>#VALUE!</v>
      </c>
      <c r="W83" t="e">
        <f ca="1">IF((A1)=(2),"",IF((79)=(W4),IF(IF((INDEX(B1:XFD1,((A3)+(1))+(0)))=("store"),(INDEX(B1:XFD1,((A3)+(1))+(1)))=("W"),"false"),B3,W83),W83))</f>
        <v>#VALUE!</v>
      </c>
      <c r="X83" t="e">
        <f ca="1">IF((A1)=(2),"",IF((79)=(X4),IF(IF((INDEX(B1:XFD1,((A3)+(1))+(0)))=("store"),(INDEX(B1:XFD1,((A3)+(1))+(1)))=("X"),"false"),B3,X83),X83))</f>
        <v>#VALUE!</v>
      </c>
      <c r="Y83" t="e">
        <f ca="1">IF((A1)=(2),"",IF((79)=(Y4),IF(IF((INDEX(B1:XFD1,((A3)+(1))+(0)))=("store"),(INDEX(B1:XFD1,((A3)+(1))+(1)))=("Y"),"false"),B3,Y83),Y83))</f>
        <v>#VALUE!</v>
      </c>
      <c r="Z83" t="e">
        <f ca="1">IF((A1)=(2),"",IF((79)=(Z4),IF(IF((INDEX(B1:XFD1,((A3)+(1))+(0)))=("store"),(INDEX(B1:XFD1,((A3)+(1))+(1)))=("Z"),"false"),B3,Z83),Z83))</f>
        <v>#VALUE!</v>
      </c>
      <c r="AA83" t="e">
        <f ca="1">IF((A1)=(2),"",IF((79)=(AA4),IF(IF((INDEX(B1:XFD1,((A3)+(1))+(0)))=("store"),(INDEX(B1:XFD1,((A3)+(1))+(1)))=("AA"),"false"),B3,AA83),AA83))</f>
        <v>#VALUE!</v>
      </c>
      <c r="AB83" t="e">
        <f ca="1">IF((A1)=(2),"",IF((79)=(AB4),IF(IF((INDEX(B1:XFD1,((A3)+(1))+(0)))=("store"),(INDEX(B1:XFD1,((A3)+(1))+(1)))=("AB"),"false"),B3,AB83),AB83))</f>
        <v>#VALUE!</v>
      </c>
      <c r="AC83" t="e">
        <f ca="1">IF((A1)=(2),"",IF((79)=(AC4),IF(IF((INDEX(B1:XFD1,((A3)+(1))+(0)))=("store"),(INDEX(B1:XFD1,((A3)+(1))+(1)))=("AC"),"false"),B3,AC83),AC83))</f>
        <v>#VALUE!</v>
      </c>
      <c r="AD83" t="e">
        <f ca="1">IF((A1)=(2),"",IF((79)=(AD4),IF(IF((INDEX(B1:XFD1,((A3)+(1))+(0)))=("store"),(INDEX(B1:XFD1,((A3)+(1))+(1)))=("AD"),"false"),B3,AD83),AD83))</f>
        <v>#VALUE!</v>
      </c>
    </row>
    <row r="84" spans="1:30" x14ac:dyDescent="0.25">
      <c r="A84" t="e">
        <f ca="1">IF((A1)=(2),"",IF((80)=(A4),IF(("call")=(INDEX(B1:XFD1,((A3)+(1))+(0))),(B3)*(2),IF(("goto")=(INDEX(B1:XFD1,((A3)+(1))+(0))),(INDEX(B1:XFD1,((A3)+(1))+(1)))*(2),IF(("gotoiftrue")=(INDEX(B1:XFD1,((A3)+(1))+(0))),IF(B3,(INDEX(B1:XFD1,((A3)+(1))+(1)))*(2),(A84)+(2)),(A84)+(2)))),A84))</f>
        <v>#VALUE!</v>
      </c>
      <c r="B84" t="e">
        <f ca="1">IF((A1)=(2),"",IF((80)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84)+(1)),IF(("add")=(INDEX(B1:XFD1,((A3)+(1))+(0))),(INDEX(B5:B405,(B4)+(1)))+(B84),IF(("equals")=(INDEX(B1:XFD1,((A3)+(1))+(0))),(INDEX(B5:B405,(B4)+(1)))=(B84),IF(("leq")=(INDEX(B1:XFD1,((A3)+(1))+(0))),(INDEX(B5:B405,(B4)+(1)))&lt;=(B84),IF(("greater")=(INDEX(B1:XFD1,((A3)+(1))+(0))),(INDEX(B5:B405,(B4)+(1)))&gt;(B84),IF(("mod")=(INDEX(B1:XFD1,((A3)+(1))+(0))),MOD(INDEX(B5:B405,(B4)+(1)),B84),B84))))))))),B84))</f>
        <v>#VALUE!</v>
      </c>
      <c r="C84" t="e">
        <f ca="1">IF((A1)=(2),1,IF(AND((INDEX(B1:XFD1,((A3)+(1))+(0)))=("writeheap"),(INDEX(B5:B405,(B4)+(1)))=(79)),INDEX(B5:B405,(B4)+(2)),IF((A1)=(2),"",IF((80)=(C4),C84,C84))))</f>
        <v>#VALUE!</v>
      </c>
      <c r="F84" t="e">
        <f ca="1">IF((A1)=(2),"",IF((80)=(F4),IF(IF((INDEX(B1:XFD1,((A3)+(1))+(0)))=("store"),(INDEX(B1:XFD1,((A3)+(1))+(1)))=("F"),"false"),B3,F84),F84))</f>
        <v>#VALUE!</v>
      </c>
      <c r="G84" t="e">
        <f ca="1">IF((A1)=(2),"",IF((80)=(G4),IF(IF((INDEX(B1:XFD1,((A3)+(1))+(0)))=("store"),(INDEX(B1:XFD1,((A3)+(1))+(1)))=("G"),"false"),B3,G84),G84))</f>
        <v>#VALUE!</v>
      </c>
      <c r="H84" t="e">
        <f ca="1">IF((A1)=(2),"",IF((80)=(H4),IF(IF((INDEX(B1:XFD1,((A3)+(1))+(0)))=("store"),(INDEX(B1:XFD1,((A3)+(1))+(1)))=("H"),"false"),B3,H84),H84))</f>
        <v>#VALUE!</v>
      </c>
      <c r="I84" t="e">
        <f ca="1">IF((A1)=(2),"",IF((80)=(I4),IF(IF((INDEX(B1:XFD1,((A3)+(1))+(0)))=("store"),(INDEX(B1:XFD1,((A3)+(1))+(1)))=("I"),"false"),B3,I84),I84))</f>
        <v>#VALUE!</v>
      </c>
      <c r="J84" t="e">
        <f ca="1">IF((A1)=(2),"",IF((80)=(J4),IF(IF((INDEX(B1:XFD1,((A3)+(1))+(0)))=("store"),(INDEX(B1:XFD1,((A3)+(1))+(1)))=("J"),"false"),B3,J84),J84))</f>
        <v>#VALUE!</v>
      </c>
      <c r="K84" t="e">
        <f ca="1">IF((A1)=(2),"",IF((80)=(K4),IF(IF((INDEX(B1:XFD1,((A3)+(1))+(0)))=("store"),(INDEX(B1:XFD1,((A3)+(1))+(1)))=("K"),"false"),B3,K84),K84))</f>
        <v>#VALUE!</v>
      </c>
      <c r="L84" t="e">
        <f ca="1">IF((A1)=(2),"",IF((80)=(L4),IF(IF((INDEX(B1:XFD1,((A3)+(1))+(0)))=("store"),(INDEX(B1:XFD1,((A3)+(1))+(1)))=("L"),"false"),B3,L84),L84))</f>
        <v>#VALUE!</v>
      </c>
      <c r="M84" t="e">
        <f ca="1">IF((A1)=(2),"",IF((80)=(M4),IF(IF((INDEX(B1:XFD1,((A3)+(1))+(0)))=("store"),(INDEX(B1:XFD1,((A3)+(1))+(1)))=("M"),"false"),B3,M84),M84))</f>
        <v>#VALUE!</v>
      </c>
      <c r="N84" t="e">
        <f ca="1">IF((A1)=(2),"",IF((80)=(N4),IF(IF((INDEX(B1:XFD1,((A3)+(1))+(0)))=("store"),(INDEX(B1:XFD1,((A3)+(1))+(1)))=("N"),"false"),B3,N84),N84))</f>
        <v>#VALUE!</v>
      </c>
      <c r="O84" t="e">
        <f ca="1">IF((A1)=(2),"",IF((80)=(O4),IF(IF((INDEX(B1:XFD1,((A3)+(1))+(0)))=("store"),(INDEX(B1:XFD1,((A3)+(1))+(1)))=("O"),"false"),B3,O84),O84))</f>
        <v>#VALUE!</v>
      </c>
      <c r="P84" t="e">
        <f ca="1">IF((A1)=(2),"",IF((80)=(P4),IF(IF((INDEX(B1:XFD1,((A3)+(1))+(0)))=("store"),(INDEX(B1:XFD1,((A3)+(1))+(1)))=("P"),"false"),B3,P84),P84))</f>
        <v>#VALUE!</v>
      </c>
      <c r="Q84" t="e">
        <f ca="1">IF((A1)=(2),"",IF((80)=(Q4),IF(IF((INDEX(B1:XFD1,((A3)+(1))+(0)))=("store"),(INDEX(B1:XFD1,((A3)+(1))+(1)))=("Q"),"false"),B3,Q84),Q84))</f>
        <v>#VALUE!</v>
      </c>
      <c r="R84" t="e">
        <f ca="1">IF((A1)=(2),"",IF((80)=(R4),IF(IF((INDEX(B1:XFD1,((A3)+(1))+(0)))=("store"),(INDEX(B1:XFD1,((A3)+(1))+(1)))=("R"),"false"),B3,R84),R84))</f>
        <v>#VALUE!</v>
      </c>
      <c r="S84" t="e">
        <f ca="1">IF((A1)=(2),"",IF((80)=(S4),IF(IF((INDEX(B1:XFD1,((A3)+(1))+(0)))=("store"),(INDEX(B1:XFD1,((A3)+(1))+(1)))=("S"),"false"),B3,S84),S84))</f>
        <v>#VALUE!</v>
      </c>
      <c r="T84" t="e">
        <f ca="1">IF((A1)=(2),"",IF((80)=(T4),IF(IF((INDEX(B1:XFD1,((A3)+(1))+(0)))=("store"),(INDEX(B1:XFD1,((A3)+(1))+(1)))=("T"),"false"),B3,T84),T84))</f>
        <v>#VALUE!</v>
      </c>
      <c r="U84" t="e">
        <f ca="1">IF((A1)=(2),"",IF((80)=(U4),IF(IF((INDEX(B1:XFD1,((A3)+(1))+(0)))=("store"),(INDEX(B1:XFD1,((A3)+(1))+(1)))=("U"),"false"),B3,U84),U84))</f>
        <v>#VALUE!</v>
      </c>
      <c r="V84" t="e">
        <f ca="1">IF((A1)=(2),"",IF((80)=(V4),IF(IF((INDEX(B1:XFD1,((A3)+(1))+(0)))=("store"),(INDEX(B1:XFD1,((A3)+(1))+(1)))=("V"),"false"),B3,V84),V84))</f>
        <v>#VALUE!</v>
      </c>
      <c r="W84" t="e">
        <f ca="1">IF((A1)=(2),"",IF((80)=(W4),IF(IF((INDEX(B1:XFD1,((A3)+(1))+(0)))=("store"),(INDEX(B1:XFD1,((A3)+(1))+(1)))=("W"),"false"),B3,W84),W84))</f>
        <v>#VALUE!</v>
      </c>
      <c r="X84" t="e">
        <f ca="1">IF((A1)=(2),"",IF((80)=(X4),IF(IF((INDEX(B1:XFD1,((A3)+(1))+(0)))=("store"),(INDEX(B1:XFD1,((A3)+(1))+(1)))=("X"),"false"),B3,X84),X84))</f>
        <v>#VALUE!</v>
      </c>
      <c r="Y84" t="e">
        <f ca="1">IF((A1)=(2),"",IF((80)=(Y4),IF(IF((INDEX(B1:XFD1,((A3)+(1))+(0)))=("store"),(INDEX(B1:XFD1,((A3)+(1))+(1)))=("Y"),"false"),B3,Y84),Y84))</f>
        <v>#VALUE!</v>
      </c>
      <c r="Z84" t="e">
        <f ca="1">IF((A1)=(2),"",IF((80)=(Z4),IF(IF((INDEX(B1:XFD1,((A3)+(1))+(0)))=("store"),(INDEX(B1:XFD1,((A3)+(1))+(1)))=("Z"),"false"),B3,Z84),Z84))</f>
        <v>#VALUE!</v>
      </c>
      <c r="AA84" t="e">
        <f ca="1">IF((A1)=(2),"",IF((80)=(AA4),IF(IF((INDEX(B1:XFD1,((A3)+(1))+(0)))=("store"),(INDEX(B1:XFD1,((A3)+(1))+(1)))=("AA"),"false"),B3,AA84),AA84))</f>
        <v>#VALUE!</v>
      </c>
      <c r="AB84" t="e">
        <f ca="1">IF((A1)=(2),"",IF((80)=(AB4),IF(IF((INDEX(B1:XFD1,((A3)+(1))+(0)))=("store"),(INDEX(B1:XFD1,((A3)+(1))+(1)))=("AB"),"false"),B3,AB84),AB84))</f>
        <v>#VALUE!</v>
      </c>
      <c r="AC84" t="e">
        <f ca="1">IF((A1)=(2),"",IF((80)=(AC4),IF(IF((INDEX(B1:XFD1,((A3)+(1))+(0)))=("store"),(INDEX(B1:XFD1,((A3)+(1))+(1)))=("AC"),"false"),B3,AC84),AC84))</f>
        <v>#VALUE!</v>
      </c>
      <c r="AD84" t="e">
        <f ca="1">IF((A1)=(2),"",IF((80)=(AD4),IF(IF((INDEX(B1:XFD1,((A3)+(1))+(0)))=("store"),(INDEX(B1:XFD1,((A3)+(1))+(1)))=("AD"),"false"),B3,AD84),AD84))</f>
        <v>#VALUE!</v>
      </c>
    </row>
    <row r="85" spans="1:30" x14ac:dyDescent="0.25">
      <c r="A85" t="e">
        <f ca="1">IF((A1)=(2),"",IF((81)=(A4),IF(("call")=(INDEX(B1:XFD1,((A3)+(1))+(0))),(B3)*(2),IF(("goto")=(INDEX(B1:XFD1,((A3)+(1))+(0))),(INDEX(B1:XFD1,((A3)+(1))+(1)))*(2),IF(("gotoiftrue")=(INDEX(B1:XFD1,((A3)+(1))+(0))),IF(B3,(INDEX(B1:XFD1,((A3)+(1))+(1)))*(2),(A85)+(2)),(A85)+(2)))),A85))</f>
        <v>#VALUE!</v>
      </c>
      <c r="B85" t="e">
        <f ca="1">IF((A1)=(2),"",IF((81)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85)+(1)),IF(("add")=(INDEX(B1:XFD1,((A3)+(1))+(0))),(INDEX(B5:B405,(B4)+(1)))+(B85),IF(("equals")=(INDEX(B1:XFD1,((A3)+(1))+(0))),(INDEX(B5:B405,(B4)+(1)))=(B85),IF(("leq")=(INDEX(B1:XFD1,((A3)+(1))+(0))),(INDEX(B5:B405,(B4)+(1)))&lt;=(B85),IF(("greater")=(INDEX(B1:XFD1,((A3)+(1))+(0))),(INDEX(B5:B405,(B4)+(1)))&gt;(B85),IF(("mod")=(INDEX(B1:XFD1,((A3)+(1))+(0))),MOD(INDEX(B5:B405,(B4)+(1)),B85),B85))))))))),B85))</f>
        <v>#VALUE!</v>
      </c>
      <c r="C85" t="e">
        <f ca="1">IF((A1)=(2),1,IF(AND((INDEX(B1:XFD1,((A3)+(1))+(0)))=("writeheap"),(INDEX(B5:B405,(B4)+(1)))=(80)),INDEX(B5:B405,(B4)+(2)),IF((A1)=(2),"",IF((81)=(C4),C85,C85))))</f>
        <v>#VALUE!</v>
      </c>
      <c r="F85" t="e">
        <f ca="1">IF((A1)=(2),"",IF((81)=(F4),IF(IF((INDEX(B1:XFD1,((A3)+(1))+(0)))=("store"),(INDEX(B1:XFD1,((A3)+(1))+(1)))=("F"),"false"),B3,F85),F85))</f>
        <v>#VALUE!</v>
      </c>
      <c r="G85" t="e">
        <f ca="1">IF((A1)=(2),"",IF((81)=(G4),IF(IF((INDEX(B1:XFD1,((A3)+(1))+(0)))=("store"),(INDEX(B1:XFD1,((A3)+(1))+(1)))=("G"),"false"),B3,G85),G85))</f>
        <v>#VALUE!</v>
      </c>
      <c r="H85" t="e">
        <f ca="1">IF((A1)=(2),"",IF((81)=(H4),IF(IF((INDEX(B1:XFD1,((A3)+(1))+(0)))=("store"),(INDEX(B1:XFD1,((A3)+(1))+(1)))=("H"),"false"),B3,H85),H85))</f>
        <v>#VALUE!</v>
      </c>
      <c r="I85" t="e">
        <f ca="1">IF((A1)=(2),"",IF((81)=(I4),IF(IF((INDEX(B1:XFD1,((A3)+(1))+(0)))=("store"),(INDEX(B1:XFD1,((A3)+(1))+(1)))=("I"),"false"),B3,I85),I85))</f>
        <v>#VALUE!</v>
      </c>
      <c r="J85" t="e">
        <f ca="1">IF((A1)=(2),"",IF((81)=(J4),IF(IF((INDEX(B1:XFD1,((A3)+(1))+(0)))=("store"),(INDEX(B1:XFD1,((A3)+(1))+(1)))=("J"),"false"),B3,J85),J85))</f>
        <v>#VALUE!</v>
      </c>
      <c r="K85" t="e">
        <f ca="1">IF((A1)=(2),"",IF((81)=(K4),IF(IF((INDEX(B1:XFD1,((A3)+(1))+(0)))=("store"),(INDEX(B1:XFD1,((A3)+(1))+(1)))=("K"),"false"),B3,K85),K85))</f>
        <v>#VALUE!</v>
      </c>
      <c r="L85" t="e">
        <f ca="1">IF((A1)=(2),"",IF((81)=(L4),IF(IF((INDEX(B1:XFD1,((A3)+(1))+(0)))=("store"),(INDEX(B1:XFD1,((A3)+(1))+(1)))=("L"),"false"),B3,L85),L85))</f>
        <v>#VALUE!</v>
      </c>
      <c r="M85" t="e">
        <f ca="1">IF((A1)=(2),"",IF((81)=(M4),IF(IF((INDEX(B1:XFD1,((A3)+(1))+(0)))=("store"),(INDEX(B1:XFD1,((A3)+(1))+(1)))=("M"),"false"),B3,M85),M85))</f>
        <v>#VALUE!</v>
      </c>
      <c r="N85" t="e">
        <f ca="1">IF((A1)=(2),"",IF((81)=(N4),IF(IF((INDEX(B1:XFD1,((A3)+(1))+(0)))=("store"),(INDEX(B1:XFD1,((A3)+(1))+(1)))=("N"),"false"),B3,N85),N85))</f>
        <v>#VALUE!</v>
      </c>
      <c r="O85" t="e">
        <f ca="1">IF((A1)=(2),"",IF((81)=(O4),IF(IF((INDEX(B1:XFD1,((A3)+(1))+(0)))=("store"),(INDEX(B1:XFD1,((A3)+(1))+(1)))=("O"),"false"),B3,O85),O85))</f>
        <v>#VALUE!</v>
      </c>
      <c r="P85" t="e">
        <f ca="1">IF((A1)=(2),"",IF((81)=(P4),IF(IF((INDEX(B1:XFD1,((A3)+(1))+(0)))=("store"),(INDEX(B1:XFD1,((A3)+(1))+(1)))=("P"),"false"),B3,P85),P85))</f>
        <v>#VALUE!</v>
      </c>
      <c r="Q85" t="e">
        <f ca="1">IF((A1)=(2),"",IF((81)=(Q4),IF(IF((INDEX(B1:XFD1,((A3)+(1))+(0)))=("store"),(INDEX(B1:XFD1,((A3)+(1))+(1)))=("Q"),"false"),B3,Q85),Q85))</f>
        <v>#VALUE!</v>
      </c>
      <c r="R85" t="e">
        <f ca="1">IF((A1)=(2),"",IF((81)=(R4),IF(IF((INDEX(B1:XFD1,((A3)+(1))+(0)))=("store"),(INDEX(B1:XFD1,((A3)+(1))+(1)))=("R"),"false"),B3,R85),R85))</f>
        <v>#VALUE!</v>
      </c>
      <c r="S85" t="e">
        <f ca="1">IF((A1)=(2),"",IF((81)=(S4),IF(IF((INDEX(B1:XFD1,((A3)+(1))+(0)))=("store"),(INDEX(B1:XFD1,((A3)+(1))+(1)))=("S"),"false"),B3,S85),S85))</f>
        <v>#VALUE!</v>
      </c>
      <c r="T85" t="e">
        <f ca="1">IF((A1)=(2),"",IF((81)=(T4),IF(IF((INDEX(B1:XFD1,((A3)+(1))+(0)))=("store"),(INDEX(B1:XFD1,((A3)+(1))+(1)))=("T"),"false"),B3,T85),T85))</f>
        <v>#VALUE!</v>
      </c>
      <c r="U85" t="e">
        <f ca="1">IF((A1)=(2),"",IF((81)=(U4),IF(IF((INDEX(B1:XFD1,((A3)+(1))+(0)))=("store"),(INDEX(B1:XFD1,((A3)+(1))+(1)))=("U"),"false"),B3,U85),U85))</f>
        <v>#VALUE!</v>
      </c>
      <c r="V85" t="e">
        <f ca="1">IF((A1)=(2),"",IF((81)=(V4),IF(IF((INDEX(B1:XFD1,((A3)+(1))+(0)))=("store"),(INDEX(B1:XFD1,((A3)+(1))+(1)))=("V"),"false"),B3,V85),V85))</f>
        <v>#VALUE!</v>
      </c>
      <c r="W85" t="e">
        <f ca="1">IF((A1)=(2),"",IF((81)=(W4),IF(IF((INDEX(B1:XFD1,((A3)+(1))+(0)))=("store"),(INDEX(B1:XFD1,((A3)+(1))+(1)))=("W"),"false"),B3,W85),W85))</f>
        <v>#VALUE!</v>
      </c>
      <c r="X85" t="e">
        <f ca="1">IF((A1)=(2),"",IF((81)=(X4),IF(IF((INDEX(B1:XFD1,((A3)+(1))+(0)))=("store"),(INDEX(B1:XFD1,((A3)+(1))+(1)))=("X"),"false"),B3,X85),X85))</f>
        <v>#VALUE!</v>
      </c>
      <c r="Y85" t="e">
        <f ca="1">IF((A1)=(2),"",IF((81)=(Y4),IF(IF((INDEX(B1:XFD1,((A3)+(1))+(0)))=("store"),(INDEX(B1:XFD1,((A3)+(1))+(1)))=("Y"),"false"),B3,Y85),Y85))</f>
        <v>#VALUE!</v>
      </c>
      <c r="Z85" t="e">
        <f ca="1">IF((A1)=(2),"",IF((81)=(Z4),IF(IF((INDEX(B1:XFD1,((A3)+(1))+(0)))=("store"),(INDEX(B1:XFD1,((A3)+(1))+(1)))=("Z"),"false"),B3,Z85),Z85))</f>
        <v>#VALUE!</v>
      </c>
      <c r="AA85" t="e">
        <f ca="1">IF((A1)=(2),"",IF((81)=(AA4),IF(IF((INDEX(B1:XFD1,((A3)+(1))+(0)))=("store"),(INDEX(B1:XFD1,((A3)+(1))+(1)))=("AA"),"false"),B3,AA85),AA85))</f>
        <v>#VALUE!</v>
      </c>
      <c r="AB85" t="e">
        <f ca="1">IF((A1)=(2),"",IF((81)=(AB4),IF(IF((INDEX(B1:XFD1,((A3)+(1))+(0)))=("store"),(INDEX(B1:XFD1,((A3)+(1))+(1)))=("AB"),"false"),B3,AB85),AB85))</f>
        <v>#VALUE!</v>
      </c>
      <c r="AC85" t="e">
        <f ca="1">IF((A1)=(2),"",IF((81)=(AC4),IF(IF((INDEX(B1:XFD1,((A3)+(1))+(0)))=("store"),(INDEX(B1:XFD1,((A3)+(1))+(1)))=("AC"),"false"),B3,AC85),AC85))</f>
        <v>#VALUE!</v>
      </c>
      <c r="AD85" t="e">
        <f ca="1">IF((A1)=(2),"",IF((81)=(AD4),IF(IF((INDEX(B1:XFD1,((A3)+(1))+(0)))=("store"),(INDEX(B1:XFD1,((A3)+(1))+(1)))=("AD"),"false"),B3,AD85),AD85))</f>
        <v>#VALUE!</v>
      </c>
    </row>
    <row r="86" spans="1:30" x14ac:dyDescent="0.25">
      <c r="A86" t="e">
        <f ca="1">IF((A1)=(2),"",IF((82)=(A4),IF(("call")=(INDEX(B1:XFD1,((A3)+(1))+(0))),(B3)*(2),IF(("goto")=(INDEX(B1:XFD1,((A3)+(1))+(0))),(INDEX(B1:XFD1,((A3)+(1))+(1)))*(2),IF(("gotoiftrue")=(INDEX(B1:XFD1,((A3)+(1))+(0))),IF(B3,(INDEX(B1:XFD1,((A3)+(1))+(1)))*(2),(A86)+(2)),(A86)+(2)))),A86))</f>
        <v>#VALUE!</v>
      </c>
      <c r="B86" t="e">
        <f ca="1">IF((A1)=(2),"",IF((82)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86)+(1)),IF(("add")=(INDEX(B1:XFD1,((A3)+(1))+(0))),(INDEX(B5:B405,(B4)+(1)))+(B86),IF(("equals")=(INDEX(B1:XFD1,((A3)+(1))+(0))),(INDEX(B5:B405,(B4)+(1)))=(B86),IF(("leq")=(INDEX(B1:XFD1,((A3)+(1))+(0))),(INDEX(B5:B405,(B4)+(1)))&lt;=(B86),IF(("greater")=(INDEX(B1:XFD1,((A3)+(1))+(0))),(INDEX(B5:B405,(B4)+(1)))&gt;(B86),IF(("mod")=(INDEX(B1:XFD1,((A3)+(1))+(0))),MOD(INDEX(B5:B405,(B4)+(1)),B86),B86))))))))),B86))</f>
        <v>#VALUE!</v>
      </c>
      <c r="C86" t="e">
        <f ca="1">IF((A1)=(2),1,IF(AND((INDEX(B1:XFD1,((A3)+(1))+(0)))=("writeheap"),(INDEX(B5:B405,(B4)+(1)))=(81)),INDEX(B5:B405,(B4)+(2)),IF((A1)=(2),"",IF((82)=(C4),C86,C86))))</f>
        <v>#VALUE!</v>
      </c>
      <c r="F86" t="e">
        <f ca="1">IF((A1)=(2),"",IF((82)=(F4),IF(IF((INDEX(B1:XFD1,((A3)+(1))+(0)))=("store"),(INDEX(B1:XFD1,((A3)+(1))+(1)))=("F"),"false"),B3,F86),F86))</f>
        <v>#VALUE!</v>
      </c>
      <c r="G86" t="e">
        <f ca="1">IF((A1)=(2),"",IF((82)=(G4),IF(IF((INDEX(B1:XFD1,((A3)+(1))+(0)))=("store"),(INDEX(B1:XFD1,((A3)+(1))+(1)))=("G"),"false"),B3,G86),G86))</f>
        <v>#VALUE!</v>
      </c>
      <c r="H86" t="e">
        <f ca="1">IF((A1)=(2),"",IF((82)=(H4),IF(IF((INDEX(B1:XFD1,((A3)+(1))+(0)))=("store"),(INDEX(B1:XFD1,((A3)+(1))+(1)))=("H"),"false"),B3,H86),H86))</f>
        <v>#VALUE!</v>
      </c>
      <c r="I86" t="e">
        <f ca="1">IF((A1)=(2),"",IF((82)=(I4),IF(IF((INDEX(B1:XFD1,((A3)+(1))+(0)))=("store"),(INDEX(B1:XFD1,((A3)+(1))+(1)))=("I"),"false"),B3,I86),I86))</f>
        <v>#VALUE!</v>
      </c>
      <c r="J86" t="e">
        <f ca="1">IF((A1)=(2),"",IF((82)=(J4),IF(IF((INDEX(B1:XFD1,((A3)+(1))+(0)))=("store"),(INDEX(B1:XFD1,((A3)+(1))+(1)))=("J"),"false"),B3,J86),J86))</f>
        <v>#VALUE!</v>
      </c>
      <c r="K86" t="e">
        <f ca="1">IF((A1)=(2),"",IF((82)=(K4),IF(IF((INDEX(B1:XFD1,((A3)+(1))+(0)))=("store"),(INDEX(B1:XFD1,((A3)+(1))+(1)))=("K"),"false"),B3,K86),K86))</f>
        <v>#VALUE!</v>
      </c>
      <c r="L86" t="e">
        <f ca="1">IF((A1)=(2),"",IF((82)=(L4),IF(IF((INDEX(B1:XFD1,((A3)+(1))+(0)))=("store"),(INDEX(B1:XFD1,((A3)+(1))+(1)))=("L"),"false"),B3,L86),L86))</f>
        <v>#VALUE!</v>
      </c>
      <c r="M86" t="e">
        <f ca="1">IF((A1)=(2),"",IF((82)=(M4),IF(IF((INDEX(B1:XFD1,((A3)+(1))+(0)))=("store"),(INDEX(B1:XFD1,((A3)+(1))+(1)))=("M"),"false"),B3,M86),M86))</f>
        <v>#VALUE!</v>
      </c>
      <c r="N86" t="e">
        <f ca="1">IF((A1)=(2),"",IF((82)=(N4),IF(IF((INDEX(B1:XFD1,((A3)+(1))+(0)))=("store"),(INDEX(B1:XFD1,((A3)+(1))+(1)))=("N"),"false"),B3,N86),N86))</f>
        <v>#VALUE!</v>
      </c>
      <c r="O86" t="e">
        <f ca="1">IF((A1)=(2),"",IF((82)=(O4),IF(IF((INDEX(B1:XFD1,((A3)+(1))+(0)))=("store"),(INDEX(B1:XFD1,((A3)+(1))+(1)))=("O"),"false"),B3,O86),O86))</f>
        <v>#VALUE!</v>
      </c>
      <c r="P86" t="e">
        <f ca="1">IF((A1)=(2),"",IF((82)=(P4),IF(IF((INDEX(B1:XFD1,((A3)+(1))+(0)))=("store"),(INDEX(B1:XFD1,((A3)+(1))+(1)))=("P"),"false"),B3,P86),P86))</f>
        <v>#VALUE!</v>
      </c>
      <c r="Q86" t="e">
        <f ca="1">IF((A1)=(2),"",IF((82)=(Q4),IF(IF((INDEX(B1:XFD1,((A3)+(1))+(0)))=("store"),(INDEX(B1:XFD1,((A3)+(1))+(1)))=("Q"),"false"),B3,Q86),Q86))</f>
        <v>#VALUE!</v>
      </c>
      <c r="R86" t="e">
        <f ca="1">IF((A1)=(2),"",IF((82)=(R4),IF(IF((INDEX(B1:XFD1,((A3)+(1))+(0)))=("store"),(INDEX(B1:XFD1,((A3)+(1))+(1)))=("R"),"false"),B3,R86),R86))</f>
        <v>#VALUE!</v>
      </c>
      <c r="S86" t="e">
        <f ca="1">IF((A1)=(2),"",IF((82)=(S4),IF(IF((INDEX(B1:XFD1,((A3)+(1))+(0)))=("store"),(INDEX(B1:XFD1,((A3)+(1))+(1)))=("S"),"false"),B3,S86),S86))</f>
        <v>#VALUE!</v>
      </c>
      <c r="T86" t="e">
        <f ca="1">IF((A1)=(2),"",IF((82)=(T4),IF(IF((INDEX(B1:XFD1,((A3)+(1))+(0)))=("store"),(INDEX(B1:XFD1,((A3)+(1))+(1)))=("T"),"false"),B3,T86),T86))</f>
        <v>#VALUE!</v>
      </c>
      <c r="U86" t="e">
        <f ca="1">IF((A1)=(2),"",IF((82)=(U4),IF(IF((INDEX(B1:XFD1,((A3)+(1))+(0)))=("store"),(INDEX(B1:XFD1,((A3)+(1))+(1)))=("U"),"false"),B3,U86),U86))</f>
        <v>#VALUE!</v>
      </c>
      <c r="V86" t="e">
        <f ca="1">IF((A1)=(2),"",IF((82)=(V4),IF(IF((INDEX(B1:XFD1,((A3)+(1))+(0)))=("store"),(INDEX(B1:XFD1,((A3)+(1))+(1)))=("V"),"false"),B3,V86),V86))</f>
        <v>#VALUE!</v>
      </c>
      <c r="W86" t="e">
        <f ca="1">IF((A1)=(2),"",IF((82)=(W4),IF(IF((INDEX(B1:XFD1,((A3)+(1))+(0)))=("store"),(INDEX(B1:XFD1,((A3)+(1))+(1)))=("W"),"false"),B3,W86),W86))</f>
        <v>#VALUE!</v>
      </c>
      <c r="X86" t="e">
        <f ca="1">IF((A1)=(2),"",IF((82)=(X4),IF(IF((INDEX(B1:XFD1,((A3)+(1))+(0)))=("store"),(INDEX(B1:XFD1,((A3)+(1))+(1)))=("X"),"false"),B3,X86),X86))</f>
        <v>#VALUE!</v>
      </c>
      <c r="Y86" t="e">
        <f ca="1">IF((A1)=(2),"",IF((82)=(Y4),IF(IF((INDEX(B1:XFD1,((A3)+(1))+(0)))=("store"),(INDEX(B1:XFD1,((A3)+(1))+(1)))=("Y"),"false"),B3,Y86),Y86))</f>
        <v>#VALUE!</v>
      </c>
      <c r="Z86" t="e">
        <f ca="1">IF((A1)=(2),"",IF((82)=(Z4),IF(IF((INDEX(B1:XFD1,((A3)+(1))+(0)))=("store"),(INDEX(B1:XFD1,((A3)+(1))+(1)))=("Z"),"false"),B3,Z86),Z86))</f>
        <v>#VALUE!</v>
      </c>
      <c r="AA86" t="e">
        <f ca="1">IF((A1)=(2),"",IF((82)=(AA4),IF(IF((INDEX(B1:XFD1,((A3)+(1))+(0)))=("store"),(INDEX(B1:XFD1,((A3)+(1))+(1)))=("AA"),"false"),B3,AA86),AA86))</f>
        <v>#VALUE!</v>
      </c>
      <c r="AB86" t="e">
        <f ca="1">IF((A1)=(2),"",IF((82)=(AB4),IF(IF((INDEX(B1:XFD1,((A3)+(1))+(0)))=("store"),(INDEX(B1:XFD1,((A3)+(1))+(1)))=("AB"),"false"),B3,AB86),AB86))</f>
        <v>#VALUE!</v>
      </c>
      <c r="AC86" t="e">
        <f ca="1">IF((A1)=(2),"",IF((82)=(AC4),IF(IF((INDEX(B1:XFD1,((A3)+(1))+(0)))=("store"),(INDEX(B1:XFD1,((A3)+(1))+(1)))=("AC"),"false"),B3,AC86),AC86))</f>
        <v>#VALUE!</v>
      </c>
      <c r="AD86" t="e">
        <f ca="1">IF((A1)=(2),"",IF((82)=(AD4),IF(IF((INDEX(B1:XFD1,((A3)+(1))+(0)))=("store"),(INDEX(B1:XFD1,((A3)+(1))+(1)))=("AD"),"false"),B3,AD86),AD86))</f>
        <v>#VALUE!</v>
      </c>
    </row>
    <row r="87" spans="1:30" x14ac:dyDescent="0.25">
      <c r="A87" t="e">
        <f ca="1">IF((A1)=(2),"",IF((83)=(A4),IF(("call")=(INDEX(B1:XFD1,((A3)+(1))+(0))),(B3)*(2),IF(("goto")=(INDEX(B1:XFD1,((A3)+(1))+(0))),(INDEX(B1:XFD1,((A3)+(1))+(1)))*(2),IF(("gotoiftrue")=(INDEX(B1:XFD1,((A3)+(1))+(0))),IF(B3,(INDEX(B1:XFD1,((A3)+(1))+(1)))*(2),(A87)+(2)),(A87)+(2)))),A87))</f>
        <v>#VALUE!</v>
      </c>
      <c r="B87" t="e">
        <f ca="1">IF((A1)=(2),"",IF((83)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87)+(1)),IF(("add")=(INDEX(B1:XFD1,((A3)+(1))+(0))),(INDEX(B5:B405,(B4)+(1)))+(B87),IF(("equals")=(INDEX(B1:XFD1,((A3)+(1))+(0))),(INDEX(B5:B405,(B4)+(1)))=(B87),IF(("leq")=(INDEX(B1:XFD1,((A3)+(1))+(0))),(INDEX(B5:B405,(B4)+(1)))&lt;=(B87),IF(("greater")=(INDEX(B1:XFD1,((A3)+(1))+(0))),(INDEX(B5:B405,(B4)+(1)))&gt;(B87),IF(("mod")=(INDEX(B1:XFD1,((A3)+(1))+(0))),MOD(INDEX(B5:B405,(B4)+(1)),B87),B87))))))))),B87))</f>
        <v>#VALUE!</v>
      </c>
      <c r="C87" t="e">
        <f ca="1">IF((A1)=(2),1,IF(AND((INDEX(B1:XFD1,((A3)+(1))+(0)))=("writeheap"),(INDEX(B5:B405,(B4)+(1)))=(82)),INDEX(B5:B405,(B4)+(2)),IF((A1)=(2),"",IF((83)=(C4),C87,C87))))</f>
        <v>#VALUE!</v>
      </c>
      <c r="F87" t="e">
        <f ca="1">IF((A1)=(2),"",IF((83)=(F4),IF(IF((INDEX(B1:XFD1,((A3)+(1))+(0)))=("store"),(INDEX(B1:XFD1,((A3)+(1))+(1)))=("F"),"false"),B3,F87),F87))</f>
        <v>#VALUE!</v>
      </c>
      <c r="G87" t="e">
        <f ca="1">IF((A1)=(2),"",IF((83)=(G4),IF(IF((INDEX(B1:XFD1,((A3)+(1))+(0)))=("store"),(INDEX(B1:XFD1,((A3)+(1))+(1)))=("G"),"false"),B3,G87),G87))</f>
        <v>#VALUE!</v>
      </c>
      <c r="H87" t="e">
        <f ca="1">IF((A1)=(2),"",IF((83)=(H4),IF(IF((INDEX(B1:XFD1,((A3)+(1))+(0)))=("store"),(INDEX(B1:XFD1,((A3)+(1))+(1)))=("H"),"false"),B3,H87),H87))</f>
        <v>#VALUE!</v>
      </c>
      <c r="I87" t="e">
        <f ca="1">IF((A1)=(2),"",IF((83)=(I4),IF(IF((INDEX(B1:XFD1,((A3)+(1))+(0)))=("store"),(INDEX(B1:XFD1,((A3)+(1))+(1)))=("I"),"false"),B3,I87),I87))</f>
        <v>#VALUE!</v>
      </c>
      <c r="J87" t="e">
        <f ca="1">IF((A1)=(2),"",IF((83)=(J4),IF(IF((INDEX(B1:XFD1,((A3)+(1))+(0)))=("store"),(INDEX(B1:XFD1,((A3)+(1))+(1)))=("J"),"false"),B3,J87),J87))</f>
        <v>#VALUE!</v>
      </c>
      <c r="K87" t="e">
        <f ca="1">IF((A1)=(2),"",IF((83)=(K4),IF(IF((INDEX(B1:XFD1,((A3)+(1))+(0)))=("store"),(INDEX(B1:XFD1,((A3)+(1))+(1)))=("K"),"false"),B3,K87),K87))</f>
        <v>#VALUE!</v>
      </c>
      <c r="L87" t="e">
        <f ca="1">IF((A1)=(2),"",IF((83)=(L4),IF(IF((INDEX(B1:XFD1,((A3)+(1))+(0)))=("store"),(INDEX(B1:XFD1,((A3)+(1))+(1)))=("L"),"false"),B3,L87),L87))</f>
        <v>#VALUE!</v>
      </c>
      <c r="M87" t="e">
        <f ca="1">IF((A1)=(2),"",IF((83)=(M4),IF(IF((INDEX(B1:XFD1,((A3)+(1))+(0)))=("store"),(INDEX(B1:XFD1,((A3)+(1))+(1)))=("M"),"false"),B3,M87),M87))</f>
        <v>#VALUE!</v>
      </c>
      <c r="N87" t="e">
        <f ca="1">IF((A1)=(2),"",IF((83)=(N4),IF(IF((INDEX(B1:XFD1,((A3)+(1))+(0)))=("store"),(INDEX(B1:XFD1,((A3)+(1))+(1)))=("N"),"false"),B3,N87),N87))</f>
        <v>#VALUE!</v>
      </c>
      <c r="O87" t="e">
        <f ca="1">IF((A1)=(2),"",IF((83)=(O4),IF(IF((INDEX(B1:XFD1,((A3)+(1))+(0)))=("store"),(INDEX(B1:XFD1,((A3)+(1))+(1)))=("O"),"false"),B3,O87),O87))</f>
        <v>#VALUE!</v>
      </c>
      <c r="P87" t="e">
        <f ca="1">IF((A1)=(2),"",IF((83)=(P4),IF(IF((INDEX(B1:XFD1,((A3)+(1))+(0)))=("store"),(INDEX(B1:XFD1,((A3)+(1))+(1)))=("P"),"false"),B3,P87),P87))</f>
        <v>#VALUE!</v>
      </c>
      <c r="Q87" t="e">
        <f ca="1">IF((A1)=(2),"",IF((83)=(Q4),IF(IF((INDEX(B1:XFD1,((A3)+(1))+(0)))=("store"),(INDEX(B1:XFD1,((A3)+(1))+(1)))=("Q"),"false"),B3,Q87),Q87))</f>
        <v>#VALUE!</v>
      </c>
      <c r="R87" t="e">
        <f ca="1">IF((A1)=(2),"",IF((83)=(R4),IF(IF((INDEX(B1:XFD1,((A3)+(1))+(0)))=("store"),(INDEX(B1:XFD1,((A3)+(1))+(1)))=("R"),"false"),B3,R87),R87))</f>
        <v>#VALUE!</v>
      </c>
      <c r="S87" t="e">
        <f ca="1">IF((A1)=(2),"",IF((83)=(S4),IF(IF((INDEX(B1:XFD1,((A3)+(1))+(0)))=("store"),(INDEX(B1:XFD1,((A3)+(1))+(1)))=("S"),"false"),B3,S87),S87))</f>
        <v>#VALUE!</v>
      </c>
      <c r="T87" t="e">
        <f ca="1">IF((A1)=(2),"",IF((83)=(T4),IF(IF((INDEX(B1:XFD1,((A3)+(1))+(0)))=("store"),(INDEX(B1:XFD1,((A3)+(1))+(1)))=("T"),"false"),B3,T87),T87))</f>
        <v>#VALUE!</v>
      </c>
      <c r="U87" t="e">
        <f ca="1">IF((A1)=(2),"",IF((83)=(U4),IF(IF((INDEX(B1:XFD1,((A3)+(1))+(0)))=("store"),(INDEX(B1:XFD1,((A3)+(1))+(1)))=("U"),"false"),B3,U87),U87))</f>
        <v>#VALUE!</v>
      </c>
      <c r="V87" t="e">
        <f ca="1">IF((A1)=(2),"",IF((83)=(V4),IF(IF((INDEX(B1:XFD1,((A3)+(1))+(0)))=("store"),(INDEX(B1:XFD1,((A3)+(1))+(1)))=("V"),"false"),B3,V87),V87))</f>
        <v>#VALUE!</v>
      </c>
      <c r="W87" t="e">
        <f ca="1">IF((A1)=(2),"",IF((83)=(W4),IF(IF((INDEX(B1:XFD1,((A3)+(1))+(0)))=("store"),(INDEX(B1:XFD1,((A3)+(1))+(1)))=("W"),"false"),B3,W87),W87))</f>
        <v>#VALUE!</v>
      </c>
      <c r="X87" t="e">
        <f ca="1">IF((A1)=(2),"",IF((83)=(X4),IF(IF((INDEX(B1:XFD1,((A3)+(1))+(0)))=("store"),(INDEX(B1:XFD1,((A3)+(1))+(1)))=("X"),"false"),B3,X87),X87))</f>
        <v>#VALUE!</v>
      </c>
      <c r="Y87" t="e">
        <f ca="1">IF((A1)=(2),"",IF((83)=(Y4),IF(IF((INDEX(B1:XFD1,((A3)+(1))+(0)))=("store"),(INDEX(B1:XFD1,((A3)+(1))+(1)))=("Y"),"false"),B3,Y87),Y87))</f>
        <v>#VALUE!</v>
      </c>
      <c r="Z87" t="e">
        <f ca="1">IF((A1)=(2),"",IF((83)=(Z4),IF(IF((INDEX(B1:XFD1,((A3)+(1))+(0)))=("store"),(INDEX(B1:XFD1,((A3)+(1))+(1)))=("Z"),"false"),B3,Z87),Z87))</f>
        <v>#VALUE!</v>
      </c>
      <c r="AA87" t="e">
        <f ca="1">IF((A1)=(2),"",IF((83)=(AA4),IF(IF((INDEX(B1:XFD1,((A3)+(1))+(0)))=("store"),(INDEX(B1:XFD1,((A3)+(1))+(1)))=("AA"),"false"),B3,AA87),AA87))</f>
        <v>#VALUE!</v>
      </c>
      <c r="AB87" t="e">
        <f ca="1">IF((A1)=(2),"",IF((83)=(AB4),IF(IF((INDEX(B1:XFD1,((A3)+(1))+(0)))=("store"),(INDEX(B1:XFD1,((A3)+(1))+(1)))=("AB"),"false"),B3,AB87),AB87))</f>
        <v>#VALUE!</v>
      </c>
      <c r="AC87" t="e">
        <f ca="1">IF((A1)=(2),"",IF((83)=(AC4),IF(IF((INDEX(B1:XFD1,((A3)+(1))+(0)))=("store"),(INDEX(B1:XFD1,((A3)+(1))+(1)))=("AC"),"false"),B3,AC87),AC87))</f>
        <v>#VALUE!</v>
      </c>
      <c r="AD87" t="e">
        <f ca="1">IF((A1)=(2),"",IF((83)=(AD4),IF(IF((INDEX(B1:XFD1,((A3)+(1))+(0)))=("store"),(INDEX(B1:XFD1,((A3)+(1))+(1)))=("AD"),"false"),B3,AD87),AD87))</f>
        <v>#VALUE!</v>
      </c>
    </row>
    <row r="88" spans="1:30" x14ac:dyDescent="0.25">
      <c r="A88" t="e">
        <f ca="1">IF((A1)=(2),"",IF((84)=(A4),IF(("call")=(INDEX(B1:XFD1,((A3)+(1))+(0))),(B3)*(2),IF(("goto")=(INDEX(B1:XFD1,((A3)+(1))+(0))),(INDEX(B1:XFD1,((A3)+(1))+(1)))*(2),IF(("gotoiftrue")=(INDEX(B1:XFD1,((A3)+(1))+(0))),IF(B3,(INDEX(B1:XFD1,((A3)+(1))+(1)))*(2),(A88)+(2)),(A88)+(2)))),A88))</f>
        <v>#VALUE!</v>
      </c>
      <c r="B88" t="e">
        <f ca="1">IF((A1)=(2),"",IF((84)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88)+(1)),IF(("add")=(INDEX(B1:XFD1,((A3)+(1))+(0))),(INDEX(B5:B405,(B4)+(1)))+(B88),IF(("equals")=(INDEX(B1:XFD1,((A3)+(1))+(0))),(INDEX(B5:B405,(B4)+(1)))=(B88),IF(("leq")=(INDEX(B1:XFD1,((A3)+(1))+(0))),(INDEX(B5:B405,(B4)+(1)))&lt;=(B88),IF(("greater")=(INDEX(B1:XFD1,((A3)+(1))+(0))),(INDEX(B5:B405,(B4)+(1)))&gt;(B88),IF(("mod")=(INDEX(B1:XFD1,((A3)+(1))+(0))),MOD(INDEX(B5:B405,(B4)+(1)),B88),B88))))))))),B88))</f>
        <v>#VALUE!</v>
      </c>
      <c r="C88" t="e">
        <f ca="1">IF((A1)=(2),1,IF(AND((INDEX(B1:XFD1,((A3)+(1))+(0)))=("writeheap"),(INDEX(B5:B405,(B4)+(1)))=(83)),INDEX(B5:B405,(B4)+(2)),IF((A1)=(2),"",IF((84)=(C4),C88,C88))))</f>
        <v>#VALUE!</v>
      </c>
      <c r="F88" t="e">
        <f ca="1">IF((A1)=(2),"",IF((84)=(F4),IF(IF((INDEX(B1:XFD1,((A3)+(1))+(0)))=("store"),(INDEX(B1:XFD1,((A3)+(1))+(1)))=("F"),"false"),B3,F88),F88))</f>
        <v>#VALUE!</v>
      </c>
      <c r="G88" t="e">
        <f ca="1">IF((A1)=(2),"",IF((84)=(G4),IF(IF((INDEX(B1:XFD1,((A3)+(1))+(0)))=("store"),(INDEX(B1:XFD1,((A3)+(1))+(1)))=("G"),"false"),B3,G88),G88))</f>
        <v>#VALUE!</v>
      </c>
      <c r="H88" t="e">
        <f ca="1">IF((A1)=(2),"",IF((84)=(H4),IF(IF((INDEX(B1:XFD1,((A3)+(1))+(0)))=("store"),(INDEX(B1:XFD1,((A3)+(1))+(1)))=("H"),"false"),B3,H88),H88))</f>
        <v>#VALUE!</v>
      </c>
      <c r="I88" t="e">
        <f ca="1">IF((A1)=(2),"",IF((84)=(I4),IF(IF((INDEX(B1:XFD1,((A3)+(1))+(0)))=("store"),(INDEX(B1:XFD1,((A3)+(1))+(1)))=("I"),"false"),B3,I88),I88))</f>
        <v>#VALUE!</v>
      </c>
      <c r="J88" t="e">
        <f ca="1">IF((A1)=(2),"",IF((84)=(J4),IF(IF((INDEX(B1:XFD1,((A3)+(1))+(0)))=("store"),(INDEX(B1:XFD1,((A3)+(1))+(1)))=("J"),"false"),B3,J88),J88))</f>
        <v>#VALUE!</v>
      </c>
      <c r="K88" t="e">
        <f ca="1">IF((A1)=(2),"",IF((84)=(K4),IF(IF((INDEX(B1:XFD1,((A3)+(1))+(0)))=("store"),(INDEX(B1:XFD1,((A3)+(1))+(1)))=("K"),"false"),B3,K88),K88))</f>
        <v>#VALUE!</v>
      </c>
      <c r="L88" t="e">
        <f ca="1">IF((A1)=(2),"",IF((84)=(L4),IF(IF((INDEX(B1:XFD1,((A3)+(1))+(0)))=("store"),(INDEX(B1:XFD1,((A3)+(1))+(1)))=("L"),"false"),B3,L88),L88))</f>
        <v>#VALUE!</v>
      </c>
      <c r="M88" t="e">
        <f ca="1">IF((A1)=(2),"",IF((84)=(M4),IF(IF((INDEX(B1:XFD1,((A3)+(1))+(0)))=("store"),(INDEX(B1:XFD1,((A3)+(1))+(1)))=("M"),"false"),B3,M88),M88))</f>
        <v>#VALUE!</v>
      </c>
      <c r="N88" t="e">
        <f ca="1">IF((A1)=(2),"",IF((84)=(N4),IF(IF((INDEX(B1:XFD1,((A3)+(1))+(0)))=("store"),(INDEX(B1:XFD1,((A3)+(1))+(1)))=("N"),"false"),B3,N88),N88))</f>
        <v>#VALUE!</v>
      </c>
      <c r="O88" t="e">
        <f ca="1">IF((A1)=(2),"",IF((84)=(O4),IF(IF((INDEX(B1:XFD1,((A3)+(1))+(0)))=("store"),(INDEX(B1:XFD1,((A3)+(1))+(1)))=("O"),"false"),B3,O88),O88))</f>
        <v>#VALUE!</v>
      </c>
      <c r="P88" t="e">
        <f ca="1">IF((A1)=(2),"",IF((84)=(P4),IF(IF((INDEX(B1:XFD1,((A3)+(1))+(0)))=("store"),(INDEX(B1:XFD1,((A3)+(1))+(1)))=("P"),"false"),B3,P88),P88))</f>
        <v>#VALUE!</v>
      </c>
      <c r="Q88" t="e">
        <f ca="1">IF((A1)=(2),"",IF((84)=(Q4),IF(IF((INDEX(B1:XFD1,((A3)+(1))+(0)))=("store"),(INDEX(B1:XFD1,((A3)+(1))+(1)))=("Q"),"false"),B3,Q88),Q88))</f>
        <v>#VALUE!</v>
      </c>
      <c r="R88" t="e">
        <f ca="1">IF((A1)=(2),"",IF((84)=(R4),IF(IF((INDEX(B1:XFD1,((A3)+(1))+(0)))=("store"),(INDEX(B1:XFD1,((A3)+(1))+(1)))=("R"),"false"),B3,R88),R88))</f>
        <v>#VALUE!</v>
      </c>
      <c r="S88" t="e">
        <f ca="1">IF((A1)=(2),"",IF((84)=(S4),IF(IF((INDEX(B1:XFD1,((A3)+(1))+(0)))=("store"),(INDEX(B1:XFD1,((A3)+(1))+(1)))=("S"),"false"),B3,S88),S88))</f>
        <v>#VALUE!</v>
      </c>
      <c r="T88" t="e">
        <f ca="1">IF((A1)=(2),"",IF((84)=(T4),IF(IF((INDEX(B1:XFD1,((A3)+(1))+(0)))=("store"),(INDEX(B1:XFD1,((A3)+(1))+(1)))=("T"),"false"),B3,T88),T88))</f>
        <v>#VALUE!</v>
      </c>
      <c r="U88" t="e">
        <f ca="1">IF((A1)=(2),"",IF((84)=(U4),IF(IF((INDEX(B1:XFD1,((A3)+(1))+(0)))=("store"),(INDEX(B1:XFD1,((A3)+(1))+(1)))=("U"),"false"),B3,U88),U88))</f>
        <v>#VALUE!</v>
      </c>
      <c r="V88" t="e">
        <f ca="1">IF((A1)=(2),"",IF((84)=(V4),IF(IF((INDEX(B1:XFD1,((A3)+(1))+(0)))=("store"),(INDEX(B1:XFD1,((A3)+(1))+(1)))=("V"),"false"),B3,V88),V88))</f>
        <v>#VALUE!</v>
      </c>
      <c r="W88" t="e">
        <f ca="1">IF((A1)=(2),"",IF((84)=(W4),IF(IF((INDEX(B1:XFD1,((A3)+(1))+(0)))=("store"),(INDEX(B1:XFD1,((A3)+(1))+(1)))=("W"),"false"),B3,W88),W88))</f>
        <v>#VALUE!</v>
      </c>
      <c r="X88" t="e">
        <f ca="1">IF((A1)=(2),"",IF((84)=(X4),IF(IF((INDEX(B1:XFD1,((A3)+(1))+(0)))=("store"),(INDEX(B1:XFD1,((A3)+(1))+(1)))=("X"),"false"),B3,X88),X88))</f>
        <v>#VALUE!</v>
      </c>
      <c r="Y88" t="e">
        <f ca="1">IF((A1)=(2),"",IF((84)=(Y4),IF(IF((INDEX(B1:XFD1,((A3)+(1))+(0)))=("store"),(INDEX(B1:XFD1,((A3)+(1))+(1)))=("Y"),"false"),B3,Y88),Y88))</f>
        <v>#VALUE!</v>
      </c>
      <c r="Z88" t="e">
        <f ca="1">IF((A1)=(2),"",IF((84)=(Z4),IF(IF((INDEX(B1:XFD1,((A3)+(1))+(0)))=("store"),(INDEX(B1:XFD1,((A3)+(1))+(1)))=("Z"),"false"),B3,Z88),Z88))</f>
        <v>#VALUE!</v>
      </c>
      <c r="AA88" t="e">
        <f ca="1">IF((A1)=(2),"",IF((84)=(AA4),IF(IF((INDEX(B1:XFD1,((A3)+(1))+(0)))=("store"),(INDEX(B1:XFD1,((A3)+(1))+(1)))=("AA"),"false"),B3,AA88),AA88))</f>
        <v>#VALUE!</v>
      </c>
      <c r="AB88" t="e">
        <f ca="1">IF((A1)=(2),"",IF((84)=(AB4),IF(IF((INDEX(B1:XFD1,((A3)+(1))+(0)))=("store"),(INDEX(B1:XFD1,((A3)+(1))+(1)))=("AB"),"false"),B3,AB88),AB88))</f>
        <v>#VALUE!</v>
      </c>
      <c r="AC88" t="e">
        <f ca="1">IF((A1)=(2),"",IF((84)=(AC4),IF(IF((INDEX(B1:XFD1,((A3)+(1))+(0)))=("store"),(INDEX(B1:XFD1,((A3)+(1))+(1)))=("AC"),"false"),B3,AC88),AC88))</f>
        <v>#VALUE!</v>
      </c>
      <c r="AD88" t="e">
        <f ca="1">IF((A1)=(2),"",IF((84)=(AD4),IF(IF((INDEX(B1:XFD1,((A3)+(1))+(0)))=("store"),(INDEX(B1:XFD1,((A3)+(1))+(1)))=("AD"),"false"),B3,AD88),AD88))</f>
        <v>#VALUE!</v>
      </c>
    </row>
    <row r="89" spans="1:30" x14ac:dyDescent="0.25">
      <c r="A89" t="e">
        <f ca="1">IF((A1)=(2),"",IF((85)=(A4),IF(("call")=(INDEX(B1:XFD1,((A3)+(1))+(0))),(B3)*(2),IF(("goto")=(INDEX(B1:XFD1,((A3)+(1))+(0))),(INDEX(B1:XFD1,((A3)+(1))+(1)))*(2),IF(("gotoiftrue")=(INDEX(B1:XFD1,((A3)+(1))+(0))),IF(B3,(INDEX(B1:XFD1,((A3)+(1))+(1)))*(2),(A89)+(2)),(A89)+(2)))),A89))</f>
        <v>#VALUE!</v>
      </c>
      <c r="B89" t="e">
        <f ca="1">IF((A1)=(2),"",IF((85)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89)+(1)),IF(("add")=(INDEX(B1:XFD1,((A3)+(1))+(0))),(INDEX(B5:B405,(B4)+(1)))+(B89),IF(("equals")=(INDEX(B1:XFD1,((A3)+(1))+(0))),(INDEX(B5:B405,(B4)+(1)))=(B89),IF(("leq")=(INDEX(B1:XFD1,((A3)+(1))+(0))),(INDEX(B5:B405,(B4)+(1)))&lt;=(B89),IF(("greater")=(INDEX(B1:XFD1,((A3)+(1))+(0))),(INDEX(B5:B405,(B4)+(1)))&gt;(B89),IF(("mod")=(INDEX(B1:XFD1,((A3)+(1))+(0))),MOD(INDEX(B5:B405,(B4)+(1)),B89),B89))))))))),B89))</f>
        <v>#VALUE!</v>
      </c>
      <c r="C89" t="e">
        <f ca="1">IF((A1)=(2),1,IF(AND((INDEX(B1:XFD1,((A3)+(1))+(0)))=("writeheap"),(INDEX(B5:B405,(B4)+(1)))=(84)),INDEX(B5:B405,(B4)+(2)),IF((A1)=(2),"",IF((85)=(C4),C89,C89))))</f>
        <v>#VALUE!</v>
      </c>
      <c r="F89" t="e">
        <f ca="1">IF((A1)=(2),"",IF((85)=(F4),IF(IF((INDEX(B1:XFD1,((A3)+(1))+(0)))=("store"),(INDEX(B1:XFD1,((A3)+(1))+(1)))=("F"),"false"),B3,F89),F89))</f>
        <v>#VALUE!</v>
      </c>
      <c r="G89" t="e">
        <f ca="1">IF((A1)=(2),"",IF((85)=(G4),IF(IF((INDEX(B1:XFD1,((A3)+(1))+(0)))=("store"),(INDEX(B1:XFD1,((A3)+(1))+(1)))=("G"),"false"),B3,G89),G89))</f>
        <v>#VALUE!</v>
      </c>
      <c r="H89" t="e">
        <f ca="1">IF((A1)=(2),"",IF((85)=(H4),IF(IF((INDEX(B1:XFD1,((A3)+(1))+(0)))=("store"),(INDEX(B1:XFD1,((A3)+(1))+(1)))=("H"),"false"),B3,H89),H89))</f>
        <v>#VALUE!</v>
      </c>
      <c r="I89" t="e">
        <f ca="1">IF((A1)=(2),"",IF((85)=(I4),IF(IF((INDEX(B1:XFD1,((A3)+(1))+(0)))=("store"),(INDEX(B1:XFD1,((A3)+(1))+(1)))=("I"),"false"),B3,I89),I89))</f>
        <v>#VALUE!</v>
      </c>
      <c r="J89" t="e">
        <f ca="1">IF((A1)=(2),"",IF((85)=(J4),IF(IF((INDEX(B1:XFD1,((A3)+(1))+(0)))=("store"),(INDEX(B1:XFD1,((A3)+(1))+(1)))=("J"),"false"),B3,J89),J89))</f>
        <v>#VALUE!</v>
      </c>
      <c r="K89" t="e">
        <f ca="1">IF((A1)=(2),"",IF((85)=(K4),IF(IF((INDEX(B1:XFD1,((A3)+(1))+(0)))=("store"),(INDEX(B1:XFD1,((A3)+(1))+(1)))=("K"),"false"),B3,K89),K89))</f>
        <v>#VALUE!</v>
      </c>
      <c r="L89" t="e">
        <f ca="1">IF((A1)=(2),"",IF((85)=(L4),IF(IF((INDEX(B1:XFD1,((A3)+(1))+(0)))=("store"),(INDEX(B1:XFD1,((A3)+(1))+(1)))=("L"),"false"),B3,L89),L89))</f>
        <v>#VALUE!</v>
      </c>
      <c r="M89" t="e">
        <f ca="1">IF((A1)=(2),"",IF((85)=(M4),IF(IF((INDEX(B1:XFD1,((A3)+(1))+(0)))=("store"),(INDEX(B1:XFD1,((A3)+(1))+(1)))=("M"),"false"),B3,M89),M89))</f>
        <v>#VALUE!</v>
      </c>
      <c r="N89" t="e">
        <f ca="1">IF((A1)=(2),"",IF((85)=(N4),IF(IF((INDEX(B1:XFD1,((A3)+(1))+(0)))=("store"),(INDEX(B1:XFD1,((A3)+(1))+(1)))=("N"),"false"),B3,N89),N89))</f>
        <v>#VALUE!</v>
      </c>
      <c r="O89" t="e">
        <f ca="1">IF((A1)=(2),"",IF((85)=(O4),IF(IF((INDEX(B1:XFD1,((A3)+(1))+(0)))=("store"),(INDEX(B1:XFD1,((A3)+(1))+(1)))=("O"),"false"),B3,O89),O89))</f>
        <v>#VALUE!</v>
      </c>
      <c r="P89" t="e">
        <f ca="1">IF((A1)=(2),"",IF((85)=(P4),IF(IF((INDEX(B1:XFD1,((A3)+(1))+(0)))=("store"),(INDEX(B1:XFD1,((A3)+(1))+(1)))=("P"),"false"),B3,P89),P89))</f>
        <v>#VALUE!</v>
      </c>
      <c r="Q89" t="e">
        <f ca="1">IF((A1)=(2),"",IF((85)=(Q4),IF(IF((INDEX(B1:XFD1,((A3)+(1))+(0)))=("store"),(INDEX(B1:XFD1,((A3)+(1))+(1)))=("Q"),"false"),B3,Q89),Q89))</f>
        <v>#VALUE!</v>
      </c>
      <c r="R89" t="e">
        <f ca="1">IF((A1)=(2),"",IF((85)=(R4),IF(IF((INDEX(B1:XFD1,((A3)+(1))+(0)))=("store"),(INDEX(B1:XFD1,((A3)+(1))+(1)))=("R"),"false"),B3,R89),R89))</f>
        <v>#VALUE!</v>
      </c>
      <c r="S89" t="e">
        <f ca="1">IF((A1)=(2),"",IF((85)=(S4),IF(IF((INDEX(B1:XFD1,((A3)+(1))+(0)))=("store"),(INDEX(B1:XFD1,((A3)+(1))+(1)))=("S"),"false"),B3,S89),S89))</f>
        <v>#VALUE!</v>
      </c>
      <c r="T89" t="e">
        <f ca="1">IF((A1)=(2),"",IF((85)=(T4),IF(IF((INDEX(B1:XFD1,((A3)+(1))+(0)))=("store"),(INDEX(B1:XFD1,((A3)+(1))+(1)))=("T"),"false"),B3,T89),T89))</f>
        <v>#VALUE!</v>
      </c>
      <c r="U89" t="e">
        <f ca="1">IF((A1)=(2),"",IF((85)=(U4),IF(IF((INDEX(B1:XFD1,((A3)+(1))+(0)))=("store"),(INDEX(B1:XFD1,((A3)+(1))+(1)))=("U"),"false"),B3,U89),U89))</f>
        <v>#VALUE!</v>
      </c>
      <c r="V89" t="e">
        <f ca="1">IF((A1)=(2),"",IF((85)=(V4),IF(IF((INDEX(B1:XFD1,((A3)+(1))+(0)))=("store"),(INDEX(B1:XFD1,((A3)+(1))+(1)))=("V"),"false"),B3,V89),V89))</f>
        <v>#VALUE!</v>
      </c>
      <c r="W89" t="e">
        <f ca="1">IF((A1)=(2),"",IF((85)=(W4),IF(IF((INDEX(B1:XFD1,((A3)+(1))+(0)))=("store"),(INDEX(B1:XFD1,((A3)+(1))+(1)))=("W"),"false"),B3,W89),W89))</f>
        <v>#VALUE!</v>
      </c>
      <c r="X89" t="e">
        <f ca="1">IF((A1)=(2),"",IF((85)=(X4),IF(IF((INDEX(B1:XFD1,((A3)+(1))+(0)))=("store"),(INDEX(B1:XFD1,((A3)+(1))+(1)))=("X"),"false"),B3,X89),X89))</f>
        <v>#VALUE!</v>
      </c>
      <c r="Y89" t="e">
        <f ca="1">IF((A1)=(2),"",IF((85)=(Y4),IF(IF((INDEX(B1:XFD1,((A3)+(1))+(0)))=("store"),(INDEX(B1:XFD1,((A3)+(1))+(1)))=("Y"),"false"),B3,Y89),Y89))</f>
        <v>#VALUE!</v>
      </c>
      <c r="Z89" t="e">
        <f ca="1">IF((A1)=(2),"",IF((85)=(Z4),IF(IF((INDEX(B1:XFD1,((A3)+(1))+(0)))=("store"),(INDEX(B1:XFD1,((A3)+(1))+(1)))=("Z"),"false"),B3,Z89),Z89))</f>
        <v>#VALUE!</v>
      </c>
      <c r="AA89" t="e">
        <f ca="1">IF((A1)=(2),"",IF((85)=(AA4),IF(IF((INDEX(B1:XFD1,((A3)+(1))+(0)))=("store"),(INDEX(B1:XFD1,((A3)+(1))+(1)))=("AA"),"false"),B3,AA89),AA89))</f>
        <v>#VALUE!</v>
      </c>
      <c r="AB89" t="e">
        <f ca="1">IF((A1)=(2),"",IF((85)=(AB4),IF(IF((INDEX(B1:XFD1,((A3)+(1))+(0)))=("store"),(INDEX(B1:XFD1,((A3)+(1))+(1)))=("AB"),"false"),B3,AB89),AB89))</f>
        <v>#VALUE!</v>
      </c>
      <c r="AC89" t="e">
        <f ca="1">IF((A1)=(2),"",IF((85)=(AC4),IF(IF((INDEX(B1:XFD1,((A3)+(1))+(0)))=("store"),(INDEX(B1:XFD1,((A3)+(1))+(1)))=("AC"),"false"),B3,AC89),AC89))</f>
        <v>#VALUE!</v>
      </c>
      <c r="AD89" t="e">
        <f ca="1">IF((A1)=(2),"",IF((85)=(AD4),IF(IF((INDEX(B1:XFD1,((A3)+(1))+(0)))=("store"),(INDEX(B1:XFD1,((A3)+(1))+(1)))=("AD"),"false"),B3,AD89),AD89))</f>
        <v>#VALUE!</v>
      </c>
    </row>
    <row r="90" spans="1:30" x14ac:dyDescent="0.25">
      <c r="A90" t="e">
        <f ca="1">IF((A1)=(2),"",IF((86)=(A4),IF(("call")=(INDEX(B1:XFD1,((A3)+(1))+(0))),(B3)*(2),IF(("goto")=(INDEX(B1:XFD1,((A3)+(1))+(0))),(INDEX(B1:XFD1,((A3)+(1))+(1)))*(2),IF(("gotoiftrue")=(INDEX(B1:XFD1,((A3)+(1))+(0))),IF(B3,(INDEX(B1:XFD1,((A3)+(1))+(1)))*(2),(A90)+(2)),(A90)+(2)))),A90))</f>
        <v>#VALUE!</v>
      </c>
      <c r="B90" t="e">
        <f ca="1">IF((A1)=(2),"",IF((86)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90)+(1)),IF(("add")=(INDEX(B1:XFD1,((A3)+(1))+(0))),(INDEX(B5:B405,(B4)+(1)))+(B90),IF(("equals")=(INDEX(B1:XFD1,((A3)+(1))+(0))),(INDEX(B5:B405,(B4)+(1)))=(B90),IF(("leq")=(INDEX(B1:XFD1,((A3)+(1))+(0))),(INDEX(B5:B405,(B4)+(1)))&lt;=(B90),IF(("greater")=(INDEX(B1:XFD1,((A3)+(1))+(0))),(INDEX(B5:B405,(B4)+(1)))&gt;(B90),IF(("mod")=(INDEX(B1:XFD1,((A3)+(1))+(0))),MOD(INDEX(B5:B405,(B4)+(1)),B90),B90))))))))),B90))</f>
        <v>#VALUE!</v>
      </c>
      <c r="C90" t="e">
        <f ca="1">IF((A1)=(2),1,IF(AND((INDEX(B1:XFD1,((A3)+(1))+(0)))=("writeheap"),(INDEX(B5:B405,(B4)+(1)))=(85)),INDEX(B5:B405,(B4)+(2)),IF((A1)=(2),"",IF((86)=(C4),C90,C90))))</f>
        <v>#VALUE!</v>
      </c>
      <c r="F90" t="e">
        <f ca="1">IF((A1)=(2),"",IF((86)=(F4),IF(IF((INDEX(B1:XFD1,((A3)+(1))+(0)))=("store"),(INDEX(B1:XFD1,((A3)+(1))+(1)))=("F"),"false"),B3,F90),F90))</f>
        <v>#VALUE!</v>
      </c>
      <c r="G90" t="e">
        <f ca="1">IF((A1)=(2),"",IF((86)=(G4),IF(IF((INDEX(B1:XFD1,((A3)+(1))+(0)))=("store"),(INDEX(B1:XFD1,((A3)+(1))+(1)))=("G"),"false"),B3,G90),G90))</f>
        <v>#VALUE!</v>
      </c>
      <c r="H90" t="e">
        <f ca="1">IF((A1)=(2),"",IF((86)=(H4),IF(IF((INDEX(B1:XFD1,((A3)+(1))+(0)))=("store"),(INDEX(B1:XFD1,((A3)+(1))+(1)))=("H"),"false"),B3,H90),H90))</f>
        <v>#VALUE!</v>
      </c>
      <c r="I90" t="e">
        <f ca="1">IF((A1)=(2),"",IF((86)=(I4),IF(IF((INDEX(B1:XFD1,((A3)+(1))+(0)))=("store"),(INDEX(B1:XFD1,((A3)+(1))+(1)))=("I"),"false"),B3,I90),I90))</f>
        <v>#VALUE!</v>
      </c>
      <c r="J90" t="e">
        <f ca="1">IF((A1)=(2),"",IF((86)=(J4),IF(IF((INDEX(B1:XFD1,((A3)+(1))+(0)))=("store"),(INDEX(B1:XFD1,((A3)+(1))+(1)))=("J"),"false"),B3,J90),J90))</f>
        <v>#VALUE!</v>
      </c>
      <c r="K90" t="e">
        <f ca="1">IF((A1)=(2),"",IF((86)=(K4),IF(IF((INDEX(B1:XFD1,((A3)+(1))+(0)))=("store"),(INDEX(B1:XFD1,((A3)+(1))+(1)))=("K"),"false"),B3,K90),K90))</f>
        <v>#VALUE!</v>
      </c>
      <c r="L90" t="e">
        <f ca="1">IF((A1)=(2),"",IF((86)=(L4),IF(IF((INDEX(B1:XFD1,((A3)+(1))+(0)))=("store"),(INDEX(B1:XFD1,((A3)+(1))+(1)))=("L"),"false"),B3,L90),L90))</f>
        <v>#VALUE!</v>
      </c>
      <c r="M90" t="e">
        <f ca="1">IF((A1)=(2),"",IF((86)=(M4),IF(IF((INDEX(B1:XFD1,((A3)+(1))+(0)))=("store"),(INDEX(B1:XFD1,((A3)+(1))+(1)))=("M"),"false"),B3,M90),M90))</f>
        <v>#VALUE!</v>
      </c>
      <c r="N90" t="e">
        <f ca="1">IF((A1)=(2),"",IF((86)=(N4),IF(IF((INDEX(B1:XFD1,((A3)+(1))+(0)))=("store"),(INDEX(B1:XFD1,((A3)+(1))+(1)))=("N"),"false"),B3,N90),N90))</f>
        <v>#VALUE!</v>
      </c>
      <c r="O90" t="e">
        <f ca="1">IF((A1)=(2),"",IF((86)=(O4),IF(IF((INDEX(B1:XFD1,((A3)+(1))+(0)))=("store"),(INDEX(B1:XFD1,((A3)+(1))+(1)))=("O"),"false"),B3,O90),O90))</f>
        <v>#VALUE!</v>
      </c>
      <c r="P90" t="e">
        <f ca="1">IF((A1)=(2),"",IF((86)=(P4),IF(IF((INDEX(B1:XFD1,((A3)+(1))+(0)))=("store"),(INDEX(B1:XFD1,((A3)+(1))+(1)))=("P"),"false"),B3,P90),P90))</f>
        <v>#VALUE!</v>
      </c>
      <c r="Q90" t="e">
        <f ca="1">IF((A1)=(2),"",IF((86)=(Q4),IF(IF((INDEX(B1:XFD1,((A3)+(1))+(0)))=("store"),(INDEX(B1:XFD1,((A3)+(1))+(1)))=("Q"),"false"),B3,Q90),Q90))</f>
        <v>#VALUE!</v>
      </c>
      <c r="R90" t="e">
        <f ca="1">IF((A1)=(2),"",IF((86)=(R4),IF(IF((INDEX(B1:XFD1,((A3)+(1))+(0)))=("store"),(INDEX(B1:XFD1,((A3)+(1))+(1)))=("R"),"false"),B3,R90),R90))</f>
        <v>#VALUE!</v>
      </c>
      <c r="S90" t="e">
        <f ca="1">IF((A1)=(2),"",IF((86)=(S4),IF(IF((INDEX(B1:XFD1,((A3)+(1))+(0)))=("store"),(INDEX(B1:XFD1,((A3)+(1))+(1)))=("S"),"false"),B3,S90),S90))</f>
        <v>#VALUE!</v>
      </c>
      <c r="T90" t="e">
        <f ca="1">IF((A1)=(2),"",IF((86)=(T4),IF(IF((INDEX(B1:XFD1,((A3)+(1))+(0)))=("store"),(INDEX(B1:XFD1,((A3)+(1))+(1)))=("T"),"false"),B3,T90),T90))</f>
        <v>#VALUE!</v>
      </c>
      <c r="U90" t="e">
        <f ca="1">IF((A1)=(2),"",IF((86)=(U4),IF(IF((INDEX(B1:XFD1,((A3)+(1))+(0)))=("store"),(INDEX(B1:XFD1,((A3)+(1))+(1)))=("U"),"false"),B3,U90),U90))</f>
        <v>#VALUE!</v>
      </c>
      <c r="V90" t="e">
        <f ca="1">IF((A1)=(2),"",IF((86)=(V4),IF(IF((INDEX(B1:XFD1,((A3)+(1))+(0)))=("store"),(INDEX(B1:XFD1,((A3)+(1))+(1)))=("V"),"false"),B3,V90),V90))</f>
        <v>#VALUE!</v>
      </c>
      <c r="W90" t="e">
        <f ca="1">IF((A1)=(2),"",IF((86)=(W4),IF(IF((INDEX(B1:XFD1,((A3)+(1))+(0)))=("store"),(INDEX(B1:XFD1,((A3)+(1))+(1)))=("W"),"false"),B3,W90),W90))</f>
        <v>#VALUE!</v>
      </c>
      <c r="X90" t="e">
        <f ca="1">IF((A1)=(2),"",IF((86)=(X4),IF(IF((INDEX(B1:XFD1,((A3)+(1))+(0)))=("store"),(INDEX(B1:XFD1,((A3)+(1))+(1)))=("X"),"false"),B3,X90),X90))</f>
        <v>#VALUE!</v>
      </c>
      <c r="Y90" t="e">
        <f ca="1">IF((A1)=(2),"",IF((86)=(Y4),IF(IF((INDEX(B1:XFD1,((A3)+(1))+(0)))=("store"),(INDEX(B1:XFD1,((A3)+(1))+(1)))=("Y"),"false"),B3,Y90),Y90))</f>
        <v>#VALUE!</v>
      </c>
      <c r="Z90" t="e">
        <f ca="1">IF((A1)=(2),"",IF((86)=(Z4),IF(IF((INDEX(B1:XFD1,((A3)+(1))+(0)))=("store"),(INDEX(B1:XFD1,((A3)+(1))+(1)))=("Z"),"false"),B3,Z90),Z90))</f>
        <v>#VALUE!</v>
      </c>
      <c r="AA90" t="e">
        <f ca="1">IF((A1)=(2),"",IF((86)=(AA4),IF(IF((INDEX(B1:XFD1,((A3)+(1))+(0)))=("store"),(INDEX(B1:XFD1,((A3)+(1))+(1)))=("AA"),"false"),B3,AA90),AA90))</f>
        <v>#VALUE!</v>
      </c>
      <c r="AB90" t="e">
        <f ca="1">IF((A1)=(2),"",IF((86)=(AB4),IF(IF((INDEX(B1:XFD1,((A3)+(1))+(0)))=("store"),(INDEX(B1:XFD1,((A3)+(1))+(1)))=("AB"),"false"),B3,AB90),AB90))</f>
        <v>#VALUE!</v>
      </c>
      <c r="AC90" t="e">
        <f ca="1">IF((A1)=(2),"",IF((86)=(AC4),IF(IF((INDEX(B1:XFD1,((A3)+(1))+(0)))=("store"),(INDEX(B1:XFD1,((A3)+(1))+(1)))=("AC"),"false"),B3,AC90),AC90))</f>
        <v>#VALUE!</v>
      </c>
      <c r="AD90" t="e">
        <f ca="1">IF((A1)=(2),"",IF((86)=(AD4),IF(IF((INDEX(B1:XFD1,((A3)+(1))+(0)))=("store"),(INDEX(B1:XFD1,((A3)+(1))+(1)))=("AD"),"false"),B3,AD90),AD90))</f>
        <v>#VALUE!</v>
      </c>
    </row>
    <row r="91" spans="1:30" x14ac:dyDescent="0.25">
      <c r="A91" t="e">
        <f ca="1">IF((A1)=(2),"",IF((87)=(A4),IF(("call")=(INDEX(B1:XFD1,((A3)+(1))+(0))),(B3)*(2),IF(("goto")=(INDEX(B1:XFD1,((A3)+(1))+(0))),(INDEX(B1:XFD1,((A3)+(1))+(1)))*(2),IF(("gotoiftrue")=(INDEX(B1:XFD1,((A3)+(1))+(0))),IF(B3,(INDEX(B1:XFD1,((A3)+(1))+(1)))*(2),(A91)+(2)),(A91)+(2)))),A91))</f>
        <v>#VALUE!</v>
      </c>
      <c r="B91" t="e">
        <f ca="1">IF((A1)=(2),"",IF((87)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91)+(1)),IF(("add")=(INDEX(B1:XFD1,((A3)+(1))+(0))),(INDEX(B5:B405,(B4)+(1)))+(B91),IF(("equals")=(INDEX(B1:XFD1,((A3)+(1))+(0))),(INDEX(B5:B405,(B4)+(1)))=(B91),IF(("leq")=(INDEX(B1:XFD1,((A3)+(1))+(0))),(INDEX(B5:B405,(B4)+(1)))&lt;=(B91),IF(("greater")=(INDEX(B1:XFD1,((A3)+(1))+(0))),(INDEX(B5:B405,(B4)+(1)))&gt;(B91),IF(("mod")=(INDEX(B1:XFD1,((A3)+(1))+(0))),MOD(INDEX(B5:B405,(B4)+(1)),B91),B91))))))))),B91))</f>
        <v>#VALUE!</v>
      </c>
      <c r="C91" t="e">
        <f ca="1">IF((A1)=(2),1,IF(AND((INDEX(B1:XFD1,((A3)+(1))+(0)))=("writeheap"),(INDEX(B5:B405,(B4)+(1)))=(86)),INDEX(B5:B405,(B4)+(2)),IF((A1)=(2),"",IF((87)=(C4),C91,C91))))</f>
        <v>#VALUE!</v>
      </c>
      <c r="F91" t="e">
        <f ca="1">IF((A1)=(2),"",IF((87)=(F4),IF(IF((INDEX(B1:XFD1,((A3)+(1))+(0)))=("store"),(INDEX(B1:XFD1,((A3)+(1))+(1)))=("F"),"false"),B3,F91),F91))</f>
        <v>#VALUE!</v>
      </c>
      <c r="G91" t="e">
        <f ca="1">IF((A1)=(2),"",IF((87)=(G4),IF(IF((INDEX(B1:XFD1,((A3)+(1))+(0)))=("store"),(INDEX(B1:XFD1,((A3)+(1))+(1)))=("G"),"false"),B3,G91),G91))</f>
        <v>#VALUE!</v>
      </c>
      <c r="H91" t="e">
        <f ca="1">IF((A1)=(2),"",IF((87)=(H4),IF(IF((INDEX(B1:XFD1,((A3)+(1))+(0)))=("store"),(INDEX(B1:XFD1,((A3)+(1))+(1)))=("H"),"false"),B3,H91),H91))</f>
        <v>#VALUE!</v>
      </c>
      <c r="I91" t="e">
        <f ca="1">IF((A1)=(2),"",IF((87)=(I4),IF(IF((INDEX(B1:XFD1,((A3)+(1))+(0)))=("store"),(INDEX(B1:XFD1,((A3)+(1))+(1)))=("I"),"false"),B3,I91),I91))</f>
        <v>#VALUE!</v>
      </c>
      <c r="J91" t="e">
        <f ca="1">IF((A1)=(2),"",IF((87)=(J4),IF(IF((INDEX(B1:XFD1,((A3)+(1))+(0)))=("store"),(INDEX(B1:XFD1,((A3)+(1))+(1)))=("J"),"false"),B3,J91),J91))</f>
        <v>#VALUE!</v>
      </c>
      <c r="K91" t="e">
        <f ca="1">IF((A1)=(2),"",IF((87)=(K4),IF(IF((INDEX(B1:XFD1,((A3)+(1))+(0)))=("store"),(INDEX(B1:XFD1,((A3)+(1))+(1)))=("K"),"false"),B3,K91),K91))</f>
        <v>#VALUE!</v>
      </c>
      <c r="L91" t="e">
        <f ca="1">IF((A1)=(2),"",IF((87)=(L4),IF(IF((INDEX(B1:XFD1,((A3)+(1))+(0)))=("store"),(INDEX(B1:XFD1,((A3)+(1))+(1)))=("L"),"false"),B3,L91),L91))</f>
        <v>#VALUE!</v>
      </c>
      <c r="M91" t="e">
        <f ca="1">IF((A1)=(2),"",IF((87)=(M4),IF(IF((INDEX(B1:XFD1,((A3)+(1))+(0)))=("store"),(INDEX(B1:XFD1,((A3)+(1))+(1)))=("M"),"false"),B3,M91),M91))</f>
        <v>#VALUE!</v>
      </c>
      <c r="N91" t="e">
        <f ca="1">IF((A1)=(2),"",IF((87)=(N4),IF(IF((INDEX(B1:XFD1,((A3)+(1))+(0)))=("store"),(INDEX(B1:XFD1,((A3)+(1))+(1)))=("N"),"false"),B3,N91),N91))</f>
        <v>#VALUE!</v>
      </c>
      <c r="O91" t="e">
        <f ca="1">IF((A1)=(2),"",IF((87)=(O4),IF(IF((INDEX(B1:XFD1,((A3)+(1))+(0)))=("store"),(INDEX(B1:XFD1,((A3)+(1))+(1)))=("O"),"false"),B3,O91),O91))</f>
        <v>#VALUE!</v>
      </c>
      <c r="P91" t="e">
        <f ca="1">IF((A1)=(2),"",IF((87)=(P4),IF(IF((INDEX(B1:XFD1,((A3)+(1))+(0)))=("store"),(INDEX(B1:XFD1,((A3)+(1))+(1)))=("P"),"false"),B3,P91),P91))</f>
        <v>#VALUE!</v>
      </c>
      <c r="Q91" t="e">
        <f ca="1">IF((A1)=(2),"",IF((87)=(Q4),IF(IF((INDEX(B1:XFD1,((A3)+(1))+(0)))=("store"),(INDEX(B1:XFD1,((A3)+(1))+(1)))=("Q"),"false"),B3,Q91),Q91))</f>
        <v>#VALUE!</v>
      </c>
      <c r="R91" t="e">
        <f ca="1">IF((A1)=(2),"",IF((87)=(R4),IF(IF((INDEX(B1:XFD1,((A3)+(1))+(0)))=("store"),(INDEX(B1:XFD1,((A3)+(1))+(1)))=("R"),"false"),B3,R91),R91))</f>
        <v>#VALUE!</v>
      </c>
      <c r="S91" t="e">
        <f ca="1">IF((A1)=(2),"",IF((87)=(S4),IF(IF((INDEX(B1:XFD1,((A3)+(1))+(0)))=("store"),(INDEX(B1:XFD1,((A3)+(1))+(1)))=("S"),"false"),B3,S91),S91))</f>
        <v>#VALUE!</v>
      </c>
      <c r="T91" t="e">
        <f ca="1">IF((A1)=(2),"",IF((87)=(T4),IF(IF((INDEX(B1:XFD1,((A3)+(1))+(0)))=("store"),(INDEX(B1:XFD1,((A3)+(1))+(1)))=("T"),"false"),B3,T91),T91))</f>
        <v>#VALUE!</v>
      </c>
      <c r="U91" t="e">
        <f ca="1">IF((A1)=(2),"",IF((87)=(U4),IF(IF((INDEX(B1:XFD1,((A3)+(1))+(0)))=("store"),(INDEX(B1:XFD1,((A3)+(1))+(1)))=("U"),"false"),B3,U91),U91))</f>
        <v>#VALUE!</v>
      </c>
      <c r="V91" t="e">
        <f ca="1">IF((A1)=(2),"",IF((87)=(V4),IF(IF((INDEX(B1:XFD1,((A3)+(1))+(0)))=("store"),(INDEX(B1:XFD1,((A3)+(1))+(1)))=("V"),"false"),B3,V91),V91))</f>
        <v>#VALUE!</v>
      </c>
      <c r="W91" t="e">
        <f ca="1">IF((A1)=(2),"",IF((87)=(W4),IF(IF((INDEX(B1:XFD1,((A3)+(1))+(0)))=("store"),(INDEX(B1:XFD1,((A3)+(1))+(1)))=("W"),"false"),B3,W91),W91))</f>
        <v>#VALUE!</v>
      </c>
      <c r="X91" t="e">
        <f ca="1">IF((A1)=(2),"",IF((87)=(X4),IF(IF((INDEX(B1:XFD1,((A3)+(1))+(0)))=("store"),(INDEX(B1:XFD1,((A3)+(1))+(1)))=("X"),"false"),B3,X91),X91))</f>
        <v>#VALUE!</v>
      </c>
      <c r="Y91" t="e">
        <f ca="1">IF((A1)=(2),"",IF((87)=(Y4),IF(IF((INDEX(B1:XFD1,((A3)+(1))+(0)))=("store"),(INDEX(B1:XFD1,((A3)+(1))+(1)))=("Y"),"false"),B3,Y91),Y91))</f>
        <v>#VALUE!</v>
      </c>
      <c r="Z91" t="e">
        <f ca="1">IF((A1)=(2),"",IF((87)=(Z4),IF(IF((INDEX(B1:XFD1,((A3)+(1))+(0)))=("store"),(INDEX(B1:XFD1,((A3)+(1))+(1)))=("Z"),"false"),B3,Z91),Z91))</f>
        <v>#VALUE!</v>
      </c>
      <c r="AA91" t="e">
        <f ca="1">IF((A1)=(2),"",IF((87)=(AA4),IF(IF((INDEX(B1:XFD1,((A3)+(1))+(0)))=("store"),(INDEX(B1:XFD1,((A3)+(1))+(1)))=("AA"),"false"),B3,AA91),AA91))</f>
        <v>#VALUE!</v>
      </c>
      <c r="AB91" t="e">
        <f ca="1">IF((A1)=(2),"",IF((87)=(AB4),IF(IF((INDEX(B1:XFD1,((A3)+(1))+(0)))=("store"),(INDEX(B1:XFD1,((A3)+(1))+(1)))=("AB"),"false"),B3,AB91),AB91))</f>
        <v>#VALUE!</v>
      </c>
      <c r="AC91" t="e">
        <f ca="1">IF((A1)=(2),"",IF((87)=(AC4),IF(IF((INDEX(B1:XFD1,((A3)+(1))+(0)))=("store"),(INDEX(B1:XFD1,((A3)+(1))+(1)))=("AC"),"false"),B3,AC91),AC91))</f>
        <v>#VALUE!</v>
      </c>
      <c r="AD91" t="e">
        <f ca="1">IF((A1)=(2),"",IF((87)=(AD4),IF(IF((INDEX(B1:XFD1,((A3)+(1))+(0)))=("store"),(INDEX(B1:XFD1,((A3)+(1))+(1)))=("AD"),"false"),B3,AD91),AD91))</f>
        <v>#VALUE!</v>
      </c>
    </row>
    <row r="92" spans="1:30" x14ac:dyDescent="0.25">
      <c r="A92" t="e">
        <f ca="1">IF((A1)=(2),"",IF((88)=(A4),IF(("call")=(INDEX(B1:XFD1,((A3)+(1))+(0))),(B3)*(2),IF(("goto")=(INDEX(B1:XFD1,((A3)+(1))+(0))),(INDEX(B1:XFD1,((A3)+(1))+(1)))*(2),IF(("gotoiftrue")=(INDEX(B1:XFD1,((A3)+(1))+(0))),IF(B3,(INDEX(B1:XFD1,((A3)+(1))+(1)))*(2),(A92)+(2)),(A92)+(2)))),A92))</f>
        <v>#VALUE!</v>
      </c>
      <c r="B92" t="e">
        <f ca="1">IF((A1)=(2),"",IF((88)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92)+(1)),IF(("add")=(INDEX(B1:XFD1,((A3)+(1))+(0))),(INDEX(B5:B405,(B4)+(1)))+(B92),IF(("equals")=(INDEX(B1:XFD1,((A3)+(1))+(0))),(INDEX(B5:B405,(B4)+(1)))=(B92),IF(("leq")=(INDEX(B1:XFD1,((A3)+(1))+(0))),(INDEX(B5:B405,(B4)+(1)))&lt;=(B92),IF(("greater")=(INDEX(B1:XFD1,((A3)+(1))+(0))),(INDEX(B5:B405,(B4)+(1)))&gt;(B92),IF(("mod")=(INDEX(B1:XFD1,((A3)+(1))+(0))),MOD(INDEX(B5:B405,(B4)+(1)),B92),B92))))))))),B92))</f>
        <v>#VALUE!</v>
      </c>
      <c r="C92" t="e">
        <f ca="1">IF((A1)=(2),1,IF(AND((INDEX(B1:XFD1,((A3)+(1))+(0)))=("writeheap"),(INDEX(B5:B405,(B4)+(1)))=(87)),INDEX(B5:B405,(B4)+(2)),IF((A1)=(2),"",IF((88)=(C4),C92,C92))))</f>
        <v>#VALUE!</v>
      </c>
      <c r="F92" t="e">
        <f ca="1">IF((A1)=(2),"",IF((88)=(F4),IF(IF((INDEX(B1:XFD1,((A3)+(1))+(0)))=("store"),(INDEX(B1:XFD1,((A3)+(1))+(1)))=("F"),"false"),B3,F92),F92))</f>
        <v>#VALUE!</v>
      </c>
      <c r="G92" t="e">
        <f ca="1">IF((A1)=(2),"",IF((88)=(G4),IF(IF((INDEX(B1:XFD1,((A3)+(1))+(0)))=("store"),(INDEX(B1:XFD1,((A3)+(1))+(1)))=("G"),"false"),B3,G92),G92))</f>
        <v>#VALUE!</v>
      </c>
      <c r="H92" t="e">
        <f ca="1">IF((A1)=(2),"",IF((88)=(H4),IF(IF((INDEX(B1:XFD1,((A3)+(1))+(0)))=("store"),(INDEX(B1:XFD1,((A3)+(1))+(1)))=("H"),"false"),B3,H92),H92))</f>
        <v>#VALUE!</v>
      </c>
      <c r="I92" t="e">
        <f ca="1">IF((A1)=(2),"",IF((88)=(I4),IF(IF((INDEX(B1:XFD1,((A3)+(1))+(0)))=("store"),(INDEX(B1:XFD1,((A3)+(1))+(1)))=("I"),"false"),B3,I92),I92))</f>
        <v>#VALUE!</v>
      </c>
      <c r="J92" t="e">
        <f ca="1">IF((A1)=(2),"",IF((88)=(J4),IF(IF((INDEX(B1:XFD1,((A3)+(1))+(0)))=("store"),(INDEX(B1:XFD1,((A3)+(1))+(1)))=("J"),"false"),B3,J92),J92))</f>
        <v>#VALUE!</v>
      </c>
      <c r="K92" t="e">
        <f ca="1">IF((A1)=(2),"",IF((88)=(K4),IF(IF((INDEX(B1:XFD1,((A3)+(1))+(0)))=("store"),(INDEX(B1:XFD1,((A3)+(1))+(1)))=("K"),"false"),B3,K92),K92))</f>
        <v>#VALUE!</v>
      </c>
      <c r="L92" t="e">
        <f ca="1">IF((A1)=(2),"",IF((88)=(L4),IF(IF((INDEX(B1:XFD1,((A3)+(1))+(0)))=("store"),(INDEX(B1:XFD1,((A3)+(1))+(1)))=("L"),"false"),B3,L92),L92))</f>
        <v>#VALUE!</v>
      </c>
      <c r="M92" t="e">
        <f ca="1">IF((A1)=(2),"",IF((88)=(M4),IF(IF((INDEX(B1:XFD1,((A3)+(1))+(0)))=("store"),(INDEX(B1:XFD1,((A3)+(1))+(1)))=("M"),"false"),B3,M92),M92))</f>
        <v>#VALUE!</v>
      </c>
      <c r="N92" t="e">
        <f ca="1">IF((A1)=(2),"",IF((88)=(N4),IF(IF((INDEX(B1:XFD1,((A3)+(1))+(0)))=("store"),(INDEX(B1:XFD1,((A3)+(1))+(1)))=("N"),"false"),B3,N92),N92))</f>
        <v>#VALUE!</v>
      </c>
      <c r="O92" t="e">
        <f ca="1">IF((A1)=(2),"",IF((88)=(O4),IF(IF((INDEX(B1:XFD1,((A3)+(1))+(0)))=("store"),(INDEX(B1:XFD1,((A3)+(1))+(1)))=("O"),"false"),B3,O92),O92))</f>
        <v>#VALUE!</v>
      </c>
      <c r="P92" t="e">
        <f ca="1">IF((A1)=(2),"",IF((88)=(P4),IF(IF((INDEX(B1:XFD1,((A3)+(1))+(0)))=("store"),(INDEX(B1:XFD1,((A3)+(1))+(1)))=("P"),"false"),B3,P92),P92))</f>
        <v>#VALUE!</v>
      </c>
      <c r="Q92" t="e">
        <f ca="1">IF((A1)=(2),"",IF((88)=(Q4),IF(IF((INDEX(B1:XFD1,((A3)+(1))+(0)))=("store"),(INDEX(B1:XFD1,((A3)+(1))+(1)))=("Q"),"false"),B3,Q92),Q92))</f>
        <v>#VALUE!</v>
      </c>
      <c r="R92" t="e">
        <f ca="1">IF((A1)=(2),"",IF((88)=(R4),IF(IF((INDEX(B1:XFD1,((A3)+(1))+(0)))=("store"),(INDEX(B1:XFD1,((A3)+(1))+(1)))=("R"),"false"),B3,R92),R92))</f>
        <v>#VALUE!</v>
      </c>
      <c r="S92" t="e">
        <f ca="1">IF((A1)=(2),"",IF((88)=(S4),IF(IF((INDEX(B1:XFD1,((A3)+(1))+(0)))=("store"),(INDEX(B1:XFD1,((A3)+(1))+(1)))=("S"),"false"),B3,S92),S92))</f>
        <v>#VALUE!</v>
      </c>
      <c r="T92" t="e">
        <f ca="1">IF((A1)=(2),"",IF((88)=(T4),IF(IF((INDEX(B1:XFD1,((A3)+(1))+(0)))=("store"),(INDEX(B1:XFD1,((A3)+(1))+(1)))=("T"),"false"),B3,T92),T92))</f>
        <v>#VALUE!</v>
      </c>
      <c r="U92" t="e">
        <f ca="1">IF((A1)=(2),"",IF((88)=(U4),IF(IF((INDEX(B1:XFD1,((A3)+(1))+(0)))=("store"),(INDEX(B1:XFD1,((A3)+(1))+(1)))=("U"),"false"),B3,U92),U92))</f>
        <v>#VALUE!</v>
      </c>
      <c r="V92" t="e">
        <f ca="1">IF((A1)=(2),"",IF((88)=(V4),IF(IF((INDEX(B1:XFD1,((A3)+(1))+(0)))=("store"),(INDEX(B1:XFD1,((A3)+(1))+(1)))=("V"),"false"),B3,V92),V92))</f>
        <v>#VALUE!</v>
      </c>
      <c r="W92" t="e">
        <f ca="1">IF((A1)=(2),"",IF((88)=(W4),IF(IF((INDEX(B1:XFD1,((A3)+(1))+(0)))=("store"),(INDEX(B1:XFD1,((A3)+(1))+(1)))=("W"),"false"),B3,W92),W92))</f>
        <v>#VALUE!</v>
      </c>
      <c r="X92" t="e">
        <f ca="1">IF((A1)=(2),"",IF((88)=(X4),IF(IF((INDEX(B1:XFD1,((A3)+(1))+(0)))=("store"),(INDEX(B1:XFD1,((A3)+(1))+(1)))=("X"),"false"),B3,X92),X92))</f>
        <v>#VALUE!</v>
      </c>
      <c r="Y92" t="e">
        <f ca="1">IF((A1)=(2),"",IF((88)=(Y4),IF(IF((INDEX(B1:XFD1,((A3)+(1))+(0)))=("store"),(INDEX(B1:XFD1,((A3)+(1))+(1)))=("Y"),"false"),B3,Y92),Y92))</f>
        <v>#VALUE!</v>
      </c>
      <c r="Z92" t="e">
        <f ca="1">IF((A1)=(2),"",IF((88)=(Z4),IF(IF((INDEX(B1:XFD1,((A3)+(1))+(0)))=("store"),(INDEX(B1:XFD1,((A3)+(1))+(1)))=("Z"),"false"),B3,Z92),Z92))</f>
        <v>#VALUE!</v>
      </c>
      <c r="AA92" t="e">
        <f ca="1">IF((A1)=(2),"",IF((88)=(AA4),IF(IF((INDEX(B1:XFD1,((A3)+(1))+(0)))=("store"),(INDEX(B1:XFD1,((A3)+(1))+(1)))=("AA"),"false"),B3,AA92),AA92))</f>
        <v>#VALUE!</v>
      </c>
      <c r="AB92" t="e">
        <f ca="1">IF((A1)=(2),"",IF((88)=(AB4),IF(IF((INDEX(B1:XFD1,((A3)+(1))+(0)))=("store"),(INDEX(B1:XFD1,((A3)+(1))+(1)))=("AB"),"false"),B3,AB92),AB92))</f>
        <v>#VALUE!</v>
      </c>
      <c r="AC92" t="e">
        <f ca="1">IF((A1)=(2),"",IF((88)=(AC4),IF(IF((INDEX(B1:XFD1,((A3)+(1))+(0)))=("store"),(INDEX(B1:XFD1,((A3)+(1))+(1)))=("AC"),"false"),B3,AC92),AC92))</f>
        <v>#VALUE!</v>
      </c>
      <c r="AD92" t="e">
        <f ca="1">IF((A1)=(2),"",IF((88)=(AD4),IF(IF((INDEX(B1:XFD1,((A3)+(1))+(0)))=("store"),(INDEX(B1:XFD1,((A3)+(1))+(1)))=("AD"),"false"),B3,AD92),AD92))</f>
        <v>#VALUE!</v>
      </c>
    </row>
    <row r="93" spans="1:30" x14ac:dyDescent="0.25">
      <c r="A93" t="e">
        <f ca="1">IF((A1)=(2),"",IF((89)=(A4),IF(("call")=(INDEX(B1:XFD1,((A3)+(1))+(0))),(B3)*(2),IF(("goto")=(INDEX(B1:XFD1,((A3)+(1))+(0))),(INDEX(B1:XFD1,((A3)+(1))+(1)))*(2),IF(("gotoiftrue")=(INDEX(B1:XFD1,((A3)+(1))+(0))),IF(B3,(INDEX(B1:XFD1,((A3)+(1))+(1)))*(2),(A93)+(2)),(A93)+(2)))),A93))</f>
        <v>#VALUE!</v>
      </c>
      <c r="B93" t="e">
        <f ca="1">IF((A1)=(2),"",IF((89)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93)+(1)),IF(("add")=(INDEX(B1:XFD1,((A3)+(1))+(0))),(INDEX(B5:B405,(B4)+(1)))+(B93),IF(("equals")=(INDEX(B1:XFD1,((A3)+(1))+(0))),(INDEX(B5:B405,(B4)+(1)))=(B93),IF(("leq")=(INDEX(B1:XFD1,((A3)+(1))+(0))),(INDEX(B5:B405,(B4)+(1)))&lt;=(B93),IF(("greater")=(INDEX(B1:XFD1,((A3)+(1))+(0))),(INDEX(B5:B405,(B4)+(1)))&gt;(B93),IF(("mod")=(INDEX(B1:XFD1,((A3)+(1))+(0))),MOD(INDEX(B5:B405,(B4)+(1)),B93),B93))))))))),B93))</f>
        <v>#VALUE!</v>
      </c>
      <c r="C93" t="e">
        <f ca="1">IF((A1)=(2),1,IF(AND((INDEX(B1:XFD1,((A3)+(1))+(0)))=("writeheap"),(INDEX(B5:B405,(B4)+(1)))=(88)),INDEX(B5:B405,(B4)+(2)),IF((A1)=(2),"",IF((89)=(C4),C93,C93))))</f>
        <v>#VALUE!</v>
      </c>
      <c r="F93" t="e">
        <f ca="1">IF((A1)=(2),"",IF((89)=(F4),IF(IF((INDEX(B1:XFD1,((A3)+(1))+(0)))=("store"),(INDEX(B1:XFD1,((A3)+(1))+(1)))=("F"),"false"),B3,F93),F93))</f>
        <v>#VALUE!</v>
      </c>
      <c r="G93" t="e">
        <f ca="1">IF((A1)=(2),"",IF((89)=(G4),IF(IF((INDEX(B1:XFD1,((A3)+(1))+(0)))=("store"),(INDEX(B1:XFD1,((A3)+(1))+(1)))=("G"),"false"),B3,G93),G93))</f>
        <v>#VALUE!</v>
      </c>
      <c r="H93" t="e">
        <f ca="1">IF((A1)=(2),"",IF((89)=(H4),IF(IF((INDEX(B1:XFD1,((A3)+(1))+(0)))=("store"),(INDEX(B1:XFD1,((A3)+(1))+(1)))=("H"),"false"),B3,H93),H93))</f>
        <v>#VALUE!</v>
      </c>
      <c r="I93" t="e">
        <f ca="1">IF((A1)=(2),"",IF((89)=(I4),IF(IF((INDEX(B1:XFD1,((A3)+(1))+(0)))=("store"),(INDEX(B1:XFD1,((A3)+(1))+(1)))=("I"),"false"),B3,I93),I93))</f>
        <v>#VALUE!</v>
      </c>
      <c r="J93" t="e">
        <f ca="1">IF((A1)=(2),"",IF((89)=(J4),IF(IF((INDEX(B1:XFD1,((A3)+(1))+(0)))=("store"),(INDEX(B1:XFD1,((A3)+(1))+(1)))=("J"),"false"),B3,J93),J93))</f>
        <v>#VALUE!</v>
      </c>
      <c r="K93" t="e">
        <f ca="1">IF((A1)=(2),"",IF((89)=(K4),IF(IF((INDEX(B1:XFD1,((A3)+(1))+(0)))=("store"),(INDEX(B1:XFD1,((A3)+(1))+(1)))=("K"),"false"),B3,K93),K93))</f>
        <v>#VALUE!</v>
      </c>
      <c r="L93" t="e">
        <f ca="1">IF((A1)=(2),"",IF((89)=(L4),IF(IF((INDEX(B1:XFD1,((A3)+(1))+(0)))=("store"),(INDEX(B1:XFD1,((A3)+(1))+(1)))=("L"),"false"),B3,L93),L93))</f>
        <v>#VALUE!</v>
      </c>
      <c r="M93" t="e">
        <f ca="1">IF((A1)=(2),"",IF((89)=(M4),IF(IF((INDEX(B1:XFD1,((A3)+(1))+(0)))=("store"),(INDEX(B1:XFD1,((A3)+(1))+(1)))=("M"),"false"),B3,M93),M93))</f>
        <v>#VALUE!</v>
      </c>
      <c r="N93" t="e">
        <f ca="1">IF((A1)=(2),"",IF((89)=(N4),IF(IF((INDEX(B1:XFD1,((A3)+(1))+(0)))=("store"),(INDEX(B1:XFD1,((A3)+(1))+(1)))=("N"),"false"),B3,N93),N93))</f>
        <v>#VALUE!</v>
      </c>
      <c r="O93" t="e">
        <f ca="1">IF((A1)=(2),"",IF((89)=(O4),IF(IF((INDEX(B1:XFD1,((A3)+(1))+(0)))=("store"),(INDEX(B1:XFD1,((A3)+(1))+(1)))=("O"),"false"),B3,O93),O93))</f>
        <v>#VALUE!</v>
      </c>
      <c r="P93" t="e">
        <f ca="1">IF((A1)=(2),"",IF((89)=(P4),IF(IF((INDEX(B1:XFD1,((A3)+(1))+(0)))=("store"),(INDEX(B1:XFD1,((A3)+(1))+(1)))=("P"),"false"),B3,P93),P93))</f>
        <v>#VALUE!</v>
      </c>
      <c r="Q93" t="e">
        <f ca="1">IF((A1)=(2),"",IF((89)=(Q4),IF(IF((INDEX(B1:XFD1,((A3)+(1))+(0)))=("store"),(INDEX(B1:XFD1,((A3)+(1))+(1)))=("Q"),"false"),B3,Q93),Q93))</f>
        <v>#VALUE!</v>
      </c>
      <c r="R93" t="e">
        <f ca="1">IF((A1)=(2),"",IF((89)=(R4),IF(IF((INDEX(B1:XFD1,((A3)+(1))+(0)))=("store"),(INDEX(B1:XFD1,((A3)+(1))+(1)))=("R"),"false"),B3,R93),R93))</f>
        <v>#VALUE!</v>
      </c>
      <c r="S93" t="e">
        <f ca="1">IF((A1)=(2),"",IF((89)=(S4),IF(IF((INDEX(B1:XFD1,((A3)+(1))+(0)))=("store"),(INDEX(B1:XFD1,((A3)+(1))+(1)))=("S"),"false"),B3,S93),S93))</f>
        <v>#VALUE!</v>
      </c>
      <c r="T93" t="e">
        <f ca="1">IF((A1)=(2),"",IF((89)=(T4),IF(IF((INDEX(B1:XFD1,((A3)+(1))+(0)))=("store"),(INDEX(B1:XFD1,((A3)+(1))+(1)))=("T"),"false"),B3,T93),T93))</f>
        <v>#VALUE!</v>
      </c>
      <c r="U93" t="e">
        <f ca="1">IF((A1)=(2),"",IF((89)=(U4),IF(IF((INDEX(B1:XFD1,((A3)+(1))+(0)))=("store"),(INDEX(B1:XFD1,((A3)+(1))+(1)))=("U"),"false"),B3,U93),U93))</f>
        <v>#VALUE!</v>
      </c>
      <c r="V93" t="e">
        <f ca="1">IF((A1)=(2),"",IF((89)=(V4),IF(IF((INDEX(B1:XFD1,((A3)+(1))+(0)))=("store"),(INDEX(B1:XFD1,((A3)+(1))+(1)))=("V"),"false"),B3,V93),V93))</f>
        <v>#VALUE!</v>
      </c>
      <c r="W93" t="e">
        <f ca="1">IF((A1)=(2),"",IF((89)=(W4),IF(IF((INDEX(B1:XFD1,((A3)+(1))+(0)))=("store"),(INDEX(B1:XFD1,((A3)+(1))+(1)))=("W"),"false"),B3,W93),W93))</f>
        <v>#VALUE!</v>
      </c>
      <c r="X93" t="e">
        <f ca="1">IF((A1)=(2),"",IF((89)=(X4),IF(IF((INDEX(B1:XFD1,((A3)+(1))+(0)))=("store"),(INDEX(B1:XFD1,((A3)+(1))+(1)))=("X"),"false"),B3,X93),X93))</f>
        <v>#VALUE!</v>
      </c>
      <c r="Y93" t="e">
        <f ca="1">IF((A1)=(2),"",IF((89)=(Y4),IF(IF((INDEX(B1:XFD1,((A3)+(1))+(0)))=("store"),(INDEX(B1:XFD1,((A3)+(1))+(1)))=("Y"),"false"),B3,Y93),Y93))</f>
        <v>#VALUE!</v>
      </c>
      <c r="Z93" t="e">
        <f ca="1">IF((A1)=(2),"",IF((89)=(Z4),IF(IF((INDEX(B1:XFD1,((A3)+(1))+(0)))=("store"),(INDEX(B1:XFD1,((A3)+(1))+(1)))=("Z"),"false"),B3,Z93),Z93))</f>
        <v>#VALUE!</v>
      </c>
      <c r="AA93" t="e">
        <f ca="1">IF((A1)=(2),"",IF((89)=(AA4),IF(IF((INDEX(B1:XFD1,((A3)+(1))+(0)))=("store"),(INDEX(B1:XFD1,((A3)+(1))+(1)))=("AA"),"false"),B3,AA93),AA93))</f>
        <v>#VALUE!</v>
      </c>
      <c r="AB93" t="e">
        <f ca="1">IF((A1)=(2),"",IF((89)=(AB4),IF(IF((INDEX(B1:XFD1,((A3)+(1))+(0)))=("store"),(INDEX(B1:XFD1,((A3)+(1))+(1)))=("AB"),"false"),B3,AB93),AB93))</f>
        <v>#VALUE!</v>
      </c>
      <c r="AC93" t="e">
        <f ca="1">IF((A1)=(2),"",IF((89)=(AC4),IF(IF((INDEX(B1:XFD1,((A3)+(1))+(0)))=("store"),(INDEX(B1:XFD1,((A3)+(1))+(1)))=("AC"),"false"),B3,AC93),AC93))</f>
        <v>#VALUE!</v>
      </c>
      <c r="AD93" t="e">
        <f ca="1">IF((A1)=(2),"",IF((89)=(AD4),IF(IF((INDEX(B1:XFD1,((A3)+(1))+(0)))=("store"),(INDEX(B1:XFD1,((A3)+(1))+(1)))=("AD"),"false"),B3,AD93),AD93))</f>
        <v>#VALUE!</v>
      </c>
    </row>
    <row r="94" spans="1:30" x14ac:dyDescent="0.25">
      <c r="A94" t="e">
        <f ca="1">IF((A1)=(2),"",IF((90)=(A4),IF(("call")=(INDEX(B1:XFD1,((A3)+(1))+(0))),(B3)*(2),IF(("goto")=(INDEX(B1:XFD1,((A3)+(1))+(0))),(INDEX(B1:XFD1,((A3)+(1))+(1)))*(2),IF(("gotoiftrue")=(INDEX(B1:XFD1,((A3)+(1))+(0))),IF(B3,(INDEX(B1:XFD1,((A3)+(1))+(1)))*(2),(A94)+(2)),(A94)+(2)))),A94))</f>
        <v>#VALUE!</v>
      </c>
      <c r="B94" t="e">
        <f ca="1">IF((A1)=(2),"",IF((90)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94)+(1)),IF(("add")=(INDEX(B1:XFD1,((A3)+(1))+(0))),(INDEX(B5:B405,(B4)+(1)))+(B94),IF(("equals")=(INDEX(B1:XFD1,((A3)+(1))+(0))),(INDEX(B5:B405,(B4)+(1)))=(B94),IF(("leq")=(INDEX(B1:XFD1,((A3)+(1))+(0))),(INDEX(B5:B405,(B4)+(1)))&lt;=(B94),IF(("greater")=(INDEX(B1:XFD1,((A3)+(1))+(0))),(INDEX(B5:B405,(B4)+(1)))&gt;(B94),IF(("mod")=(INDEX(B1:XFD1,((A3)+(1))+(0))),MOD(INDEX(B5:B405,(B4)+(1)),B94),B94))))))))),B94))</f>
        <v>#VALUE!</v>
      </c>
      <c r="C94" t="e">
        <f ca="1">IF((A1)=(2),1,IF(AND((INDEX(B1:XFD1,((A3)+(1))+(0)))=("writeheap"),(INDEX(B5:B405,(B4)+(1)))=(89)),INDEX(B5:B405,(B4)+(2)),IF((A1)=(2),"",IF((90)=(C4),C94,C94))))</f>
        <v>#VALUE!</v>
      </c>
      <c r="F94" t="e">
        <f ca="1">IF((A1)=(2),"",IF((90)=(F4),IF(IF((INDEX(B1:XFD1,((A3)+(1))+(0)))=("store"),(INDEX(B1:XFD1,((A3)+(1))+(1)))=("F"),"false"),B3,F94),F94))</f>
        <v>#VALUE!</v>
      </c>
      <c r="G94" t="e">
        <f ca="1">IF((A1)=(2),"",IF((90)=(G4),IF(IF((INDEX(B1:XFD1,((A3)+(1))+(0)))=("store"),(INDEX(B1:XFD1,((A3)+(1))+(1)))=("G"),"false"),B3,G94),G94))</f>
        <v>#VALUE!</v>
      </c>
      <c r="H94" t="e">
        <f ca="1">IF((A1)=(2),"",IF((90)=(H4),IF(IF((INDEX(B1:XFD1,((A3)+(1))+(0)))=("store"),(INDEX(B1:XFD1,((A3)+(1))+(1)))=("H"),"false"),B3,H94),H94))</f>
        <v>#VALUE!</v>
      </c>
      <c r="I94" t="e">
        <f ca="1">IF((A1)=(2),"",IF((90)=(I4),IF(IF((INDEX(B1:XFD1,((A3)+(1))+(0)))=("store"),(INDEX(B1:XFD1,((A3)+(1))+(1)))=("I"),"false"),B3,I94),I94))</f>
        <v>#VALUE!</v>
      </c>
      <c r="J94" t="e">
        <f ca="1">IF((A1)=(2),"",IF((90)=(J4),IF(IF((INDEX(B1:XFD1,((A3)+(1))+(0)))=("store"),(INDEX(B1:XFD1,((A3)+(1))+(1)))=("J"),"false"),B3,J94),J94))</f>
        <v>#VALUE!</v>
      </c>
      <c r="K94" t="e">
        <f ca="1">IF((A1)=(2),"",IF((90)=(K4),IF(IF((INDEX(B1:XFD1,((A3)+(1))+(0)))=("store"),(INDEX(B1:XFD1,((A3)+(1))+(1)))=("K"),"false"),B3,K94),K94))</f>
        <v>#VALUE!</v>
      </c>
      <c r="L94" t="e">
        <f ca="1">IF((A1)=(2),"",IF((90)=(L4),IF(IF((INDEX(B1:XFD1,((A3)+(1))+(0)))=("store"),(INDEX(B1:XFD1,((A3)+(1))+(1)))=("L"),"false"),B3,L94),L94))</f>
        <v>#VALUE!</v>
      </c>
      <c r="M94" t="e">
        <f ca="1">IF((A1)=(2),"",IF((90)=(M4),IF(IF((INDEX(B1:XFD1,((A3)+(1))+(0)))=("store"),(INDEX(B1:XFD1,((A3)+(1))+(1)))=("M"),"false"),B3,M94),M94))</f>
        <v>#VALUE!</v>
      </c>
      <c r="N94" t="e">
        <f ca="1">IF((A1)=(2),"",IF((90)=(N4),IF(IF((INDEX(B1:XFD1,((A3)+(1))+(0)))=("store"),(INDEX(B1:XFD1,((A3)+(1))+(1)))=("N"),"false"),B3,N94),N94))</f>
        <v>#VALUE!</v>
      </c>
      <c r="O94" t="e">
        <f ca="1">IF((A1)=(2),"",IF((90)=(O4),IF(IF((INDEX(B1:XFD1,((A3)+(1))+(0)))=("store"),(INDEX(B1:XFD1,((A3)+(1))+(1)))=("O"),"false"),B3,O94),O94))</f>
        <v>#VALUE!</v>
      </c>
      <c r="P94" t="e">
        <f ca="1">IF((A1)=(2),"",IF((90)=(P4),IF(IF((INDEX(B1:XFD1,((A3)+(1))+(0)))=("store"),(INDEX(B1:XFD1,((A3)+(1))+(1)))=("P"),"false"),B3,P94),P94))</f>
        <v>#VALUE!</v>
      </c>
      <c r="Q94" t="e">
        <f ca="1">IF((A1)=(2),"",IF((90)=(Q4),IF(IF((INDEX(B1:XFD1,((A3)+(1))+(0)))=("store"),(INDEX(B1:XFD1,((A3)+(1))+(1)))=("Q"),"false"),B3,Q94),Q94))</f>
        <v>#VALUE!</v>
      </c>
      <c r="R94" t="e">
        <f ca="1">IF((A1)=(2),"",IF((90)=(R4),IF(IF((INDEX(B1:XFD1,((A3)+(1))+(0)))=("store"),(INDEX(B1:XFD1,((A3)+(1))+(1)))=("R"),"false"),B3,R94),R94))</f>
        <v>#VALUE!</v>
      </c>
      <c r="S94" t="e">
        <f ca="1">IF((A1)=(2),"",IF((90)=(S4),IF(IF((INDEX(B1:XFD1,((A3)+(1))+(0)))=("store"),(INDEX(B1:XFD1,((A3)+(1))+(1)))=("S"),"false"),B3,S94),S94))</f>
        <v>#VALUE!</v>
      </c>
      <c r="T94" t="e">
        <f ca="1">IF((A1)=(2),"",IF((90)=(T4),IF(IF((INDEX(B1:XFD1,((A3)+(1))+(0)))=("store"),(INDEX(B1:XFD1,((A3)+(1))+(1)))=("T"),"false"),B3,T94),T94))</f>
        <v>#VALUE!</v>
      </c>
      <c r="U94" t="e">
        <f ca="1">IF((A1)=(2),"",IF((90)=(U4),IF(IF((INDEX(B1:XFD1,((A3)+(1))+(0)))=("store"),(INDEX(B1:XFD1,((A3)+(1))+(1)))=("U"),"false"),B3,U94),U94))</f>
        <v>#VALUE!</v>
      </c>
      <c r="V94" t="e">
        <f ca="1">IF((A1)=(2),"",IF((90)=(V4),IF(IF((INDEX(B1:XFD1,((A3)+(1))+(0)))=("store"),(INDEX(B1:XFD1,((A3)+(1))+(1)))=("V"),"false"),B3,V94),V94))</f>
        <v>#VALUE!</v>
      </c>
      <c r="W94" t="e">
        <f ca="1">IF((A1)=(2),"",IF((90)=(W4),IF(IF((INDEX(B1:XFD1,((A3)+(1))+(0)))=("store"),(INDEX(B1:XFD1,((A3)+(1))+(1)))=("W"),"false"),B3,W94),W94))</f>
        <v>#VALUE!</v>
      </c>
      <c r="X94" t="e">
        <f ca="1">IF((A1)=(2),"",IF((90)=(X4),IF(IF((INDEX(B1:XFD1,((A3)+(1))+(0)))=("store"),(INDEX(B1:XFD1,((A3)+(1))+(1)))=("X"),"false"),B3,X94),X94))</f>
        <v>#VALUE!</v>
      </c>
      <c r="Y94" t="e">
        <f ca="1">IF((A1)=(2),"",IF((90)=(Y4),IF(IF((INDEX(B1:XFD1,((A3)+(1))+(0)))=("store"),(INDEX(B1:XFD1,((A3)+(1))+(1)))=("Y"),"false"),B3,Y94),Y94))</f>
        <v>#VALUE!</v>
      </c>
      <c r="Z94" t="e">
        <f ca="1">IF((A1)=(2),"",IF((90)=(Z4),IF(IF((INDEX(B1:XFD1,((A3)+(1))+(0)))=("store"),(INDEX(B1:XFD1,((A3)+(1))+(1)))=("Z"),"false"),B3,Z94),Z94))</f>
        <v>#VALUE!</v>
      </c>
      <c r="AA94" t="e">
        <f ca="1">IF((A1)=(2),"",IF((90)=(AA4),IF(IF((INDEX(B1:XFD1,((A3)+(1))+(0)))=("store"),(INDEX(B1:XFD1,((A3)+(1))+(1)))=("AA"),"false"),B3,AA94),AA94))</f>
        <v>#VALUE!</v>
      </c>
      <c r="AB94" t="e">
        <f ca="1">IF((A1)=(2),"",IF((90)=(AB4),IF(IF((INDEX(B1:XFD1,((A3)+(1))+(0)))=("store"),(INDEX(B1:XFD1,((A3)+(1))+(1)))=("AB"),"false"),B3,AB94),AB94))</f>
        <v>#VALUE!</v>
      </c>
      <c r="AC94" t="e">
        <f ca="1">IF((A1)=(2),"",IF((90)=(AC4),IF(IF((INDEX(B1:XFD1,((A3)+(1))+(0)))=("store"),(INDEX(B1:XFD1,((A3)+(1))+(1)))=("AC"),"false"),B3,AC94),AC94))</f>
        <v>#VALUE!</v>
      </c>
      <c r="AD94" t="e">
        <f ca="1">IF((A1)=(2),"",IF((90)=(AD4),IF(IF((INDEX(B1:XFD1,((A3)+(1))+(0)))=("store"),(INDEX(B1:XFD1,((A3)+(1))+(1)))=("AD"),"false"),B3,AD94),AD94))</f>
        <v>#VALUE!</v>
      </c>
    </row>
    <row r="95" spans="1:30" x14ac:dyDescent="0.25">
      <c r="A95" t="e">
        <f ca="1">IF((A1)=(2),"",IF((91)=(A4),IF(("call")=(INDEX(B1:XFD1,((A3)+(1))+(0))),(B3)*(2),IF(("goto")=(INDEX(B1:XFD1,((A3)+(1))+(0))),(INDEX(B1:XFD1,((A3)+(1))+(1)))*(2),IF(("gotoiftrue")=(INDEX(B1:XFD1,((A3)+(1))+(0))),IF(B3,(INDEX(B1:XFD1,((A3)+(1))+(1)))*(2),(A95)+(2)),(A95)+(2)))),A95))</f>
        <v>#VALUE!</v>
      </c>
      <c r="B95" t="e">
        <f ca="1">IF((A1)=(2),"",IF((91)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95)+(1)),IF(("add")=(INDEX(B1:XFD1,((A3)+(1))+(0))),(INDEX(B5:B405,(B4)+(1)))+(B95),IF(("equals")=(INDEX(B1:XFD1,((A3)+(1))+(0))),(INDEX(B5:B405,(B4)+(1)))=(B95),IF(("leq")=(INDEX(B1:XFD1,((A3)+(1))+(0))),(INDEX(B5:B405,(B4)+(1)))&lt;=(B95),IF(("greater")=(INDEX(B1:XFD1,((A3)+(1))+(0))),(INDEX(B5:B405,(B4)+(1)))&gt;(B95),IF(("mod")=(INDEX(B1:XFD1,((A3)+(1))+(0))),MOD(INDEX(B5:B405,(B4)+(1)),B95),B95))))))))),B95))</f>
        <v>#VALUE!</v>
      </c>
      <c r="C95" t="e">
        <f ca="1">IF((A1)=(2),1,IF(AND((INDEX(B1:XFD1,((A3)+(1))+(0)))=("writeheap"),(INDEX(B5:B405,(B4)+(1)))=(90)),INDEX(B5:B405,(B4)+(2)),IF((A1)=(2),"",IF((91)=(C4),C95,C95))))</f>
        <v>#VALUE!</v>
      </c>
      <c r="F95" t="e">
        <f ca="1">IF((A1)=(2),"",IF((91)=(F4),IF(IF((INDEX(B1:XFD1,((A3)+(1))+(0)))=("store"),(INDEX(B1:XFD1,((A3)+(1))+(1)))=("F"),"false"),B3,F95),F95))</f>
        <v>#VALUE!</v>
      </c>
      <c r="G95" t="e">
        <f ca="1">IF((A1)=(2),"",IF((91)=(G4),IF(IF((INDEX(B1:XFD1,((A3)+(1))+(0)))=("store"),(INDEX(B1:XFD1,((A3)+(1))+(1)))=("G"),"false"),B3,G95),G95))</f>
        <v>#VALUE!</v>
      </c>
      <c r="H95" t="e">
        <f ca="1">IF((A1)=(2),"",IF((91)=(H4),IF(IF((INDEX(B1:XFD1,((A3)+(1))+(0)))=("store"),(INDEX(B1:XFD1,((A3)+(1))+(1)))=("H"),"false"),B3,H95),H95))</f>
        <v>#VALUE!</v>
      </c>
      <c r="I95" t="e">
        <f ca="1">IF((A1)=(2),"",IF((91)=(I4),IF(IF((INDEX(B1:XFD1,((A3)+(1))+(0)))=("store"),(INDEX(B1:XFD1,((A3)+(1))+(1)))=("I"),"false"),B3,I95),I95))</f>
        <v>#VALUE!</v>
      </c>
      <c r="J95" t="e">
        <f ca="1">IF((A1)=(2),"",IF((91)=(J4),IF(IF((INDEX(B1:XFD1,((A3)+(1))+(0)))=("store"),(INDEX(B1:XFD1,((A3)+(1))+(1)))=("J"),"false"),B3,J95),J95))</f>
        <v>#VALUE!</v>
      </c>
      <c r="K95" t="e">
        <f ca="1">IF((A1)=(2),"",IF((91)=(K4),IF(IF((INDEX(B1:XFD1,((A3)+(1))+(0)))=("store"),(INDEX(B1:XFD1,((A3)+(1))+(1)))=("K"),"false"),B3,K95),K95))</f>
        <v>#VALUE!</v>
      </c>
      <c r="L95" t="e">
        <f ca="1">IF((A1)=(2),"",IF((91)=(L4),IF(IF((INDEX(B1:XFD1,((A3)+(1))+(0)))=("store"),(INDEX(B1:XFD1,((A3)+(1))+(1)))=("L"),"false"),B3,L95),L95))</f>
        <v>#VALUE!</v>
      </c>
      <c r="M95" t="e">
        <f ca="1">IF((A1)=(2),"",IF((91)=(M4),IF(IF((INDEX(B1:XFD1,((A3)+(1))+(0)))=("store"),(INDEX(B1:XFD1,((A3)+(1))+(1)))=("M"),"false"),B3,M95),M95))</f>
        <v>#VALUE!</v>
      </c>
      <c r="N95" t="e">
        <f ca="1">IF((A1)=(2),"",IF((91)=(N4),IF(IF((INDEX(B1:XFD1,((A3)+(1))+(0)))=("store"),(INDEX(B1:XFD1,((A3)+(1))+(1)))=("N"),"false"),B3,N95),N95))</f>
        <v>#VALUE!</v>
      </c>
      <c r="O95" t="e">
        <f ca="1">IF((A1)=(2),"",IF((91)=(O4),IF(IF((INDEX(B1:XFD1,((A3)+(1))+(0)))=("store"),(INDEX(B1:XFD1,((A3)+(1))+(1)))=("O"),"false"),B3,O95),O95))</f>
        <v>#VALUE!</v>
      </c>
      <c r="P95" t="e">
        <f ca="1">IF((A1)=(2),"",IF((91)=(P4),IF(IF((INDEX(B1:XFD1,((A3)+(1))+(0)))=("store"),(INDEX(B1:XFD1,((A3)+(1))+(1)))=("P"),"false"),B3,P95),P95))</f>
        <v>#VALUE!</v>
      </c>
      <c r="Q95" t="e">
        <f ca="1">IF((A1)=(2),"",IF((91)=(Q4),IF(IF((INDEX(B1:XFD1,((A3)+(1))+(0)))=("store"),(INDEX(B1:XFD1,((A3)+(1))+(1)))=("Q"),"false"),B3,Q95),Q95))</f>
        <v>#VALUE!</v>
      </c>
      <c r="R95" t="e">
        <f ca="1">IF((A1)=(2),"",IF((91)=(R4),IF(IF((INDEX(B1:XFD1,((A3)+(1))+(0)))=("store"),(INDEX(B1:XFD1,((A3)+(1))+(1)))=("R"),"false"),B3,R95),R95))</f>
        <v>#VALUE!</v>
      </c>
      <c r="S95" t="e">
        <f ca="1">IF((A1)=(2),"",IF((91)=(S4),IF(IF((INDEX(B1:XFD1,((A3)+(1))+(0)))=("store"),(INDEX(B1:XFD1,((A3)+(1))+(1)))=("S"),"false"),B3,S95),S95))</f>
        <v>#VALUE!</v>
      </c>
      <c r="T95" t="e">
        <f ca="1">IF((A1)=(2),"",IF((91)=(T4),IF(IF((INDEX(B1:XFD1,((A3)+(1))+(0)))=("store"),(INDEX(B1:XFD1,((A3)+(1))+(1)))=("T"),"false"),B3,T95),T95))</f>
        <v>#VALUE!</v>
      </c>
      <c r="U95" t="e">
        <f ca="1">IF((A1)=(2),"",IF((91)=(U4),IF(IF((INDEX(B1:XFD1,((A3)+(1))+(0)))=("store"),(INDEX(B1:XFD1,((A3)+(1))+(1)))=("U"),"false"),B3,U95),U95))</f>
        <v>#VALUE!</v>
      </c>
      <c r="V95" t="e">
        <f ca="1">IF((A1)=(2),"",IF((91)=(V4),IF(IF((INDEX(B1:XFD1,((A3)+(1))+(0)))=("store"),(INDEX(B1:XFD1,((A3)+(1))+(1)))=("V"),"false"),B3,V95),V95))</f>
        <v>#VALUE!</v>
      </c>
      <c r="W95" t="e">
        <f ca="1">IF((A1)=(2),"",IF((91)=(W4),IF(IF((INDEX(B1:XFD1,((A3)+(1))+(0)))=("store"),(INDEX(B1:XFD1,((A3)+(1))+(1)))=("W"),"false"),B3,W95),W95))</f>
        <v>#VALUE!</v>
      </c>
      <c r="X95" t="e">
        <f ca="1">IF((A1)=(2),"",IF((91)=(X4),IF(IF((INDEX(B1:XFD1,((A3)+(1))+(0)))=("store"),(INDEX(B1:XFD1,((A3)+(1))+(1)))=("X"),"false"),B3,X95),X95))</f>
        <v>#VALUE!</v>
      </c>
      <c r="Y95" t="e">
        <f ca="1">IF((A1)=(2),"",IF((91)=(Y4),IF(IF((INDEX(B1:XFD1,((A3)+(1))+(0)))=("store"),(INDEX(B1:XFD1,((A3)+(1))+(1)))=("Y"),"false"),B3,Y95),Y95))</f>
        <v>#VALUE!</v>
      </c>
      <c r="Z95" t="e">
        <f ca="1">IF((A1)=(2),"",IF((91)=(Z4),IF(IF((INDEX(B1:XFD1,((A3)+(1))+(0)))=("store"),(INDEX(B1:XFD1,((A3)+(1))+(1)))=("Z"),"false"),B3,Z95),Z95))</f>
        <v>#VALUE!</v>
      </c>
      <c r="AA95" t="e">
        <f ca="1">IF((A1)=(2),"",IF((91)=(AA4),IF(IF((INDEX(B1:XFD1,((A3)+(1))+(0)))=("store"),(INDEX(B1:XFD1,((A3)+(1))+(1)))=("AA"),"false"),B3,AA95),AA95))</f>
        <v>#VALUE!</v>
      </c>
      <c r="AB95" t="e">
        <f ca="1">IF((A1)=(2),"",IF((91)=(AB4),IF(IF((INDEX(B1:XFD1,((A3)+(1))+(0)))=("store"),(INDEX(B1:XFD1,((A3)+(1))+(1)))=("AB"),"false"),B3,AB95),AB95))</f>
        <v>#VALUE!</v>
      </c>
      <c r="AC95" t="e">
        <f ca="1">IF((A1)=(2),"",IF((91)=(AC4),IF(IF((INDEX(B1:XFD1,((A3)+(1))+(0)))=("store"),(INDEX(B1:XFD1,((A3)+(1))+(1)))=("AC"),"false"),B3,AC95),AC95))</f>
        <v>#VALUE!</v>
      </c>
      <c r="AD95" t="e">
        <f ca="1">IF((A1)=(2),"",IF((91)=(AD4),IF(IF((INDEX(B1:XFD1,((A3)+(1))+(0)))=("store"),(INDEX(B1:XFD1,((A3)+(1))+(1)))=("AD"),"false"),B3,AD95),AD95))</f>
        <v>#VALUE!</v>
      </c>
    </row>
    <row r="96" spans="1:30" x14ac:dyDescent="0.25">
      <c r="A96" t="e">
        <f ca="1">IF((A1)=(2),"",IF((92)=(A4),IF(("call")=(INDEX(B1:XFD1,((A3)+(1))+(0))),(B3)*(2),IF(("goto")=(INDEX(B1:XFD1,((A3)+(1))+(0))),(INDEX(B1:XFD1,((A3)+(1))+(1)))*(2),IF(("gotoiftrue")=(INDEX(B1:XFD1,((A3)+(1))+(0))),IF(B3,(INDEX(B1:XFD1,((A3)+(1))+(1)))*(2),(A96)+(2)),(A96)+(2)))),A96))</f>
        <v>#VALUE!</v>
      </c>
      <c r="B96" t="e">
        <f ca="1">IF((A1)=(2),"",IF((92)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96)+(1)),IF(("add")=(INDEX(B1:XFD1,((A3)+(1))+(0))),(INDEX(B5:B405,(B4)+(1)))+(B96),IF(("equals")=(INDEX(B1:XFD1,((A3)+(1))+(0))),(INDEX(B5:B405,(B4)+(1)))=(B96),IF(("leq")=(INDEX(B1:XFD1,((A3)+(1))+(0))),(INDEX(B5:B405,(B4)+(1)))&lt;=(B96),IF(("greater")=(INDEX(B1:XFD1,((A3)+(1))+(0))),(INDEX(B5:B405,(B4)+(1)))&gt;(B96),IF(("mod")=(INDEX(B1:XFD1,((A3)+(1))+(0))),MOD(INDEX(B5:B405,(B4)+(1)),B96),B96))))))))),B96))</f>
        <v>#VALUE!</v>
      </c>
      <c r="C96" t="e">
        <f ca="1">IF((A1)=(2),1,IF(AND((INDEX(B1:XFD1,((A3)+(1))+(0)))=("writeheap"),(INDEX(B5:B405,(B4)+(1)))=(91)),INDEX(B5:B405,(B4)+(2)),IF((A1)=(2),"",IF((92)=(C4),C96,C96))))</f>
        <v>#VALUE!</v>
      </c>
      <c r="F96" t="e">
        <f ca="1">IF((A1)=(2),"",IF((92)=(F4),IF(IF((INDEX(B1:XFD1,((A3)+(1))+(0)))=("store"),(INDEX(B1:XFD1,((A3)+(1))+(1)))=("F"),"false"),B3,F96),F96))</f>
        <v>#VALUE!</v>
      </c>
      <c r="G96" t="e">
        <f ca="1">IF((A1)=(2),"",IF((92)=(G4),IF(IF((INDEX(B1:XFD1,((A3)+(1))+(0)))=("store"),(INDEX(B1:XFD1,((A3)+(1))+(1)))=("G"),"false"),B3,G96),G96))</f>
        <v>#VALUE!</v>
      </c>
      <c r="H96" t="e">
        <f ca="1">IF((A1)=(2),"",IF((92)=(H4),IF(IF((INDEX(B1:XFD1,((A3)+(1))+(0)))=("store"),(INDEX(B1:XFD1,((A3)+(1))+(1)))=("H"),"false"),B3,H96),H96))</f>
        <v>#VALUE!</v>
      </c>
      <c r="I96" t="e">
        <f ca="1">IF((A1)=(2),"",IF((92)=(I4),IF(IF((INDEX(B1:XFD1,((A3)+(1))+(0)))=("store"),(INDEX(B1:XFD1,((A3)+(1))+(1)))=("I"),"false"),B3,I96),I96))</f>
        <v>#VALUE!</v>
      </c>
      <c r="J96" t="e">
        <f ca="1">IF((A1)=(2),"",IF((92)=(J4),IF(IF((INDEX(B1:XFD1,((A3)+(1))+(0)))=("store"),(INDEX(B1:XFD1,((A3)+(1))+(1)))=("J"),"false"),B3,J96),J96))</f>
        <v>#VALUE!</v>
      </c>
      <c r="K96" t="e">
        <f ca="1">IF((A1)=(2),"",IF((92)=(K4),IF(IF((INDEX(B1:XFD1,((A3)+(1))+(0)))=("store"),(INDEX(B1:XFD1,((A3)+(1))+(1)))=("K"),"false"),B3,K96),K96))</f>
        <v>#VALUE!</v>
      </c>
      <c r="L96" t="e">
        <f ca="1">IF((A1)=(2),"",IF((92)=(L4),IF(IF((INDEX(B1:XFD1,((A3)+(1))+(0)))=("store"),(INDEX(B1:XFD1,((A3)+(1))+(1)))=("L"),"false"),B3,L96),L96))</f>
        <v>#VALUE!</v>
      </c>
      <c r="M96" t="e">
        <f ca="1">IF((A1)=(2),"",IF((92)=(M4),IF(IF((INDEX(B1:XFD1,((A3)+(1))+(0)))=("store"),(INDEX(B1:XFD1,((A3)+(1))+(1)))=("M"),"false"),B3,M96),M96))</f>
        <v>#VALUE!</v>
      </c>
      <c r="N96" t="e">
        <f ca="1">IF((A1)=(2),"",IF((92)=(N4),IF(IF((INDEX(B1:XFD1,((A3)+(1))+(0)))=("store"),(INDEX(B1:XFD1,((A3)+(1))+(1)))=("N"),"false"),B3,N96),N96))</f>
        <v>#VALUE!</v>
      </c>
      <c r="O96" t="e">
        <f ca="1">IF((A1)=(2),"",IF((92)=(O4),IF(IF((INDEX(B1:XFD1,((A3)+(1))+(0)))=("store"),(INDEX(B1:XFD1,((A3)+(1))+(1)))=("O"),"false"),B3,O96),O96))</f>
        <v>#VALUE!</v>
      </c>
      <c r="P96" t="e">
        <f ca="1">IF((A1)=(2),"",IF((92)=(P4),IF(IF((INDEX(B1:XFD1,((A3)+(1))+(0)))=("store"),(INDEX(B1:XFD1,((A3)+(1))+(1)))=("P"),"false"),B3,P96),P96))</f>
        <v>#VALUE!</v>
      </c>
      <c r="Q96" t="e">
        <f ca="1">IF((A1)=(2),"",IF((92)=(Q4),IF(IF((INDEX(B1:XFD1,((A3)+(1))+(0)))=("store"),(INDEX(B1:XFD1,((A3)+(1))+(1)))=("Q"),"false"),B3,Q96),Q96))</f>
        <v>#VALUE!</v>
      </c>
      <c r="R96" t="e">
        <f ca="1">IF((A1)=(2),"",IF((92)=(R4),IF(IF((INDEX(B1:XFD1,((A3)+(1))+(0)))=("store"),(INDEX(B1:XFD1,((A3)+(1))+(1)))=("R"),"false"),B3,R96),R96))</f>
        <v>#VALUE!</v>
      </c>
      <c r="S96" t="e">
        <f ca="1">IF((A1)=(2),"",IF((92)=(S4),IF(IF((INDEX(B1:XFD1,((A3)+(1))+(0)))=("store"),(INDEX(B1:XFD1,((A3)+(1))+(1)))=("S"),"false"),B3,S96),S96))</f>
        <v>#VALUE!</v>
      </c>
      <c r="T96" t="e">
        <f ca="1">IF((A1)=(2),"",IF((92)=(T4),IF(IF((INDEX(B1:XFD1,((A3)+(1))+(0)))=("store"),(INDEX(B1:XFD1,((A3)+(1))+(1)))=("T"),"false"),B3,T96),T96))</f>
        <v>#VALUE!</v>
      </c>
      <c r="U96" t="e">
        <f ca="1">IF((A1)=(2),"",IF((92)=(U4),IF(IF((INDEX(B1:XFD1,((A3)+(1))+(0)))=("store"),(INDEX(B1:XFD1,((A3)+(1))+(1)))=("U"),"false"),B3,U96),U96))</f>
        <v>#VALUE!</v>
      </c>
      <c r="V96" t="e">
        <f ca="1">IF((A1)=(2),"",IF((92)=(V4),IF(IF((INDEX(B1:XFD1,((A3)+(1))+(0)))=("store"),(INDEX(B1:XFD1,((A3)+(1))+(1)))=("V"),"false"),B3,V96),V96))</f>
        <v>#VALUE!</v>
      </c>
      <c r="W96" t="e">
        <f ca="1">IF((A1)=(2),"",IF((92)=(W4),IF(IF((INDEX(B1:XFD1,((A3)+(1))+(0)))=("store"),(INDEX(B1:XFD1,((A3)+(1))+(1)))=("W"),"false"),B3,W96),W96))</f>
        <v>#VALUE!</v>
      </c>
      <c r="X96" t="e">
        <f ca="1">IF((A1)=(2),"",IF((92)=(X4),IF(IF((INDEX(B1:XFD1,((A3)+(1))+(0)))=("store"),(INDEX(B1:XFD1,((A3)+(1))+(1)))=("X"),"false"),B3,X96),X96))</f>
        <v>#VALUE!</v>
      </c>
      <c r="Y96" t="e">
        <f ca="1">IF((A1)=(2),"",IF((92)=(Y4),IF(IF((INDEX(B1:XFD1,((A3)+(1))+(0)))=("store"),(INDEX(B1:XFD1,((A3)+(1))+(1)))=("Y"),"false"),B3,Y96),Y96))</f>
        <v>#VALUE!</v>
      </c>
      <c r="Z96" t="e">
        <f ca="1">IF((A1)=(2),"",IF((92)=(Z4),IF(IF((INDEX(B1:XFD1,((A3)+(1))+(0)))=("store"),(INDEX(B1:XFD1,((A3)+(1))+(1)))=("Z"),"false"),B3,Z96),Z96))</f>
        <v>#VALUE!</v>
      </c>
      <c r="AA96" t="e">
        <f ca="1">IF((A1)=(2),"",IF((92)=(AA4),IF(IF((INDEX(B1:XFD1,((A3)+(1))+(0)))=("store"),(INDEX(B1:XFD1,((A3)+(1))+(1)))=("AA"),"false"),B3,AA96),AA96))</f>
        <v>#VALUE!</v>
      </c>
      <c r="AB96" t="e">
        <f ca="1">IF((A1)=(2),"",IF((92)=(AB4),IF(IF((INDEX(B1:XFD1,((A3)+(1))+(0)))=("store"),(INDEX(B1:XFD1,((A3)+(1))+(1)))=("AB"),"false"),B3,AB96),AB96))</f>
        <v>#VALUE!</v>
      </c>
      <c r="AC96" t="e">
        <f ca="1">IF((A1)=(2),"",IF((92)=(AC4),IF(IF((INDEX(B1:XFD1,((A3)+(1))+(0)))=("store"),(INDEX(B1:XFD1,((A3)+(1))+(1)))=("AC"),"false"),B3,AC96),AC96))</f>
        <v>#VALUE!</v>
      </c>
      <c r="AD96" t="e">
        <f ca="1">IF((A1)=(2),"",IF((92)=(AD4),IF(IF((INDEX(B1:XFD1,((A3)+(1))+(0)))=("store"),(INDEX(B1:XFD1,((A3)+(1))+(1)))=("AD"),"false"),B3,AD96),AD96))</f>
        <v>#VALUE!</v>
      </c>
    </row>
    <row r="97" spans="1:30" x14ac:dyDescent="0.25">
      <c r="A97" t="e">
        <f ca="1">IF((A1)=(2),"",IF((93)=(A4),IF(("call")=(INDEX(B1:XFD1,((A3)+(1))+(0))),(B3)*(2),IF(("goto")=(INDEX(B1:XFD1,((A3)+(1))+(0))),(INDEX(B1:XFD1,((A3)+(1))+(1)))*(2),IF(("gotoiftrue")=(INDEX(B1:XFD1,((A3)+(1))+(0))),IF(B3,(INDEX(B1:XFD1,((A3)+(1))+(1)))*(2),(A97)+(2)),(A97)+(2)))),A97))</f>
        <v>#VALUE!</v>
      </c>
      <c r="B97" t="e">
        <f ca="1">IF((A1)=(2),"",IF((93)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97)+(1)),IF(("add")=(INDEX(B1:XFD1,((A3)+(1))+(0))),(INDEX(B5:B405,(B4)+(1)))+(B97),IF(("equals")=(INDEX(B1:XFD1,((A3)+(1))+(0))),(INDEX(B5:B405,(B4)+(1)))=(B97),IF(("leq")=(INDEX(B1:XFD1,((A3)+(1))+(0))),(INDEX(B5:B405,(B4)+(1)))&lt;=(B97),IF(("greater")=(INDEX(B1:XFD1,((A3)+(1))+(0))),(INDEX(B5:B405,(B4)+(1)))&gt;(B97),IF(("mod")=(INDEX(B1:XFD1,((A3)+(1))+(0))),MOD(INDEX(B5:B405,(B4)+(1)),B97),B97))))))))),B97))</f>
        <v>#VALUE!</v>
      </c>
      <c r="C97" t="e">
        <f ca="1">IF((A1)=(2),1,IF(AND((INDEX(B1:XFD1,((A3)+(1))+(0)))=("writeheap"),(INDEX(B5:B405,(B4)+(1)))=(92)),INDEX(B5:B405,(B4)+(2)),IF((A1)=(2),"",IF((93)=(C4),C97,C97))))</f>
        <v>#VALUE!</v>
      </c>
      <c r="F97" t="e">
        <f ca="1">IF((A1)=(2),"",IF((93)=(F4),IF(IF((INDEX(B1:XFD1,((A3)+(1))+(0)))=("store"),(INDEX(B1:XFD1,((A3)+(1))+(1)))=("F"),"false"),B3,F97),F97))</f>
        <v>#VALUE!</v>
      </c>
      <c r="G97" t="e">
        <f ca="1">IF((A1)=(2),"",IF((93)=(G4),IF(IF((INDEX(B1:XFD1,((A3)+(1))+(0)))=("store"),(INDEX(B1:XFD1,((A3)+(1))+(1)))=("G"),"false"),B3,G97),G97))</f>
        <v>#VALUE!</v>
      </c>
      <c r="H97" t="e">
        <f ca="1">IF((A1)=(2),"",IF((93)=(H4),IF(IF((INDEX(B1:XFD1,((A3)+(1))+(0)))=("store"),(INDEX(B1:XFD1,((A3)+(1))+(1)))=("H"),"false"),B3,H97),H97))</f>
        <v>#VALUE!</v>
      </c>
      <c r="I97" t="e">
        <f ca="1">IF((A1)=(2),"",IF((93)=(I4),IF(IF((INDEX(B1:XFD1,((A3)+(1))+(0)))=("store"),(INDEX(B1:XFD1,((A3)+(1))+(1)))=("I"),"false"),B3,I97),I97))</f>
        <v>#VALUE!</v>
      </c>
      <c r="J97" t="e">
        <f ca="1">IF((A1)=(2),"",IF((93)=(J4),IF(IF((INDEX(B1:XFD1,((A3)+(1))+(0)))=("store"),(INDEX(B1:XFD1,((A3)+(1))+(1)))=("J"),"false"),B3,J97),J97))</f>
        <v>#VALUE!</v>
      </c>
      <c r="K97" t="e">
        <f ca="1">IF((A1)=(2),"",IF((93)=(K4),IF(IF((INDEX(B1:XFD1,((A3)+(1))+(0)))=("store"),(INDEX(B1:XFD1,((A3)+(1))+(1)))=("K"),"false"),B3,K97),K97))</f>
        <v>#VALUE!</v>
      </c>
      <c r="L97" t="e">
        <f ca="1">IF((A1)=(2),"",IF((93)=(L4),IF(IF((INDEX(B1:XFD1,((A3)+(1))+(0)))=("store"),(INDEX(B1:XFD1,((A3)+(1))+(1)))=("L"),"false"),B3,L97),L97))</f>
        <v>#VALUE!</v>
      </c>
      <c r="M97" t="e">
        <f ca="1">IF((A1)=(2),"",IF((93)=(M4),IF(IF((INDEX(B1:XFD1,((A3)+(1))+(0)))=("store"),(INDEX(B1:XFD1,((A3)+(1))+(1)))=("M"),"false"),B3,M97),M97))</f>
        <v>#VALUE!</v>
      </c>
      <c r="N97" t="e">
        <f ca="1">IF((A1)=(2),"",IF((93)=(N4),IF(IF((INDEX(B1:XFD1,((A3)+(1))+(0)))=("store"),(INDEX(B1:XFD1,((A3)+(1))+(1)))=("N"),"false"),B3,N97),N97))</f>
        <v>#VALUE!</v>
      </c>
      <c r="O97" t="e">
        <f ca="1">IF((A1)=(2),"",IF((93)=(O4),IF(IF((INDEX(B1:XFD1,((A3)+(1))+(0)))=("store"),(INDEX(B1:XFD1,((A3)+(1))+(1)))=("O"),"false"),B3,O97),O97))</f>
        <v>#VALUE!</v>
      </c>
      <c r="P97" t="e">
        <f ca="1">IF((A1)=(2),"",IF((93)=(P4),IF(IF((INDEX(B1:XFD1,((A3)+(1))+(0)))=("store"),(INDEX(B1:XFD1,((A3)+(1))+(1)))=("P"),"false"),B3,P97),P97))</f>
        <v>#VALUE!</v>
      </c>
      <c r="Q97" t="e">
        <f ca="1">IF((A1)=(2),"",IF((93)=(Q4),IF(IF((INDEX(B1:XFD1,((A3)+(1))+(0)))=("store"),(INDEX(B1:XFD1,((A3)+(1))+(1)))=("Q"),"false"),B3,Q97),Q97))</f>
        <v>#VALUE!</v>
      </c>
      <c r="R97" t="e">
        <f ca="1">IF((A1)=(2),"",IF((93)=(R4),IF(IF((INDEX(B1:XFD1,((A3)+(1))+(0)))=("store"),(INDEX(B1:XFD1,((A3)+(1))+(1)))=("R"),"false"),B3,R97),R97))</f>
        <v>#VALUE!</v>
      </c>
      <c r="S97" t="e">
        <f ca="1">IF((A1)=(2),"",IF((93)=(S4),IF(IF((INDEX(B1:XFD1,((A3)+(1))+(0)))=("store"),(INDEX(B1:XFD1,((A3)+(1))+(1)))=("S"),"false"),B3,S97),S97))</f>
        <v>#VALUE!</v>
      </c>
      <c r="T97" t="e">
        <f ca="1">IF((A1)=(2),"",IF((93)=(T4),IF(IF((INDEX(B1:XFD1,((A3)+(1))+(0)))=("store"),(INDEX(B1:XFD1,((A3)+(1))+(1)))=("T"),"false"),B3,T97),T97))</f>
        <v>#VALUE!</v>
      </c>
      <c r="U97" t="e">
        <f ca="1">IF((A1)=(2),"",IF((93)=(U4),IF(IF((INDEX(B1:XFD1,((A3)+(1))+(0)))=("store"),(INDEX(B1:XFD1,((A3)+(1))+(1)))=("U"),"false"),B3,U97),U97))</f>
        <v>#VALUE!</v>
      </c>
      <c r="V97" t="e">
        <f ca="1">IF((A1)=(2),"",IF((93)=(V4),IF(IF((INDEX(B1:XFD1,((A3)+(1))+(0)))=("store"),(INDEX(B1:XFD1,((A3)+(1))+(1)))=("V"),"false"),B3,V97),V97))</f>
        <v>#VALUE!</v>
      </c>
      <c r="W97" t="e">
        <f ca="1">IF((A1)=(2),"",IF((93)=(W4),IF(IF((INDEX(B1:XFD1,((A3)+(1))+(0)))=("store"),(INDEX(B1:XFD1,((A3)+(1))+(1)))=("W"),"false"),B3,W97),W97))</f>
        <v>#VALUE!</v>
      </c>
      <c r="X97" t="e">
        <f ca="1">IF((A1)=(2),"",IF((93)=(X4),IF(IF((INDEX(B1:XFD1,((A3)+(1))+(0)))=("store"),(INDEX(B1:XFD1,((A3)+(1))+(1)))=("X"),"false"),B3,X97),X97))</f>
        <v>#VALUE!</v>
      </c>
      <c r="Y97" t="e">
        <f ca="1">IF((A1)=(2),"",IF((93)=(Y4),IF(IF((INDEX(B1:XFD1,((A3)+(1))+(0)))=("store"),(INDEX(B1:XFD1,((A3)+(1))+(1)))=("Y"),"false"),B3,Y97),Y97))</f>
        <v>#VALUE!</v>
      </c>
      <c r="Z97" t="e">
        <f ca="1">IF((A1)=(2),"",IF((93)=(Z4),IF(IF((INDEX(B1:XFD1,((A3)+(1))+(0)))=("store"),(INDEX(B1:XFD1,((A3)+(1))+(1)))=("Z"),"false"),B3,Z97),Z97))</f>
        <v>#VALUE!</v>
      </c>
      <c r="AA97" t="e">
        <f ca="1">IF((A1)=(2),"",IF((93)=(AA4),IF(IF((INDEX(B1:XFD1,((A3)+(1))+(0)))=("store"),(INDEX(B1:XFD1,((A3)+(1))+(1)))=("AA"),"false"),B3,AA97),AA97))</f>
        <v>#VALUE!</v>
      </c>
      <c r="AB97" t="e">
        <f ca="1">IF((A1)=(2),"",IF((93)=(AB4),IF(IF((INDEX(B1:XFD1,((A3)+(1))+(0)))=("store"),(INDEX(B1:XFD1,((A3)+(1))+(1)))=("AB"),"false"),B3,AB97),AB97))</f>
        <v>#VALUE!</v>
      </c>
      <c r="AC97" t="e">
        <f ca="1">IF((A1)=(2),"",IF((93)=(AC4),IF(IF((INDEX(B1:XFD1,((A3)+(1))+(0)))=("store"),(INDEX(B1:XFD1,((A3)+(1))+(1)))=("AC"),"false"),B3,AC97),AC97))</f>
        <v>#VALUE!</v>
      </c>
      <c r="AD97" t="e">
        <f ca="1">IF((A1)=(2),"",IF((93)=(AD4),IF(IF((INDEX(B1:XFD1,((A3)+(1))+(0)))=("store"),(INDEX(B1:XFD1,((A3)+(1))+(1)))=("AD"),"false"),B3,AD97),AD97))</f>
        <v>#VALUE!</v>
      </c>
    </row>
    <row r="98" spans="1:30" x14ac:dyDescent="0.25">
      <c r="A98" t="e">
        <f ca="1">IF((A1)=(2),"",IF((94)=(A4),IF(("call")=(INDEX(B1:XFD1,((A3)+(1))+(0))),(B3)*(2),IF(("goto")=(INDEX(B1:XFD1,((A3)+(1))+(0))),(INDEX(B1:XFD1,((A3)+(1))+(1)))*(2),IF(("gotoiftrue")=(INDEX(B1:XFD1,((A3)+(1))+(0))),IF(B3,(INDEX(B1:XFD1,((A3)+(1))+(1)))*(2),(A98)+(2)),(A98)+(2)))),A98))</f>
        <v>#VALUE!</v>
      </c>
      <c r="B98" t="e">
        <f ca="1">IF((A1)=(2),"",IF((94)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98)+(1)),IF(("add")=(INDEX(B1:XFD1,((A3)+(1))+(0))),(INDEX(B5:B405,(B4)+(1)))+(B98),IF(("equals")=(INDEX(B1:XFD1,((A3)+(1))+(0))),(INDEX(B5:B405,(B4)+(1)))=(B98),IF(("leq")=(INDEX(B1:XFD1,((A3)+(1))+(0))),(INDEX(B5:B405,(B4)+(1)))&lt;=(B98),IF(("greater")=(INDEX(B1:XFD1,((A3)+(1))+(0))),(INDEX(B5:B405,(B4)+(1)))&gt;(B98),IF(("mod")=(INDEX(B1:XFD1,((A3)+(1))+(0))),MOD(INDEX(B5:B405,(B4)+(1)),B98),B98))))))))),B98))</f>
        <v>#VALUE!</v>
      </c>
      <c r="C98" t="e">
        <f ca="1">IF((A1)=(2),1,IF(AND((INDEX(B1:XFD1,((A3)+(1))+(0)))=("writeheap"),(INDEX(B5:B405,(B4)+(1)))=(93)),INDEX(B5:B405,(B4)+(2)),IF((A1)=(2),"",IF((94)=(C4),C98,C98))))</f>
        <v>#VALUE!</v>
      </c>
      <c r="F98" t="e">
        <f ca="1">IF((A1)=(2),"",IF((94)=(F4),IF(IF((INDEX(B1:XFD1,((A3)+(1))+(0)))=("store"),(INDEX(B1:XFD1,((A3)+(1))+(1)))=("F"),"false"),B3,F98),F98))</f>
        <v>#VALUE!</v>
      </c>
      <c r="G98" t="e">
        <f ca="1">IF((A1)=(2),"",IF((94)=(G4),IF(IF((INDEX(B1:XFD1,((A3)+(1))+(0)))=("store"),(INDEX(B1:XFD1,((A3)+(1))+(1)))=("G"),"false"),B3,G98),G98))</f>
        <v>#VALUE!</v>
      </c>
      <c r="H98" t="e">
        <f ca="1">IF((A1)=(2),"",IF((94)=(H4),IF(IF((INDEX(B1:XFD1,((A3)+(1))+(0)))=("store"),(INDEX(B1:XFD1,((A3)+(1))+(1)))=("H"),"false"),B3,H98),H98))</f>
        <v>#VALUE!</v>
      </c>
      <c r="I98" t="e">
        <f ca="1">IF((A1)=(2),"",IF((94)=(I4),IF(IF((INDEX(B1:XFD1,((A3)+(1))+(0)))=("store"),(INDEX(B1:XFD1,((A3)+(1))+(1)))=("I"),"false"),B3,I98),I98))</f>
        <v>#VALUE!</v>
      </c>
      <c r="J98" t="e">
        <f ca="1">IF((A1)=(2),"",IF((94)=(J4),IF(IF((INDEX(B1:XFD1,((A3)+(1))+(0)))=("store"),(INDEX(B1:XFD1,((A3)+(1))+(1)))=("J"),"false"),B3,J98),J98))</f>
        <v>#VALUE!</v>
      </c>
      <c r="K98" t="e">
        <f ca="1">IF((A1)=(2),"",IF((94)=(K4),IF(IF((INDEX(B1:XFD1,((A3)+(1))+(0)))=("store"),(INDEX(B1:XFD1,((A3)+(1))+(1)))=("K"),"false"),B3,K98),K98))</f>
        <v>#VALUE!</v>
      </c>
      <c r="L98" t="e">
        <f ca="1">IF((A1)=(2),"",IF((94)=(L4),IF(IF((INDEX(B1:XFD1,((A3)+(1))+(0)))=("store"),(INDEX(B1:XFD1,((A3)+(1))+(1)))=("L"),"false"),B3,L98),L98))</f>
        <v>#VALUE!</v>
      </c>
      <c r="M98" t="e">
        <f ca="1">IF((A1)=(2),"",IF((94)=(M4),IF(IF((INDEX(B1:XFD1,((A3)+(1))+(0)))=("store"),(INDEX(B1:XFD1,((A3)+(1))+(1)))=("M"),"false"),B3,M98),M98))</f>
        <v>#VALUE!</v>
      </c>
      <c r="N98" t="e">
        <f ca="1">IF((A1)=(2),"",IF((94)=(N4),IF(IF((INDEX(B1:XFD1,((A3)+(1))+(0)))=("store"),(INDEX(B1:XFD1,((A3)+(1))+(1)))=("N"),"false"),B3,N98),N98))</f>
        <v>#VALUE!</v>
      </c>
      <c r="O98" t="e">
        <f ca="1">IF((A1)=(2),"",IF((94)=(O4),IF(IF((INDEX(B1:XFD1,((A3)+(1))+(0)))=("store"),(INDEX(B1:XFD1,((A3)+(1))+(1)))=("O"),"false"),B3,O98),O98))</f>
        <v>#VALUE!</v>
      </c>
      <c r="P98" t="e">
        <f ca="1">IF((A1)=(2),"",IF((94)=(P4),IF(IF((INDEX(B1:XFD1,((A3)+(1))+(0)))=("store"),(INDEX(B1:XFD1,((A3)+(1))+(1)))=("P"),"false"),B3,P98),P98))</f>
        <v>#VALUE!</v>
      </c>
      <c r="Q98" t="e">
        <f ca="1">IF((A1)=(2),"",IF((94)=(Q4),IF(IF((INDEX(B1:XFD1,((A3)+(1))+(0)))=("store"),(INDEX(B1:XFD1,((A3)+(1))+(1)))=("Q"),"false"),B3,Q98),Q98))</f>
        <v>#VALUE!</v>
      </c>
      <c r="R98" t="e">
        <f ca="1">IF((A1)=(2),"",IF((94)=(R4),IF(IF((INDEX(B1:XFD1,((A3)+(1))+(0)))=("store"),(INDEX(B1:XFD1,((A3)+(1))+(1)))=("R"),"false"),B3,R98),R98))</f>
        <v>#VALUE!</v>
      </c>
      <c r="S98" t="e">
        <f ca="1">IF((A1)=(2),"",IF((94)=(S4),IF(IF((INDEX(B1:XFD1,((A3)+(1))+(0)))=("store"),(INDEX(B1:XFD1,((A3)+(1))+(1)))=("S"),"false"),B3,S98),S98))</f>
        <v>#VALUE!</v>
      </c>
      <c r="T98" t="e">
        <f ca="1">IF((A1)=(2),"",IF((94)=(T4),IF(IF((INDEX(B1:XFD1,((A3)+(1))+(0)))=("store"),(INDEX(B1:XFD1,((A3)+(1))+(1)))=("T"),"false"),B3,T98),T98))</f>
        <v>#VALUE!</v>
      </c>
      <c r="U98" t="e">
        <f ca="1">IF((A1)=(2),"",IF((94)=(U4),IF(IF((INDEX(B1:XFD1,((A3)+(1))+(0)))=("store"),(INDEX(B1:XFD1,((A3)+(1))+(1)))=("U"),"false"),B3,U98),U98))</f>
        <v>#VALUE!</v>
      </c>
      <c r="V98" t="e">
        <f ca="1">IF((A1)=(2),"",IF((94)=(V4),IF(IF((INDEX(B1:XFD1,((A3)+(1))+(0)))=("store"),(INDEX(B1:XFD1,((A3)+(1))+(1)))=("V"),"false"),B3,V98),V98))</f>
        <v>#VALUE!</v>
      </c>
      <c r="W98" t="e">
        <f ca="1">IF((A1)=(2),"",IF((94)=(W4),IF(IF((INDEX(B1:XFD1,((A3)+(1))+(0)))=("store"),(INDEX(B1:XFD1,((A3)+(1))+(1)))=("W"),"false"),B3,W98),W98))</f>
        <v>#VALUE!</v>
      </c>
      <c r="X98" t="e">
        <f ca="1">IF((A1)=(2),"",IF((94)=(X4),IF(IF((INDEX(B1:XFD1,((A3)+(1))+(0)))=("store"),(INDEX(B1:XFD1,((A3)+(1))+(1)))=("X"),"false"),B3,X98),X98))</f>
        <v>#VALUE!</v>
      </c>
      <c r="Y98" t="e">
        <f ca="1">IF((A1)=(2),"",IF((94)=(Y4),IF(IF((INDEX(B1:XFD1,((A3)+(1))+(0)))=("store"),(INDEX(B1:XFD1,((A3)+(1))+(1)))=("Y"),"false"),B3,Y98),Y98))</f>
        <v>#VALUE!</v>
      </c>
      <c r="Z98" t="e">
        <f ca="1">IF((A1)=(2),"",IF((94)=(Z4),IF(IF((INDEX(B1:XFD1,((A3)+(1))+(0)))=("store"),(INDEX(B1:XFD1,((A3)+(1))+(1)))=("Z"),"false"),B3,Z98),Z98))</f>
        <v>#VALUE!</v>
      </c>
      <c r="AA98" t="e">
        <f ca="1">IF((A1)=(2),"",IF((94)=(AA4),IF(IF((INDEX(B1:XFD1,((A3)+(1))+(0)))=("store"),(INDEX(B1:XFD1,((A3)+(1))+(1)))=("AA"),"false"),B3,AA98),AA98))</f>
        <v>#VALUE!</v>
      </c>
      <c r="AB98" t="e">
        <f ca="1">IF((A1)=(2),"",IF((94)=(AB4),IF(IF((INDEX(B1:XFD1,((A3)+(1))+(0)))=("store"),(INDEX(B1:XFD1,((A3)+(1))+(1)))=("AB"),"false"),B3,AB98),AB98))</f>
        <v>#VALUE!</v>
      </c>
      <c r="AC98" t="e">
        <f ca="1">IF((A1)=(2),"",IF((94)=(AC4),IF(IF((INDEX(B1:XFD1,((A3)+(1))+(0)))=("store"),(INDEX(B1:XFD1,((A3)+(1))+(1)))=("AC"),"false"),B3,AC98),AC98))</f>
        <v>#VALUE!</v>
      </c>
      <c r="AD98" t="e">
        <f ca="1">IF((A1)=(2),"",IF((94)=(AD4),IF(IF((INDEX(B1:XFD1,((A3)+(1))+(0)))=("store"),(INDEX(B1:XFD1,((A3)+(1))+(1)))=("AD"),"false"),B3,AD98),AD98))</f>
        <v>#VALUE!</v>
      </c>
    </row>
    <row r="99" spans="1:30" x14ac:dyDescent="0.25">
      <c r="A99" t="e">
        <f ca="1">IF((A1)=(2),"",IF((95)=(A4),IF(("call")=(INDEX(B1:XFD1,((A3)+(1))+(0))),(B3)*(2),IF(("goto")=(INDEX(B1:XFD1,((A3)+(1))+(0))),(INDEX(B1:XFD1,((A3)+(1))+(1)))*(2),IF(("gotoiftrue")=(INDEX(B1:XFD1,((A3)+(1))+(0))),IF(B3,(INDEX(B1:XFD1,((A3)+(1))+(1)))*(2),(A99)+(2)),(A99)+(2)))),A99))</f>
        <v>#VALUE!</v>
      </c>
      <c r="B99" t="e">
        <f ca="1">IF((A1)=(2),"",IF((95)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99)+(1)),IF(("add")=(INDEX(B1:XFD1,((A3)+(1))+(0))),(INDEX(B5:B405,(B4)+(1)))+(B99),IF(("equals")=(INDEX(B1:XFD1,((A3)+(1))+(0))),(INDEX(B5:B405,(B4)+(1)))=(B99),IF(("leq")=(INDEX(B1:XFD1,((A3)+(1))+(0))),(INDEX(B5:B405,(B4)+(1)))&lt;=(B99),IF(("greater")=(INDEX(B1:XFD1,((A3)+(1))+(0))),(INDEX(B5:B405,(B4)+(1)))&gt;(B99),IF(("mod")=(INDEX(B1:XFD1,((A3)+(1))+(0))),MOD(INDEX(B5:B405,(B4)+(1)),B99),B99))))))))),B99))</f>
        <v>#VALUE!</v>
      </c>
      <c r="C99" t="e">
        <f ca="1">IF((A1)=(2),1,IF(AND((INDEX(B1:XFD1,((A3)+(1))+(0)))=("writeheap"),(INDEX(B5:B405,(B4)+(1)))=(94)),INDEX(B5:B405,(B4)+(2)),IF((A1)=(2),"",IF((95)=(C4),C99,C99))))</f>
        <v>#VALUE!</v>
      </c>
      <c r="F99" t="e">
        <f ca="1">IF((A1)=(2),"",IF((95)=(F4),IF(IF((INDEX(B1:XFD1,((A3)+(1))+(0)))=("store"),(INDEX(B1:XFD1,((A3)+(1))+(1)))=("F"),"false"),B3,F99),F99))</f>
        <v>#VALUE!</v>
      </c>
      <c r="G99" t="e">
        <f ca="1">IF((A1)=(2),"",IF((95)=(G4),IF(IF((INDEX(B1:XFD1,((A3)+(1))+(0)))=("store"),(INDEX(B1:XFD1,((A3)+(1))+(1)))=("G"),"false"),B3,G99),G99))</f>
        <v>#VALUE!</v>
      </c>
      <c r="H99" t="e">
        <f ca="1">IF((A1)=(2),"",IF((95)=(H4),IF(IF((INDEX(B1:XFD1,((A3)+(1))+(0)))=("store"),(INDEX(B1:XFD1,((A3)+(1))+(1)))=("H"),"false"),B3,H99),H99))</f>
        <v>#VALUE!</v>
      </c>
      <c r="I99" t="e">
        <f ca="1">IF((A1)=(2),"",IF((95)=(I4),IF(IF((INDEX(B1:XFD1,((A3)+(1))+(0)))=("store"),(INDEX(B1:XFD1,((A3)+(1))+(1)))=("I"),"false"),B3,I99),I99))</f>
        <v>#VALUE!</v>
      </c>
      <c r="J99" t="e">
        <f ca="1">IF((A1)=(2),"",IF((95)=(J4),IF(IF((INDEX(B1:XFD1,((A3)+(1))+(0)))=("store"),(INDEX(B1:XFD1,((A3)+(1))+(1)))=("J"),"false"),B3,J99),J99))</f>
        <v>#VALUE!</v>
      </c>
      <c r="K99" t="e">
        <f ca="1">IF((A1)=(2),"",IF((95)=(K4),IF(IF((INDEX(B1:XFD1,((A3)+(1))+(0)))=("store"),(INDEX(B1:XFD1,((A3)+(1))+(1)))=("K"),"false"),B3,K99),K99))</f>
        <v>#VALUE!</v>
      </c>
      <c r="L99" t="e">
        <f ca="1">IF((A1)=(2),"",IF((95)=(L4),IF(IF((INDEX(B1:XFD1,((A3)+(1))+(0)))=("store"),(INDEX(B1:XFD1,((A3)+(1))+(1)))=("L"),"false"),B3,L99),L99))</f>
        <v>#VALUE!</v>
      </c>
      <c r="M99" t="e">
        <f ca="1">IF((A1)=(2),"",IF((95)=(M4),IF(IF((INDEX(B1:XFD1,((A3)+(1))+(0)))=("store"),(INDEX(B1:XFD1,((A3)+(1))+(1)))=("M"),"false"),B3,M99),M99))</f>
        <v>#VALUE!</v>
      </c>
      <c r="N99" t="e">
        <f ca="1">IF((A1)=(2),"",IF((95)=(N4),IF(IF((INDEX(B1:XFD1,((A3)+(1))+(0)))=("store"),(INDEX(B1:XFD1,((A3)+(1))+(1)))=("N"),"false"),B3,N99),N99))</f>
        <v>#VALUE!</v>
      </c>
      <c r="O99" t="e">
        <f ca="1">IF((A1)=(2),"",IF((95)=(O4),IF(IF((INDEX(B1:XFD1,((A3)+(1))+(0)))=("store"),(INDEX(B1:XFD1,((A3)+(1))+(1)))=("O"),"false"),B3,O99),O99))</f>
        <v>#VALUE!</v>
      </c>
      <c r="P99" t="e">
        <f ca="1">IF((A1)=(2),"",IF((95)=(P4),IF(IF((INDEX(B1:XFD1,((A3)+(1))+(0)))=("store"),(INDEX(B1:XFD1,((A3)+(1))+(1)))=("P"),"false"),B3,P99),P99))</f>
        <v>#VALUE!</v>
      </c>
      <c r="Q99" t="e">
        <f ca="1">IF((A1)=(2),"",IF((95)=(Q4),IF(IF((INDEX(B1:XFD1,((A3)+(1))+(0)))=("store"),(INDEX(B1:XFD1,((A3)+(1))+(1)))=("Q"),"false"),B3,Q99),Q99))</f>
        <v>#VALUE!</v>
      </c>
      <c r="R99" t="e">
        <f ca="1">IF((A1)=(2),"",IF((95)=(R4),IF(IF((INDEX(B1:XFD1,((A3)+(1))+(0)))=("store"),(INDEX(B1:XFD1,((A3)+(1))+(1)))=("R"),"false"),B3,R99),R99))</f>
        <v>#VALUE!</v>
      </c>
      <c r="S99" t="e">
        <f ca="1">IF((A1)=(2),"",IF((95)=(S4),IF(IF((INDEX(B1:XFD1,((A3)+(1))+(0)))=("store"),(INDEX(B1:XFD1,((A3)+(1))+(1)))=("S"),"false"),B3,S99),S99))</f>
        <v>#VALUE!</v>
      </c>
      <c r="T99" t="e">
        <f ca="1">IF((A1)=(2),"",IF((95)=(T4),IF(IF((INDEX(B1:XFD1,((A3)+(1))+(0)))=("store"),(INDEX(B1:XFD1,((A3)+(1))+(1)))=("T"),"false"),B3,T99),T99))</f>
        <v>#VALUE!</v>
      </c>
      <c r="U99" t="e">
        <f ca="1">IF((A1)=(2),"",IF((95)=(U4),IF(IF((INDEX(B1:XFD1,((A3)+(1))+(0)))=("store"),(INDEX(B1:XFD1,((A3)+(1))+(1)))=("U"),"false"),B3,U99),U99))</f>
        <v>#VALUE!</v>
      </c>
      <c r="V99" t="e">
        <f ca="1">IF((A1)=(2),"",IF((95)=(V4),IF(IF((INDEX(B1:XFD1,((A3)+(1))+(0)))=("store"),(INDEX(B1:XFD1,((A3)+(1))+(1)))=("V"),"false"),B3,V99),V99))</f>
        <v>#VALUE!</v>
      </c>
      <c r="W99" t="e">
        <f ca="1">IF((A1)=(2),"",IF((95)=(W4),IF(IF((INDEX(B1:XFD1,((A3)+(1))+(0)))=("store"),(INDEX(B1:XFD1,((A3)+(1))+(1)))=("W"),"false"),B3,W99),W99))</f>
        <v>#VALUE!</v>
      </c>
      <c r="X99" t="e">
        <f ca="1">IF((A1)=(2),"",IF((95)=(X4),IF(IF((INDEX(B1:XFD1,((A3)+(1))+(0)))=("store"),(INDEX(B1:XFD1,((A3)+(1))+(1)))=("X"),"false"),B3,X99),X99))</f>
        <v>#VALUE!</v>
      </c>
      <c r="Y99" t="e">
        <f ca="1">IF((A1)=(2),"",IF((95)=(Y4),IF(IF((INDEX(B1:XFD1,((A3)+(1))+(0)))=("store"),(INDEX(B1:XFD1,((A3)+(1))+(1)))=("Y"),"false"),B3,Y99),Y99))</f>
        <v>#VALUE!</v>
      </c>
      <c r="Z99" t="e">
        <f ca="1">IF((A1)=(2),"",IF((95)=(Z4),IF(IF((INDEX(B1:XFD1,((A3)+(1))+(0)))=("store"),(INDEX(B1:XFD1,((A3)+(1))+(1)))=("Z"),"false"),B3,Z99),Z99))</f>
        <v>#VALUE!</v>
      </c>
      <c r="AA99" t="e">
        <f ca="1">IF((A1)=(2),"",IF((95)=(AA4),IF(IF((INDEX(B1:XFD1,((A3)+(1))+(0)))=("store"),(INDEX(B1:XFD1,((A3)+(1))+(1)))=("AA"),"false"),B3,AA99),AA99))</f>
        <v>#VALUE!</v>
      </c>
      <c r="AB99" t="e">
        <f ca="1">IF((A1)=(2),"",IF((95)=(AB4),IF(IF((INDEX(B1:XFD1,((A3)+(1))+(0)))=("store"),(INDEX(B1:XFD1,((A3)+(1))+(1)))=("AB"),"false"),B3,AB99),AB99))</f>
        <v>#VALUE!</v>
      </c>
      <c r="AC99" t="e">
        <f ca="1">IF((A1)=(2),"",IF((95)=(AC4),IF(IF((INDEX(B1:XFD1,((A3)+(1))+(0)))=("store"),(INDEX(B1:XFD1,((A3)+(1))+(1)))=("AC"),"false"),B3,AC99),AC99))</f>
        <v>#VALUE!</v>
      </c>
      <c r="AD99" t="e">
        <f ca="1">IF((A1)=(2),"",IF((95)=(AD4),IF(IF((INDEX(B1:XFD1,((A3)+(1))+(0)))=("store"),(INDEX(B1:XFD1,((A3)+(1))+(1)))=("AD"),"false"),B3,AD99),AD99))</f>
        <v>#VALUE!</v>
      </c>
    </row>
    <row r="100" spans="1:30" x14ac:dyDescent="0.25">
      <c r="A100" t="e">
        <f ca="1">IF((A1)=(2),"",IF((96)=(A4),IF(("call")=(INDEX(B1:XFD1,((A3)+(1))+(0))),(B3)*(2),IF(("goto")=(INDEX(B1:XFD1,((A3)+(1))+(0))),(INDEX(B1:XFD1,((A3)+(1))+(1)))*(2),IF(("gotoiftrue")=(INDEX(B1:XFD1,((A3)+(1))+(0))),IF(B3,(INDEX(B1:XFD1,((A3)+(1))+(1)))*(2),(A100)+(2)),(A100)+(2)))),A100))</f>
        <v>#VALUE!</v>
      </c>
      <c r="B100" t="e">
        <f ca="1">IF((A1)=(2),"",IF((96)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100)+(1)),IF(("add")=(INDEX(B1:XFD1,((A3)+(1))+(0))),(INDEX(B5:B405,(B4)+(1)))+(B100),IF(("equals")=(INDEX(B1:XFD1,((A3)+(1))+(0))),(INDEX(B5:B405,(B4)+(1)))=(B100),IF(("leq")=(INDEX(B1:XFD1,((A3)+(1))+(0))),(INDEX(B5:B405,(B4)+(1)))&lt;=(B100),IF(("greater")=(INDEX(B1:XFD1,((A3)+(1))+(0))),(INDEX(B5:B405,(B4)+(1)))&gt;(B100),IF(("mod")=(INDEX(B1:XFD1,((A3)+(1))+(0))),MOD(INDEX(B5:B405,(B4)+(1)),B100),B100))))))))),B100))</f>
        <v>#VALUE!</v>
      </c>
      <c r="C100" t="e">
        <f ca="1">IF((A1)=(2),1,IF(AND((INDEX(B1:XFD1,((A3)+(1))+(0)))=("writeheap"),(INDEX(B5:B405,(B4)+(1)))=(95)),INDEX(B5:B405,(B4)+(2)),IF((A1)=(2),"",IF((96)=(C4),C100,C100))))</f>
        <v>#VALUE!</v>
      </c>
      <c r="F100" t="e">
        <f ca="1">IF((A1)=(2),"",IF((96)=(F4),IF(IF((INDEX(B1:XFD1,((A3)+(1))+(0)))=("store"),(INDEX(B1:XFD1,((A3)+(1))+(1)))=("F"),"false"),B3,F100),F100))</f>
        <v>#VALUE!</v>
      </c>
      <c r="G100" t="e">
        <f ca="1">IF((A1)=(2),"",IF((96)=(G4),IF(IF((INDEX(B1:XFD1,((A3)+(1))+(0)))=("store"),(INDEX(B1:XFD1,((A3)+(1))+(1)))=("G"),"false"),B3,G100),G100))</f>
        <v>#VALUE!</v>
      </c>
      <c r="H100" t="e">
        <f ca="1">IF((A1)=(2),"",IF((96)=(H4),IF(IF((INDEX(B1:XFD1,((A3)+(1))+(0)))=("store"),(INDEX(B1:XFD1,((A3)+(1))+(1)))=("H"),"false"),B3,H100),H100))</f>
        <v>#VALUE!</v>
      </c>
      <c r="I100" t="e">
        <f ca="1">IF((A1)=(2),"",IF((96)=(I4),IF(IF((INDEX(B1:XFD1,((A3)+(1))+(0)))=("store"),(INDEX(B1:XFD1,((A3)+(1))+(1)))=("I"),"false"),B3,I100),I100))</f>
        <v>#VALUE!</v>
      </c>
      <c r="J100" t="e">
        <f ca="1">IF((A1)=(2),"",IF((96)=(J4),IF(IF((INDEX(B1:XFD1,((A3)+(1))+(0)))=("store"),(INDEX(B1:XFD1,((A3)+(1))+(1)))=("J"),"false"),B3,J100),J100))</f>
        <v>#VALUE!</v>
      </c>
      <c r="K100" t="e">
        <f ca="1">IF((A1)=(2),"",IF((96)=(K4),IF(IF((INDEX(B1:XFD1,((A3)+(1))+(0)))=("store"),(INDEX(B1:XFD1,((A3)+(1))+(1)))=("K"),"false"),B3,K100),K100))</f>
        <v>#VALUE!</v>
      </c>
      <c r="L100" t="e">
        <f ca="1">IF((A1)=(2),"",IF((96)=(L4),IF(IF((INDEX(B1:XFD1,((A3)+(1))+(0)))=("store"),(INDEX(B1:XFD1,((A3)+(1))+(1)))=("L"),"false"),B3,L100),L100))</f>
        <v>#VALUE!</v>
      </c>
      <c r="M100" t="e">
        <f ca="1">IF((A1)=(2),"",IF((96)=(M4),IF(IF((INDEX(B1:XFD1,((A3)+(1))+(0)))=("store"),(INDEX(B1:XFD1,((A3)+(1))+(1)))=("M"),"false"),B3,M100),M100))</f>
        <v>#VALUE!</v>
      </c>
      <c r="N100" t="e">
        <f ca="1">IF((A1)=(2),"",IF((96)=(N4),IF(IF((INDEX(B1:XFD1,((A3)+(1))+(0)))=("store"),(INDEX(B1:XFD1,((A3)+(1))+(1)))=("N"),"false"),B3,N100),N100))</f>
        <v>#VALUE!</v>
      </c>
      <c r="O100" t="e">
        <f ca="1">IF((A1)=(2),"",IF((96)=(O4),IF(IF((INDEX(B1:XFD1,((A3)+(1))+(0)))=("store"),(INDEX(B1:XFD1,((A3)+(1))+(1)))=("O"),"false"),B3,O100),O100))</f>
        <v>#VALUE!</v>
      </c>
      <c r="P100" t="e">
        <f ca="1">IF((A1)=(2),"",IF((96)=(P4),IF(IF((INDEX(B1:XFD1,((A3)+(1))+(0)))=("store"),(INDEX(B1:XFD1,((A3)+(1))+(1)))=("P"),"false"),B3,P100),P100))</f>
        <v>#VALUE!</v>
      </c>
      <c r="Q100" t="e">
        <f ca="1">IF((A1)=(2),"",IF((96)=(Q4),IF(IF((INDEX(B1:XFD1,((A3)+(1))+(0)))=("store"),(INDEX(B1:XFD1,((A3)+(1))+(1)))=("Q"),"false"),B3,Q100),Q100))</f>
        <v>#VALUE!</v>
      </c>
      <c r="R100" t="e">
        <f ca="1">IF((A1)=(2),"",IF((96)=(R4),IF(IF((INDEX(B1:XFD1,((A3)+(1))+(0)))=("store"),(INDEX(B1:XFD1,((A3)+(1))+(1)))=("R"),"false"),B3,R100),R100))</f>
        <v>#VALUE!</v>
      </c>
      <c r="S100" t="e">
        <f ca="1">IF((A1)=(2),"",IF((96)=(S4),IF(IF((INDEX(B1:XFD1,((A3)+(1))+(0)))=("store"),(INDEX(B1:XFD1,((A3)+(1))+(1)))=("S"),"false"),B3,S100),S100))</f>
        <v>#VALUE!</v>
      </c>
      <c r="T100" t="e">
        <f ca="1">IF((A1)=(2),"",IF((96)=(T4),IF(IF((INDEX(B1:XFD1,((A3)+(1))+(0)))=("store"),(INDEX(B1:XFD1,((A3)+(1))+(1)))=("T"),"false"),B3,T100),T100))</f>
        <v>#VALUE!</v>
      </c>
      <c r="U100" t="e">
        <f ca="1">IF((A1)=(2),"",IF((96)=(U4),IF(IF((INDEX(B1:XFD1,((A3)+(1))+(0)))=("store"),(INDEX(B1:XFD1,((A3)+(1))+(1)))=("U"),"false"),B3,U100),U100))</f>
        <v>#VALUE!</v>
      </c>
      <c r="V100" t="e">
        <f ca="1">IF((A1)=(2),"",IF((96)=(V4),IF(IF((INDEX(B1:XFD1,((A3)+(1))+(0)))=("store"),(INDEX(B1:XFD1,((A3)+(1))+(1)))=("V"),"false"),B3,V100),V100))</f>
        <v>#VALUE!</v>
      </c>
      <c r="W100" t="e">
        <f ca="1">IF((A1)=(2),"",IF((96)=(W4),IF(IF((INDEX(B1:XFD1,((A3)+(1))+(0)))=("store"),(INDEX(B1:XFD1,((A3)+(1))+(1)))=("W"),"false"),B3,W100),W100))</f>
        <v>#VALUE!</v>
      </c>
      <c r="X100" t="e">
        <f ca="1">IF((A1)=(2),"",IF((96)=(X4),IF(IF((INDEX(B1:XFD1,((A3)+(1))+(0)))=("store"),(INDEX(B1:XFD1,((A3)+(1))+(1)))=("X"),"false"),B3,X100),X100))</f>
        <v>#VALUE!</v>
      </c>
      <c r="Y100" t="e">
        <f ca="1">IF((A1)=(2),"",IF((96)=(Y4),IF(IF((INDEX(B1:XFD1,((A3)+(1))+(0)))=("store"),(INDEX(B1:XFD1,((A3)+(1))+(1)))=("Y"),"false"),B3,Y100),Y100))</f>
        <v>#VALUE!</v>
      </c>
      <c r="Z100" t="e">
        <f ca="1">IF((A1)=(2),"",IF((96)=(Z4),IF(IF((INDEX(B1:XFD1,((A3)+(1))+(0)))=("store"),(INDEX(B1:XFD1,((A3)+(1))+(1)))=("Z"),"false"),B3,Z100),Z100))</f>
        <v>#VALUE!</v>
      </c>
      <c r="AA100" t="e">
        <f ca="1">IF((A1)=(2),"",IF((96)=(AA4),IF(IF((INDEX(B1:XFD1,((A3)+(1))+(0)))=("store"),(INDEX(B1:XFD1,((A3)+(1))+(1)))=("AA"),"false"),B3,AA100),AA100))</f>
        <v>#VALUE!</v>
      </c>
      <c r="AB100" t="e">
        <f ca="1">IF((A1)=(2),"",IF((96)=(AB4),IF(IF((INDEX(B1:XFD1,((A3)+(1))+(0)))=("store"),(INDEX(B1:XFD1,((A3)+(1))+(1)))=("AB"),"false"),B3,AB100),AB100))</f>
        <v>#VALUE!</v>
      </c>
      <c r="AC100" t="e">
        <f ca="1">IF((A1)=(2),"",IF((96)=(AC4),IF(IF((INDEX(B1:XFD1,((A3)+(1))+(0)))=("store"),(INDEX(B1:XFD1,((A3)+(1))+(1)))=("AC"),"false"),B3,AC100),AC100))</f>
        <v>#VALUE!</v>
      </c>
      <c r="AD100" t="e">
        <f ca="1">IF((A1)=(2),"",IF((96)=(AD4),IF(IF((INDEX(B1:XFD1,((A3)+(1))+(0)))=("store"),(INDEX(B1:XFD1,((A3)+(1))+(1)))=("AD"),"false"),B3,AD100),AD100))</f>
        <v>#VALUE!</v>
      </c>
    </row>
    <row r="101" spans="1:30" x14ac:dyDescent="0.25">
      <c r="A101" t="e">
        <f ca="1">IF((A1)=(2),"",IF((97)=(A4),IF(("call")=(INDEX(B1:XFD1,((A3)+(1))+(0))),(B3)*(2),IF(("goto")=(INDEX(B1:XFD1,((A3)+(1))+(0))),(INDEX(B1:XFD1,((A3)+(1))+(1)))*(2),IF(("gotoiftrue")=(INDEX(B1:XFD1,((A3)+(1))+(0))),IF(B3,(INDEX(B1:XFD1,((A3)+(1))+(1)))*(2),(A101)+(2)),(A101)+(2)))),A101))</f>
        <v>#VALUE!</v>
      </c>
      <c r="B101" t="e">
        <f ca="1">IF((A1)=(2),"",IF((97)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101)+(1)),IF(("add")=(INDEX(B1:XFD1,((A3)+(1))+(0))),(INDEX(B5:B405,(B4)+(1)))+(B101),IF(("equals")=(INDEX(B1:XFD1,((A3)+(1))+(0))),(INDEX(B5:B405,(B4)+(1)))=(B101),IF(("leq")=(INDEX(B1:XFD1,((A3)+(1))+(0))),(INDEX(B5:B405,(B4)+(1)))&lt;=(B101),IF(("greater")=(INDEX(B1:XFD1,((A3)+(1))+(0))),(INDEX(B5:B405,(B4)+(1)))&gt;(B101),IF(("mod")=(INDEX(B1:XFD1,((A3)+(1))+(0))),MOD(INDEX(B5:B405,(B4)+(1)),B101),B101))))))))),B101))</f>
        <v>#VALUE!</v>
      </c>
      <c r="C101" t="e">
        <f ca="1">IF((A1)=(2),1,IF(AND((INDEX(B1:XFD1,((A3)+(1))+(0)))=("writeheap"),(INDEX(B5:B405,(B4)+(1)))=(96)),INDEX(B5:B405,(B4)+(2)),IF((A1)=(2),"",IF((97)=(C4),C101,C101))))</f>
        <v>#VALUE!</v>
      </c>
      <c r="F101" t="e">
        <f ca="1">IF((A1)=(2),"",IF((97)=(F4),IF(IF((INDEX(B1:XFD1,((A3)+(1))+(0)))=("store"),(INDEX(B1:XFD1,((A3)+(1))+(1)))=("F"),"false"),B3,F101),F101))</f>
        <v>#VALUE!</v>
      </c>
      <c r="G101" t="e">
        <f ca="1">IF((A1)=(2),"",IF((97)=(G4),IF(IF((INDEX(B1:XFD1,((A3)+(1))+(0)))=("store"),(INDEX(B1:XFD1,((A3)+(1))+(1)))=("G"),"false"),B3,G101),G101))</f>
        <v>#VALUE!</v>
      </c>
      <c r="H101" t="e">
        <f ca="1">IF((A1)=(2),"",IF((97)=(H4),IF(IF((INDEX(B1:XFD1,((A3)+(1))+(0)))=("store"),(INDEX(B1:XFD1,((A3)+(1))+(1)))=("H"),"false"),B3,H101),H101))</f>
        <v>#VALUE!</v>
      </c>
      <c r="I101" t="e">
        <f ca="1">IF((A1)=(2),"",IF((97)=(I4),IF(IF((INDEX(B1:XFD1,((A3)+(1))+(0)))=("store"),(INDEX(B1:XFD1,((A3)+(1))+(1)))=("I"),"false"),B3,I101),I101))</f>
        <v>#VALUE!</v>
      </c>
      <c r="J101" t="e">
        <f ca="1">IF((A1)=(2),"",IF((97)=(J4),IF(IF((INDEX(B1:XFD1,((A3)+(1))+(0)))=("store"),(INDEX(B1:XFD1,((A3)+(1))+(1)))=("J"),"false"),B3,J101),J101))</f>
        <v>#VALUE!</v>
      </c>
      <c r="K101" t="e">
        <f ca="1">IF((A1)=(2),"",IF((97)=(K4),IF(IF((INDEX(B1:XFD1,((A3)+(1))+(0)))=("store"),(INDEX(B1:XFD1,((A3)+(1))+(1)))=("K"),"false"),B3,K101),K101))</f>
        <v>#VALUE!</v>
      </c>
      <c r="L101" t="e">
        <f ca="1">IF((A1)=(2),"",IF((97)=(L4),IF(IF((INDEX(B1:XFD1,((A3)+(1))+(0)))=("store"),(INDEX(B1:XFD1,((A3)+(1))+(1)))=("L"),"false"),B3,L101),L101))</f>
        <v>#VALUE!</v>
      </c>
      <c r="M101" t="e">
        <f ca="1">IF((A1)=(2),"",IF((97)=(M4),IF(IF((INDEX(B1:XFD1,((A3)+(1))+(0)))=("store"),(INDEX(B1:XFD1,((A3)+(1))+(1)))=("M"),"false"),B3,M101),M101))</f>
        <v>#VALUE!</v>
      </c>
      <c r="N101" t="e">
        <f ca="1">IF((A1)=(2),"",IF((97)=(N4),IF(IF((INDEX(B1:XFD1,((A3)+(1))+(0)))=("store"),(INDEX(B1:XFD1,((A3)+(1))+(1)))=("N"),"false"),B3,N101),N101))</f>
        <v>#VALUE!</v>
      </c>
      <c r="O101" t="e">
        <f ca="1">IF((A1)=(2),"",IF((97)=(O4),IF(IF((INDEX(B1:XFD1,((A3)+(1))+(0)))=("store"),(INDEX(B1:XFD1,((A3)+(1))+(1)))=("O"),"false"),B3,O101),O101))</f>
        <v>#VALUE!</v>
      </c>
      <c r="P101" t="e">
        <f ca="1">IF((A1)=(2),"",IF((97)=(P4),IF(IF((INDEX(B1:XFD1,((A3)+(1))+(0)))=("store"),(INDEX(B1:XFD1,((A3)+(1))+(1)))=("P"),"false"),B3,P101),P101))</f>
        <v>#VALUE!</v>
      </c>
      <c r="Q101" t="e">
        <f ca="1">IF((A1)=(2),"",IF((97)=(Q4),IF(IF((INDEX(B1:XFD1,((A3)+(1))+(0)))=("store"),(INDEX(B1:XFD1,((A3)+(1))+(1)))=("Q"),"false"),B3,Q101),Q101))</f>
        <v>#VALUE!</v>
      </c>
      <c r="R101" t="e">
        <f ca="1">IF((A1)=(2),"",IF((97)=(R4),IF(IF((INDEX(B1:XFD1,((A3)+(1))+(0)))=("store"),(INDEX(B1:XFD1,((A3)+(1))+(1)))=("R"),"false"),B3,R101),R101))</f>
        <v>#VALUE!</v>
      </c>
      <c r="S101" t="e">
        <f ca="1">IF((A1)=(2),"",IF((97)=(S4),IF(IF((INDEX(B1:XFD1,((A3)+(1))+(0)))=("store"),(INDEX(B1:XFD1,((A3)+(1))+(1)))=("S"),"false"),B3,S101),S101))</f>
        <v>#VALUE!</v>
      </c>
      <c r="T101" t="e">
        <f ca="1">IF((A1)=(2),"",IF((97)=(T4),IF(IF((INDEX(B1:XFD1,((A3)+(1))+(0)))=("store"),(INDEX(B1:XFD1,((A3)+(1))+(1)))=("T"),"false"),B3,T101),T101))</f>
        <v>#VALUE!</v>
      </c>
      <c r="U101" t="e">
        <f ca="1">IF((A1)=(2),"",IF((97)=(U4),IF(IF((INDEX(B1:XFD1,((A3)+(1))+(0)))=("store"),(INDEX(B1:XFD1,((A3)+(1))+(1)))=("U"),"false"),B3,U101),U101))</f>
        <v>#VALUE!</v>
      </c>
      <c r="V101" t="e">
        <f ca="1">IF((A1)=(2),"",IF((97)=(V4),IF(IF((INDEX(B1:XFD1,((A3)+(1))+(0)))=("store"),(INDEX(B1:XFD1,((A3)+(1))+(1)))=("V"),"false"),B3,V101),V101))</f>
        <v>#VALUE!</v>
      </c>
      <c r="W101" t="e">
        <f ca="1">IF((A1)=(2),"",IF((97)=(W4),IF(IF((INDEX(B1:XFD1,((A3)+(1))+(0)))=("store"),(INDEX(B1:XFD1,((A3)+(1))+(1)))=("W"),"false"),B3,W101),W101))</f>
        <v>#VALUE!</v>
      </c>
      <c r="X101" t="e">
        <f ca="1">IF((A1)=(2),"",IF((97)=(X4),IF(IF((INDEX(B1:XFD1,((A3)+(1))+(0)))=("store"),(INDEX(B1:XFD1,((A3)+(1))+(1)))=("X"),"false"),B3,X101),X101))</f>
        <v>#VALUE!</v>
      </c>
      <c r="Y101" t="e">
        <f ca="1">IF((A1)=(2),"",IF((97)=(Y4),IF(IF((INDEX(B1:XFD1,((A3)+(1))+(0)))=("store"),(INDEX(B1:XFD1,((A3)+(1))+(1)))=("Y"),"false"),B3,Y101),Y101))</f>
        <v>#VALUE!</v>
      </c>
      <c r="Z101" t="e">
        <f ca="1">IF((A1)=(2),"",IF((97)=(Z4),IF(IF((INDEX(B1:XFD1,((A3)+(1))+(0)))=("store"),(INDEX(B1:XFD1,((A3)+(1))+(1)))=("Z"),"false"),B3,Z101),Z101))</f>
        <v>#VALUE!</v>
      </c>
      <c r="AA101" t="e">
        <f ca="1">IF((A1)=(2),"",IF((97)=(AA4),IF(IF((INDEX(B1:XFD1,((A3)+(1))+(0)))=("store"),(INDEX(B1:XFD1,((A3)+(1))+(1)))=("AA"),"false"),B3,AA101),AA101))</f>
        <v>#VALUE!</v>
      </c>
      <c r="AB101" t="e">
        <f ca="1">IF((A1)=(2),"",IF((97)=(AB4),IF(IF((INDEX(B1:XFD1,((A3)+(1))+(0)))=("store"),(INDEX(B1:XFD1,((A3)+(1))+(1)))=("AB"),"false"),B3,AB101),AB101))</f>
        <v>#VALUE!</v>
      </c>
      <c r="AC101" t="e">
        <f ca="1">IF((A1)=(2),"",IF((97)=(AC4),IF(IF((INDEX(B1:XFD1,((A3)+(1))+(0)))=("store"),(INDEX(B1:XFD1,((A3)+(1))+(1)))=("AC"),"false"),B3,AC101),AC101))</f>
        <v>#VALUE!</v>
      </c>
      <c r="AD101" t="e">
        <f ca="1">IF((A1)=(2),"",IF((97)=(AD4),IF(IF((INDEX(B1:XFD1,((A3)+(1))+(0)))=("store"),(INDEX(B1:XFD1,((A3)+(1))+(1)))=("AD"),"false"),B3,AD101),AD101))</f>
        <v>#VALUE!</v>
      </c>
    </row>
    <row r="102" spans="1:30" x14ac:dyDescent="0.25">
      <c r="A102" t="e">
        <f ca="1">IF((A1)=(2),"",IF((98)=(A4),IF(("call")=(INDEX(B1:XFD1,((A3)+(1))+(0))),(B3)*(2),IF(("goto")=(INDEX(B1:XFD1,((A3)+(1))+(0))),(INDEX(B1:XFD1,((A3)+(1))+(1)))*(2),IF(("gotoiftrue")=(INDEX(B1:XFD1,((A3)+(1))+(0))),IF(B3,(INDEX(B1:XFD1,((A3)+(1))+(1)))*(2),(A102)+(2)),(A102)+(2)))),A102))</f>
        <v>#VALUE!</v>
      </c>
      <c r="B102" t="e">
        <f ca="1">IF((A1)=(2),"",IF((98)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102)+(1)),IF(("add")=(INDEX(B1:XFD1,((A3)+(1))+(0))),(INDEX(B5:B405,(B4)+(1)))+(B102),IF(("equals")=(INDEX(B1:XFD1,((A3)+(1))+(0))),(INDEX(B5:B405,(B4)+(1)))=(B102),IF(("leq")=(INDEX(B1:XFD1,((A3)+(1))+(0))),(INDEX(B5:B405,(B4)+(1)))&lt;=(B102),IF(("greater")=(INDEX(B1:XFD1,((A3)+(1))+(0))),(INDEX(B5:B405,(B4)+(1)))&gt;(B102),IF(("mod")=(INDEX(B1:XFD1,((A3)+(1))+(0))),MOD(INDEX(B5:B405,(B4)+(1)),B102),B102))))))))),B102))</f>
        <v>#VALUE!</v>
      </c>
      <c r="C102" t="e">
        <f ca="1">IF((A1)=(2),1,IF(AND((INDEX(B1:XFD1,((A3)+(1))+(0)))=("writeheap"),(INDEX(B5:B405,(B4)+(1)))=(97)),INDEX(B5:B405,(B4)+(2)),IF((A1)=(2),"",IF((98)=(C4),C102,C102))))</f>
        <v>#VALUE!</v>
      </c>
      <c r="F102" t="e">
        <f ca="1">IF((A1)=(2),"",IF((98)=(F4),IF(IF((INDEX(B1:XFD1,((A3)+(1))+(0)))=("store"),(INDEX(B1:XFD1,((A3)+(1))+(1)))=("F"),"false"),B3,F102),F102))</f>
        <v>#VALUE!</v>
      </c>
      <c r="G102" t="e">
        <f ca="1">IF((A1)=(2),"",IF((98)=(G4),IF(IF((INDEX(B1:XFD1,((A3)+(1))+(0)))=("store"),(INDEX(B1:XFD1,((A3)+(1))+(1)))=("G"),"false"),B3,G102),G102))</f>
        <v>#VALUE!</v>
      </c>
      <c r="H102" t="e">
        <f ca="1">IF((A1)=(2),"",IF((98)=(H4),IF(IF((INDEX(B1:XFD1,((A3)+(1))+(0)))=("store"),(INDEX(B1:XFD1,((A3)+(1))+(1)))=("H"),"false"),B3,H102),H102))</f>
        <v>#VALUE!</v>
      </c>
      <c r="I102" t="e">
        <f ca="1">IF((A1)=(2),"",IF((98)=(I4),IF(IF((INDEX(B1:XFD1,((A3)+(1))+(0)))=("store"),(INDEX(B1:XFD1,((A3)+(1))+(1)))=("I"),"false"),B3,I102),I102))</f>
        <v>#VALUE!</v>
      </c>
      <c r="J102" t="e">
        <f ca="1">IF((A1)=(2),"",IF((98)=(J4),IF(IF((INDEX(B1:XFD1,((A3)+(1))+(0)))=("store"),(INDEX(B1:XFD1,((A3)+(1))+(1)))=("J"),"false"),B3,J102),J102))</f>
        <v>#VALUE!</v>
      </c>
      <c r="K102" t="e">
        <f ca="1">IF((A1)=(2),"",IF((98)=(K4),IF(IF((INDEX(B1:XFD1,((A3)+(1))+(0)))=("store"),(INDEX(B1:XFD1,((A3)+(1))+(1)))=("K"),"false"),B3,K102),K102))</f>
        <v>#VALUE!</v>
      </c>
      <c r="L102" t="e">
        <f ca="1">IF((A1)=(2),"",IF((98)=(L4),IF(IF((INDEX(B1:XFD1,((A3)+(1))+(0)))=("store"),(INDEX(B1:XFD1,((A3)+(1))+(1)))=("L"),"false"),B3,L102),L102))</f>
        <v>#VALUE!</v>
      </c>
      <c r="M102" t="e">
        <f ca="1">IF((A1)=(2),"",IF((98)=(M4),IF(IF((INDEX(B1:XFD1,((A3)+(1))+(0)))=("store"),(INDEX(B1:XFD1,((A3)+(1))+(1)))=("M"),"false"),B3,M102),M102))</f>
        <v>#VALUE!</v>
      </c>
      <c r="N102" t="e">
        <f ca="1">IF((A1)=(2),"",IF((98)=(N4),IF(IF((INDEX(B1:XFD1,((A3)+(1))+(0)))=("store"),(INDEX(B1:XFD1,((A3)+(1))+(1)))=("N"),"false"),B3,N102),N102))</f>
        <v>#VALUE!</v>
      </c>
      <c r="O102" t="e">
        <f ca="1">IF((A1)=(2),"",IF((98)=(O4),IF(IF((INDEX(B1:XFD1,((A3)+(1))+(0)))=("store"),(INDEX(B1:XFD1,((A3)+(1))+(1)))=("O"),"false"),B3,O102),O102))</f>
        <v>#VALUE!</v>
      </c>
      <c r="P102" t="e">
        <f ca="1">IF((A1)=(2),"",IF((98)=(P4),IF(IF((INDEX(B1:XFD1,((A3)+(1))+(0)))=("store"),(INDEX(B1:XFD1,((A3)+(1))+(1)))=("P"),"false"),B3,P102),P102))</f>
        <v>#VALUE!</v>
      </c>
      <c r="Q102" t="e">
        <f ca="1">IF((A1)=(2),"",IF((98)=(Q4),IF(IF((INDEX(B1:XFD1,((A3)+(1))+(0)))=("store"),(INDEX(B1:XFD1,((A3)+(1))+(1)))=("Q"),"false"),B3,Q102),Q102))</f>
        <v>#VALUE!</v>
      </c>
      <c r="R102" t="e">
        <f ca="1">IF((A1)=(2),"",IF((98)=(R4),IF(IF((INDEX(B1:XFD1,((A3)+(1))+(0)))=("store"),(INDEX(B1:XFD1,((A3)+(1))+(1)))=("R"),"false"),B3,R102),R102))</f>
        <v>#VALUE!</v>
      </c>
      <c r="S102" t="e">
        <f ca="1">IF((A1)=(2),"",IF((98)=(S4),IF(IF((INDEX(B1:XFD1,((A3)+(1))+(0)))=("store"),(INDEX(B1:XFD1,((A3)+(1))+(1)))=("S"),"false"),B3,S102),S102))</f>
        <v>#VALUE!</v>
      </c>
      <c r="T102" t="e">
        <f ca="1">IF((A1)=(2),"",IF((98)=(T4),IF(IF((INDEX(B1:XFD1,((A3)+(1))+(0)))=("store"),(INDEX(B1:XFD1,((A3)+(1))+(1)))=("T"),"false"),B3,T102),T102))</f>
        <v>#VALUE!</v>
      </c>
      <c r="U102" t="e">
        <f ca="1">IF((A1)=(2),"",IF((98)=(U4),IF(IF((INDEX(B1:XFD1,((A3)+(1))+(0)))=("store"),(INDEX(B1:XFD1,((A3)+(1))+(1)))=("U"),"false"),B3,U102),U102))</f>
        <v>#VALUE!</v>
      </c>
      <c r="V102" t="e">
        <f ca="1">IF((A1)=(2),"",IF((98)=(V4),IF(IF((INDEX(B1:XFD1,((A3)+(1))+(0)))=("store"),(INDEX(B1:XFD1,((A3)+(1))+(1)))=("V"),"false"),B3,V102),V102))</f>
        <v>#VALUE!</v>
      </c>
      <c r="W102" t="e">
        <f ca="1">IF((A1)=(2),"",IF((98)=(W4),IF(IF((INDEX(B1:XFD1,((A3)+(1))+(0)))=("store"),(INDEX(B1:XFD1,((A3)+(1))+(1)))=("W"),"false"),B3,W102),W102))</f>
        <v>#VALUE!</v>
      </c>
      <c r="X102" t="e">
        <f ca="1">IF((A1)=(2),"",IF((98)=(X4),IF(IF((INDEX(B1:XFD1,((A3)+(1))+(0)))=("store"),(INDEX(B1:XFD1,((A3)+(1))+(1)))=("X"),"false"),B3,X102),X102))</f>
        <v>#VALUE!</v>
      </c>
      <c r="Y102" t="e">
        <f ca="1">IF((A1)=(2),"",IF((98)=(Y4),IF(IF((INDEX(B1:XFD1,((A3)+(1))+(0)))=("store"),(INDEX(B1:XFD1,((A3)+(1))+(1)))=("Y"),"false"),B3,Y102),Y102))</f>
        <v>#VALUE!</v>
      </c>
      <c r="Z102" t="e">
        <f ca="1">IF((A1)=(2),"",IF((98)=(Z4),IF(IF((INDEX(B1:XFD1,((A3)+(1))+(0)))=("store"),(INDEX(B1:XFD1,((A3)+(1))+(1)))=("Z"),"false"),B3,Z102),Z102))</f>
        <v>#VALUE!</v>
      </c>
      <c r="AA102" t="e">
        <f ca="1">IF((A1)=(2),"",IF((98)=(AA4),IF(IF((INDEX(B1:XFD1,((A3)+(1))+(0)))=("store"),(INDEX(B1:XFD1,((A3)+(1))+(1)))=("AA"),"false"),B3,AA102),AA102))</f>
        <v>#VALUE!</v>
      </c>
      <c r="AB102" t="e">
        <f ca="1">IF((A1)=(2),"",IF((98)=(AB4),IF(IF((INDEX(B1:XFD1,((A3)+(1))+(0)))=("store"),(INDEX(B1:XFD1,((A3)+(1))+(1)))=("AB"),"false"),B3,AB102),AB102))</f>
        <v>#VALUE!</v>
      </c>
      <c r="AC102" t="e">
        <f ca="1">IF((A1)=(2),"",IF((98)=(AC4),IF(IF((INDEX(B1:XFD1,((A3)+(1))+(0)))=("store"),(INDEX(B1:XFD1,((A3)+(1))+(1)))=("AC"),"false"),B3,AC102),AC102))</f>
        <v>#VALUE!</v>
      </c>
      <c r="AD102" t="e">
        <f ca="1">IF((A1)=(2),"",IF((98)=(AD4),IF(IF((INDEX(B1:XFD1,((A3)+(1))+(0)))=("store"),(INDEX(B1:XFD1,((A3)+(1))+(1)))=("AD"),"false"),B3,AD102),AD102))</f>
        <v>#VALUE!</v>
      </c>
    </row>
    <row r="103" spans="1:30" x14ac:dyDescent="0.25">
      <c r="A103" t="e">
        <f ca="1">IF((A1)=(2),"",IF((99)=(A4),IF(("call")=(INDEX(B1:XFD1,((A3)+(1))+(0))),(B3)*(2),IF(("goto")=(INDEX(B1:XFD1,((A3)+(1))+(0))),(INDEX(B1:XFD1,((A3)+(1))+(1)))*(2),IF(("gotoiftrue")=(INDEX(B1:XFD1,((A3)+(1))+(0))),IF(B3,(INDEX(B1:XFD1,((A3)+(1))+(1)))*(2),(A103)+(2)),(A103)+(2)))),A103))</f>
        <v>#VALUE!</v>
      </c>
      <c r="B103" t="e">
        <f ca="1">IF((A1)=(2),"",IF((99)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103)+(1)),IF(("add")=(INDEX(B1:XFD1,((A3)+(1))+(0))),(INDEX(B5:B405,(B4)+(1)))+(B103),IF(("equals")=(INDEX(B1:XFD1,((A3)+(1))+(0))),(INDEX(B5:B405,(B4)+(1)))=(B103),IF(("leq")=(INDEX(B1:XFD1,((A3)+(1))+(0))),(INDEX(B5:B405,(B4)+(1)))&lt;=(B103),IF(("greater")=(INDEX(B1:XFD1,((A3)+(1))+(0))),(INDEX(B5:B405,(B4)+(1)))&gt;(B103),IF(("mod")=(INDEX(B1:XFD1,((A3)+(1))+(0))),MOD(INDEX(B5:B405,(B4)+(1)),B103),B103))))))))),B103))</f>
        <v>#VALUE!</v>
      </c>
      <c r="C103" t="e">
        <f ca="1">IF((A1)=(2),1,IF(AND((INDEX(B1:XFD1,((A3)+(1))+(0)))=("writeheap"),(INDEX(B5:B405,(B4)+(1)))=(98)),INDEX(B5:B405,(B4)+(2)),IF((A1)=(2),"",IF((99)=(C4),C103,C103))))</f>
        <v>#VALUE!</v>
      </c>
      <c r="F103" t="e">
        <f ca="1">IF((A1)=(2),"",IF((99)=(F4),IF(IF((INDEX(B1:XFD1,((A3)+(1))+(0)))=("store"),(INDEX(B1:XFD1,((A3)+(1))+(1)))=("F"),"false"),B3,F103),F103))</f>
        <v>#VALUE!</v>
      </c>
      <c r="G103" t="e">
        <f ca="1">IF((A1)=(2),"",IF((99)=(G4),IF(IF((INDEX(B1:XFD1,((A3)+(1))+(0)))=("store"),(INDEX(B1:XFD1,((A3)+(1))+(1)))=("G"),"false"),B3,G103),G103))</f>
        <v>#VALUE!</v>
      </c>
      <c r="H103" t="e">
        <f ca="1">IF((A1)=(2),"",IF((99)=(H4),IF(IF((INDEX(B1:XFD1,((A3)+(1))+(0)))=("store"),(INDEX(B1:XFD1,((A3)+(1))+(1)))=("H"),"false"),B3,H103),H103))</f>
        <v>#VALUE!</v>
      </c>
      <c r="I103" t="e">
        <f ca="1">IF((A1)=(2),"",IF((99)=(I4),IF(IF((INDEX(B1:XFD1,((A3)+(1))+(0)))=("store"),(INDEX(B1:XFD1,((A3)+(1))+(1)))=("I"),"false"),B3,I103),I103))</f>
        <v>#VALUE!</v>
      </c>
      <c r="J103" t="e">
        <f ca="1">IF((A1)=(2),"",IF((99)=(J4),IF(IF((INDEX(B1:XFD1,((A3)+(1))+(0)))=("store"),(INDEX(B1:XFD1,((A3)+(1))+(1)))=("J"),"false"),B3,J103),J103))</f>
        <v>#VALUE!</v>
      </c>
      <c r="K103" t="e">
        <f ca="1">IF((A1)=(2),"",IF((99)=(K4),IF(IF((INDEX(B1:XFD1,((A3)+(1))+(0)))=("store"),(INDEX(B1:XFD1,((A3)+(1))+(1)))=("K"),"false"),B3,K103),K103))</f>
        <v>#VALUE!</v>
      </c>
      <c r="L103" t="e">
        <f ca="1">IF((A1)=(2),"",IF((99)=(L4),IF(IF((INDEX(B1:XFD1,((A3)+(1))+(0)))=("store"),(INDEX(B1:XFD1,((A3)+(1))+(1)))=("L"),"false"),B3,L103),L103))</f>
        <v>#VALUE!</v>
      </c>
      <c r="M103" t="e">
        <f ca="1">IF((A1)=(2),"",IF((99)=(M4),IF(IF((INDEX(B1:XFD1,((A3)+(1))+(0)))=("store"),(INDEX(B1:XFD1,((A3)+(1))+(1)))=("M"),"false"),B3,M103),M103))</f>
        <v>#VALUE!</v>
      </c>
      <c r="N103" t="e">
        <f ca="1">IF((A1)=(2),"",IF((99)=(N4),IF(IF((INDEX(B1:XFD1,((A3)+(1))+(0)))=("store"),(INDEX(B1:XFD1,((A3)+(1))+(1)))=("N"),"false"),B3,N103),N103))</f>
        <v>#VALUE!</v>
      </c>
      <c r="O103" t="e">
        <f ca="1">IF((A1)=(2),"",IF((99)=(O4),IF(IF((INDEX(B1:XFD1,((A3)+(1))+(0)))=("store"),(INDEX(B1:XFD1,((A3)+(1))+(1)))=("O"),"false"),B3,O103),O103))</f>
        <v>#VALUE!</v>
      </c>
      <c r="P103" t="e">
        <f ca="1">IF((A1)=(2),"",IF((99)=(P4),IF(IF((INDEX(B1:XFD1,((A3)+(1))+(0)))=("store"),(INDEX(B1:XFD1,((A3)+(1))+(1)))=("P"),"false"),B3,P103),P103))</f>
        <v>#VALUE!</v>
      </c>
      <c r="Q103" t="e">
        <f ca="1">IF((A1)=(2),"",IF((99)=(Q4),IF(IF((INDEX(B1:XFD1,((A3)+(1))+(0)))=("store"),(INDEX(B1:XFD1,((A3)+(1))+(1)))=("Q"),"false"),B3,Q103),Q103))</f>
        <v>#VALUE!</v>
      </c>
      <c r="R103" t="e">
        <f ca="1">IF((A1)=(2),"",IF((99)=(R4),IF(IF((INDEX(B1:XFD1,((A3)+(1))+(0)))=("store"),(INDEX(B1:XFD1,((A3)+(1))+(1)))=("R"),"false"),B3,R103),R103))</f>
        <v>#VALUE!</v>
      </c>
      <c r="S103" t="e">
        <f ca="1">IF((A1)=(2),"",IF((99)=(S4),IF(IF((INDEX(B1:XFD1,((A3)+(1))+(0)))=("store"),(INDEX(B1:XFD1,((A3)+(1))+(1)))=("S"),"false"),B3,S103),S103))</f>
        <v>#VALUE!</v>
      </c>
      <c r="T103" t="e">
        <f ca="1">IF((A1)=(2),"",IF((99)=(T4),IF(IF((INDEX(B1:XFD1,((A3)+(1))+(0)))=("store"),(INDEX(B1:XFD1,((A3)+(1))+(1)))=("T"),"false"),B3,T103),T103))</f>
        <v>#VALUE!</v>
      </c>
      <c r="U103" t="e">
        <f ca="1">IF((A1)=(2),"",IF((99)=(U4),IF(IF((INDEX(B1:XFD1,((A3)+(1))+(0)))=("store"),(INDEX(B1:XFD1,((A3)+(1))+(1)))=("U"),"false"),B3,U103),U103))</f>
        <v>#VALUE!</v>
      </c>
      <c r="V103" t="e">
        <f ca="1">IF((A1)=(2),"",IF((99)=(V4),IF(IF((INDEX(B1:XFD1,((A3)+(1))+(0)))=("store"),(INDEX(B1:XFD1,((A3)+(1))+(1)))=("V"),"false"),B3,V103),V103))</f>
        <v>#VALUE!</v>
      </c>
      <c r="W103" t="e">
        <f ca="1">IF((A1)=(2),"",IF((99)=(W4),IF(IF((INDEX(B1:XFD1,((A3)+(1))+(0)))=("store"),(INDEX(B1:XFD1,((A3)+(1))+(1)))=("W"),"false"),B3,W103),W103))</f>
        <v>#VALUE!</v>
      </c>
      <c r="X103" t="e">
        <f ca="1">IF((A1)=(2),"",IF((99)=(X4),IF(IF((INDEX(B1:XFD1,((A3)+(1))+(0)))=("store"),(INDEX(B1:XFD1,((A3)+(1))+(1)))=("X"),"false"),B3,X103),X103))</f>
        <v>#VALUE!</v>
      </c>
      <c r="Y103" t="e">
        <f ca="1">IF((A1)=(2),"",IF((99)=(Y4),IF(IF((INDEX(B1:XFD1,((A3)+(1))+(0)))=("store"),(INDEX(B1:XFD1,((A3)+(1))+(1)))=("Y"),"false"),B3,Y103),Y103))</f>
        <v>#VALUE!</v>
      </c>
      <c r="Z103" t="e">
        <f ca="1">IF((A1)=(2),"",IF((99)=(Z4),IF(IF((INDEX(B1:XFD1,((A3)+(1))+(0)))=("store"),(INDEX(B1:XFD1,((A3)+(1))+(1)))=("Z"),"false"),B3,Z103),Z103))</f>
        <v>#VALUE!</v>
      </c>
      <c r="AA103" t="e">
        <f ca="1">IF((A1)=(2),"",IF((99)=(AA4),IF(IF((INDEX(B1:XFD1,((A3)+(1))+(0)))=("store"),(INDEX(B1:XFD1,((A3)+(1))+(1)))=("AA"),"false"),B3,AA103),AA103))</f>
        <v>#VALUE!</v>
      </c>
      <c r="AB103" t="e">
        <f ca="1">IF((A1)=(2),"",IF((99)=(AB4),IF(IF((INDEX(B1:XFD1,((A3)+(1))+(0)))=("store"),(INDEX(B1:XFD1,((A3)+(1))+(1)))=("AB"),"false"),B3,AB103),AB103))</f>
        <v>#VALUE!</v>
      </c>
      <c r="AC103" t="e">
        <f ca="1">IF((A1)=(2),"",IF((99)=(AC4),IF(IF((INDEX(B1:XFD1,((A3)+(1))+(0)))=("store"),(INDEX(B1:XFD1,((A3)+(1))+(1)))=("AC"),"false"),B3,AC103),AC103))</f>
        <v>#VALUE!</v>
      </c>
      <c r="AD103" t="e">
        <f ca="1">IF((A1)=(2),"",IF((99)=(AD4),IF(IF((INDEX(B1:XFD1,((A3)+(1))+(0)))=("store"),(INDEX(B1:XFD1,((A3)+(1))+(1)))=("AD"),"false"),B3,AD103),AD103))</f>
        <v>#VALUE!</v>
      </c>
    </row>
    <row r="104" spans="1:30" x14ac:dyDescent="0.25">
      <c r="A104" t="e">
        <f ca="1">IF((A1)=(2),"",IF((100)=(A4),IF(("call")=(INDEX(B1:XFD1,((A3)+(1))+(0))),(B3)*(2),IF(("goto")=(INDEX(B1:XFD1,((A3)+(1))+(0))),(INDEX(B1:XFD1,((A3)+(1))+(1)))*(2),IF(("gotoiftrue")=(INDEX(B1:XFD1,((A3)+(1))+(0))),IF(B3,(INDEX(B1:XFD1,((A3)+(1))+(1)))*(2),(A104)+(2)),(A104)+(2)))),A104))</f>
        <v>#VALUE!</v>
      </c>
      <c r="B104" t="e">
        <f ca="1">IF((A1)=(2),"",IF((100)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104)+(1)),IF(("add")=(INDEX(B1:XFD1,((A3)+(1))+(0))),(INDEX(B5:B405,(B4)+(1)))+(B104),IF(("equals")=(INDEX(B1:XFD1,((A3)+(1))+(0))),(INDEX(B5:B405,(B4)+(1)))=(B104),IF(("leq")=(INDEX(B1:XFD1,((A3)+(1))+(0))),(INDEX(B5:B405,(B4)+(1)))&lt;=(B104),IF(("greater")=(INDEX(B1:XFD1,((A3)+(1))+(0))),(INDEX(B5:B405,(B4)+(1)))&gt;(B104),IF(("mod")=(INDEX(B1:XFD1,((A3)+(1))+(0))),MOD(INDEX(B5:B405,(B4)+(1)),B104),B104))))))))),B104))</f>
        <v>#VALUE!</v>
      </c>
      <c r="C104" t="e">
        <f ca="1">IF((A1)=(2),1,IF(AND((INDEX(B1:XFD1,((A3)+(1))+(0)))=("writeheap"),(INDEX(B5:B405,(B4)+(1)))=(99)),INDEX(B5:B405,(B4)+(2)),IF((A1)=(2),"",IF((100)=(C4),C104,C104))))</f>
        <v>#VALUE!</v>
      </c>
      <c r="F104" t="e">
        <f ca="1">IF((A1)=(2),"",IF((100)=(F4),IF(IF((INDEX(B1:XFD1,((A3)+(1))+(0)))=("store"),(INDEX(B1:XFD1,((A3)+(1))+(1)))=("F"),"false"),B3,F104),F104))</f>
        <v>#VALUE!</v>
      </c>
      <c r="G104" t="e">
        <f ca="1">IF((A1)=(2),"",IF((100)=(G4),IF(IF((INDEX(B1:XFD1,((A3)+(1))+(0)))=("store"),(INDEX(B1:XFD1,((A3)+(1))+(1)))=("G"),"false"),B3,G104),G104))</f>
        <v>#VALUE!</v>
      </c>
      <c r="H104" t="e">
        <f ca="1">IF((A1)=(2),"",IF((100)=(H4),IF(IF((INDEX(B1:XFD1,((A3)+(1))+(0)))=("store"),(INDEX(B1:XFD1,((A3)+(1))+(1)))=("H"),"false"),B3,H104),H104))</f>
        <v>#VALUE!</v>
      </c>
      <c r="I104" t="e">
        <f ca="1">IF((A1)=(2),"",IF((100)=(I4),IF(IF((INDEX(B1:XFD1,((A3)+(1))+(0)))=("store"),(INDEX(B1:XFD1,((A3)+(1))+(1)))=("I"),"false"),B3,I104),I104))</f>
        <v>#VALUE!</v>
      </c>
      <c r="J104" t="e">
        <f ca="1">IF((A1)=(2),"",IF((100)=(J4),IF(IF((INDEX(B1:XFD1,((A3)+(1))+(0)))=("store"),(INDEX(B1:XFD1,((A3)+(1))+(1)))=("J"),"false"),B3,J104),J104))</f>
        <v>#VALUE!</v>
      </c>
      <c r="K104" t="e">
        <f ca="1">IF((A1)=(2),"",IF((100)=(K4),IF(IF((INDEX(B1:XFD1,((A3)+(1))+(0)))=("store"),(INDEX(B1:XFD1,((A3)+(1))+(1)))=("K"),"false"),B3,K104),K104))</f>
        <v>#VALUE!</v>
      </c>
      <c r="L104" t="e">
        <f ca="1">IF((A1)=(2),"",IF((100)=(L4),IF(IF((INDEX(B1:XFD1,((A3)+(1))+(0)))=("store"),(INDEX(B1:XFD1,((A3)+(1))+(1)))=("L"),"false"),B3,L104),L104))</f>
        <v>#VALUE!</v>
      </c>
      <c r="M104" t="e">
        <f ca="1">IF((A1)=(2),"",IF((100)=(M4),IF(IF((INDEX(B1:XFD1,((A3)+(1))+(0)))=("store"),(INDEX(B1:XFD1,((A3)+(1))+(1)))=("M"),"false"),B3,M104),M104))</f>
        <v>#VALUE!</v>
      </c>
      <c r="N104" t="e">
        <f ca="1">IF((A1)=(2),"",IF((100)=(N4),IF(IF((INDEX(B1:XFD1,((A3)+(1))+(0)))=("store"),(INDEX(B1:XFD1,((A3)+(1))+(1)))=("N"),"false"),B3,N104),N104))</f>
        <v>#VALUE!</v>
      </c>
      <c r="O104" t="e">
        <f ca="1">IF((A1)=(2),"",IF((100)=(O4),IF(IF((INDEX(B1:XFD1,((A3)+(1))+(0)))=("store"),(INDEX(B1:XFD1,((A3)+(1))+(1)))=("O"),"false"),B3,O104),O104))</f>
        <v>#VALUE!</v>
      </c>
      <c r="P104" t="e">
        <f ca="1">IF((A1)=(2),"",IF((100)=(P4),IF(IF((INDEX(B1:XFD1,((A3)+(1))+(0)))=("store"),(INDEX(B1:XFD1,((A3)+(1))+(1)))=("P"),"false"),B3,P104),P104))</f>
        <v>#VALUE!</v>
      </c>
      <c r="Q104" t="e">
        <f ca="1">IF((A1)=(2),"",IF((100)=(Q4),IF(IF((INDEX(B1:XFD1,((A3)+(1))+(0)))=("store"),(INDEX(B1:XFD1,((A3)+(1))+(1)))=("Q"),"false"),B3,Q104),Q104))</f>
        <v>#VALUE!</v>
      </c>
      <c r="R104" t="e">
        <f ca="1">IF((A1)=(2),"",IF((100)=(R4),IF(IF((INDEX(B1:XFD1,((A3)+(1))+(0)))=("store"),(INDEX(B1:XFD1,((A3)+(1))+(1)))=("R"),"false"),B3,R104),R104))</f>
        <v>#VALUE!</v>
      </c>
      <c r="S104" t="e">
        <f ca="1">IF((A1)=(2),"",IF((100)=(S4),IF(IF((INDEX(B1:XFD1,((A3)+(1))+(0)))=("store"),(INDEX(B1:XFD1,((A3)+(1))+(1)))=("S"),"false"),B3,S104),S104))</f>
        <v>#VALUE!</v>
      </c>
      <c r="T104" t="e">
        <f ca="1">IF((A1)=(2),"",IF((100)=(T4),IF(IF((INDEX(B1:XFD1,((A3)+(1))+(0)))=("store"),(INDEX(B1:XFD1,((A3)+(1))+(1)))=("T"),"false"),B3,T104),T104))</f>
        <v>#VALUE!</v>
      </c>
      <c r="U104" t="e">
        <f ca="1">IF((A1)=(2),"",IF((100)=(U4),IF(IF((INDEX(B1:XFD1,((A3)+(1))+(0)))=("store"),(INDEX(B1:XFD1,((A3)+(1))+(1)))=("U"),"false"),B3,U104),U104))</f>
        <v>#VALUE!</v>
      </c>
      <c r="V104" t="e">
        <f ca="1">IF((A1)=(2),"",IF((100)=(V4),IF(IF((INDEX(B1:XFD1,((A3)+(1))+(0)))=("store"),(INDEX(B1:XFD1,((A3)+(1))+(1)))=("V"),"false"),B3,V104),V104))</f>
        <v>#VALUE!</v>
      </c>
      <c r="W104" t="e">
        <f ca="1">IF((A1)=(2),"",IF((100)=(W4),IF(IF((INDEX(B1:XFD1,((A3)+(1))+(0)))=("store"),(INDEX(B1:XFD1,((A3)+(1))+(1)))=("W"),"false"),B3,W104),W104))</f>
        <v>#VALUE!</v>
      </c>
      <c r="X104" t="e">
        <f ca="1">IF((A1)=(2),"",IF((100)=(X4),IF(IF((INDEX(B1:XFD1,((A3)+(1))+(0)))=("store"),(INDEX(B1:XFD1,((A3)+(1))+(1)))=("X"),"false"),B3,X104),X104))</f>
        <v>#VALUE!</v>
      </c>
      <c r="Y104" t="e">
        <f ca="1">IF((A1)=(2),"",IF((100)=(Y4),IF(IF((INDEX(B1:XFD1,((A3)+(1))+(0)))=("store"),(INDEX(B1:XFD1,((A3)+(1))+(1)))=("Y"),"false"),B3,Y104),Y104))</f>
        <v>#VALUE!</v>
      </c>
      <c r="Z104" t="e">
        <f ca="1">IF((A1)=(2),"",IF((100)=(Z4),IF(IF((INDEX(B1:XFD1,((A3)+(1))+(0)))=("store"),(INDEX(B1:XFD1,((A3)+(1))+(1)))=("Z"),"false"),B3,Z104),Z104))</f>
        <v>#VALUE!</v>
      </c>
      <c r="AA104" t="e">
        <f ca="1">IF((A1)=(2),"",IF((100)=(AA4),IF(IF((INDEX(B1:XFD1,((A3)+(1))+(0)))=("store"),(INDEX(B1:XFD1,((A3)+(1))+(1)))=("AA"),"false"),B3,AA104),AA104))</f>
        <v>#VALUE!</v>
      </c>
      <c r="AB104" t="e">
        <f ca="1">IF((A1)=(2),"",IF((100)=(AB4),IF(IF((INDEX(B1:XFD1,((A3)+(1))+(0)))=("store"),(INDEX(B1:XFD1,((A3)+(1))+(1)))=("AB"),"false"),B3,AB104),AB104))</f>
        <v>#VALUE!</v>
      </c>
      <c r="AC104" t="e">
        <f ca="1">IF((A1)=(2),"",IF((100)=(AC4),IF(IF((INDEX(B1:XFD1,((A3)+(1))+(0)))=("store"),(INDEX(B1:XFD1,((A3)+(1))+(1)))=("AC"),"false"),B3,AC104),AC104))</f>
        <v>#VALUE!</v>
      </c>
      <c r="AD104" t="e">
        <f ca="1">IF((A1)=(2),"",IF((100)=(AD4),IF(IF((INDEX(B1:XFD1,((A3)+(1))+(0)))=("store"),(INDEX(B1:XFD1,((A3)+(1))+(1)))=("AD"),"false"),B3,AD104),AD104))</f>
        <v>#VALUE!</v>
      </c>
    </row>
    <row r="105" spans="1:30" x14ac:dyDescent="0.25">
      <c r="A105" t="e">
        <f ca="1">IF((A1)=(2),"",IF((101)=(A4),IF(("call")=(INDEX(B1:XFD1,((A3)+(1))+(0))),(B3)*(2),IF(("goto")=(INDEX(B1:XFD1,((A3)+(1))+(0))),(INDEX(B1:XFD1,((A3)+(1))+(1)))*(2),IF(("gotoiftrue")=(INDEX(B1:XFD1,((A3)+(1))+(0))),IF(B3,(INDEX(B1:XFD1,((A3)+(1))+(1)))*(2),(A105)+(2)),(A105)+(2)))),A105))</f>
        <v>#VALUE!</v>
      </c>
      <c r="B105" t="e">
        <f ca="1">IF((A1)=(2),"",IF((101)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105)+(1)),IF(("add")=(INDEX(B1:XFD1,((A3)+(1))+(0))),(INDEX(B5:B405,(B4)+(1)))+(B105),IF(("equals")=(INDEX(B1:XFD1,((A3)+(1))+(0))),(INDEX(B5:B405,(B4)+(1)))=(B105),IF(("leq")=(INDEX(B1:XFD1,((A3)+(1))+(0))),(INDEX(B5:B405,(B4)+(1)))&lt;=(B105),IF(("greater")=(INDEX(B1:XFD1,((A3)+(1))+(0))),(INDEX(B5:B405,(B4)+(1)))&gt;(B105),IF(("mod")=(INDEX(B1:XFD1,((A3)+(1))+(0))),MOD(INDEX(B5:B405,(B4)+(1)),B105),B105))))))))),B105))</f>
        <v>#VALUE!</v>
      </c>
      <c r="C105" t="e">
        <f ca="1">IF((A1)=(2),1,IF(AND((INDEX(B1:XFD1,((A3)+(1))+(0)))=("writeheap"),(INDEX(B5:B405,(B4)+(1)))=(100)),INDEX(B5:B405,(B4)+(2)),IF((A1)=(2),"",IF((101)=(C4),C105,C105))))</f>
        <v>#VALUE!</v>
      </c>
      <c r="F105" t="e">
        <f ca="1">IF((A1)=(2),"",IF((101)=(F4),IF(IF((INDEX(B1:XFD1,((A3)+(1))+(0)))=("store"),(INDEX(B1:XFD1,((A3)+(1))+(1)))=("F"),"false"),B3,F105),F105))</f>
        <v>#VALUE!</v>
      </c>
      <c r="G105" t="e">
        <f ca="1">IF((A1)=(2),"",IF((101)=(G4),IF(IF((INDEX(B1:XFD1,((A3)+(1))+(0)))=("store"),(INDEX(B1:XFD1,((A3)+(1))+(1)))=("G"),"false"),B3,G105),G105))</f>
        <v>#VALUE!</v>
      </c>
      <c r="H105" t="e">
        <f ca="1">IF((A1)=(2),"",IF((101)=(H4),IF(IF((INDEX(B1:XFD1,((A3)+(1))+(0)))=("store"),(INDEX(B1:XFD1,((A3)+(1))+(1)))=("H"),"false"),B3,H105),H105))</f>
        <v>#VALUE!</v>
      </c>
      <c r="I105" t="e">
        <f ca="1">IF((A1)=(2),"",IF((101)=(I4),IF(IF((INDEX(B1:XFD1,((A3)+(1))+(0)))=("store"),(INDEX(B1:XFD1,((A3)+(1))+(1)))=("I"),"false"),B3,I105),I105))</f>
        <v>#VALUE!</v>
      </c>
      <c r="J105" t="e">
        <f ca="1">IF((A1)=(2),"",IF((101)=(J4),IF(IF((INDEX(B1:XFD1,((A3)+(1))+(0)))=("store"),(INDEX(B1:XFD1,((A3)+(1))+(1)))=("J"),"false"),B3,J105),J105))</f>
        <v>#VALUE!</v>
      </c>
      <c r="K105" t="e">
        <f ca="1">IF((A1)=(2),"",IF((101)=(K4),IF(IF((INDEX(B1:XFD1,((A3)+(1))+(0)))=("store"),(INDEX(B1:XFD1,((A3)+(1))+(1)))=("K"),"false"),B3,K105),K105))</f>
        <v>#VALUE!</v>
      </c>
      <c r="L105" t="e">
        <f ca="1">IF((A1)=(2),"",IF((101)=(L4),IF(IF((INDEX(B1:XFD1,((A3)+(1))+(0)))=("store"),(INDEX(B1:XFD1,((A3)+(1))+(1)))=("L"),"false"),B3,L105),L105))</f>
        <v>#VALUE!</v>
      </c>
      <c r="M105" t="e">
        <f ca="1">IF((A1)=(2),"",IF((101)=(M4),IF(IF((INDEX(B1:XFD1,((A3)+(1))+(0)))=("store"),(INDEX(B1:XFD1,((A3)+(1))+(1)))=("M"),"false"),B3,M105),M105))</f>
        <v>#VALUE!</v>
      </c>
      <c r="N105" t="e">
        <f ca="1">IF((A1)=(2),"",IF((101)=(N4),IF(IF((INDEX(B1:XFD1,((A3)+(1))+(0)))=("store"),(INDEX(B1:XFD1,((A3)+(1))+(1)))=("N"),"false"),B3,N105),N105))</f>
        <v>#VALUE!</v>
      </c>
      <c r="O105" t="e">
        <f ca="1">IF((A1)=(2),"",IF((101)=(O4),IF(IF((INDEX(B1:XFD1,((A3)+(1))+(0)))=("store"),(INDEX(B1:XFD1,((A3)+(1))+(1)))=("O"),"false"),B3,O105),O105))</f>
        <v>#VALUE!</v>
      </c>
      <c r="P105" t="e">
        <f ca="1">IF((A1)=(2),"",IF((101)=(P4),IF(IF((INDEX(B1:XFD1,((A3)+(1))+(0)))=("store"),(INDEX(B1:XFD1,((A3)+(1))+(1)))=("P"),"false"),B3,P105),P105))</f>
        <v>#VALUE!</v>
      </c>
      <c r="Q105" t="e">
        <f ca="1">IF((A1)=(2),"",IF((101)=(Q4),IF(IF((INDEX(B1:XFD1,((A3)+(1))+(0)))=("store"),(INDEX(B1:XFD1,((A3)+(1))+(1)))=("Q"),"false"),B3,Q105),Q105))</f>
        <v>#VALUE!</v>
      </c>
      <c r="R105" t="e">
        <f ca="1">IF((A1)=(2),"",IF((101)=(R4),IF(IF((INDEX(B1:XFD1,((A3)+(1))+(0)))=("store"),(INDEX(B1:XFD1,((A3)+(1))+(1)))=("R"),"false"),B3,R105),R105))</f>
        <v>#VALUE!</v>
      </c>
      <c r="S105" t="e">
        <f ca="1">IF((A1)=(2),"",IF((101)=(S4),IF(IF((INDEX(B1:XFD1,((A3)+(1))+(0)))=("store"),(INDEX(B1:XFD1,((A3)+(1))+(1)))=("S"),"false"),B3,S105),S105))</f>
        <v>#VALUE!</v>
      </c>
      <c r="T105" t="e">
        <f ca="1">IF((A1)=(2),"",IF((101)=(T4),IF(IF((INDEX(B1:XFD1,((A3)+(1))+(0)))=("store"),(INDEX(B1:XFD1,((A3)+(1))+(1)))=("T"),"false"),B3,T105),T105))</f>
        <v>#VALUE!</v>
      </c>
      <c r="U105" t="e">
        <f ca="1">IF((A1)=(2),"",IF((101)=(U4),IF(IF((INDEX(B1:XFD1,((A3)+(1))+(0)))=("store"),(INDEX(B1:XFD1,((A3)+(1))+(1)))=("U"),"false"),B3,U105),U105))</f>
        <v>#VALUE!</v>
      </c>
      <c r="V105" t="e">
        <f ca="1">IF((A1)=(2),"",IF((101)=(V4),IF(IF((INDEX(B1:XFD1,((A3)+(1))+(0)))=("store"),(INDEX(B1:XFD1,((A3)+(1))+(1)))=("V"),"false"),B3,V105),V105))</f>
        <v>#VALUE!</v>
      </c>
      <c r="W105" t="e">
        <f ca="1">IF((A1)=(2),"",IF((101)=(W4),IF(IF((INDEX(B1:XFD1,((A3)+(1))+(0)))=("store"),(INDEX(B1:XFD1,((A3)+(1))+(1)))=("W"),"false"),B3,W105),W105))</f>
        <v>#VALUE!</v>
      </c>
      <c r="X105" t="e">
        <f ca="1">IF((A1)=(2),"",IF((101)=(X4),IF(IF((INDEX(B1:XFD1,((A3)+(1))+(0)))=("store"),(INDEX(B1:XFD1,((A3)+(1))+(1)))=("X"),"false"),B3,X105),X105))</f>
        <v>#VALUE!</v>
      </c>
      <c r="Y105" t="e">
        <f ca="1">IF((A1)=(2),"",IF((101)=(Y4),IF(IF((INDEX(B1:XFD1,((A3)+(1))+(0)))=("store"),(INDEX(B1:XFD1,((A3)+(1))+(1)))=("Y"),"false"),B3,Y105),Y105))</f>
        <v>#VALUE!</v>
      </c>
      <c r="Z105" t="e">
        <f ca="1">IF((A1)=(2),"",IF((101)=(Z4),IF(IF((INDEX(B1:XFD1,((A3)+(1))+(0)))=("store"),(INDEX(B1:XFD1,((A3)+(1))+(1)))=("Z"),"false"),B3,Z105),Z105))</f>
        <v>#VALUE!</v>
      </c>
      <c r="AA105" t="e">
        <f ca="1">IF((A1)=(2),"",IF((101)=(AA4),IF(IF((INDEX(B1:XFD1,((A3)+(1))+(0)))=("store"),(INDEX(B1:XFD1,((A3)+(1))+(1)))=("AA"),"false"),B3,AA105),AA105))</f>
        <v>#VALUE!</v>
      </c>
      <c r="AB105" t="e">
        <f ca="1">IF((A1)=(2),"",IF((101)=(AB4),IF(IF((INDEX(B1:XFD1,((A3)+(1))+(0)))=("store"),(INDEX(B1:XFD1,((A3)+(1))+(1)))=("AB"),"false"),B3,AB105),AB105))</f>
        <v>#VALUE!</v>
      </c>
      <c r="AC105" t="e">
        <f ca="1">IF((A1)=(2),"",IF((101)=(AC4),IF(IF((INDEX(B1:XFD1,((A3)+(1))+(0)))=("store"),(INDEX(B1:XFD1,((A3)+(1))+(1)))=("AC"),"false"),B3,AC105),AC105))</f>
        <v>#VALUE!</v>
      </c>
      <c r="AD105" t="e">
        <f ca="1">IF((A1)=(2),"",IF((101)=(AD4),IF(IF((INDEX(B1:XFD1,((A3)+(1))+(0)))=("store"),(INDEX(B1:XFD1,((A3)+(1))+(1)))=("AD"),"false"),B3,AD105),AD105))</f>
        <v>#VALUE!</v>
      </c>
    </row>
    <row r="106" spans="1:30" x14ac:dyDescent="0.25">
      <c r="A106" t="e">
        <f ca="1">IF((A1)=(2),"",IF((102)=(A4),IF(("call")=(INDEX(B1:XFD1,((A3)+(1))+(0))),(B3)*(2),IF(("goto")=(INDEX(B1:XFD1,((A3)+(1))+(0))),(INDEX(B1:XFD1,((A3)+(1))+(1)))*(2),IF(("gotoiftrue")=(INDEX(B1:XFD1,((A3)+(1))+(0))),IF(B3,(INDEX(B1:XFD1,((A3)+(1))+(1)))*(2),(A106)+(2)),(A106)+(2)))),A106))</f>
        <v>#VALUE!</v>
      </c>
      <c r="B106" t="e">
        <f ca="1">IF((A1)=(2),"",IF((102)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106)+(1)),IF(("add")=(INDEX(B1:XFD1,((A3)+(1))+(0))),(INDEX(B5:B405,(B4)+(1)))+(B106),IF(("equals")=(INDEX(B1:XFD1,((A3)+(1))+(0))),(INDEX(B5:B405,(B4)+(1)))=(B106),IF(("leq")=(INDEX(B1:XFD1,((A3)+(1))+(0))),(INDEX(B5:B405,(B4)+(1)))&lt;=(B106),IF(("greater")=(INDEX(B1:XFD1,((A3)+(1))+(0))),(INDEX(B5:B405,(B4)+(1)))&gt;(B106),IF(("mod")=(INDEX(B1:XFD1,((A3)+(1))+(0))),MOD(INDEX(B5:B405,(B4)+(1)),B106),B106))))))))),B106))</f>
        <v>#VALUE!</v>
      </c>
      <c r="C106" t="e">
        <f ca="1">IF((A1)=(2),1,IF(AND((INDEX(B1:XFD1,((A3)+(1))+(0)))=("writeheap"),(INDEX(B5:B405,(B4)+(1)))=(101)),INDEX(B5:B405,(B4)+(2)),IF((A1)=(2),"",IF((102)=(C4),C106,C106))))</f>
        <v>#VALUE!</v>
      </c>
      <c r="F106" t="e">
        <f ca="1">IF((A1)=(2),"",IF((102)=(F4),IF(IF((INDEX(B1:XFD1,((A3)+(1))+(0)))=("store"),(INDEX(B1:XFD1,((A3)+(1))+(1)))=("F"),"false"),B3,F106),F106))</f>
        <v>#VALUE!</v>
      </c>
      <c r="G106" t="e">
        <f ca="1">IF((A1)=(2),"",IF((102)=(G4),IF(IF((INDEX(B1:XFD1,((A3)+(1))+(0)))=("store"),(INDEX(B1:XFD1,((A3)+(1))+(1)))=("G"),"false"),B3,G106),G106))</f>
        <v>#VALUE!</v>
      </c>
      <c r="H106" t="e">
        <f ca="1">IF((A1)=(2),"",IF((102)=(H4),IF(IF((INDEX(B1:XFD1,((A3)+(1))+(0)))=("store"),(INDEX(B1:XFD1,((A3)+(1))+(1)))=("H"),"false"),B3,H106),H106))</f>
        <v>#VALUE!</v>
      </c>
      <c r="I106" t="e">
        <f ca="1">IF((A1)=(2),"",IF((102)=(I4),IF(IF((INDEX(B1:XFD1,((A3)+(1))+(0)))=("store"),(INDEX(B1:XFD1,((A3)+(1))+(1)))=("I"),"false"),B3,I106),I106))</f>
        <v>#VALUE!</v>
      </c>
      <c r="J106" t="e">
        <f ca="1">IF((A1)=(2),"",IF((102)=(J4),IF(IF((INDEX(B1:XFD1,((A3)+(1))+(0)))=("store"),(INDEX(B1:XFD1,((A3)+(1))+(1)))=("J"),"false"),B3,J106),J106))</f>
        <v>#VALUE!</v>
      </c>
      <c r="K106" t="e">
        <f ca="1">IF((A1)=(2),"",IF((102)=(K4),IF(IF((INDEX(B1:XFD1,((A3)+(1))+(0)))=("store"),(INDEX(B1:XFD1,((A3)+(1))+(1)))=("K"),"false"),B3,K106),K106))</f>
        <v>#VALUE!</v>
      </c>
      <c r="L106" t="e">
        <f ca="1">IF((A1)=(2),"",IF((102)=(L4),IF(IF((INDEX(B1:XFD1,((A3)+(1))+(0)))=("store"),(INDEX(B1:XFD1,((A3)+(1))+(1)))=("L"),"false"),B3,L106),L106))</f>
        <v>#VALUE!</v>
      </c>
      <c r="M106" t="e">
        <f ca="1">IF((A1)=(2),"",IF((102)=(M4),IF(IF((INDEX(B1:XFD1,((A3)+(1))+(0)))=("store"),(INDEX(B1:XFD1,((A3)+(1))+(1)))=("M"),"false"),B3,M106),M106))</f>
        <v>#VALUE!</v>
      </c>
      <c r="N106" t="e">
        <f ca="1">IF((A1)=(2),"",IF((102)=(N4),IF(IF((INDEX(B1:XFD1,((A3)+(1))+(0)))=("store"),(INDEX(B1:XFD1,((A3)+(1))+(1)))=("N"),"false"),B3,N106),N106))</f>
        <v>#VALUE!</v>
      </c>
      <c r="O106" t="e">
        <f ca="1">IF((A1)=(2),"",IF((102)=(O4),IF(IF((INDEX(B1:XFD1,((A3)+(1))+(0)))=("store"),(INDEX(B1:XFD1,((A3)+(1))+(1)))=("O"),"false"),B3,O106),O106))</f>
        <v>#VALUE!</v>
      </c>
      <c r="P106" t="e">
        <f ca="1">IF((A1)=(2),"",IF((102)=(P4),IF(IF((INDEX(B1:XFD1,((A3)+(1))+(0)))=("store"),(INDEX(B1:XFD1,((A3)+(1))+(1)))=("P"),"false"),B3,P106),P106))</f>
        <v>#VALUE!</v>
      </c>
      <c r="Q106" t="e">
        <f ca="1">IF((A1)=(2),"",IF((102)=(Q4),IF(IF((INDEX(B1:XFD1,((A3)+(1))+(0)))=("store"),(INDEX(B1:XFD1,((A3)+(1))+(1)))=("Q"),"false"),B3,Q106),Q106))</f>
        <v>#VALUE!</v>
      </c>
      <c r="R106" t="e">
        <f ca="1">IF((A1)=(2),"",IF((102)=(R4),IF(IF((INDEX(B1:XFD1,((A3)+(1))+(0)))=("store"),(INDEX(B1:XFD1,((A3)+(1))+(1)))=("R"),"false"),B3,R106),R106))</f>
        <v>#VALUE!</v>
      </c>
      <c r="S106" t="e">
        <f ca="1">IF((A1)=(2),"",IF((102)=(S4),IF(IF((INDEX(B1:XFD1,((A3)+(1))+(0)))=("store"),(INDEX(B1:XFD1,((A3)+(1))+(1)))=("S"),"false"),B3,S106),S106))</f>
        <v>#VALUE!</v>
      </c>
      <c r="T106" t="e">
        <f ca="1">IF((A1)=(2),"",IF((102)=(T4),IF(IF((INDEX(B1:XFD1,((A3)+(1))+(0)))=("store"),(INDEX(B1:XFD1,((A3)+(1))+(1)))=("T"),"false"),B3,T106),T106))</f>
        <v>#VALUE!</v>
      </c>
      <c r="U106" t="e">
        <f ca="1">IF((A1)=(2),"",IF((102)=(U4),IF(IF((INDEX(B1:XFD1,((A3)+(1))+(0)))=("store"),(INDEX(B1:XFD1,((A3)+(1))+(1)))=("U"),"false"),B3,U106),U106))</f>
        <v>#VALUE!</v>
      </c>
      <c r="V106" t="e">
        <f ca="1">IF((A1)=(2),"",IF((102)=(V4),IF(IF((INDEX(B1:XFD1,((A3)+(1))+(0)))=("store"),(INDEX(B1:XFD1,((A3)+(1))+(1)))=("V"),"false"),B3,V106),V106))</f>
        <v>#VALUE!</v>
      </c>
      <c r="W106" t="e">
        <f ca="1">IF((A1)=(2),"",IF((102)=(W4),IF(IF((INDEX(B1:XFD1,((A3)+(1))+(0)))=("store"),(INDEX(B1:XFD1,((A3)+(1))+(1)))=("W"),"false"),B3,W106),W106))</f>
        <v>#VALUE!</v>
      </c>
      <c r="X106" t="e">
        <f ca="1">IF((A1)=(2),"",IF((102)=(X4),IF(IF((INDEX(B1:XFD1,((A3)+(1))+(0)))=("store"),(INDEX(B1:XFD1,((A3)+(1))+(1)))=("X"),"false"),B3,X106),X106))</f>
        <v>#VALUE!</v>
      </c>
      <c r="Y106" t="e">
        <f ca="1">IF((A1)=(2),"",IF((102)=(Y4),IF(IF((INDEX(B1:XFD1,((A3)+(1))+(0)))=("store"),(INDEX(B1:XFD1,((A3)+(1))+(1)))=("Y"),"false"),B3,Y106),Y106))</f>
        <v>#VALUE!</v>
      </c>
      <c r="Z106" t="e">
        <f ca="1">IF((A1)=(2),"",IF((102)=(Z4),IF(IF((INDEX(B1:XFD1,((A3)+(1))+(0)))=("store"),(INDEX(B1:XFD1,((A3)+(1))+(1)))=("Z"),"false"),B3,Z106),Z106))</f>
        <v>#VALUE!</v>
      </c>
      <c r="AA106" t="e">
        <f ca="1">IF((A1)=(2),"",IF((102)=(AA4),IF(IF((INDEX(B1:XFD1,((A3)+(1))+(0)))=("store"),(INDEX(B1:XFD1,((A3)+(1))+(1)))=("AA"),"false"),B3,AA106),AA106))</f>
        <v>#VALUE!</v>
      </c>
      <c r="AB106" t="e">
        <f ca="1">IF((A1)=(2),"",IF((102)=(AB4),IF(IF((INDEX(B1:XFD1,((A3)+(1))+(0)))=("store"),(INDEX(B1:XFD1,((A3)+(1))+(1)))=("AB"),"false"),B3,AB106),AB106))</f>
        <v>#VALUE!</v>
      </c>
      <c r="AC106" t="e">
        <f ca="1">IF((A1)=(2),"",IF((102)=(AC4),IF(IF((INDEX(B1:XFD1,((A3)+(1))+(0)))=("store"),(INDEX(B1:XFD1,((A3)+(1))+(1)))=("AC"),"false"),B3,AC106),AC106))</f>
        <v>#VALUE!</v>
      </c>
      <c r="AD106" t="e">
        <f ca="1">IF((A1)=(2),"",IF((102)=(AD4),IF(IF((INDEX(B1:XFD1,((A3)+(1))+(0)))=("store"),(INDEX(B1:XFD1,((A3)+(1))+(1)))=("AD"),"false"),B3,AD106),AD106))</f>
        <v>#VALUE!</v>
      </c>
    </row>
    <row r="107" spans="1:30" x14ac:dyDescent="0.25">
      <c r="A107" t="e">
        <f ca="1">IF((A1)=(2),"",IF((103)=(A4),IF(("call")=(INDEX(B1:XFD1,((A3)+(1))+(0))),(B3)*(2),IF(("goto")=(INDEX(B1:XFD1,((A3)+(1))+(0))),(INDEX(B1:XFD1,((A3)+(1))+(1)))*(2),IF(("gotoiftrue")=(INDEX(B1:XFD1,((A3)+(1))+(0))),IF(B3,(INDEX(B1:XFD1,((A3)+(1))+(1)))*(2),(A107)+(2)),(A107)+(2)))),A107))</f>
        <v>#VALUE!</v>
      </c>
      <c r="B107" t="e">
        <f ca="1">IF((A1)=(2),"",IF((103)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107)+(1)),IF(("add")=(INDEX(B1:XFD1,((A3)+(1))+(0))),(INDEX(B5:B405,(B4)+(1)))+(B107),IF(("equals")=(INDEX(B1:XFD1,((A3)+(1))+(0))),(INDEX(B5:B405,(B4)+(1)))=(B107),IF(("leq")=(INDEX(B1:XFD1,((A3)+(1))+(0))),(INDEX(B5:B405,(B4)+(1)))&lt;=(B107),IF(("greater")=(INDEX(B1:XFD1,((A3)+(1))+(0))),(INDEX(B5:B405,(B4)+(1)))&gt;(B107),IF(("mod")=(INDEX(B1:XFD1,((A3)+(1))+(0))),MOD(INDEX(B5:B405,(B4)+(1)),B107),B107))))))))),B107))</f>
        <v>#VALUE!</v>
      </c>
      <c r="C107" t="e">
        <f ca="1">IF((A1)=(2),1,IF(AND((INDEX(B1:XFD1,((A3)+(1))+(0)))=("writeheap"),(INDEX(B5:B405,(B4)+(1)))=(102)),INDEX(B5:B405,(B4)+(2)),IF((A1)=(2),"",IF((103)=(C4),C107,C107))))</f>
        <v>#VALUE!</v>
      </c>
      <c r="F107" t="e">
        <f ca="1">IF((A1)=(2),"",IF((103)=(F4),IF(IF((INDEX(B1:XFD1,((A3)+(1))+(0)))=("store"),(INDEX(B1:XFD1,((A3)+(1))+(1)))=("F"),"false"),B3,F107),F107))</f>
        <v>#VALUE!</v>
      </c>
      <c r="G107" t="e">
        <f ca="1">IF((A1)=(2),"",IF((103)=(G4),IF(IF((INDEX(B1:XFD1,((A3)+(1))+(0)))=("store"),(INDEX(B1:XFD1,((A3)+(1))+(1)))=("G"),"false"),B3,G107),G107))</f>
        <v>#VALUE!</v>
      </c>
      <c r="H107" t="e">
        <f ca="1">IF((A1)=(2),"",IF((103)=(H4),IF(IF((INDEX(B1:XFD1,((A3)+(1))+(0)))=("store"),(INDEX(B1:XFD1,((A3)+(1))+(1)))=("H"),"false"),B3,H107),H107))</f>
        <v>#VALUE!</v>
      </c>
      <c r="I107" t="e">
        <f ca="1">IF((A1)=(2),"",IF((103)=(I4),IF(IF((INDEX(B1:XFD1,((A3)+(1))+(0)))=("store"),(INDEX(B1:XFD1,((A3)+(1))+(1)))=("I"),"false"),B3,I107),I107))</f>
        <v>#VALUE!</v>
      </c>
      <c r="J107" t="e">
        <f ca="1">IF((A1)=(2),"",IF((103)=(J4),IF(IF((INDEX(B1:XFD1,((A3)+(1))+(0)))=("store"),(INDEX(B1:XFD1,((A3)+(1))+(1)))=("J"),"false"),B3,J107),J107))</f>
        <v>#VALUE!</v>
      </c>
      <c r="K107" t="e">
        <f ca="1">IF((A1)=(2),"",IF((103)=(K4),IF(IF((INDEX(B1:XFD1,((A3)+(1))+(0)))=("store"),(INDEX(B1:XFD1,((A3)+(1))+(1)))=("K"),"false"),B3,K107),K107))</f>
        <v>#VALUE!</v>
      </c>
      <c r="L107" t="e">
        <f ca="1">IF((A1)=(2),"",IF((103)=(L4),IF(IF((INDEX(B1:XFD1,((A3)+(1))+(0)))=("store"),(INDEX(B1:XFD1,((A3)+(1))+(1)))=("L"),"false"),B3,L107),L107))</f>
        <v>#VALUE!</v>
      </c>
      <c r="M107" t="e">
        <f ca="1">IF((A1)=(2),"",IF((103)=(M4),IF(IF((INDEX(B1:XFD1,((A3)+(1))+(0)))=("store"),(INDEX(B1:XFD1,((A3)+(1))+(1)))=("M"),"false"),B3,M107),M107))</f>
        <v>#VALUE!</v>
      </c>
      <c r="N107" t="e">
        <f ca="1">IF((A1)=(2),"",IF((103)=(N4),IF(IF((INDEX(B1:XFD1,((A3)+(1))+(0)))=("store"),(INDEX(B1:XFD1,((A3)+(1))+(1)))=("N"),"false"),B3,N107),N107))</f>
        <v>#VALUE!</v>
      </c>
      <c r="O107" t="e">
        <f ca="1">IF((A1)=(2),"",IF((103)=(O4),IF(IF((INDEX(B1:XFD1,((A3)+(1))+(0)))=("store"),(INDEX(B1:XFD1,((A3)+(1))+(1)))=("O"),"false"),B3,O107),O107))</f>
        <v>#VALUE!</v>
      </c>
      <c r="P107" t="e">
        <f ca="1">IF((A1)=(2),"",IF((103)=(P4),IF(IF((INDEX(B1:XFD1,((A3)+(1))+(0)))=("store"),(INDEX(B1:XFD1,((A3)+(1))+(1)))=("P"),"false"),B3,P107),P107))</f>
        <v>#VALUE!</v>
      </c>
      <c r="Q107" t="e">
        <f ca="1">IF((A1)=(2),"",IF((103)=(Q4),IF(IF((INDEX(B1:XFD1,((A3)+(1))+(0)))=("store"),(INDEX(B1:XFD1,((A3)+(1))+(1)))=("Q"),"false"),B3,Q107),Q107))</f>
        <v>#VALUE!</v>
      </c>
      <c r="R107" t="e">
        <f ca="1">IF((A1)=(2),"",IF((103)=(R4),IF(IF((INDEX(B1:XFD1,((A3)+(1))+(0)))=("store"),(INDEX(B1:XFD1,((A3)+(1))+(1)))=("R"),"false"),B3,R107),R107))</f>
        <v>#VALUE!</v>
      </c>
      <c r="S107" t="e">
        <f ca="1">IF((A1)=(2),"",IF((103)=(S4),IF(IF((INDEX(B1:XFD1,((A3)+(1))+(0)))=("store"),(INDEX(B1:XFD1,((A3)+(1))+(1)))=("S"),"false"),B3,S107),S107))</f>
        <v>#VALUE!</v>
      </c>
      <c r="T107" t="e">
        <f ca="1">IF((A1)=(2),"",IF((103)=(T4),IF(IF((INDEX(B1:XFD1,((A3)+(1))+(0)))=("store"),(INDEX(B1:XFD1,((A3)+(1))+(1)))=("T"),"false"),B3,T107),T107))</f>
        <v>#VALUE!</v>
      </c>
      <c r="U107" t="e">
        <f ca="1">IF((A1)=(2),"",IF((103)=(U4),IF(IF((INDEX(B1:XFD1,((A3)+(1))+(0)))=("store"),(INDEX(B1:XFD1,((A3)+(1))+(1)))=("U"),"false"),B3,U107),U107))</f>
        <v>#VALUE!</v>
      </c>
      <c r="V107" t="e">
        <f ca="1">IF((A1)=(2),"",IF((103)=(V4),IF(IF((INDEX(B1:XFD1,((A3)+(1))+(0)))=("store"),(INDEX(B1:XFD1,((A3)+(1))+(1)))=("V"),"false"),B3,V107),V107))</f>
        <v>#VALUE!</v>
      </c>
      <c r="W107" t="e">
        <f ca="1">IF((A1)=(2),"",IF((103)=(W4),IF(IF((INDEX(B1:XFD1,((A3)+(1))+(0)))=("store"),(INDEX(B1:XFD1,((A3)+(1))+(1)))=("W"),"false"),B3,W107),W107))</f>
        <v>#VALUE!</v>
      </c>
      <c r="X107" t="e">
        <f ca="1">IF((A1)=(2),"",IF((103)=(X4),IF(IF((INDEX(B1:XFD1,((A3)+(1))+(0)))=("store"),(INDEX(B1:XFD1,((A3)+(1))+(1)))=("X"),"false"),B3,X107),X107))</f>
        <v>#VALUE!</v>
      </c>
      <c r="Y107" t="e">
        <f ca="1">IF((A1)=(2),"",IF((103)=(Y4),IF(IF((INDEX(B1:XFD1,((A3)+(1))+(0)))=("store"),(INDEX(B1:XFD1,((A3)+(1))+(1)))=("Y"),"false"),B3,Y107),Y107))</f>
        <v>#VALUE!</v>
      </c>
      <c r="Z107" t="e">
        <f ca="1">IF((A1)=(2),"",IF((103)=(Z4),IF(IF((INDEX(B1:XFD1,((A3)+(1))+(0)))=("store"),(INDEX(B1:XFD1,((A3)+(1))+(1)))=("Z"),"false"),B3,Z107),Z107))</f>
        <v>#VALUE!</v>
      </c>
      <c r="AA107" t="e">
        <f ca="1">IF((A1)=(2),"",IF((103)=(AA4),IF(IF((INDEX(B1:XFD1,((A3)+(1))+(0)))=("store"),(INDEX(B1:XFD1,((A3)+(1))+(1)))=("AA"),"false"),B3,AA107),AA107))</f>
        <v>#VALUE!</v>
      </c>
      <c r="AB107" t="e">
        <f ca="1">IF((A1)=(2),"",IF((103)=(AB4),IF(IF((INDEX(B1:XFD1,((A3)+(1))+(0)))=("store"),(INDEX(B1:XFD1,((A3)+(1))+(1)))=("AB"),"false"),B3,AB107),AB107))</f>
        <v>#VALUE!</v>
      </c>
      <c r="AC107" t="e">
        <f ca="1">IF((A1)=(2),"",IF((103)=(AC4),IF(IF((INDEX(B1:XFD1,((A3)+(1))+(0)))=("store"),(INDEX(B1:XFD1,((A3)+(1))+(1)))=("AC"),"false"),B3,AC107),AC107))</f>
        <v>#VALUE!</v>
      </c>
      <c r="AD107" t="e">
        <f ca="1">IF((A1)=(2),"",IF((103)=(AD4),IF(IF((INDEX(B1:XFD1,((A3)+(1))+(0)))=("store"),(INDEX(B1:XFD1,((A3)+(1))+(1)))=("AD"),"false"),B3,AD107),AD107))</f>
        <v>#VALUE!</v>
      </c>
    </row>
    <row r="108" spans="1:30" x14ac:dyDescent="0.25">
      <c r="A108" t="e">
        <f ca="1">IF((A1)=(2),"",IF((104)=(A4),IF(("call")=(INDEX(B1:XFD1,((A3)+(1))+(0))),(B3)*(2),IF(("goto")=(INDEX(B1:XFD1,((A3)+(1))+(0))),(INDEX(B1:XFD1,((A3)+(1))+(1)))*(2),IF(("gotoiftrue")=(INDEX(B1:XFD1,((A3)+(1))+(0))),IF(B3,(INDEX(B1:XFD1,((A3)+(1))+(1)))*(2),(A108)+(2)),(A108)+(2)))),A108))</f>
        <v>#VALUE!</v>
      </c>
      <c r="B108" t="e">
        <f ca="1">IF((A1)=(2),"",IF((104)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108)+(1)),IF(("add")=(INDEX(B1:XFD1,((A3)+(1))+(0))),(INDEX(B5:B405,(B4)+(1)))+(B108),IF(("equals")=(INDEX(B1:XFD1,((A3)+(1))+(0))),(INDEX(B5:B405,(B4)+(1)))=(B108),IF(("leq")=(INDEX(B1:XFD1,((A3)+(1))+(0))),(INDEX(B5:B405,(B4)+(1)))&lt;=(B108),IF(("greater")=(INDEX(B1:XFD1,((A3)+(1))+(0))),(INDEX(B5:B405,(B4)+(1)))&gt;(B108),IF(("mod")=(INDEX(B1:XFD1,((A3)+(1))+(0))),MOD(INDEX(B5:B405,(B4)+(1)),B108),B108))))))))),B108))</f>
        <v>#VALUE!</v>
      </c>
      <c r="C108" t="e">
        <f ca="1">IF((A1)=(2),1,IF(AND((INDEX(B1:XFD1,((A3)+(1))+(0)))=("writeheap"),(INDEX(B5:B405,(B4)+(1)))=(103)),INDEX(B5:B405,(B4)+(2)),IF((A1)=(2),"",IF((104)=(C4),C108,C108))))</f>
        <v>#VALUE!</v>
      </c>
      <c r="F108" t="e">
        <f ca="1">IF((A1)=(2),"",IF((104)=(F4),IF(IF((INDEX(B1:XFD1,((A3)+(1))+(0)))=("store"),(INDEX(B1:XFD1,((A3)+(1))+(1)))=("F"),"false"),B3,F108),F108))</f>
        <v>#VALUE!</v>
      </c>
      <c r="G108" t="e">
        <f ca="1">IF((A1)=(2),"",IF((104)=(G4),IF(IF((INDEX(B1:XFD1,((A3)+(1))+(0)))=("store"),(INDEX(B1:XFD1,((A3)+(1))+(1)))=("G"),"false"),B3,G108),G108))</f>
        <v>#VALUE!</v>
      </c>
      <c r="H108" t="e">
        <f ca="1">IF((A1)=(2),"",IF((104)=(H4),IF(IF((INDEX(B1:XFD1,((A3)+(1))+(0)))=("store"),(INDEX(B1:XFD1,((A3)+(1))+(1)))=("H"),"false"),B3,H108),H108))</f>
        <v>#VALUE!</v>
      </c>
      <c r="I108" t="e">
        <f ca="1">IF((A1)=(2),"",IF((104)=(I4),IF(IF((INDEX(B1:XFD1,((A3)+(1))+(0)))=("store"),(INDEX(B1:XFD1,((A3)+(1))+(1)))=("I"),"false"),B3,I108),I108))</f>
        <v>#VALUE!</v>
      </c>
      <c r="J108" t="e">
        <f ca="1">IF((A1)=(2),"",IF((104)=(J4),IF(IF((INDEX(B1:XFD1,((A3)+(1))+(0)))=("store"),(INDEX(B1:XFD1,((A3)+(1))+(1)))=("J"),"false"),B3,J108),J108))</f>
        <v>#VALUE!</v>
      </c>
      <c r="K108" t="e">
        <f ca="1">IF((A1)=(2),"",IF((104)=(K4),IF(IF((INDEX(B1:XFD1,((A3)+(1))+(0)))=("store"),(INDEX(B1:XFD1,((A3)+(1))+(1)))=("K"),"false"),B3,K108),K108))</f>
        <v>#VALUE!</v>
      </c>
      <c r="L108" t="e">
        <f ca="1">IF((A1)=(2),"",IF((104)=(L4),IF(IF((INDEX(B1:XFD1,((A3)+(1))+(0)))=("store"),(INDEX(B1:XFD1,((A3)+(1))+(1)))=("L"),"false"),B3,L108),L108))</f>
        <v>#VALUE!</v>
      </c>
      <c r="M108" t="e">
        <f ca="1">IF((A1)=(2),"",IF((104)=(M4),IF(IF((INDEX(B1:XFD1,((A3)+(1))+(0)))=("store"),(INDEX(B1:XFD1,((A3)+(1))+(1)))=("M"),"false"),B3,M108),M108))</f>
        <v>#VALUE!</v>
      </c>
      <c r="N108" t="e">
        <f ca="1">IF((A1)=(2),"",IF((104)=(N4),IF(IF((INDEX(B1:XFD1,((A3)+(1))+(0)))=("store"),(INDEX(B1:XFD1,((A3)+(1))+(1)))=("N"),"false"),B3,N108),N108))</f>
        <v>#VALUE!</v>
      </c>
      <c r="O108" t="e">
        <f ca="1">IF((A1)=(2),"",IF((104)=(O4),IF(IF((INDEX(B1:XFD1,((A3)+(1))+(0)))=("store"),(INDEX(B1:XFD1,((A3)+(1))+(1)))=("O"),"false"),B3,O108),O108))</f>
        <v>#VALUE!</v>
      </c>
      <c r="P108" t="e">
        <f ca="1">IF((A1)=(2),"",IF((104)=(P4),IF(IF((INDEX(B1:XFD1,((A3)+(1))+(0)))=("store"),(INDEX(B1:XFD1,((A3)+(1))+(1)))=("P"),"false"),B3,P108),P108))</f>
        <v>#VALUE!</v>
      </c>
      <c r="Q108" t="e">
        <f ca="1">IF((A1)=(2),"",IF((104)=(Q4),IF(IF((INDEX(B1:XFD1,((A3)+(1))+(0)))=("store"),(INDEX(B1:XFD1,((A3)+(1))+(1)))=("Q"),"false"),B3,Q108),Q108))</f>
        <v>#VALUE!</v>
      </c>
      <c r="R108" t="e">
        <f ca="1">IF((A1)=(2),"",IF((104)=(R4),IF(IF((INDEX(B1:XFD1,((A3)+(1))+(0)))=("store"),(INDEX(B1:XFD1,((A3)+(1))+(1)))=("R"),"false"),B3,R108),R108))</f>
        <v>#VALUE!</v>
      </c>
      <c r="S108" t="e">
        <f ca="1">IF((A1)=(2),"",IF((104)=(S4),IF(IF((INDEX(B1:XFD1,((A3)+(1))+(0)))=("store"),(INDEX(B1:XFD1,((A3)+(1))+(1)))=("S"),"false"),B3,S108),S108))</f>
        <v>#VALUE!</v>
      </c>
      <c r="T108" t="e">
        <f ca="1">IF((A1)=(2),"",IF((104)=(T4),IF(IF((INDEX(B1:XFD1,((A3)+(1))+(0)))=("store"),(INDEX(B1:XFD1,((A3)+(1))+(1)))=("T"),"false"),B3,T108),T108))</f>
        <v>#VALUE!</v>
      </c>
      <c r="U108" t="e">
        <f ca="1">IF((A1)=(2),"",IF((104)=(U4),IF(IF((INDEX(B1:XFD1,((A3)+(1))+(0)))=("store"),(INDEX(B1:XFD1,((A3)+(1))+(1)))=("U"),"false"),B3,U108),U108))</f>
        <v>#VALUE!</v>
      </c>
      <c r="V108" t="e">
        <f ca="1">IF((A1)=(2),"",IF((104)=(V4),IF(IF((INDEX(B1:XFD1,((A3)+(1))+(0)))=("store"),(INDEX(B1:XFD1,((A3)+(1))+(1)))=("V"),"false"),B3,V108),V108))</f>
        <v>#VALUE!</v>
      </c>
      <c r="W108" t="e">
        <f ca="1">IF((A1)=(2),"",IF((104)=(W4),IF(IF((INDEX(B1:XFD1,((A3)+(1))+(0)))=("store"),(INDEX(B1:XFD1,((A3)+(1))+(1)))=("W"),"false"),B3,W108),W108))</f>
        <v>#VALUE!</v>
      </c>
      <c r="X108" t="e">
        <f ca="1">IF((A1)=(2),"",IF((104)=(X4),IF(IF((INDEX(B1:XFD1,((A3)+(1))+(0)))=("store"),(INDEX(B1:XFD1,((A3)+(1))+(1)))=("X"),"false"),B3,X108),X108))</f>
        <v>#VALUE!</v>
      </c>
      <c r="Y108" t="e">
        <f ca="1">IF((A1)=(2),"",IF((104)=(Y4),IF(IF((INDEX(B1:XFD1,((A3)+(1))+(0)))=("store"),(INDEX(B1:XFD1,((A3)+(1))+(1)))=("Y"),"false"),B3,Y108),Y108))</f>
        <v>#VALUE!</v>
      </c>
      <c r="Z108" t="e">
        <f ca="1">IF((A1)=(2),"",IF((104)=(Z4),IF(IF((INDEX(B1:XFD1,((A3)+(1))+(0)))=("store"),(INDEX(B1:XFD1,((A3)+(1))+(1)))=("Z"),"false"),B3,Z108),Z108))</f>
        <v>#VALUE!</v>
      </c>
      <c r="AA108" t="e">
        <f ca="1">IF((A1)=(2),"",IF((104)=(AA4),IF(IF((INDEX(B1:XFD1,((A3)+(1))+(0)))=("store"),(INDEX(B1:XFD1,((A3)+(1))+(1)))=("AA"),"false"),B3,AA108),AA108))</f>
        <v>#VALUE!</v>
      </c>
      <c r="AB108" t="e">
        <f ca="1">IF((A1)=(2),"",IF((104)=(AB4),IF(IF((INDEX(B1:XFD1,((A3)+(1))+(0)))=("store"),(INDEX(B1:XFD1,((A3)+(1))+(1)))=("AB"),"false"),B3,AB108),AB108))</f>
        <v>#VALUE!</v>
      </c>
      <c r="AC108" t="e">
        <f ca="1">IF((A1)=(2),"",IF((104)=(AC4),IF(IF((INDEX(B1:XFD1,((A3)+(1))+(0)))=("store"),(INDEX(B1:XFD1,((A3)+(1))+(1)))=("AC"),"false"),B3,AC108),AC108))</f>
        <v>#VALUE!</v>
      </c>
      <c r="AD108" t="e">
        <f ca="1">IF((A1)=(2),"",IF((104)=(AD4),IF(IF((INDEX(B1:XFD1,((A3)+(1))+(0)))=("store"),(INDEX(B1:XFD1,((A3)+(1))+(1)))=("AD"),"false"),B3,AD108),AD108))</f>
        <v>#VALUE!</v>
      </c>
    </row>
    <row r="109" spans="1:30" x14ac:dyDescent="0.25">
      <c r="A109" t="e">
        <f ca="1">IF((A1)=(2),"",IF((105)=(A4),IF(("call")=(INDEX(B1:XFD1,((A3)+(1))+(0))),(B3)*(2),IF(("goto")=(INDEX(B1:XFD1,((A3)+(1))+(0))),(INDEX(B1:XFD1,((A3)+(1))+(1)))*(2),IF(("gotoiftrue")=(INDEX(B1:XFD1,((A3)+(1))+(0))),IF(B3,(INDEX(B1:XFD1,((A3)+(1))+(1)))*(2),(A109)+(2)),(A109)+(2)))),A109))</f>
        <v>#VALUE!</v>
      </c>
      <c r="B109" t="e">
        <f ca="1">IF((A1)=(2),"",IF((105)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109)+(1)),IF(("add")=(INDEX(B1:XFD1,((A3)+(1))+(0))),(INDEX(B5:B405,(B4)+(1)))+(B109),IF(("equals")=(INDEX(B1:XFD1,((A3)+(1))+(0))),(INDEX(B5:B405,(B4)+(1)))=(B109),IF(("leq")=(INDEX(B1:XFD1,((A3)+(1))+(0))),(INDEX(B5:B405,(B4)+(1)))&lt;=(B109),IF(("greater")=(INDEX(B1:XFD1,((A3)+(1))+(0))),(INDEX(B5:B405,(B4)+(1)))&gt;(B109),IF(("mod")=(INDEX(B1:XFD1,((A3)+(1))+(0))),MOD(INDEX(B5:B405,(B4)+(1)),B109),B109))))))))),B109))</f>
        <v>#VALUE!</v>
      </c>
      <c r="C109" t="e">
        <f ca="1">IF((A1)=(2),1,IF(AND((INDEX(B1:XFD1,((A3)+(1))+(0)))=("writeheap"),(INDEX(B5:B405,(B4)+(1)))=(104)),INDEX(B5:B405,(B4)+(2)),IF((A1)=(2),"",IF((105)=(C4),C109,C109))))</f>
        <v>#VALUE!</v>
      </c>
      <c r="F109" t="e">
        <f ca="1">IF((A1)=(2),"",IF((105)=(F4),IF(IF((INDEX(B1:XFD1,((A3)+(1))+(0)))=("store"),(INDEX(B1:XFD1,((A3)+(1))+(1)))=("F"),"false"),B3,F109),F109))</f>
        <v>#VALUE!</v>
      </c>
      <c r="G109" t="e">
        <f ca="1">IF((A1)=(2),"",IF((105)=(G4),IF(IF((INDEX(B1:XFD1,((A3)+(1))+(0)))=("store"),(INDEX(B1:XFD1,((A3)+(1))+(1)))=("G"),"false"),B3,G109),G109))</f>
        <v>#VALUE!</v>
      </c>
      <c r="H109" t="e">
        <f ca="1">IF((A1)=(2),"",IF((105)=(H4),IF(IF((INDEX(B1:XFD1,((A3)+(1))+(0)))=("store"),(INDEX(B1:XFD1,((A3)+(1))+(1)))=("H"),"false"),B3,H109),H109))</f>
        <v>#VALUE!</v>
      </c>
      <c r="I109" t="e">
        <f ca="1">IF((A1)=(2),"",IF((105)=(I4),IF(IF((INDEX(B1:XFD1,((A3)+(1))+(0)))=("store"),(INDEX(B1:XFD1,((A3)+(1))+(1)))=("I"),"false"),B3,I109),I109))</f>
        <v>#VALUE!</v>
      </c>
      <c r="J109" t="e">
        <f ca="1">IF((A1)=(2),"",IF((105)=(J4),IF(IF((INDEX(B1:XFD1,((A3)+(1))+(0)))=("store"),(INDEX(B1:XFD1,((A3)+(1))+(1)))=("J"),"false"),B3,J109),J109))</f>
        <v>#VALUE!</v>
      </c>
      <c r="K109" t="e">
        <f ca="1">IF((A1)=(2),"",IF((105)=(K4),IF(IF((INDEX(B1:XFD1,((A3)+(1))+(0)))=("store"),(INDEX(B1:XFD1,((A3)+(1))+(1)))=("K"),"false"),B3,K109),K109))</f>
        <v>#VALUE!</v>
      </c>
      <c r="L109" t="e">
        <f ca="1">IF((A1)=(2),"",IF((105)=(L4),IF(IF((INDEX(B1:XFD1,((A3)+(1))+(0)))=("store"),(INDEX(B1:XFD1,((A3)+(1))+(1)))=("L"),"false"),B3,L109),L109))</f>
        <v>#VALUE!</v>
      </c>
      <c r="M109" t="e">
        <f ca="1">IF((A1)=(2),"",IF((105)=(M4),IF(IF((INDEX(B1:XFD1,((A3)+(1))+(0)))=("store"),(INDEX(B1:XFD1,((A3)+(1))+(1)))=("M"),"false"),B3,M109),M109))</f>
        <v>#VALUE!</v>
      </c>
      <c r="N109" t="e">
        <f ca="1">IF((A1)=(2),"",IF((105)=(N4),IF(IF((INDEX(B1:XFD1,((A3)+(1))+(0)))=("store"),(INDEX(B1:XFD1,((A3)+(1))+(1)))=("N"),"false"),B3,N109),N109))</f>
        <v>#VALUE!</v>
      </c>
      <c r="O109" t="e">
        <f ca="1">IF((A1)=(2),"",IF((105)=(O4),IF(IF((INDEX(B1:XFD1,((A3)+(1))+(0)))=("store"),(INDEX(B1:XFD1,((A3)+(1))+(1)))=("O"),"false"),B3,O109),O109))</f>
        <v>#VALUE!</v>
      </c>
      <c r="P109" t="e">
        <f ca="1">IF((A1)=(2),"",IF((105)=(P4),IF(IF((INDEX(B1:XFD1,((A3)+(1))+(0)))=("store"),(INDEX(B1:XFD1,((A3)+(1))+(1)))=("P"),"false"),B3,P109),P109))</f>
        <v>#VALUE!</v>
      </c>
      <c r="Q109" t="e">
        <f ca="1">IF((A1)=(2),"",IF((105)=(Q4),IF(IF((INDEX(B1:XFD1,((A3)+(1))+(0)))=("store"),(INDEX(B1:XFD1,((A3)+(1))+(1)))=("Q"),"false"),B3,Q109),Q109))</f>
        <v>#VALUE!</v>
      </c>
      <c r="R109" t="e">
        <f ca="1">IF((A1)=(2),"",IF((105)=(R4),IF(IF((INDEX(B1:XFD1,((A3)+(1))+(0)))=("store"),(INDEX(B1:XFD1,((A3)+(1))+(1)))=("R"),"false"),B3,R109),R109))</f>
        <v>#VALUE!</v>
      </c>
      <c r="S109" t="e">
        <f ca="1">IF((A1)=(2),"",IF((105)=(S4),IF(IF((INDEX(B1:XFD1,((A3)+(1))+(0)))=("store"),(INDEX(B1:XFD1,((A3)+(1))+(1)))=("S"),"false"),B3,S109),S109))</f>
        <v>#VALUE!</v>
      </c>
      <c r="T109" t="e">
        <f ca="1">IF((A1)=(2),"",IF((105)=(T4),IF(IF((INDEX(B1:XFD1,((A3)+(1))+(0)))=("store"),(INDEX(B1:XFD1,((A3)+(1))+(1)))=("T"),"false"),B3,T109),T109))</f>
        <v>#VALUE!</v>
      </c>
      <c r="U109" t="e">
        <f ca="1">IF((A1)=(2),"",IF((105)=(U4),IF(IF((INDEX(B1:XFD1,((A3)+(1))+(0)))=("store"),(INDEX(B1:XFD1,((A3)+(1))+(1)))=("U"),"false"),B3,U109),U109))</f>
        <v>#VALUE!</v>
      </c>
      <c r="V109" t="e">
        <f ca="1">IF((A1)=(2),"",IF((105)=(V4),IF(IF((INDEX(B1:XFD1,((A3)+(1))+(0)))=("store"),(INDEX(B1:XFD1,((A3)+(1))+(1)))=("V"),"false"),B3,V109),V109))</f>
        <v>#VALUE!</v>
      </c>
      <c r="W109" t="e">
        <f ca="1">IF((A1)=(2),"",IF((105)=(W4),IF(IF((INDEX(B1:XFD1,((A3)+(1))+(0)))=("store"),(INDEX(B1:XFD1,((A3)+(1))+(1)))=("W"),"false"),B3,W109),W109))</f>
        <v>#VALUE!</v>
      </c>
      <c r="X109" t="e">
        <f ca="1">IF((A1)=(2),"",IF((105)=(X4),IF(IF((INDEX(B1:XFD1,((A3)+(1))+(0)))=("store"),(INDEX(B1:XFD1,((A3)+(1))+(1)))=("X"),"false"),B3,X109),X109))</f>
        <v>#VALUE!</v>
      </c>
      <c r="Y109" t="e">
        <f ca="1">IF((A1)=(2),"",IF((105)=(Y4),IF(IF((INDEX(B1:XFD1,((A3)+(1))+(0)))=("store"),(INDEX(B1:XFD1,((A3)+(1))+(1)))=("Y"),"false"),B3,Y109),Y109))</f>
        <v>#VALUE!</v>
      </c>
      <c r="Z109" t="e">
        <f ca="1">IF((A1)=(2),"",IF((105)=(Z4),IF(IF((INDEX(B1:XFD1,((A3)+(1))+(0)))=("store"),(INDEX(B1:XFD1,((A3)+(1))+(1)))=("Z"),"false"),B3,Z109),Z109))</f>
        <v>#VALUE!</v>
      </c>
      <c r="AA109" t="e">
        <f ca="1">IF((A1)=(2),"",IF((105)=(AA4),IF(IF((INDEX(B1:XFD1,((A3)+(1))+(0)))=("store"),(INDEX(B1:XFD1,((A3)+(1))+(1)))=("AA"),"false"),B3,AA109),AA109))</f>
        <v>#VALUE!</v>
      </c>
      <c r="AB109" t="e">
        <f ca="1">IF((A1)=(2),"",IF((105)=(AB4),IF(IF((INDEX(B1:XFD1,((A3)+(1))+(0)))=("store"),(INDEX(B1:XFD1,((A3)+(1))+(1)))=("AB"),"false"),B3,AB109),AB109))</f>
        <v>#VALUE!</v>
      </c>
      <c r="AC109" t="e">
        <f ca="1">IF((A1)=(2),"",IF((105)=(AC4),IF(IF((INDEX(B1:XFD1,((A3)+(1))+(0)))=("store"),(INDEX(B1:XFD1,((A3)+(1))+(1)))=("AC"),"false"),B3,AC109),AC109))</f>
        <v>#VALUE!</v>
      </c>
      <c r="AD109" t="e">
        <f ca="1">IF((A1)=(2),"",IF((105)=(AD4),IF(IF((INDEX(B1:XFD1,((A3)+(1))+(0)))=("store"),(INDEX(B1:XFD1,((A3)+(1))+(1)))=("AD"),"false"),B3,AD109),AD109))</f>
        <v>#VALUE!</v>
      </c>
    </row>
    <row r="110" spans="1:30" x14ac:dyDescent="0.25">
      <c r="A110" t="e">
        <f ca="1">IF((A1)=(2),"",IF((106)=(A4),IF(("call")=(INDEX(B1:XFD1,((A3)+(1))+(0))),(B3)*(2),IF(("goto")=(INDEX(B1:XFD1,((A3)+(1))+(0))),(INDEX(B1:XFD1,((A3)+(1))+(1)))*(2),IF(("gotoiftrue")=(INDEX(B1:XFD1,((A3)+(1))+(0))),IF(B3,(INDEX(B1:XFD1,((A3)+(1))+(1)))*(2),(A110)+(2)),(A110)+(2)))),A110))</f>
        <v>#VALUE!</v>
      </c>
      <c r="B110" t="e">
        <f ca="1">IF((A1)=(2),"",IF((106)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110)+(1)),IF(("add")=(INDEX(B1:XFD1,((A3)+(1))+(0))),(INDEX(B5:B405,(B4)+(1)))+(B110),IF(("equals")=(INDEX(B1:XFD1,((A3)+(1))+(0))),(INDEX(B5:B405,(B4)+(1)))=(B110),IF(("leq")=(INDEX(B1:XFD1,((A3)+(1))+(0))),(INDEX(B5:B405,(B4)+(1)))&lt;=(B110),IF(("greater")=(INDEX(B1:XFD1,((A3)+(1))+(0))),(INDEX(B5:B405,(B4)+(1)))&gt;(B110),IF(("mod")=(INDEX(B1:XFD1,((A3)+(1))+(0))),MOD(INDEX(B5:B405,(B4)+(1)),B110),B110))))))))),B110))</f>
        <v>#VALUE!</v>
      </c>
      <c r="C110" t="e">
        <f ca="1">IF((A1)=(2),1,IF(AND((INDEX(B1:XFD1,((A3)+(1))+(0)))=("writeheap"),(INDEX(B5:B405,(B4)+(1)))=(105)),INDEX(B5:B405,(B4)+(2)),IF((A1)=(2),"",IF((106)=(C4),C110,C110))))</f>
        <v>#VALUE!</v>
      </c>
      <c r="F110" t="e">
        <f ca="1">IF((A1)=(2),"",IF((106)=(F4),IF(IF((INDEX(B1:XFD1,((A3)+(1))+(0)))=("store"),(INDEX(B1:XFD1,((A3)+(1))+(1)))=("F"),"false"),B3,F110),F110))</f>
        <v>#VALUE!</v>
      </c>
      <c r="G110" t="e">
        <f ca="1">IF((A1)=(2),"",IF((106)=(G4),IF(IF((INDEX(B1:XFD1,((A3)+(1))+(0)))=("store"),(INDEX(B1:XFD1,((A3)+(1))+(1)))=("G"),"false"),B3,G110),G110))</f>
        <v>#VALUE!</v>
      </c>
      <c r="H110" t="e">
        <f ca="1">IF((A1)=(2),"",IF((106)=(H4),IF(IF((INDEX(B1:XFD1,((A3)+(1))+(0)))=("store"),(INDEX(B1:XFD1,((A3)+(1))+(1)))=("H"),"false"),B3,H110),H110))</f>
        <v>#VALUE!</v>
      </c>
      <c r="I110" t="e">
        <f ca="1">IF((A1)=(2),"",IF((106)=(I4),IF(IF((INDEX(B1:XFD1,((A3)+(1))+(0)))=("store"),(INDEX(B1:XFD1,((A3)+(1))+(1)))=("I"),"false"),B3,I110),I110))</f>
        <v>#VALUE!</v>
      </c>
      <c r="J110" t="e">
        <f ca="1">IF((A1)=(2),"",IF((106)=(J4),IF(IF((INDEX(B1:XFD1,((A3)+(1))+(0)))=("store"),(INDEX(B1:XFD1,((A3)+(1))+(1)))=("J"),"false"),B3,J110),J110))</f>
        <v>#VALUE!</v>
      </c>
      <c r="K110" t="e">
        <f ca="1">IF((A1)=(2),"",IF((106)=(K4),IF(IF((INDEX(B1:XFD1,((A3)+(1))+(0)))=("store"),(INDEX(B1:XFD1,((A3)+(1))+(1)))=("K"),"false"),B3,K110),K110))</f>
        <v>#VALUE!</v>
      </c>
      <c r="L110" t="e">
        <f ca="1">IF((A1)=(2),"",IF((106)=(L4),IF(IF((INDEX(B1:XFD1,((A3)+(1))+(0)))=("store"),(INDEX(B1:XFD1,((A3)+(1))+(1)))=("L"),"false"),B3,L110),L110))</f>
        <v>#VALUE!</v>
      </c>
      <c r="M110" t="e">
        <f ca="1">IF((A1)=(2),"",IF((106)=(M4),IF(IF((INDEX(B1:XFD1,((A3)+(1))+(0)))=("store"),(INDEX(B1:XFD1,((A3)+(1))+(1)))=("M"),"false"),B3,M110),M110))</f>
        <v>#VALUE!</v>
      </c>
      <c r="N110" t="e">
        <f ca="1">IF((A1)=(2),"",IF((106)=(N4),IF(IF((INDEX(B1:XFD1,((A3)+(1))+(0)))=("store"),(INDEX(B1:XFD1,((A3)+(1))+(1)))=("N"),"false"),B3,N110),N110))</f>
        <v>#VALUE!</v>
      </c>
      <c r="O110" t="e">
        <f ca="1">IF((A1)=(2),"",IF((106)=(O4),IF(IF((INDEX(B1:XFD1,((A3)+(1))+(0)))=("store"),(INDEX(B1:XFD1,((A3)+(1))+(1)))=("O"),"false"),B3,O110),O110))</f>
        <v>#VALUE!</v>
      </c>
      <c r="P110" t="e">
        <f ca="1">IF((A1)=(2),"",IF((106)=(P4),IF(IF((INDEX(B1:XFD1,((A3)+(1))+(0)))=("store"),(INDEX(B1:XFD1,((A3)+(1))+(1)))=("P"),"false"),B3,P110),P110))</f>
        <v>#VALUE!</v>
      </c>
      <c r="Q110" t="e">
        <f ca="1">IF((A1)=(2),"",IF((106)=(Q4),IF(IF((INDEX(B1:XFD1,((A3)+(1))+(0)))=("store"),(INDEX(B1:XFD1,((A3)+(1))+(1)))=("Q"),"false"),B3,Q110),Q110))</f>
        <v>#VALUE!</v>
      </c>
      <c r="R110" t="e">
        <f ca="1">IF((A1)=(2),"",IF((106)=(R4),IF(IF((INDEX(B1:XFD1,((A3)+(1))+(0)))=("store"),(INDEX(B1:XFD1,((A3)+(1))+(1)))=("R"),"false"),B3,R110),R110))</f>
        <v>#VALUE!</v>
      </c>
      <c r="S110" t="e">
        <f ca="1">IF((A1)=(2),"",IF((106)=(S4),IF(IF((INDEX(B1:XFD1,((A3)+(1))+(0)))=("store"),(INDEX(B1:XFD1,((A3)+(1))+(1)))=("S"),"false"),B3,S110),S110))</f>
        <v>#VALUE!</v>
      </c>
      <c r="T110" t="e">
        <f ca="1">IF((A1)=(2),"",IF((106)=(T4),IF(IF((INDEX(B1:XFD1,((A3)+(1))+(0)))=("store"),(INDEX(B1:XFD1,((A3)+(1))+(1)))=("T"),"false"),B3,T110),T110))</f>
        <v>#VALUE!</v>
      </c>
      <c r="U110" t="e">
        <f ca="1">IF((A1)=(2),"",IF((106)=(U4),IF(IF((INDEX(B1:XFD1,((A3)+(1))+(0)))=("store"),(INDEX(B1:XFD1,((A3)+(1))+(1)))=("U"),"false"),B3,U110),U110))</f>
        <v>#VALUE!</v>
      </c>
      <c r="V110" t="e">
        <f ca="1">IF((A1)=(2),"",IF((106)=(V4),IF(IF((INDEX(B1:XFD1,((A3)+(1))+(0)))=("store"),(INDEX(B1:XFD1,((A3)+(1))+(1)))=("V"),"false"),B3,V110),V110))</f>
        <v>#VALUE!</v>
      </c>
      <c r="W110" t="e">
        <f ca="1">IF((A1)=(2),"",IF((106)=(W4),IF(IF((INDEX(B1:XFD1,((A3)+(1))+(0)))=("store"),(INDEX(B1:XFD1,((A3)+(1))+(1)))=("W"),"false"),B3,W110),W110))</f>
        <v>#VALUE!</v>
      </c>
      <c r="X110" t="e">
        <f ca="1">IF((A1)=(2),"",IF((106)=(X4),IF(IF((INDEX(B1:XFD1,((A3)+(1))+(0)))=("store"),(INDEX(B1:XFD1,((A3)+(1))+(1)))=("X"),"false"),B3,X110),X110))</f>
        <v>#VALUE!</v>
      </c>
      <c r="Y110" t="e">
        <f ca="1">IF((A1)=(2),"",IF((106)=(Y4),IF(IF((INDEX(B1:XFD1,((A3)+(1))+(0)))=("store"),(INDEX(B1:XFD1,((A3)+(1))+(1)))=("Y"),"false"),B3,Y110),Y110))</f>
        <v>#VALUE!</v>
      </c>
      <c r="Z110" t="e">
        <f ca="1">IF((A1)=(2),"",IF((106)=(Z4),IF(IF((INDEX(B1:XFD1,((A3)+(1))+(0)))=("store"),(INDEX(B1:XFD1,((A3)+(1))+(1)))=("Z"),"false"),B3,Z110),Z110))</f>
        <v>#VALUE!</v>
      </c>
      <c r="AA110" t="e">
        <f ca="1">IF((A1)=(2),"",IF((106)=(AA4),IF(IF((INDEX(B1:XFD1,((A3)+(1))+(0)))=("store"),(INDEX(B1:XFD1,((A3)+(1))+(1)))=("AA"),"false"),B3,AA110),AA110))</f>
        <v>#VALUE!</v>
      </c>
      <c r="AB110" t="e">
        <f ca="1">IF((A1)=(2),"",IF((106)=(AB4),IF(IF((INDEX(B1:XFD1,((A3)+(1))+(0)))=("store"),(INDEX(B1:XFD1,((A3)+(1))+(1)))=("AB"),"false"),B3,AB110),AB110))</f>
        <v>#VALUE!</v>
      </c>
      <c r="AC110" t="e">
        <f ca="1">IF((A1)=(2),"",IF((106)=(AC4),IF(IF((INDEX(B1:XFD1,((A3)+(1))+(0)))=("store"),(INDEX(B1:XFD1,((A3)+(1))+(1)))=("AC"),"false"),B3,AC110),AC110))</f>
        <v>#VALUE!</v>
      </c>
      <c r="AD110" t="e">
        <f ca="1">IF((A1)=(2),"",IF((106)=(AD4),IF(IF((INDEX(B1:XFD1,((A3)+(1))+(0)))=("store"),(INDEX(B1:XFD1,((A3)+(1))+(1)))=("AD"),"false"),B3,AD110),AD110))</f>
        <v>#VALUE!</v>
      </c>
    </row>
    <row r="111" spans="1:30" x14ac:dyDescent="0.25">
      <c r="A111" t="e">
        <f ca="1">IF((A1)=(2),"",IF((107)=(A4),IF(("call")=(INDEX(B1:XFD1,((A3)+(1))+(0))),(B3)*(2),IF(("goto")=(INDEX(B1:XFD1,((A3)+(1))+(0))),(INDEX(B1:XFD1,((A3)+(1))+(1)))*(2),IF(("gotoiftrue")=(INDEX(B1:XFD1,((A3)+(1))+(0))),IF(B3,(INDEX(B1:XFD1,((A3)+(1))+(1)))*(2),(A111)+(2)),(A111)+(2)))),A111))</f>
        <v>#VALUE!</v>
      </c>
      <c r="B111" t="e">
        <f ca="1">IF((A1)=(2),"",IF((107)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111)+(1)),IF(("add")=(INDEX(B1:XFD1,((A3)+(1))+(0))),(INDEX(B5:B405,(B4)+(1)))+(B111),IF(("equals")=(INDEX(B1:XFD1,((A3)+(1))+(0))),(INDEX(B5:B405,(B4)+(1)))=(B111),IF(("leq")=(INDEX(B1:XFD1,((A3)+(1))+(0))),(INDEX(B5:B405,(B4)+(1)))&lt;=(B111),IF(("greater")=(INDEX(B1:XFD1,((A3)+(1))+(0))),(INDEX(B5:B405,(B4)+(1)))&gt;(B111),IF(("mod")=(INDEX(B1:XFD1,((A3)+(1))+(0))),MOD(INDEX(B5:B405,(B4)+(1)),B111),B111))))))))),B111))</f>
        <v>#VALUE!</v>
      </c>
      <c r="C111" t="e">
        <f ca="1">IF((A1)=(2),1,IF(AND((INDEX(B1:XFD1,((A3)+(1))+(0)))=("writeheap"),(INDEX(B5:B405,(B4)+(1)))=(106)),INDEX(B5:B405,(B4)+(2)),IF((A1)=(2),"",IF((107)=(C4),C111,C111))))</f>
        <v>#VALUE!</v>
      </c>
      <c r="F111" t="e">
        <f ca="1">IF((A1)=(2),"",IF((107)=(F4),IF(IF((INDEX(B1:XFD1,((A3)+(1))+(0)))=("store"),(INDEX(B1:XFD1,((A3)+(1))+(1)))=("F"),"false"),B3,F111),F111))</f>
        <v>#VALUE!</v>
      </c>
      <c r="G111" t="e">
        <f ca="1">IF((A1)=(2),"",IF((107)=(G4),IF(IF((INDEX(B1:XFD1,((A3)+(1))+(0)))=("store"),(INDEX(B1:XFD1,((A3)+(1))+(1)))=("G"),"false"),B3,G111),G111))</f>
        <v>#VALUE!</v>
      </c>
      <c r="H111" t="e">
        <f ca="1">IF((A1)=(2),"",IF((107)=(H4),IF(IF((INDEX(B1:XFD1,((A3)+(1))+(0)))=("store"),(INDEX(B1:XFD1,((A3)+(1))+(1)))=("H"),"false"),B3,H111),H111))</f>
        <v>#VALUE!</v>
      </c>
      <c r="I111" t="e">
        <f ca="1">IF((A1)=(2),"",IF((107)=(I4),IF(IF((INDEX(B1:XFD1,((A3)+(1))+(0)))=("store"),(INDEX(B1:XFD1,((A3)+(1))+(1)))=("I"),"false"),B3,I111),I111))</f>
        <v>#VALUE!</v>
      </c>
      <c r="J111" t="e">
        <f ca="1">IF((A1)=(2),"",IF((107)=(J4),IF(IF((INDEX(B1:XFD1,((A3)+(1))+(0)))=("store"),(INDEX(B1:XFD1,((A3)+(1))+(1)))=("J"),"false"),B3,J111),J111))</f>
        <v>#VALUE!</v>
      </c>
      <c r="K111" t="e">
        <f ca="1">IF((A1)=(2),"",IF((107)=(K4),IF(IF((INDEX(B1:XFD1,((A3)+(1))+(0)))=("store"),(INDEX(B1:XFD1,((A3)+(1))+(1)))=("K"),"false"),B3,K111),K111))</f>
        <v>#VALUE!</v>
      </c>
      <c r="L111" t="e">
        <f ca="1">IF((A1)=(2),"",IF((107)=(L4),IF(IF((INDEX(B1:XFD1,((A3)+(1))+(0)))=("store"),(INDEX(B1:XFD1,((A3)+(1))+(1)))=("L"),"false"),B3,L111),L111))</f>
        <v>#VALUE!</v>
      </c>
      <c r="M111" t="e">
        <f ca="1">IF((A1)=(2),"",IF((107)=(M4),IF(IF((INDEX(B1:XFD1,((A3)+(1))+(0)))=("store"),(INDEX(B1:XFD1,((A3)+(1))+(1)))=("M"),"false"),B3,M111),M111))</f>
        <v>#VALUE!</v>
      </c>
      <c r="N111" t="e">
        <f ca="1">IF((A1)=(2),"",IF((107)=(N4),IF(IF((INDEX(B1:XFD1,((A3)+(1))+(0)))=("store"),(INDEX(B1:XFD1,((A3)+(1))+(1)))=("N"),"false"),B3,N111),N111))</f>
        <v>#VALUE!</v>
      </c>
      <c r="O111" t="e">
        <f ca="1">IF((A1)=(2),"",IF((107)=(O4),IF(IF((INDEX(B1:XFD1,((A3)+(1))+(0)))=("store"),(INDEX(B1:XFD1,((A3)+(1))+(1)))=("O"),"false"),B3,O111),O111))</f>
        <v>#VALUE!</v>
      </c>
      <c r="P111" t="e">
        <f ca="1">IF((A1)=(2),"",IF((107)=(P4),IF(IF((INDEX(B1:XFD1,((A3)+(1))+(0)))=("store"),(INDEX(B1:XFD1,((A3)+(1))+(1)))=("P"),"false"),B3,P111),P111))</f>
        <v>#VALUE!</v>
      </c>
      <c r="Q111" t="e">
        <f ca="1">IF((A1)=(2),"",IF((107)=(Q4),IF(IF((INDEX(B1:XFD1,((A3)+(1))+(0)))=("store"),(INDEX(B1:XFD1,((A3)+(1))+(1)))=("Q"),"false"),B3,Q111),Q111))</f>
        <v>#VALUE!</v>
      </c>
      <c r="R111" t="e">
        <f ca="1">IF((A1)=(2),"",IF((107)=(R4),IF(IF((INDEX(B1:XFD1,((A3)+(1))+(0)))=("store"),(INDEX(B1:XFD1,((A3)+(1))+(1)))=("R"),"false"),B3,R111),R111))</f>
        <v>#VALUE!</v>
      </c>
      <c r="S111" t="e">
        <f ca="1">IF((A1)=(2),"",IF((107)=(S4),IF(IF((INDEX(B1:XFD1,((A3)+(1))+(0)))=("store"),(INDEX(B1:XFD1,((A3)+(1))+(1)))=("S"),"false"),B3,S111),S111))</f>
        <v>#VALUE!</v>
      </c>
      <c r="T111" t="e">
        <f ca="1">IF((A1)=(2),"",IF((107)=(T4),IF(IF((INDEX(B1:XFD1,((A3)+(1))+(0)))=("store"),(INDEX(B1:XFD1,((A3)+(1))+(1)))=("T"),"false"),B3,T111),T111))</f>
        <v>#VALUE!</v>
      </c>
      <c r="U111" t="e">
        <f ca="1">IF((A1)=(2),"",IF((107)=(U4),IF(IF((INDEX(B1:XFD1,((A3)+(1))+(0)))=("store"),(INDEX(B1:XFD1,((A3)+(1))+(1)))=("U"),"false"),B3,U111),U111))</f>
        <v>#VALUE!</v>
      </c>
      <c r="V111" t="e">
        <f ca="1">IF((A1)=(2),"",IF((107)=(V4),IF(IF((INDEX(B1:XFD1,((A3)+(1))+(0)))=("store"),(INDEX(B1:XFD1,((A3)+(1))+(1)))=("V"),"false"),B3,V111),V111))</f>
        <v>#VALUE!</v>
      </c>
      <c r="W111" t="e">
        <f ca="1">IF((A1)=(2),"",IF((107)=(W4),IF(IF((INDEX(B1:XFD1,((A3)+(1))+(0)))=("store"),(INDEX(B1:XFD1,((A3)+(1))+(1)))=("W"),"false"),B3,W111),W111))</f>
        <v>#VALUE!</v>
      </c>
      <c r="X111" t="e">
        <f ca="1">IF((A1)=(2),"",IF((107)=(X4),IF(IF((INDEX(B1:XFD1,((A3)+(1))+(0)))=("store"),(INDEX(B1:XFD1,((A3)+(1))+(1)))=("X"),"false"),B3,X111),X111))</f>
        <v>#VALUE!</v>
      </c>
      <c r="Y111" t="e">
        <f ca="1">IF((A1)=(2),"",IF((107)=(Y4),IF(IF((INDEX(B1:XFD1,((A3)+(1))+(0)))=("store"),(INDEX(B1:XFD1,((A3)+(1))+(1)))=("Y"),"false"),B3,Y111),Y111))</f>
        <v>#VALUE!</v>
      </c>
      <c r="Z111" t="e">
        <f ca="1">IF((A1)=(2),"",IF((107)=(Z4),IF(IF((INDEX(B1:XFD1,((A3)+(1))+(0)))=("store"),(INDEX(B1:XFD1,((A3)+(1))+(1)))=("Z"),"false"),B3,Z111),Z111))</f>
        <v>#VALUE!</v>
      </c>
      <c r="AA111" t="e">
        <f ca="1">IF((A1)=(2),"",IF((107)=(AA4),IF(IF((INDEX(B1:XFD1,((A3)+(1))+(0)))=("store"),(INDEX(B1:XFD1,((A3)+(1))+(1)))=("AA"),"false"),B3,AA111),AA111))</f>
        <v>#VALUE!</v>
      </c>
      <c r="AB111" t="e">
        <f ca="1">IF((A1)=(2),"",IF((107)=(AB4),IF(IF((INDEX(B1:XFD1,((A3)+(1))+(0)))=("store"),(INDEX(B1:XFD1,((A3)+(1))+(1)))=("AB"),"false"),B3,AB111),AB111))</f>
        <v>#VALUE!</v>
      </c>
      <c r="AC111" t="e">
        <f ca="1">IF((A1)=(2),"",IF((107)=(AC4),IF(IF((INDEX(B1:XFD1,((A3)+(1))+(0)))=("store"),(INDEX(B1:XFD1,((A3)+(1))+(1)))=("AC"),"false"),B3,AC111),AC111))</f>
        <v>#VALUE!</v>
      </c>
      <c r="AD111" t="e">
        <f ca="1">IF((A1)=(2),"",IF((107)=(AD4),IF(IF((INDEX(B1:XFD1,((A3)+(1))+(0)))=("store"),(INDEX(B1:XFD1,((A3)+(1))+(1)))=("AD"),"false"),B3,AD111),AD111))</f>
        <v>#VALUE!</v>
      </c>
    </row>
    <row r="112" spans="1:30" x14ac:dyDescent="0.25">
      <c r="A112" t="e">
        <f ca="1">IF((A1)=(2),"",IF((108)=(A4),IF(("call")=(INDEX(B1:XFD1,((A3)+(1))+(0))),(B3)*(2),IF(("goto")=(INDEX(B1:XFD1,((A3)+(1))+(0))),(INDEX(B1:XFD1,((A3)+(1))+(1)))*(2),IF(("gotoiftrue")=(INDEX(B1:XFD1,((A3)+(1))+(0))),IF(B3,(INDEX(B1:XFD1,((A3)+(1))+(1)))*(2),(A112)+(2)),(A112)+(2)))),A112))</f>
        <v>#VALUE!</v>
      </c>
      <c r="B112" t="e">
        <f ca="1">IF((A1)=(2),"",IF((108)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112)+(1)),IF(("add")=(INDEX(B1:XFD1,((A3)+(1))+(0))),(INDEX(B5:B405,(B4)+(1)))+(B112),IF(("equals")=(INDEX(B1:XFD1,((A3)+(1))+(0))),(INDEX(B5:B405,(B4)+(1)))=(B112),IF(("leq")=(INDEX(B1:XFD1,((A3)+(1))+(0))),(INDEX(B5:B405,(B4)+(1)))&lt;=(B112),IF(("greater")=(INDEX(B1:XFD1,((A3)+(1))+(0))),(INDEX(B5:B405,(B4)+(1)))&gt;(B112),IF(("mod")=(INDEX(B1:XFD1,((A3)+(1))+(0))),MOD(INDEX(B5:B405,(B4)+(1)),B112),B112))))))))),B112))</f>
        <v>#VALUE!</v>
      </c>
      <c r="C112" t="e">
        <f ca="1">IF((A1)=(2),1,IF(AND((INDEX(B1:XFD1,((A3)+(1))+(0)))=("writeheap"),(INDEX(B5:B405,(B4)+(1)))=(107)),INDEX(B5:B405,(B4)+(2)),IF((A1)=(2),"",IF((108)=(C4),C112,C112))))</f>
        <v>#VALUE!</v>
      </c>
      <c r="F112" t="e">
        <f ca="1">IF((A1)=(2),"",IF((108)=(F4),IF(IF((INDEX(B1:XFD1,((A3)+(1))+(0)))=("store"),(INDEX(B1:XFD1,((A3)+(1))+(1)))=("F"),"false"),B3,F112),F112))</f>
        <v>#VALUE!</v>
      </c>
      <c r="G112" t="e">
        <f ca="1">IF((A1)=(2),"",IF((108)=(G4),IF(IF((INDEX(B1:XFD1,((A3)+(1))+(0)))=("store"),(INDEX(B1:XFD1,((A3)+(1))+(1)))=("G"),"false"),B3,G112),G112))</f>
        <v>#VALUE!</v>
      </c>
      <c r="H112" t="e">
        <f ca="1">IF((A1)=(2),"",IF((108)=(H4),IF(IF((INDEX(B1:XFD1,((A3)+(1))+(0)))=("store"),(INDEX(B1:XFD1,((A3)+(1))+(1)))=("H"),"false"),B3,H112),H112))</f>
        <v>#VALUE!</v>
      </c>
      <c r="I112" t="e">
        <f ca="1">IF((A1)=(2),"",IF((108)=(I4),IF(IF((INDEX(B1:XFD1,((A3)+(1))+(0)))=("store"),(INDEX(B1:XFD1,((A3)+(1))+(1)))=("I"),"false"),B3,I112),I112))</f>
        <v>#VALUE!</v>
      </c>
      <c r="J112" t="e">
        <f ca="1">IF((A1)=(2),"",IF((108)=(J4),IF(IF((INDEX(B1:XFD1,((A3)+(1))+(0)))=("store"),(INDEX(B1:XFD1,((A3)+(1))+(1)))=("J"),"false"),B3,J112),J112))</f>
        <v>#VALUE!</v>
      </c>
      <c r="K112" t="e">
        <f ca="1">IF((A1)=(2),"",IF((108)=(K4),IF(IF((INDEX(B1:XFD1,((A3)+(1))+(0)))=("store"),(INDEX(B1:XFD1,((A3)+(1))+(1)))=("K"),"false"),B3,K112),K112))</f>
        <v>#VALUE!</v>
      </c>
      <c r="L112" t="e">
        <f ca="1">IF((A1)=(2),"",IF((108)=(L4),IF(IF((INDEX(B1:XFD1,((A3)+(1))+(0)))=("store"),(INDEX(B1:XFD1,((A3)+(1))+(1)))=("L"),"false"),B3,L112),L112))</f>
        <v>#VALUE!</v>
      </c>
      <c r="M112" t="e">
        <f ca="1">IF((A1)=(2),"",IF((108)=(M4),IF(IF((INDEX(B1:XFD1,((A3)+(1))+(0)))=("store"),(INDEX(B1:XFD1,((A3)+(1))+(1)))=("M"),"false"),B3,M112),M112))</f>
        <v>#VALUE!</v>
      </c>
      <c r="N112" t="e">
        <f ca="1">IF((A1)=(2),"",IF((108)=(N4),IF(IF((INDEX(B1:XFD1,((A3)+(1))+(0)))=("store"),(INDEX(B1:XFD1,((A3)+(1))+(1)))=("N"),"false"),B3,N112),N112))</f>
        <v>#VALUE!</v>
      </c>
      <c r="O112" t="e">
        <f ca="1">IF((A1)=(2),"",IF((108)=(O4),IF(IF((INDEX(B1:XFD1,((A3)+(1))+(0)))=("store"),(INDEX(B1:XFD1,((A3)+(1))+(1)))=("O"),"false"),B3,O112),O112))</f>
        <v>#VALUE!</v>
      </c>
      <c r="P112" t="e">
        <f ca="1">IF((A1)=(2),"",IF((108)=(P4),IF(IF((INDEX(B1:XFD1,((A3)+(1))+(0)))=("store"),(INDEX(B1:XFD1,((A3)+(1))+(1)))=("P"),"false"),B3,P112),P112))</f>
        <v>#VALUE!</v>
      </c>
      <c r="Q112" t="e">
        <f ca="1">IF((A1)=(2),"",IF((108)=(Q4),IF(IF((INDEX(B1:XFD1,((A3)+(1))+(0)))=("store"),(INDEX(B1:XFD1,((A3)+(1))+(1)))=("Q"),"false"),B3,Q112),Q112))</f>
        <v>#VALUE!</v>
      </c>
      <c r="R112" t="e">
        <f ca="1">IF((A1)=(2),"",IF((108)=(R4),IF(IF((INDEX(B1:XFD1,((A3)+(1))+(0)))=("store"),(INDEX(B1:XFD1,((A3)+(1))+(1)))=("R"),"false"),B3,R112),R112))</f>
        <v>#VALUE!</v>
      </c>
      <c r="S112" t="e">
        <f ca="1">IF((A1)=(2),"",IF((108)=(S4),IF(IF((INDEX(B1:XFD1,((A3)+(1))+(0)))=("store"),(INDEX(B1:XFD1,((A3)+(1))+(1)))=("S"),"false"),B3,S112),S112))</f>
        <v>#VALUE!</v>
      </c>
      <c r="T112" t="e">
        <f ca="1">IF((A1)=(2),"",IF((108)=(T4),IF(IF((INDEX(B1:XFD1,((A3)+(1))+(0)))=("store"),(INDEX(B1:XFD1,((A3)+(1))+(1)))=("T"),"false"),B3,T112),T112))</f>
        <v>#VALUE!</v>
      </c>
      <c r="U112" t="e">
        <f ca="1">IF((A1)=(2),"",IF((108)=(U4),IF(IF((INDEX(B1:XFD1,((A3)+(1))+(0)))=("store"),(INDEX(B1:XFD1,((A3)+(1))+(1)))=("U"),"false"),B3,U112),U112))</f>
        <v>#VALUE!</v>
      </c>
      <c r="V112" t="e">
        <f ca="1">IF((A1)=(2),"",IF((108)=(V4),IF(IF((INDEX(B1:XFD1,((A3)+(1))+(0)))=("store"),(INDEX(B1:XFD1,((A3)+(1))+(1)))=("V"),"false"),B3,V112),V112))</f>
        <v>#VALUE!</v>
      </c>
      <c r="W112" t="e">
        <f ca="1">IF((A1)=(2),"",IF((108)=(W4),IF(IF((INDEX(B1:XFD1,((A3)+(1))+(0)))=("store"),(INDEX(B1:XFD1,((A3)+(1))+(1)))=("W"),"false"),B3,W112),W112))</f>
        <v>#VALUE!</v>
      </c>
      <c r="X112" t="e">
        <f ca="1">IF((A1)=(2),"",IF((108)=(X4),IF(IF((INDEX(B1:XFD1,((A3)+(1))+(0)))=("store"),(INDEX(B1:XFD1,((A3)+(1))+(1)))=("X"),"false"),B3,X112),X112))</f>
        <v>#VALUE!</v>
      </c>
      <c r="Y112" t="e">
        <f ca="1">IF((A1)=(2),"",IF((108)=(Y4),IF(IF((INDEX(B1:XFD1,((A3)+(1))+(0)))=("store"),(INDEX(B1:XFD1,((A3)+(1))+(1)))=("Y"),"false"),B3,Y112),Y112))</f>
        <v>#VALUE!</v>
      </c>
      <c r="Z112" t="e">
        <f ca="1">IF((A1)=(2),"",IF((108)=(Z4),IF(IF((INDEX(B1:XFD1,((A3)+(1))+(0)))=("store"),(INDEX(B1:XFD1,((A3)+(1))+(1)))=("Z"),"false"),B3,Z112),Z112))</f>
        <v>#VALUE!</v>
      </c>
      <c r="AA112" t="e">
        <f ca="1">IF((A1)=(2),"",IF((108)=(AA4),IF(IF((INDEX(B1:XFD1,((A3)+(1))+(0)))=("store"),(INDEX(B1:XFD1,((A3)+(1))+(1)))=("AA"),"false"),B3,AA112),AA112))</f>
        <v>#VALUE!</v>
      </c>
      <c r="AB112" t="e">
        <f ca="1">IF((A1)=(2),"",IF((108)=(AB4),IF(IF((INDEX(B1:XFD1,((A3)+(1))+(0)))=("store"),(INDEX(B1:XFD1,((A3)+(1))+(1)))=("AB"),"false"),B3,AB112),AB112))</f>
        <v>#VALUE!</v>
      </c>
      <c r="AC112" t="e">
        <f ca="1">IF((A1)=(2),"",IF((108)=(AC4),IF(IF((INDEX(B1:XFD1,((A3)+(1))+(0)))=("store"),(INDEX(B1:XFD1,((A3)+(1))+(1)))=("AC"),"false"),B3,AC112),AC112))</f>
        <v>#VALUE!</v>
      </c>
      <c r="AD112" t="e">
        <f ca="1">IF((A1)=(2),"",IF((108)=(AD4),IF(IF((INDEX(B1:XFD1,((A3)+(1))+(0)))=("store"),(INDEX(B1:XFD1,((A3)+(1))+(1)))=("AD"),"false"),B3,AD112),AD112))</f>
        <v>#VALUE!</v>
      </c>
    </row>
    <row r="113" spans="1:30" x14ac:dyDescent="0.25">
      <c r="A113" t="e">
        <f ca="1">IF((A1)=(2),"",IF((109)=(A4),IF(("call")=(INDEX(B1:XFD1,((A3)+(1))+(0))),(B3)*(2),IF(("goto")=(INDEX(B1:XFD1,((A3)+(1))+(0))),(INDEX(B1:XFD1,((A3)+(1))+(1)))*(2),IF(("gotoiftrue")=(INDEX(B1:XFD1,((A3)+(1))+(0))),IF(B3,(INDEX(B1:XFD1,((A3)+(1))+(1)))*(2),(A113)+(2)),(A113)+(2)))),A113))</f>
        <v>#VALUE!</v>
      </c>
      <c r="B113" t="e">
        <f ca="1">IF((A1)=(2),"",IF((109)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113)+(1)),IF(("add")=(INDEX(B1:XFD1,((A3)+(1))+(0))),(INDEX(B5:B405,(B4)+(1)))+(B113),IF(("equals")=(INDEX(B1:XFD1,((A3)+(1))+(0))),(INDEX(B5:B405,(B4)+(1)))=(B113),IF(("leq")=(INDEX(B1:XFD1,((A3)+(1))+(0))),(INDEX(B5:B405,(B4)+(1)))&lt;=(B113),IF(("greater")=(INDEX(B1:XFD1,((A3)+(1))+(0))),(INDEX(B5:B405,(B4)+(1)))&gt;(B113),IF(("mod")=(INDEX(B1:XFD1,((A3)+(1))+(0))),MOD(INDEX(B5:B405,(B4)+(1)),B113),B113))))))))),B113))</f>
        <v>#VALUE!</v>
      </c>
      <c r="C113" t="e">
        <f ca="1">IF((A1)=(2),1,IF(AND((INDEX(B1:XFD1,((A3)+(1))+(0)))=("writeheap"),(INDEX(B5:B405,(B4)+(1)))=(108)),INDEX(B5:B405,(B4)+(2)),IF((A1)=(2),"",IF((109)=(C4),C113,C113))))</f>
        <v>#VALUE!</v>
      </c>
      <c r="F113" t="e">
        <f ca="1">IF((A1)=(2),"",IF((109)=(F4),IF(IF((INDEX(B1:XFD1,((A3)+(1))+(0)))=("store"),(INDEX(B1:XFD1,((A3)+(1))+(1)))=("F"),"false"),B3,F113),F113))</f>
        <v>#VALUE!</v>
      </c>
      <c r="G113" t="e">
        <f ca="1">IF((A1)=(2),"",IF((109)=(G4),IF(IF((INDEX(B1:XFD1,((A3)+(1))+(0)))=("store"),(INDEX(B1:XFD1,((A3)+(1))+(1)))=("G"),"false"),B3,G113),G113))</f>
        <v>#VALUE!</v>
      </c>
      <c r="H113" t="e">
        <f ca="1">IF((A1)=(2),"",IF((109)=(H4),IF(IF((INDEX(B1:XFD1,((A3)+(1))+(0)))=("store"),(INDEX(B1:XFD1,((A3)+(1))+(1)))=("H"),"false"),B3,H113),H113))</f>
        <v>#VALUE!</v>
      </c>
      <c r="I113" t="e">
        <f ca="1">IF((A1)=(2),"",IF((109)=(I4),IF(IF((INDEX(B1:XFD1,((A3)+(1))+(0)))=("store"),(INDEX(B1:XFD1,((A3)+(1))+(1)))=("I"),"false"),B3,I113),I113))</f>
        <v>#VALUE!</v>
      </c>
      <c r="J113" t="e">
        <f ca="1">IF((A1)=(2),"",IF((109)=(J4),IF(IF((INDEX(B1:XFD1,((A3)+(1))+(0)))=("store"),(INDEX(B1:XFD1,((A3)+(1))+(1)))=("J"),"false"),B3,J113),J113))</f>
        <v>#VALUE!</v>
      </c>
      <c r="K113" t="e">
        <f ca="1">IF((A1)=(2),"",IF((109)=(K4),IF(IF((INDEX(B1:XFD1,((A3)+(1))+(0)))=("store"),(INDEX(B1:XFD1,((A3)+(1))+(1)))=("K"),"false"),B3,K113),K113))</f>
        <v>#VALUE!</v>
      </c>
      <c r="L113" t="e">
        <f ca="1">IF((A1)=(2),"",IF((109)=(L4),IF(IF((INDEX(B1:XFD1,((A3)+(1))+(0)))=("store"),(INDEX(B1:XFD1,((A3)+(1))+(1)))=("L"),"false"),B3,L113),L113))</f>
        <v>#VALUE!</v>
      </c>
      <c r="M113" t="e">
        <f ca="1">IF((A1)=(2),"",IF((109)=(M4),IF(IF((INDEX(B1:XFD1,((A3)+(1))+(0)))=("store"),(INDEX(B1:XFD1,((A3)+(1))+(1)))=("M"),"false"),B3,M113),M113))</f>
        <v>#VALUE!</v>
      </c>
      <c r="N113" t="e">
        <f ca="1">IF((A1)=(2),"",IF((109)=(N4),IF(IF((INDEX(B1:XFD1,((A3)+(1))+(0)))=("store"),(INDEX(B1:XFD1,((A3)+(1))+(1)))=("N"),"false"),B3,N113),N113))</f>
        <v>#VALUE!</v>
      </c>
      <c r="O113" t="e">
        <f ca="1">IF((A1)=(2),"",IF((109)=(O4),IF(IF((INDEX(B1:XFD1,((A3)+(1))+(0)))=("store"),(INDEX(B1:XFD1,((A3)+(1))+(1)))=("O"),"false"),B3,O113),O113))</f>
        <v>#VALUE!</v>
      </c>
      <c r="P113" t="e">
        <f ca="1">IF((A1)=(2),"",IF((109)=(P4),IF(IF((INDEX(B1:XFD1,((A3)+(1))+(0)))=("store"),(INDEX(B1:XFD1,((A3)+(1))+(1)))=("P"),"false"),B3,P113),P113))</f>
        <v>#VALUE!</v>
      </c>
      <c r="Q113" t="e">
        <f ca="1">IF((A1)=(2),"",IF((109)=(Q4),IF(IF((INDEX(B1:XFD1,((A3)+(1))+(0)))=("store"),(INDEX(B1:XFD1,((A3)+(1))+(1)))=("Q"),"false"),B3,Q113),Q113))</f>
        <v>#VALUE!</v>
      </c>
      <c r="R113" t="e">
        <f ca="1">IF((A1)=(2),"",IF((109)=(R4),IF(IF((INDEX(B1:XFD1,((A3)+(1))+(0)))=("store"),(INDEX(B1:XFD1,((A3)+(1))+(1)))=("R"),"false"),B3,R113),R113))</f>
        <v>#VALUE!</v>
      </c>
      <c r="S113" t="e">
        <f ca="1">IF((A1)=(2),"",IF((109)=(S4),IF(IF((INDEX(B1:XFD1,((A3)+(1))+(0)))=("store"),(INDEX(B1:XFD1,((A3)+(1))+(1)))=("S"),"false"),B3,S113),S113))</f>
        <v>#VALUE!</v>
      </c>
      <c r="T113" t="e">
        <f ca="1">IF((A1)=(2),"",IF((109)=(T4),IF(IF((INDEX(B1:XFD1,((A3)+(1))+(0)))=("store"),(INDEX(B1:XFD1,((A3)+(1))+(1)))=("T"),"false"),B3,T113),T113))</f>
        <v>#VALUE!</v>
      </c>
      <c r="U113" t="e">
        <f ca="1">IF((A1)=(2),"",IF((109)=(U4),IF(IF((INDEX(B1:XFD1,((A3)+(1))+(0)))=("store"),(INDEX(B1:XFD1,((A3)+(1))+(1)))=("U"),"false"),B3,U113),U113))</f>
        <v>#VALUE!</v>
      </c>
      <c r="V113" t="e">
        <f ca="1">IF((A1)=(2),"",IF((109)=(V4),IF(IF((INDEX(B1:XFD1,((A3)+(1))+(0)))=("store"),(INDEX(B1:XFD1,((A3)+(1))+(1)))=("V"),"false"),B3,V113),V113))</f>
        <v>#VALUE!</v>
      </c>
      <c r="W113" t="e">
        <f ca="1">IF((A1)=(2),"",IF((109)=(W4),IF(IF((INDEX(B1:XFD1,((A3)+(1))+(0)))=("store"),(INDEX(B1:XFD1,((A3)+(1))+(1)))=("W"),"false"),B3,W113),W113))</f>
        <v>#VALUE!</v>
      </c>
      <c r="X113" t="e">
        <f ca="1">IF((A1)=(2),"",IF((109)=(X4),IF(IF((INDEX(B1:XFD1,((A3)+(1))+(0)))=("store"),(INDEX(B1:XFD1,((A3)+(1))+(1)))=("X"),"false"),B3,X113),X113))</f>
        <v>#VALUE!</v>
      </c>
      <c r="Y113" t="e">
        <f ca="1">IF((A1)=(2),"",IF((109)=(Y4),IF(IF((INDEX(B1:XFD1,((A3)+(1))+(0)))=("store"),(INDEX(B1:XFD1,((A3)+(1))+(1)))=("Y"),"false"),B3,Y113),Y113))</f>
        <v>#VALUE!</v>
      </c>
      <c r="Z113" t="e">
        <f ca="1">IF((A1)=(2),"",IF((109)=(Z4),IF(IF((INDEX(B1:XFD1,((A3)+(1))+(0)))=("store"),(INDEX(B1:XFD1,((A3)+(1))+(1)))=("Z"),"false"),B3,Z113),Z113))</f>
        <v>#VALUE!</v>
      </c>
      <c r="AA113" t="e">
        <f ca="1">IF((A1)=(2),"",IF((109)=(AA4),IF(IF((INDEX(B1:XFD1,((A3)+(1))+(0)))=("store"),(INDEX(B1:XFD1,((A3)+(1))+(1)))=("AA"),"false"),B3,AA113),AA113))</f>
        <v>#VALUE!</v>
      </c>
      <c r="AB113" t="e">
        <f ca="1">IF((A1)=(2),"",IF((109)=(AB4),IF(IF((INDEX(B1:XFD1,((A3)+(1))+(0)))=("store"),(INDEX(B1:XFD1,((A3)+(1))+(1)))=("AB"),"false"),B3,AB113),AB113))</f>
        <v>#VALUE!</v>
      </c>
      <c r="AC113" t="e">
        <f ca="1">IF((A1)=(2),"",IF((109)=(AC4),IF(IF((INDEX(B1:XFD1,((A3)+(1))+(0)))=("store"),(INDEX(B1:XFD1,((A3)+(1))+(1)))=("AC"),"false"),B3,AC113),AC113))</f>
        <v>#VALUE!</v>
      </c>
      <c r="AD113" t="e">
        <f ca="1">IF((A1)=(2),"",IF((109)=(AD4),IF(IF((INDEX(B1:XFD1,((A3)+(1))+(0)))=("store"),(INDEX(B1:XFD1,((A3)+(1))+(1)))=("AD"),"false"),B3,AD113),AD113))</f>
        <v>#VALUE!</v>
      </c>
    </row>
    <row r="114" spans="1:30" x14ac:dyDescent="0.25">
      <c r="A114" t="e">
        <f ca="1">IF((A1)=(2),"",IF((110)=(A4),IF(("call")=(INDEX(B1:XFD1,((A3)+(1))+(0))),(B3)*(2),IF(("goto")=(INDEX(B1:XFD1,((A3)+(1))+(0))),(INDEX(B1:XFD1,((A3)+(1))+(1)))*(2),IF(("gotoiftrue")=(INDEX(B1:XFD1,((A3)+(1))+(0))),IF(B3,(INDEX(B1:XFD1,((A3)+(1))+(1)))*(2),(A114)+(2)),(A114)+(2)))),A114))</f>
        <v>#VALUE!</v>
      </c>
      <c r="B114" t="e">
        <f ca="1">IF((A1)=(2),"",IF((110)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114)+(1)),IF(("add")=(INDEX(B1:XFD1,((A3)+(1))+(0))),(INDEX(B5:B405,(B4)+(1)))+(B114),IF(("equals")=(INDEX(B1:XFD1,((A3)+(1))+(0))),(INDEX(B5:B405,(B4)+(1)))=(B114),IF(("leq")=(INDEX(B1:XFD1,((A3)+(1))+(0))),(INDEX(B5:B405,(B4)+(1)))&lt;=(B114),IF(("greater")=(INDEX(B1:XFD1,((A3)+(1))+(0))),(INDEX(B5:B405,(B4)+(1)))&gt;(B114),IF(("mod")=(INDEX(B1:XFD1,((A3)+(1))+(0))),MOD(INDEX(B5:B405,(B4)+(1)),B114),B114))))))))),B114))</f>
        <v>#VALUE!</v>
      </c>
      <c r="C114" t="e">
        <f ca="1">IF((A1)=(2),1,IF(AND((INDEX(B1:XFD1,((A3)+(1))+(0)))=("writeheap"),(INDEX(B5:B405,(B4)+(1)))=(109)),INDEX(B5:B405,(B4)+(2)),IF((A1)=(2),"",IF((110)=(C4),C114,C114))))</f>
        <v>#VALUE!</v>
      </c>
      <c r="F114" t="e">
        <f ca="1">IF((A1)=(2),"",IF((110)=(F4),IF(IF((INDEX(B1:XFD1,((A3)+(1))+(0)))=("store"),(INDEX(B1:XFD1,((A3)+(1))+(1)))=("F"),"false"),B3,F114),F114))</f>
        <v>#VALUE!</v>
      </c>
      <c r="G114" t="e">
        <f ca="1">IF((A1)=(2),"",IF((110)=(G4),IF(IF((INDEX(B1:XFD1,((A3)+(1))+(0)))=("store"),(INDEX(B1:XFD1,((A3)+(1))+(1)))=("G"),"false"),B3,G114),G114))</f>
        <v>#VALUE!</v>
      </c>
      <c r="H114" t="e">
        <f ca="1">IF((A1)=(2),"",IF((110)=(H4),IF(IF((INDEX(B1:XFD1,((A3)+(1))+(0)))=("store"),(INDEX(B1:XFD1,((A3)+(1))+(1)))=("H"),"false"),B3,H114),H114))</f>
        <v>#VALUE!</v>
      </c>
      <c r="I114" t="e">
        <f ca="1">IF((A1)=(2),"",IF((110)=(I4),IF(IF((INDEX(B1:XFD1,((A3)+(1))+(0)))=("store"),(INDEX(B1:XFD1,((A3)+(1))+(1)))=("I"),"false"),B3,I114),I114))</f>
        <v>#VALUE!</v>
      </c>
      <c r="J114" t="e">
        <f ca="1">IF((A1)=(2),"",IF((110)=(J4),IF(IF((INDEX(B1:XFD1,((A3)+(1))+(0)))=("store"),(INDEX(B1:XFD1,((A3)+(1))+(1)))=("J"),"false"),B3,J114),J114))</f>
        <v>#VALUE!</v>
      </c>
      <c r="K114" t="e">
        <f ca="1">IF((A1)=(2),"",IF((110)=(K4),IF(IF((INDEX(B1:XFD1,((A3)+(1))+(0)))=("store"),(INDEX(B1:XFD1,((A3)+(1))+(1)))=("K"),"false"),B3,K114),K114))</f>
        <v>#VALUE!</v>
      </c>
      <c r="L114" t="e">
        <f ca="1">IF((A1)=(2),"",IF((110)=(L4),IF(IF((INDEX(B1:XFD1,((A3)+(1))+(0)))=("store"),(INDEX(B1:XFD1,((A3)+(1))+(1)))=("L"),"false"),B3,L114),L114))</f>
        <v>#VALUE!</v>
      </c>
      <c r="M114" t="e">
        <f ca="1">IF((A1)=(2),"",IF((110)=(M4),IF(IF((INDEX(B1:XFD1,((A3)+(1))+(0)))=("store"),(INDEX(B1:XFD1,((A3)+(1))+(1)))=("M"),"false"),B3,M114),M114))</f>
        <v>#VALUE!</v>
      </c>
      <c r="N114" t="e">
        <f ca="1">IF((A1)=(2),"",IF((110)=(N4),IF(IF((INDEX(B1:XFD1,((A3)+(1))+(0)))=("store"),(INDEX(B1:XFD1,((A3)+(1))+(1)))=("N"),"false"),B3,N114),N114))</f>
        <v>#VALUE!</v>
      </c>
      <c r="O114" t="e">
        <f ca="1">IF((A1)=(2),"",IF((110)=(O4),IF(IF((INDEX(B1:XFD1,((A3)+(1))+(0)))=("store"),(INDEX(B1:XFD1,((A3)+(1))+(1)))=("O"),"false"),B3,O114),O114))</f>
        <v>#VALUE!</v>
      </c>
      <c r="P114" t="e">
        <f ca="1">IF((A1)=(2),"",IF((110)=(P4),IF(IF((INDEX(B1:XFD1,((A3)+(1))+(0)))=("store"),(INDEX(B1:XFD1,((A3)+(1))+(1)))=("P"),"false"),B3,P114),P114))</f>
        <v>#VALUE!</v>
      </c>
      <c r="Q114" t="e">
        <f ca="1">IF((A1)=(2),"",IF((110)=(Q4),IF(IF((INDEX(B1:XFD1,((A3)+(1))+(0)))=("store"),(INDEX(B1:XFD1,((A3)+(1))+(1)))=("Q"),"false"),B3,Q114),Q114))</f>
        <v>#VALUE!</v>
      </c>
      <c r="R114" t="e">
        <f ca="1">IF((A1)=(2),"",IF((110)=(R4),IF(IF((INDEX(B1:XFD1,((A3)+(1))+(0)))=("store"),(INDEX(B1:XFD1,((A3)+(1))+(1)))=("R"),"false"),B3,R114),R114))</f>
        <v>#VALUE!</v>
      </c>
      <c r="S114" t="e">
        <f ca="1">IF((A1)=(2),"",IF((110)=(S4),IF(IF((INDEX(B1:XFD1,((A3)+(1))+(0)))=("store"),(INDEX(B1:XFD1,((A3)+(1))+(1)))=("S"),"false"),B3,S114),S114))</f>
        <v>#VALUE!</v>
      </c>
      <c r="T114" t="e">
        <f ca="1">IF((A1)=(2),"",IF((110)=(T4),IF(IF((INDEX(B1:XFD1,((A3)+(1))+(0)))=("store"),(INDEX(B1:XFD1,((A3)+(1))+(1)))=("T"),"false"),B3,T114),T114))</f>
        <v>#VALUE!</v>
      </c>
      <c r="U114" t="e">
        <f ca="1">IF((A1)=(2),"",IF((110)=(U4),IF(IF((INDEX(B1:XFD1,((A3)+(1))+(0)))=("store"),(INDEX(B1:XFD1,((A3)+(1))+(1)))=("U"),"false"),B3,U114),U114))</f>
        <v>#VALUE!</v>
      </c>
      <c r="V114" t="e">
        <f ca="1">IF((A1)=(2),"",IF((110)=(V4),IF(IF((INDEX(B1:XFD1,((A3)+(1))+(0)))=("store"),(INDEX(B1:XFD1,((A3)+(1))+(1)))=("V"),"false"),B3,V114),V114))</f>
        <v>#VALUE!</v>
      </c>
      <c r="W114" t="e">
        <f ca="1">IF((A1)=(2),"",IF((110)=(W4),IF(IF((INDEX(B1:XFD1,((A3)+(1))+(0)))=("store"),(INDEX(B1:XFD1,((A3)+(1))+(1)))=("W"),"false"),B3,W114),W114))</f>
        <v>#VALUE!</v>
      </c>
      <c r="X114" t="e">
        <f ca="1">IF((A1)=(2),"",IF((110)=(X4),IF(IF((INDEX(B1:XFD1,((A3)+(1))+(0)))=("store"),(INDEX(B1:XFD1,((A3)+(1))+(1)))=("X"),"false"),B3,X114),X114))</f>
        <v>#VALUE!</v>
      </c>
      <c r="Y114" t="e">
        <f ca="1">IF((A1)=(2),"",IF((110)=(Y4),IF(IF((INDEX(B1:XFD1,((A3)+(1))+(0)))=("store"),(INDEX(B1:XFD1,((A3)+(1))+(1)))=("Y"),"false"),B3,Y114),Y114))</f>
        <v>#VALUE!</v>
      </c>
      <c r="Z114" t="e">
        <f ca="1">IF((A1)=(2),"",IF((110)=(Z4),IF(IF((INDEX(B1:XFD1,((A3)+(1))+(0)))=("store"),(INDEX(B1:XFD1,((A3)+(1))+(1)))=("Z"),"false"),B3,Z114),Z114))</f>
        <v>#VALUE!</v>
      </c>
      <c r="AA114" t="e">
        <f ca="1">IF((A1)=(2),"",IF((110)=(AA4),IF(IF((INDEX(B1:XFD1,((A3)+(1))+(0)))=("store"),(INDEX(B1:XFD1,((A3)+(1))+(1)))=("AA"),"false"),B3,AA114),AA114))</f>
        <v>#VALUE!</v>
      </c>
      <c r="AB114" t="e">
        <f ca="1">IF((A1)=(2),"",IF((110)=(AB4),IF(IF((INDEX(B1:XFD1,((A3)+(1))+(0)))=("store"),(INDEX(B1:XFD1,((A3)+(1))+(1)))=("AB"),"false"),B3,AB114),AB114))</f>
        <v>#VALUE!</v>
      </c>
      <c r="AC114" t="e">
        <f ca="1">IF((A1)=(2),"",IF((110)=(AC4),IF(IF((INDEX(B1:XFD1,((A3)+(1))+(0)))=("store"),(INDEX(B1:XFD1,((A3)+(1))+(1)))=("AC"),"false"),B3,AC114),AC114))</f>
        <v>#VALUE!</v>
      </c>
      <c r="AD114" t="e">
        <f ca="1">IF((A1)=(2),"",IF((110)=(AD4),IF(IF((INDEX(B1:XFD1,((A3)+(1))+(0)))=("store"),(INDEX(B1:XFD1,((A3)+(1))+(1)))=("AD"),"false"),B3,AD114),AD114))</f>
        <v>#VALUE!</v>
      </c>
    </row>
    <row r="115" spans="1:30" x14ac:dyDescent="0.25">
      <c r="A115" t="e">
        <f ca="1">IF((A1)=(2),"",IF((111)=(A4),IF(("call")=(INDEX(B1:XFD1,((A3)+(1))+(0))),(B3)*(2),IF(("goto")=(INDEX(B1:XFD1,((A3)+(1))+(0))),(INDEX(B1:XFD1,((A3)+(1))+(1)))*(2),IF(("gotoiftrue")=(INDEX(B1:XFD1,((A3)+(1))+(0))),IF(B3,(INDEX(B1:XFD1,((A3)+(1))+(1)))*(2),(A115)+(2)),(A115)+(2)))),A115))</f>
        <v>#VALUE!</v>
      </c>
      <c r="B115" t="e">
        <f ca="1">IF((A1)=(2),"",IF((111)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115)+(1)),IF(("add")=(INDEX(B1:XFD1,((A3)+(1))+(0))),(INDEX(B5:B405,(B4)+(1)))+(B115),IF(("equals")=(INDEX(B1:XFD1,((A3)+(1))+(0))),(INDEX(B5:B405,(B4)+(1)))=(B115),IF(("leq")=(INDEX(B1:XFD1,((A3)+(1))+(0))),(INDEX(B5:B405,(B4)+(1)))&lt;=(B115),IF(("greater")=(INDEX(B1:XFD1,((A3)+(1))+(0))),(INDEX(B5:B405,(B4)+(1)))&gt;(B115),IF(("mod")=(INDEX(B1:XFD1,((A3)+(1))+(0))),MOD(INDEX(B5:B405,(B4)+(1)),B115),B115))))))))),B115))</f>
        <v>#VALUE!</v>
      </c>
      <c r="C115" t="e">
        <f ca="1">IF((A1)=(2),1,IF(AND((INDEX(B1:XFD1,((A3)+(1))+(0)))=("writeheap"),(INDEX(B5:B405,(B4)+(1)))=(110)),INDEX(B5:B405,(B4)+(2)),IF((A1)=(2),"",IF((111)=(C4),C115,C115))))</f>
        <v>#VALUE!</v>
      </c>
      <c r="F115" t="e">
        <f ca="1">IF((A1)=(2),"",IF((111)=(F4),IF(IF((INDEX(B1:XFD1,((A3)+(1))+(0)))=("store"),(INDEX(B1:XFD1,((A3)+(1))+(1)))=("F"),"false"),B3,F115),F115))</f>
        <v>#VALUE!</v>
      </c>
      <c r="G115" t="e">
        <f ca="1">IF((A1)=(2),"",IF((111)=(G4),IF(IF((INDEX(B1:XFD1,((A3)+(1))+(0)))=("store"),(INDEX(B1:XFD1,((A3)+(1))+(1)))=("G"),"false"),B3,G115),G115))</f>
        <v>#VALUE!</v>
      </c>
      <c r="H115" t="e">
        <f ca="1">IF((A1)=(2),"",IF((111)=(H4),IF(IF((INDEX(B1:XFD1,((A3)+(1))+(0)))=("store"),(INDEX(B1:XFD1,((A3)+(1))+(1)))=("H"),"false"),B3,H115),H115))</f>
        <v>#VALUE!</v>
      </c>
      <c r="I115" t="e">
        <f ca="1">IF((A1)=(2),"",IF((111)=(I4),IF(IF((INDEX(B1:XFD1,((A3)+(1))+(0)))=("store"),(INDEX(B1:XFD1,((A3)+(1))+(1)))=("I"),"false"),B3,I115),I115))</f>
        <v>#VALUE!</v>
      </c>
      <c r="J115" t="e">
        <f ca="1">IF((A1)=(2),"",IF((111)=(J4),IF(IF((INDEX(B1:XFD1,((A3)+(1))+(0)))=("store"),(INDEX(B1:XFD1,((A3)+(1))+(1)))=("J"),"false"),B3,J115),J115))</f>
        <v>#VALUE!</v>
      </c>
      <c r="K115" t="e">
        <f ca="1">IF((A1)=(2),"",IF((111)=(K4),IF(IF((INDEX(B1:XFD1,((A3)+(1))+(0)))=("store"),(INDEX(B1:XFD1,((A3)+(1))+(1)))=("K"),"false"),B3,K115),K115))</f>
        <v>#VALUE!</v>
      </c>
      <c r="L115" t="e">
        <f ca="1">IF((A1)=(2),"",IF((111)=(L4),IF(IF((INDEX(B1:XFD1,((A3)+(1))+(0)))=("store"),(INDEX(B1:XFD1,((A3)+(1))+(1)))=("L"),"false"),B3,L115),L115))</f>
        <v>#VALUE!</v>
      </c>
      <c r="M115" t="e">
        <f ca="1">IF((A1)=(2),"",IF((111)=(M4),IF(IF((INDEX(B1:XFD1,((A3)+(1))+(0)))=("store"),(INDEX(B1:XFD1,((A3)+(1))+(1)))=("M"),"false"),B3,M115),M115))</f>
        <v>#VALUE!</v>
      </c>
      <c r="N115" t="e">
        <f ca="1">IF((A1)=(2),"",IF((111)=(N4),IF(IF((INDEX(B1:XFD1,((A3)+(1))+(0)))=("store"),(INDEX(B1:XFD1,((A3)+(1))+(1)))=("N"),"false"),B3,N115),N115))</f>
        <v>#VALUE!</v>
      </c>
      <c r="O115" t="e">
        <f ca="1">IF((A1)=(2),"",IF((111)=(O4),IF(IF((INDEX(B1:XFD1,((A3)+(1))+(0)))=("store"),(INDEX(B1:XFD1,((A3)+(1))+(1)))=("O"),"false"),B3,O115),O115))</f>
        <v>#VALUE!</v>
      </c>
      <c r="P115" t="e">
        <f ca="1">IF((A1)=(2),"",IF((111)=(P4),IF(IF((INDEX(B1:XFD1,((A3)+(1))+(0)))=("store"),(INDEX(B1:XFD1,((A3)+(1))+(1)))=("P"),"false"),B3,P115),P115))</f>
        <v>#VALUE!</v>
      </c>
      <c r="Q115" t="e">
        <f ca="1">IF((A1)=(2),"",IF((111)=(Q4),IF(IF((INDEX(B1:XFD1,((A3)+(1))+(0)))=("store"),(INDEX(B1:XFD1,((A3)+(1))+(1)))=("Q"),"false"),B3,Q115),Q115))</f>
        <v>#VALUE!</v>
      </c>
      <c r="R115" t="e">
        <f ca="1">IF((A1)=(2),"",IF((111)=(R4),IF(IF((INDEX(B1:XFD1,((A3)+(1))+(0)))=("store"),(INDEX(B1:XFD1,((A3)+(1))+(1)))=("R"),"false"),B3,R115),R115))</f>
        <v>#VALUE!</v>
      </c>
      <c r="S115" t="e">
        <f ca="1">IF((A1)=(2),"",IF((111)=(S4),IF(IF((INDEX(B1:XFD1,((A3)+(1))+(0)))=("store"),(INDEX(B1:XFD1,((A3)+(1))+(1)))=("S"),"false"),B3,S115),S115))</f>
        <v>#VALUE!</v>
      </c>
      <c r="T115" t="e">
        <f ca="1">IF((A1)=(2),"",IF((111)=(T4),IF(IF((INDEX(B1:XFD1,((A3)+(1))+(0)))=("store"),(INDEX(B1:XFD1,((A3)+(1))+(1)))=("T"),"false"),B3,T115),T115))</f>
        <v>#VALUE!</v>
      </c>
      <c r="U115" t="e">
        <f ca="1">IF((A1)=(2),"",IF((111)=(U4),IF(IF((INDEX(B1:XFD1,((A3)+(1))+(0)))=("store"),(INDEX(B1:XFD1,((A3)+(1))+(1)))=("U"),"false"),B3,U115),U115))</f>
        <v>#VALUE!</v>
      </c>
      <c r="V115" t="e">
        <f ca="1">IF((A1)=(2),"",IF((111)=(V4),IF(IF((INDEX(B1:XFD1,((A3)+(1))+(0)))=("store"),(INDEX(B1:XFD1,((A3)+(1))+(1)))=("V"),"false"),B3,V115),V115))</f>
        <v>#VALUE!</v>
      </c>
      <c r="W115" t="e">
        <f ca="1">IF((A1)=(2),"",IF((111)=(W4),IF(IF((INDEX(B1:XFD1,((A3)+(1))+(0)))=("store"),(INDEX(B1:XFD1,((A3)+(1))+(1)))=("W"),"false"),B3,W115),W115))</f>
        <v>#VALUE!</v>
      </c>
      <c r="X115" t="e">
        <f ca="1">IF((A1)=(2),"",IF((111)=(X4),IF(IF((INDEX(B1:XFD1,((A3)+(1))+(0)))=("store"),(INDEX(B1:XFD1,((A3)+(1))+(1)))=("X"),"false"),B3,X115),X115))</f>
        <v>#VALUE!</v>
      </c>
      <c r="Y115" t="e">
        <f ca="1">IF((A1)=(2),"",IF((111)=(Y4),IF(IF((INDEX(B1:XFD1,((A3)+(1))+(0)))=("store"),(INDEX(B1:XFD1,((A3)+(1))+(1)))=("Y"),"false"),B3,Y115),Y115))</f>
        <v>#VALUE!</v>
      </c>
      <c r="Z115" t="e">
        <f ca="1">IF((A1)=(2),"",IF((111)=(Z4),IF(IF((INDEX(B1:XFD1,((A3)+(1))+(0)))=("store"),(INDEX(B1:XFD1,((A3)+(1))+(1)))=("Z"),"false"),B3,Z115),Z115))</f>
        <v>#VALUE!</v>
      </c>
      <c r="AA115" t="e">
        <f ca="1">IF((A1)=(2),"",IF((111)=(AA4),IF(IF((INDEX(B1:XFD1,((A3)+(1))+(0)))=("store"),(INDEX(B1:XFD1,((A3)+(1))+(1)))=("AA"),"false"),B3,AA115),AA115))</f>
        <v>#VALUE!</v>
      </c>
      <c r="AB115" t="e">
        <f ca="1">IF((A1)=(2),"",IF((111)=(AB4),IF(IF((INDEX(B1:XFD1,((A3)+(1))+(0)))=("store"),(INDEX(B1:XFD1,((A3)+(1))+(1)))=("AB"),"false"),B3,AB115),AB115))</f>
        <v>#VALUE!</v>
      </c>
      <c r="AC115" t="e">
        <f ca="1">IF((A1)=(2),"",IF((111)=(AC4),IF(IF((INDEX(B1:XFD1,((A3)+(1))+(0)))=("store"),(INDEX(B1:XFD1,((A3)+(1))+(1)))=("AC"),"false"),B3,AC115),AC115))</f>
        <v>#VALUE!</v>
      </c>
      <c r="AD115" t="e">
        <f ca="1">IF((A1)=(2),"",IF((111)=(AD4),IF(IF((INDEX(B1:XFD1,((A3)+(1))+(0)))=("store"),(INDEX(B1:XFD1,((A3)+(1))+(1)))=("AD"),"false"),B3,AD115),AD115))</f>
        <v>#VALUE!</v>
      </c>
    </row>
    <row r="116" spans="1:30" x14ac:dyDescent="0.25">
      <c r="A116" t="e">
        <f ca="1">IF((A1)=(2),"",IF((112)=(A4),IF(("call")=(INDEX(B1:XFD1,((A3)+(1))+(0))),(B3)*(2),IF(("goto")=(INDEX(B1:XFD1,((A3)+(1))+(0))),(INDEX(B1:XFD1,((A3)+(1))+(1)))*(2),IF(("gotoiftrue")=(INDEX(B1:XFD1,((A3)+(1))+(0))),IF(B3,(INDEX(B1:XFD1,((A3)+(1))+(1)))*(2),(A116)+(2)),(A116)+(2)))),A116))</f>
        <v>#VALUE!</v>
      </c>
      <c r="B116" t="e">
        <f ca="1">IF((A1)=(2),"",IF((112)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116)+(1)),IF(("add")=(INDEX(B1:XFD1,((A3)+(1))+(0))),(INDEX(B5:B405,(B4)+(1)))+(B116),IF(("equals")=(INDEX(B1:XFD1,((A3)+(1))+(0))),(INDEX(B5:B405,(B4)+(1)))=(B116),IF(("leq")=(INDEX(B1:XFD1,((A3)+(1))+(0))),(INDEX(B5:B405,(B4)+(1)))&lt;=(B116),IF(("greater")=(INDEX(B1:XFD1,((A3)+(1))+(0))),(INDEX(B5:B405,(B4)+(1)))&gt;(B116),IF(("mod")=(INDEX(B1:XFD1,((A3)+(1))+(0))),MOD(INDEX(B5:B405,(B4)+(1)),B116),B116))))))))),B116))</f>
        <v>#VALUE!</v>
      </c>
      <c r="C116" t="e">
        <f ca="1">IF((A1)=(2),1,IF(AND((INDEX(B1:XFD1,((A3)+(1))+(0)))=("writeheap"),(INDEX(B5:B405,(B4)+(1)))=(111)),INDEX(B5:B405,(B4)+(2)),IF((A1)=(2),"",IF((112)=(C4),C116,C116))))</f>
        <v>#VALUE!</v>
      </c>
      <c r="F116" t="e">
        <f ca="1">IF((A1)=(2),"",IF((112)=(F4),IF(IF((INDEX(B1:XFD1,((A3)+(1))+(0)))=("store"),(INDEX(B1:XFD1,((A3)+(1))+(1)))=("F"),"false"),B3,F116),F116))</f>
        <v>#VALUE!</v>
      </c>
      <c r="G116" t="e">
        <f ca="1">IF((A1)=(2),"",IF((112)=(G4),IF(IF((INDEX(B1:XFD1,((A3)+(1))+(0)))=("store"),(INDEX(B1:XFD1,((A3)+(1))+(1)))=("G"),"false"),B3,G116),G116))</f>
        <v>#VALUE!</v>
      </c>
      <c r="H116" t="e">
        <f ca="1">IF((A1)=(2),"",IF((112)=(H4),IF(IF((INDEX(B1:XFD1,((A3)+(1))+(0)))=("store"),(INDEX(B1:XFD1,((A3)+(1))+(1)))=("H"),"false"),B3,H116),H116))</f>
        <v>#VALUE!</v>
      </c>
      <c r="I116" t="e">
        <f ca="1">IF((A1)=(2),"",IF((112)=(I4),IF(IF((INDEX(B1:XFD1,((A3)+(1))+(0)))=("store"),(INDEX(B1:XFD1,((A3)+(1))+(1)))=("I"),"false"),B3,I116),I116))</f>
        <v>#VALUE!</v>
      </c>
      <c r="J116" t="e">
        <f ca="1">IF((A1)=(2),"",IF((112)=(J4),IF(IF((INDEX(B1:XFD1,((A3)+(1))+(0)))=("store"),(INDEX(B1:XFD1,((A3)+(1))+(1)))=("J"),"false"),B3,J116),J116))</f>
        <v>#VALUE!</v>
      </c>
      <c r="K116" t="e">
        <f ca="1">IF((A1)=(2),"",IF((112)=(K4),IF(IF((INDEX(B1:XFD1,((A3)+(1))+(0)))=("store"),(INDEX(B1:XFD1,((A3)+(1))+(1)))=("K"),"false"),B3,K116),K116))</f>
        <v>#VALUE!</v>
      </c>
      <c r="L116" t="e">
        <f ca="1">IF((A1)=(2),"",IF((112)=(L4),IF(IF((INDEX(B1:XFD1,((A3)+(1))+(0)))=("store"),(INDEX(B1:XFD1,((A3)+(1))+(1)))=("L"),"false"),B3,L116),L116))</f>
        <v>#VALUE!</v>
      </c>
      <c r="M116" t="e">
        <f ca="1">IF((A1)=(2),"",IF((112)=(M4),IF(IF((INDEX(B1:XFD1,((A3)+(1))+(0)))=("store"),(INDEX(B1:XFD1,((A3)+(1))+(1)))=("M"),"false"),B3,M116),M116))</f>
        <v>#VALUE!</v>
      </c>
      <c r="N116" t="e">
        <f ca="1">IF((A1)=(2),"",IF((112)=(N4),IF(IF((INDEX(B1:XFD1,((A3)+(1))+(0)))=("store"),(INDEX(B1:XFD1,((A3)+(1))+(1)))=("N"),"false"),B3,N116),N116))</f>
        <v>#VALUE!</v>
      </c>
      <c r="O116" t="e">
        <f ca="1">IF((A1)=(2),"",IF((112)=(O4),IF(IF((INDEX(B1:XFD1,((A3)+(1))+(0)))=("store"),(INDEX(B1:XFD1,((A3)+(1))+(1)))=("O"),"false"),B3,O116),O116))</f>
        <v>#VALUE!</v>
      </c>
      <c r="P116" t="e">
        <f ca="1">IF((A1)=(2),"",IF((112)=(P4),IF(IF((INDEX(B1:XFD1,((A3)+(1))+(0)))=("store"),(INDEX(B1:XFD1,((A3)+(1))+(1)))=("P"),"false"),B3,P116),P116))</f>
        <v>#VALUE!</v>
      </c>
      <c r="Q116" t="e">
        <f ca="1">IF((A1)=(2),"",IF((112)=(Q4),IF(IF((INDEX(B1:XFD1,((A3)+(1))+(0)))=("store"),(INDEX(B1:XFD1,((A3)+(1))+(1)))=("Q"),"false"),B3,Q116),Q116))</f>
        <v>#VALUE!</v>
      </c>
      <c r="R116" t="e">
        <f ca="1">IF((A1)=(2),"",IF((112)=(R4),IF(IF((INDEX(B1:XFD1,((A3)+(1))+(0)))=("store"),(INDEX(B1:XFD1,((A3)+(1))+(1)))=("R"),"false"),B3,R116),R116))</f>
        <v>#VALUE!</v>
      </c>
      <c r="S116" t="e">
        <f ca="1">IF((A1)=(2),"",IF((112)=(S4),IF(IF((INDEX(B1:XFD1,((A3)+(1))+(0)))=("store"),(INDEX(B1:XFD1,((A3)+(1))+(1)))=("S"),"false"),B3,S116),S116))</f>
        <v>#VALUE!</v>
      </c>
      <c r="T116" t="e">
        <f ca="1">IF((A1)=(2),"",IF((112)=(T4),IF(IF((INDEX(B1:XFD1,((A3)+(1))+(0)))=("store"),(INDEX(B1:XFD1,((A3)+(1))+(1)))=("T"),"false"),B3,T116),T116))</f>
        <v>#VALUE!</v>
      </c>
      <c r="U116" t="e">
        <f ca="1">IF((A1)=(2),"",IF((112)=(U4),IF(IF((INDEX(B1:XFD1,((A3)+(1))+(0)))=("store"),(INDEX(B1:XFD1,((A3)+(1))+(1)))=("U"),"false"),B3,U116),U116))</f>
        <v>#VALUE!</v>
      </c>
      <c r="V116" t="e">
        <f ca="1">IF((A1)=(2),"",IF((112)=(V4),IF(IF((INDEX(B1:XFD1,((A3)+(1))+(0)))=("store"),(INDEX(B1:XFD1,((A3)+(1))+(1)))=("V"),"false"),B3,V116),V116))</f>
        <v>#VALUE!</v>
      </c>
      <c r="W116" t="e">
        <f ca="1">IF((A1)=(2),"",IF((112)=(W4),IF(IF((INDEX(B1:XFD1,((A3)+(1))+(0)))=("store"),(INDEX(B1:XFD1,((A3)+(1))+(1)))=("W"),"false"),B3,W116),W116))</f>
        <v>#VALUE!</v>
      </c>
      <c r="X116" t="e">
        <f ca="1">IF((A1)=(2),"",IF((112)=(X4),IF(IF((INDEX(B1:XFD1,((A3)+(1))+(0)))=("store"),(INDEX(B1:XFD1,((A3)+(1))+(1)))=("X"),"false"),B3,X116),X116))</f>
        <v>#VALUE!</v>
      </c>
      <c r="Y116" t="e">
        <f ca="1">IF((A1)=(2),"",IF((112)=(Y4),IF(IF((INDEX(B1:XFD1,((A3)+(1))+(0)))=("store"),(INDEX(B1:XFD1,((A3)+(1))+(1)))=("Y"),"false"),B3,Y116),Y116))</f>
        <v>#VALUE!</v>
      </c>
      <c r="Z116" t="e">
        <f ca="1">IF((A1)=(2),"",IF((112)=(Z4),IF(IF((INDEX(B1:XFD1,((A3)+(1))+(0)))=("store"),(INDEX(B1:XFD1,((A3)+(1))+(1)))=("Z"),"false"),B3,Z116),Z116))</f>
        <v>#VALUE!</v>
      </c>
      <c r="AA116" t="e">
        <f ca="1">IF((A1)=(2),"",IF((112)=(AA4),IF(IF((INDEX(B1:XFD1,((A3)+(1))+(0)))=("store"),(INDEX(B1:XFD1,((A3)+(1))+(1)))=("AA"),"false"),B3,AA116),AA116))</f>
        <v>#VALUE!</v>
      </c>
      <c r="AB116" t="e">
        <f ca="1">IF((A1)=(2),"",IF((112)=(AB4),IF(IF((INDEX(B1:XFD1,((A3)+(1))+(0)))=("store"),(INDEX(B1:XFD1,((A3)+(1))+(1)))=("AB"),"false"),B3,AB116),AB116))</f>
        <v>#VALUE!</v>
      </c>
      <c r="AC116" t="e">
        <f ca="1">IF((A1)=(2),"",IF((112)=(AC4),IF(IF((INDEX(B1:XFD1,((A3)+(1))+(0)))=("store"),(INDEX(B1:XFD1,((A3)+(1))+(1)))=("AC"),"false"),B3,AC116),AC116))</f>
        <v>#VALUE!</v>
      </c>
      <c r="AD116" t="e">
        <f ca="1">IF((A1)=(2),"",IF((112)=(AD4),IF(IF((INDEX(B1:XFD1,((A3)+(1))+(0)))=("store"),(INDEX(B1:XFD1,((A3)+(1))+(1)))=("AD"),"false"),B3,AD116),AD116))</f>
        <v>#VALUE!</v>
      </c>
    </row>
    <row r="117" spans="1:30" x14ac:dyDescent="0.25">
      <c r="A117" t="e">
        <f ca="1">IF((A1)=(2),"",IF((113)=(A4),IF(("call")=(INDEX(B1:XFD1,((A3)+(1))+(0))),(B3)*(2),IF(("goto")=(INDEX(B1:XFD1,((A3)+(1))+(0))),(INDEX(B1:XFD1,((A3)+(1))+(1)))*(2),IF(("gotoiftrue")=(INDEX(B1:XFD1,((A3)+(1))+(0))),IF(B3,(INDEX(B1:XFD1,((A3)+(1))+(1)))*(2),(A117)+(2)),(A117)+(2)))),A117))</f>
        <v>#VALUE!</v>
      </c>
      <c r="B117" t="e">
        <f ca="1">IF((A1)=(2),"",IF((113)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117)+(1)),IF(("add")=(INDEX(B1:XFD1,((A3)+(1))+(0))),(INDEX(B5:B405,(B4)+(1)))+(B117),IF(("equals")=(INDEX(B1:XFD1,((A3)+(1))+(0))),(INDEX(B5:B405,(B4)+(1)))=(B117),IF(("leq")=(INDEX(B1:XFD1,((A3)+(1))+(0))),(INDEX(B5:B405,(B4)+(1)))&lt;=(B117),IF(("greater")=(INDEX(B1:XFD1,((A3)+(1))+(0))),(INDEX(B5:B405,(B4)+(1)))&gt;(B117),IF(("mod")=(INDEX(B1:XFD1,((A3)+(1))+(0))),MOD(INDEX(B5:B405,(B4)+(1)),B117),B117))))))))),B117))</f>
        <v>#VALUE!</v>
      </c>
      <c r="C117" t="e">
        <f ca="1">IF((A1)=(2),1,IF(AND((INDEX(B1:XFD1,((A3)+(1))+(0)))=("writeheap"),(INDEX(B5:B405,(B4)+(1)))=(112)),INDEX(B5:B405,(B4)+(2)),IF((A1)=(2),"",IF((113)=(C4),C117,C117))))</f>
        <v>#VALUE!</v>
      </c>
      <c r="F117" t="e">
        <f ca="1">IF((A1)=(2),"",IF((113)=(F4),IF(IF((INDEX(B1:XFD1,((A3)+(1))+(0)))=("store"),(INDEX(B1:XFD1,((A3)+(1))+(1)))=("F"),"false"),B3,F117),F117))</f>
        <v>#VALUE!</v>
      </c>
      <c r="G117" t="e">
        <f ca="1">IF((A1)=(2),"",IF((113)=(G4),IF(IF((INDEX(B1:XFD1,((A3)+(1))+(0)))=("store"),(INDEX(B1:XFD1,((A3)+(1))+(1)))=("G"),"false"),B3,G117),G117))</f>
        <v>#VALUE!</v>
      </c>
      <c r="H117" t="e">
        <f ca="1">IF((A1)=(2),"",IF((113)=(H4),IF(IF((INDEX(B1:XFD1,((A3)+(1))+(0)))=("store"),(INDEX(B1:XFD1,((A3)+(1))+(1)))=("H"),"false"),B3,H117),H117))</f>
        <v>#VALUE!</v>
      </c>
      <c r="I117" t="e">
        <f ca="1">IF((A1)=(2),"",IF((113)=(I4),IF(IF((INDEX(B1:XFD1,((A3)+(1))+(0)))=("store"),(INDEX(B1:XFD1,((A3)+(1))+(1)))=("I"),"false"),B3,I117),I117))</f>
        <v>#VALUE!</v>
      </c>
      <c r="J117" t="e">
        <f ca="1">IF((A1)=(2),"",IF((113)=(J4),IF(IF((INDEX(B1:XFD1,((A3)+(1))+(0)))=("store"),(INDEX(B1:XFD1,((A3)+(1))+(1)))=("J"),"false"),B3,J117),J117))</f>
        <v>#VALUE!</v>
      </c>
      <c r="K117" t="e">
        <f ca="1">IF((A1)=(2),"",IF((113)=(K4),IF(IF((INDEX(B1:XFD1,((A3)+(1))+(0)))=("store"),(INDEX(B1:XFD1,((A3)+(1))+(1)))=("K"),"false"),B3,K117),K117))</f>
        <v>#VALUE!</v>
      </c>
      <c r="L117" t="e">
        <f ca="1">IF((A1)=(2),"",IF((113)=(L4),IF(IF((INDEX(B1:XFD1,((A3)+(1))+(0)))=("store"),(INDEX(B1:XFD1,((A3)+(1))+(1)))=("L"),"false"),B3,L117),L117))</f>
        <v>#VALUE!</v>
      </c>
      <c r="M117" t="e">
        <f ca="1">IF((A1)=(2),"",IF((113)=(M4),IF(IF((INDEX(B1:XFD1,((A3)+(1))+(0)))=("store"),(INDEX(B1:XFD1,((A3)+(1))+(1)))=("M"),"false"),B3,M117),M117))</f>
        <v>#VALUE!</v>
      </c>
      <c r="N117" t="e">
        <f ca="1">IF((A1)=(2),"",IF((113)=(N4),IF(IF((INDEX(B1:XFD1,((A3)+(1))+(0)))=("store"),(INDEX(B1:XFD1,((A3)+(1))+(1)))=("N"),"false"),B3,N117),N117))</f>
        <v>#VALUE!</v>
      </c>
      <c r="O117" t="e">
        <f ca="1">IF((A1)=(2),"",IF((113)=(O4),IF(IF((INDEX(B1:XFD1,((A3)+(1))+(0)))=("store"),(INDEX(B1:XFD1,((A3)+(1))+(1)))=("O"),"false"),B3,O117),O117))</f>
        <v>#VALUE!</v>
      </c>
      <c r="P117" t="e">
        <f ca="1">IF((A1)=(2),"",IF((113)=(P4),IF(IF((INDEX(B1:XFD1,((A3)+(1))+(0)))=("store"),(INDEX(B1:XFD1,((A3)+(1))+(1)))=("P"),"false"),B3,P117),P117))</f>
        <v>#VALUE!</v>
      </c>
      <c r="Q117" t="e">
        <f ca="1">IF((A1)=(2),"",IF((113)=(Q4),IF(IF((INDEX(B1:XFD1,((A3)+(1))+(0)))=("store"),(INDEX(B1:XFD1,((A3)+(1))+(1)))=("Q"),"false"),B3,Q117),Q117))</f>
        <v>#VALUE!</v>
      </c>
      <c r="R117" t="e">
        <f ca="1">IF((A1)=(2),"",IF((113)=(R4),IF(IF((INDEX(B1:XFD1,((A3)+(1))+(0)))=("store"),(INDEX(B1:XFD1,((A3)+(1))+(1)))=("R"),"false"),B3,R117),R117))</f>
        <v>#VALUE!</v>
      </c>
      <c r="S117" t="e">
        <f ca="1">IF((A1)=(2),"",IF((113)=(S4),IF(IF((INDEX(B1:XFD1,((A3)+(1))+(0)))=("store"),(INDEX(B1:XFD1,((A3)+(1))+(1)))=("S"),"false"),B3,S117),S117))</f>
        <v>#VALUE!</v>
      </c>
      <c r="T117" t="e">
        <f ca="1">IF((A1)=(2),"",IF((113)=(T4),IF(IF((INDEX(B1:XFD1,((A3)+(1))+(0)))=("store"),(INDEX(B1:XFD1,((A3)+(1))+(1)))=("T"),"false"),B3,T117),T117))</f>
        <v>#VALUE!</v>
      </c>
      <c r="U117" t="e">
        <f ca="1">IF((A1)=(2),"",IF((113)=(U4),IF(IF((INDEX(B1:XFD1,((A3)+(1))+(0)))=("store"),(INDEX(B1:XFD1,((A3)+(1))+(1)))=("U"),"false"),B3,U117),U117))</f>
        <v>#VALUE!</v>
      </c>
      <c r="V117" t="e">
        <f ca="1">IF((A1)=(2),"",IF((113)=(V4),IF(IF((INDEX(B1:XFD1,((A3)+(1))+(0)))=("store"),(INDEX(B1:XFD1,((A3)+(1))+(1)))=("V"),"false"),B3,V117),V117))</f>
        <v>#VALUE!</v>
      </c>
      <c r="W117" t="e">
        <f ca="1">IF((A1)=(2),"",IF((113)=(W4),IF(IF((INDEX(B1:XFD1,((A3)+(1))+(0)))=("store"),(INDEX(B1:XFD1,((A3)+(1))+(1)))=("W"),"false"),B3,W117),W117))</f>
        <v>#VALUE!</v>
      </c>
      <c r="X117" t="e">
        <f ca="1">IF((A1)=(2),"",IF((113)=(X4),IF(IF((INDEX(B1:XFD1,((A3)+(1))+(0)))=("store"),(INDEX(B1:XFD1,((A3)+(1))+(1)))=("X"),"false"),B3,X117),X117))</f>
        <v>#VALUE!</v>
      </c>
      <c r="Y117" t="e">
        <f ca="1">IF((A1)=(2),"",IF((113)=(Y4),IF(IF((INDEX(B1:XFD1,((A3)+(1))+(0)))=("store"),(INDEX(B1:XFD1,((A3)+(1))+(1)))=("Y"),"false"),B3,Y117),Y117))</f>
        <v>#VALUE!</v>
      </c>
      <c r="Z117" t="e">
        <f ca="1">IF((A1)=(2),"",IF((113)=(Z4),IF(IF((INDEX(B1:XFD1,((A3)+(1))+(0)))=("store"),(INDEX(B1:XFD1,((A3)+(1))+(1)))=("Z"),"false"),B3,Z117),Z117))</f>
        <v>#VALUE!</v>
      </c>
      <c r="AA117" t="e">
        <f ca="1">IF((A1)=(2),"",IF((113)=(AA4),IF(IF((INDEX(B1:XFD1,((A3)+(1))+(0)))=("store"),(INDEX(B1:XFD1,((A3)+(1))+(1)))=("AA"),"false"),B3,AA117),AA117))</f>
        <v>#VALUE!</v>
      </c>
      <c r="AB117" t="e">
        <f ca="1">IF((A1)=(2),"",IF((113)=(AB4),IF(IF((INDEX(B1:XFD1,((A3)+(1))+(0)))=("store"),(INDEX(B1:XFD1,((A3)+(1))+(1)))=("AB"),"false"),B3,AB117),AB117))</f>
        <v>#VALUE!</v>
      </c>
      <c r="AC117" t="e">
        <f ca="1">IF((A1)=(2),"",IF((113)=(AC4),IF(IF((INDEX(B1:XFD1,((A3)+(1))+(0)))=("store"),(INDEX(B1:XFD1,((A3)+(1))+(1)))=("AC"),"false"),B3,AC117),AC117))</f>
        <v>#VALUE!</v>
      </c>
      <c r="AD117" t="e">
        <f ca="1">IF((A1)=(2),"",IF((113)=(AD4),IF(IF((INDEX(B1:XFD1,((A3)+(1))+(0)))=("store"),(INDEX(B1:XFD1,((A3)+(1))+(1)))=("AD"),"false"),B3,AD117),AD117))</f>
        <v>#VALUE!</v>
      </c>
    </row>
    <row r="118" spans="1:30" x14ac:dyDescent="0.25">
      <c r="A118" t="e">
        <f ca="1">IF((A1)=(2),"",IF((114)=(A4),IF(("call")=(INDEX(B1:XFD1,((A3)+(1))+(0))),(B3)*(2),IF(("goto")=(INDEX(B1:XFD1,((A3)+(1))+(0))),(INDEX(B1:XFD1,((A3)+(1))+(1)))*(2),IF(("gotoiftrue")=(INDEX(B1:XFD1,((A3)+(1))+(0))),IF(B3,(INDEX(B1:XFD1,((A3)+(1))+(1)))*(2),(A118)+(2)),(A118)+(2)))),A118))</f>
        <v>#VALUE!</v>
      </c>
      <c r="B118" t="e">
        <f ca="1">IF((A1)=(2),"",IF((114)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118)+(1)),IF(("add")=(INDEX(B1:XFD1,((A3)+(1))+(0))),(INDEX(B5:B405,(B4)+(1)))+(B118),IF(("equals")=(INDEX(B1:XFD1,((A3)+(1))+(0))),(INDEX(B5:B405,(B4)+(1)))=(B118),IF(("leq")=(INDEX(B1:XFD1,((A3)+(1))+(0))),(INDEX(B5:B405,(B4)+(1)))&lt;=(B118),IF(("greater")=(INDEX(B1:XFD1,((A3)+(1))+(0))),(INDEX(B5:B405,(B4)+(1)))&gt;(B118),IF(("mod")=(INDEX(B1:XFD1,((A3)+(1))+(0))),MOD(INDEX(B5:B405,(B4)+(1)),B118),B118))))))))),B118))</f>
        <v>#VALUE!</v>
      </c>
      <c r="C118" t="e">
        <f ca="1">IF((A1)=(2),1,IF(AND((INDEX(B1:XFD1,((A3)+(1))+(0)))=("writeheap"),(INDEX(B5:B405,(B4)+(1)))=(113)),INDEX(B5:B405,(B4)+(2)),IF((A1)=(2),"",IF((114)=(C4),C118,C118))))</f>
        <v>#VALUE!</v>
      </c>
      <c r="F118" t="e">
        <f ca="1">IF((A1)=(2),"",IF((114)=(F4),IF(IF((INDEX(B1:XFD1,((A3)+(1))+(0)))=("store"),(INDEX(B1:XFD1,((A3)+(1))+(1)))=("F"),"false"),B3,F118),F118))</f>
        <v>#VALUE!</v>
      </c>
      <c r="G118" t="e">
        <f ca="1">IF((A1)=(2),"",IF((114)=(G4),IF(IF((INDEX(B1:XFD1,((A3)+(1))+(0)))=("store"),(INDEX(B1:XFD1,((A3)+(1))+(1)))=("G"),"false"),B3,G118),G118))</f>
        <v>#VALUE!</v>
      </c>
      <c r="H118" t="e">
        <f ca="1">IF((A1)=(2),"",IF((114)=(H4),IF(IF((INDEX(B1:XFD1,((A3)+(1))+(0)))=("store"),(INDEX(B1:XFD1,((A3)+(1))+(1)))=("H"),"false"),B3,H118),H118))</f>
        <v>#VALUE!</v>
      </c>
      <c r="I118" t="e">
        <f ca="1">IF((A1)=(2),"",IF((114)=(I4),IF(IF((INDEX(B1:XFD1,((A3)+(1))+(0)))=("store"),(INDEX(B1:XFD1,((A3)+(1))+(1)))=("I"),"false"),B3,I118),I118))</f>
        <v>#VALUE!</v>
      </c>
      <c r="J118" t="e">
        <f ca="1">IF((A1)=(2),"",IF((114)=(J4),IF(IF((INDEX(B1:XFD1,((A3)+(1))+(0)))=("store"),(INDEX(B1:XFD1,((A3)+(1))+(1)))=("J"),"false"),B3,J118),J118))</f>
        <v>#VALUE!</v>
      </c>
      <c r="K118" t="e">
        <f ca="1">IF((A1)=(2),"",IF((114)=(K4),IF(IF((INDEX(B1:XFD1,((A3)+(1))+(0)))=("store"),(INDEX(B1:XFD1,((A3)+(1))+(1)))=("K"),"false"),B3,K118),K118))</f>
        <v>#VALUE!</v>
      </c>
      <c r="L118" t="e">
        <f ca="1">IF((A1)=(2),"",IF((114)=(L4),IF(IF((INDEX(B1:XFD1,((A3)+(1))+(0)))=("store"),(INDEX(B1:XFD1,((A3)+(1))+(1)))=("L"),"false"),B3,L118),L118))</f>
        <v>#VALUE!</v>
      </c>
      <c r="M118" t="e">
        <f ca="1">IF((A1)=(2),"",IF((114)=(M4),IF(IF((INDEX(B1:XFD1,((A3)+(1))+(0)))=("store"),(INDEX(B1:XFD1,((A3)+(1))+(1)))=("M"),"false"),B3,M118),M118))</f>
        <v>#VALUE!</v>
      </c>
      <c r="N118" t="e">
        <f ca="1">IF((A1)=(2),"",IF((114)=(N4),IF(IF((INDEX(B1:XFD1,((A3)+(1))+(0)))=("store"),(INDEX(B1:XFD1,((A3)+(1))+(1)))=("N"),"false"),B3,N118),N118))</f>
        <v>#VALUE!</v>
      </c>
      <c r="O118" t="e">
        <f ca="1">IF((A1)=(2),"",IF((114)=(O4),IF(IF((INDEX(B1:XFD1,((A3)+(1))+(0)))=("store"),(INDEX(B1:XFD1,((A3)+(1))+(1)))=("O"),"false"),B3,O118),O118))</f>
        <v>#VALUE!</v>
      </c>
      <c r="P118" t="e">
        <f ca="1">IF((A1)=(2),"",IF((114)=(P4),IF(IF((INDEX(B1:XFD1,((A3)+(1))+(0)))=("store"),(INDEX(B1:XFD1,((A3)+(1))+(1)))=("P"),"false"),B3,P118),P118))</f>
        <v>#VALUE!</v>
      </c>
      <c r="Q118" t="e">
        <f ca="1">IF((A1)=(2),"",IF((114)=(Q4),IF(IF((INDEX(B1:XFD1,((A3)+(1))+(0)))=("store"),(INDEX(B1:XFD1,((A3)+(1))+(1)))=("Q"),"false"),B3,Q118),Q118))</f>
        <v>#VALUE!</v>
      </c>
      <c r="R118" t="e">
        <f ca="1">IF((A1)=(2),"",IF((114)=(R4),IF(IF((INDEX(B1:XFD1,((A3)+(1))+(0)))=("store"),(INDEX(B1:XFD1,((A3)+(1))+(1)))=("R"),"false"),B3,R118),R118))</f>
        <v>#VALUE!</v>
      </c>
      <c r="S118" t="e">
        <f ca="1">IF((A1)=(2),"",IF((114)=(S4),IF(IF((INDEX(B1:XFD1,((A3)+(1))+(0)))=("store"),(INDEX(B1:XFD1,((A3)+(1))+(1)))=("S"),"false"),B3,S118),S118))</f>
        <v>#VALUE!</v>
      </c>
      <c r="T118" t="e">
        <f ca="1">IF((A1)=(2),"",IF((114)=(T4),IF(IF((INDEX(B1:XFD1,((A3)+(1))+(0)))=("store"),(INDEX(B1:XFD1,((A3)+(1))+(1)))=("T"),"false"),B3,T118),T118))</f>
        <v>#VALUE!</v>
      </c>
      <c r="U118" t="e">
        <f ca="1">IF((A1)=(2),"",IF((114)=(U4),IF(IF((INDEX(B1:XFD1,((A3)+(1))+(0)))=("store"),(INDEX(B1:XFD1,((A3)+(1))+(1)))=("U"),"false"),B3,U118),U118))</f>
        <v>#VALUE!</v>
      </c>
      <c r="V118" t="e">
        <f ca="1">IF((A1)=(2),"",IF((114)=(V4),IF(IF((INDEX(B1:XFD1,((A3)+(1))+(0)))=("store"),(INDEX(B1:XFD1,((A3)+(1))+(1)))=("V"),"false"),B3,V118),V118))</f>
        <v>#VALUE!</v>
      </c>
      <c r="W118" t="e">
        <f ca="1">IF((A1)=(2),"",IF((114)=(W4),IF(IF((INDEX(B1:XFD1,((A3)+(1))+(0)))=("store"),(INDEX(B1:XFD1,((A3)+(1))+(1)))=("W"),"false"),B3,W118),W118))</f>
        <v>#VALUE!</v>
      </c>
      <c r="X118" t="e">
        <f ca="1">IF((A1)=(2),"",IF((114)=(X4),IF(IF((INDEX(B1:XFD1,((A3)+(1))+(0)))=("store"),(INDEX(B1:XFD1,((A3)+(1))+(1)))=("X"),"false"),B3,X118),X118))</f>
        <v>#VALUE!</v>
      </c>
      <c r="Y118" t="e">
        <f ca="1">IF((A1)=(2),"",IF((114)=(Y4),IF(IF((INDEX(B1:XFD1,((A3)+(1))+(0)))=("store"),(INDEX(B1:XFD1,((A3)+(1))+(1)))=("Y"),"false"),B3,Y118),Y118))</f>
        <v>#VALUE!</v>
      </c>
      <c r="Z118" t="e">
        <f ca="1">IF((A1)=(2),"",IF((114)=(Z4),IF(IF((INDEX(B1:XFD1,((A3)+(1))+(0)))=("store"),(INDEX(B1:XFD1,((A3)+(1))+(1)))=("Z"),"false"),B3,Z118),Z118))</f>
        <v>#VALUE!</v>
      </c>
      <c r="AA118" t="e">
        <f ca="1">IF((A1)=(2),"",IF((114)=(AA4),IF(IF((INDEX(B1:XFD1,((A3)+(1))+(0)))=("store"),(INDEX(B1:XFD1,((A3)+(1))+(1)))=("AA"),"false"),B3,AA118),AA118))</f>
        <v>#VALUE!</v>
      </c>
      <c r="AB118" t="e">
        <f ca="1">IF((A1)=(2),"",IF((114)=(AB4),IF(IF((INDEX(B1:XFD1,((A3)+(1))+(0)))=("store"),(INDEX(B1:XFD1,((A3)+(1))+(1)))=("AB"),"false"),B3,AB118),AB118))</f>
        <v>#VALUE!</v>
      </c>
      <c r="AC118" t="e">
        <f ca="1">IF((A1)=(2),"",IF((114)=(AC4),IF(IF((INDEX(B1:XFD1,((A3)+(1))+(0)))=("store"),(INDEX(B1:XFD1,((A3)+(1))+(1)))=("AC"),"false"),B3,AC118),AC118))</f>
        <v>#VALUE!</v>
      </c>
      <c r="AD118" t="e">
        <f ca="1">IF((A1)=(2),"",IF((114)=(AD4),IF(IF((INDEX(B1:XFD1,((A3)+(1))+(0)))=("store"),(INDEX(B1:XFD1,((A3)+(1))+(1)))=("AD"),"false"),B3,AD118),AD118))</f>
        <v>#VALUE!</v>
      </c>
    </row>
    <row r="119" spans="1:30" x14ac:dyDescent="0.25">
      <c r="A119" t="e">
        <f ca="1">IF((A1)=(2),"",IF((115)=(A4),IF(("call")=(INDEX(B1:XFD1,((A3)+(1))+(0))),(B3)*(2),IF(("goto")=(INDEX(B1:XFD1,((A3)+(1))+(0))),(INDEX(B1:XFD1,((A3)+(1))+(1)))*(2),IF(("gotoiftrue")=(INDEX(B1:XFD1,((A3)+(1))+(0))),IF(B3,(INDEX(B1:XFD1,((A3)+(1))+(1)))*(2),(A119)+(2)),(A119)+(2)))),A119))</f>
        <v>#VALUE!</v>
      </c>
      <c r="B119" t="e">
        <f ca="1">IF((A1)=(2),"",IF((115)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119)+(1)),IF(("add")=(INDEX(B1:XFD1,((A3)+(1))+(0))),(INDEX(B5:B405,(B4)+(1)))+(B119),IF(("equals")=(INDEX(B1:XFD1,((A3)+(1))+(0))),(INDEX(B5:B405,(B4)+(1)))=(B119),IF(("leq")=(INDEX(B1:XFD1,((A3)+(1))+(0))),(INDEX(B5:B405,(B4)+(1)))&lt;=(B119),IF(("greater")=(INDEX(B1:XFD1,((A3)+(1))+(0))),(INDEX(B5:B405,(B4)+(1)))&gt;(B119),IF(("mod")=(INDEX(B1:XFD1,((A3)+(1))+(0))),MOD(INDEX(B5:B405,(B4)+(1)),B119),B119))))))))),B119))</f>
        <v>#VALUE!</v>
      </c>
      <c r="C119" t="e">
        <f ca="1">IF((A1)=(2),1,IF(AND((INDEX(B1:XFD1,((A3)+(1))+(0)))=("writeheap"),(INDEX(B5:B405,(B4)+(1)))=(114)),INDEX(B5:B405,(B4)+(2)),IF((A1)=(2),"",IF((115)=(C4),C119,C119))))</f>
        <v>#VALUE!</v>
      </c>
      <c r="F119" t="e">
        <f ca="1">IF((A1)=(2),"",IF((115)=(F4),IF(IF((INDEX(B1:XFD1,((A3)+(1))+(0)))=("store"),(INDEX(B1:XFD1,((A3)+(1))+(1)))=("F"),"false"),B3,F119),F119))</f>
        <v>#VALUE!</v>
      </c>
      <c r="G119" t="e">
        <f ca="1">IF((A1)=(2),"",IF((115)=(G4),IF(IF((INDEX(B1:XFD1,((A3)+(1))+(0)))=("store"),(INDEX(B1:XFD1,((A3)+(1))+(1)))=("G"),"false"),B3,G119),G119))</f>
        <v>#VALUE!</v>
      </c>
      <c r="H119" t="e">
        <f ca="1">IF((A1)=(2),"",IF((115)=(H4),IF(IF((INDEX(B1:XFD1,((A3)+(1))+(0)))=("store"),(INDEX(B1:XFD1,((A3)+(1))+(1)))=("H"),"false"),B3,H119),H119))</f>
        <v>#VALUE!</v>
      </c>
      <c r="I119" t="e">
        <f ca="1">IF((A1)=(2),"",IF((115)=(I4),IF(IF((INDEX(B1:XFD1,((A3)+(1))+(0)))=("store"),(INDEX(B1:XFD1,((A3)+(1))+(1)))=("I"),"false"),B3,I119),I119))</f>
        <v>#VALUE!</v>
      </c>
      <c r="J119" t="e">
        <f ca="1">IF((A1)=(2),"",IF((115)=(J4),IF(IF((INDEX(B1:XFD1,((A3)+(1))+(0)))=("store"),(INDEX(B1:XFD1,((A3)+(1))+(1)))=("J"),"false"),B3,J119),J119))</f>
        <v>#VALUE!</v>
      </c>
      <c r="K119" t="e">
        <f ca="1">IF((A1)=(2),"",IF((115)=(K4),IF(IF((INDEX(B1:XFD1,((A3)+(1))+(0)))=("store"),(INDEX(B1:XFD1,((A3)+(1))+(1)))=("K"),"false"),B3,K119),K119))</f>
        <v>#VALUE!</v>
      </c>
      <c r="L119" t="e">
        <f ca="1">IF((A1)=(2),"",IF((115)=(L4),IF(IF((INDEX(B1:XFD1,((A3)+(1))+(0)))=("store"),(INDEX(B1:XFD1,((A3)+(1))+(1)))=("L"),"false"),B3,L119),L119))</f>
        <v>#VALUE!</v>
      </c>
      <c r="M119" t="e">
        <f ca="1">IF((A1)=(2),"",IF((115)=(M4),IF(IF((INDEX(B1:XFD1,((A3)+(1))+(0)))=("store"),(INDEX(B1:XFD1,((A3)+(1))+(1)))=("M"),"false"),B3,M119),M119))</f>
        <v>#VALUE!</v>
      </c>
      <c r="N119" t="e">
        <f ca="1">IF((A1)=(2),"",IF((115)=(N4),IF(IF((INDEX(B1:XFD1,((A3)+(1))+(0)))=("store"),(INDEX(B1:XFD1,((A3)+(1))+(1)))=("N"),"false"),B3,N119),N119))</f>
        <v>#VALUE!</v>
      </c>
      <c r="O119" t="e">
        <f ca="1">IF((A1)=(2),"",IF((115)=(O4),IF(IF((INDEX(B1:XFD1,((A3)+(1))+(0)))=("store"),(INDEX(B1:XFD1,((A3)+(1))+(1)))=("O"),"false"),B3,O119),O119))</f>
        <v>#VALUE!</v>
      </c>
      <c r="P119" t="e">
        <f ca="1">IF((A1)=(2),"",IF((115)=(P4),IF(IF((INDEX(B1:XFD1,((A3)+(1))+(0)))=("store"),(INDEX(B1:XFD1,((A3)+(1))+(1)))=("P"),"false"),B3,P119),P119))</f>
        <v>#VALUE!</v>
      </c>
      <c r="Q119" t="e">
        <f ca="1">IF((A1)=(2),"",IF((115)=(Q4),IF(IF((INDEX(B1:XFD1,((A3)+(1))+(0)))=("store"),(INDEX(B1:XFD1,((A3)+(1))+(1)))=("Q"),"false"),B3,Q119),Q119))</f>
        <v>#VALUE!</v>
      </c>
      <c r="R119" t="e">
        <f ca="1">IF((A1)=(2),"",IF((115)=(R4),IF(IF((INDEX(B1:XFD1,((A3)+(1))+(0)))=("store"),(INDEX(B1:XFD1,((A3)+(1))+(1)))=("R"),"false"),B3,R119),R119))</f>
        <v>#VALUE!</v>
      </c>
      <c r="S119" t="e">
        <f ca="1">IF((A1)=(2),"",IF((115)=(S4),IF(IF((INDEX(B1:XFD1,((A3)+(1))+(0)))=("store"),(INDEX(B1:XFD1,((A3)+(1))+(1)))=("S"),"false"),B3,S119),S119))</f>
        <v>#VALUE!</v>
      </c>
      <c r="T119" t="e">
        <f ca="1">IF((A1)=(2),"",IF((115)=(T4),IF(IF((INDEX(B1:XFD1,((A3)+(1))+(0)))=("store"),(INDEX(B1:XFD1,((A3)+(1))+(1)))=("T"),"false"),B3,T119),T119))</f>
        <v>#VALUE!</v>
      </c>
      <c r="U119" t="e">
        <f ca="1">IF((A1)=(2),"",IF((115)=(U4),IF(IF((INDEX(B1:XFD1,((A3)+(1))+(0)))=("store"),(INDEX(B1:XFD1,((A3)+(1))+(1)))=("U"),"false"),B3,U119),U119))</f>
        <v>#VALUE!</v>
      </c>
      <c r="V119" t="e">
        <f ca="1">IF((A1)=(2),"",IF((115)=(V4),IF(IF((INDEX(B1:XFD1,((A3)+(1))+(0)))=("store"),(INDEX(B1:XFD1,((A3)+(1))+(1)))=("V"),"false"),B3,V119),V119))</f>
        <v>#VALUE!</v>
      </c>
      <c r="W119" t="e">
        <f ca="1">IF((A1)=(2),"",IF((115)=(W4),IF(IF((INDEX(B1:XFD1,((A3)+(1))+(0)))=("store"),(INDEX(B1:XFD1,((A3)+(1))+(1)))=("W"),"false"),B3,W119),W119))</f>
        <v>#VALUE!</v>
      </c>
      <c r="X119" t="e">
        <f ca="1">IF((A1)=(2),"",IF((115)=(X4),IF(IF((INDEX(B1:XFD1,((A3)+(1))+(0)))=("store"),(INDEX(B1:XFD1,((A3)+(1))+(1)))=("X"),"false"),B3,X119),X119))</f>
        <v>#VALUE!</v>
      </c>
      <c r="Y119" t="e">
        <f ca="1">IF((A1)=(2),"",IF((115)=(Y4),IF(IF((INDEX(B1:XFD1,((A3)+(1))+(0)))=("store"),(INDEX(B1:XFD1,((A3)+(1))+(1)))=("Y"),"false"),B3,Y119),Y119))</f>
        <v>#VALUE!</v>
      </c>
      <c r="Z119" t="e">
        <f ca="1">IF((A1)=(2),"",IF((115)=(Z4),IF(IF((INDEX(B1:XFD1,((A3)+(1))+(0)))=("store"),(INDEX(B1:XFD1,((A3)+(1))+(1)))=("Z"),"false"),B3,Z119),Z119))</f>
        <v>#VALUE!</v>
      </c>
      <c r="AA119" t="e">
        <f ca="1">IF((A1)=(2),"",IF((115)=(AA4),IF(IF((INDEX(B1:XFD1,((A3)+(1))+(0)))=("store"),(INDEX(B1:XFD1,((A3)+(1))+(1)))=("AA"),"false"),B3,AA119),AA119))</f>
        <v>#VALUE!</v>
      </c>
      <c r="AB119" t="e">
        <f ca="1">IF((A1)=(2),"",IF((115)=(AB4),IF(IF((INDEX(B1:XFD1,((A3)+(1))+(0)))=("store"),(INDEX(B1:XFD1,((A3)+(1))+(1)))=("AB"),"false"),B3,AB119),AB119))</f>
        <v>#VALUE!</v>
      </c>
      <c r="AC119" t="e">
        <f ca="1">IF((A1)=(2),"",IF((115)=(AC4),IF(IF((INDEX(B1:XFD1,((A3)+(1))+(0)))=("store"),(INDEX(B1:XFD1,((A3)+(1))+(1)))=("AC"),"false"),B3,AC119),AC119))</f>
        <v>#VALUE!</v>
      </c>
      <c r="AD119" t="e">
        <f ca="1">IF((A1)=(2),"",IF((115)=(AD4),IF(IF((INDEX(B1:XFD1,((A3)+(1))+(0)))=("store"),(INDEX(B1:XFD1,((A3)+(1))+(1)))=("AD"),"false"),B3,AD119),AD119))</f>
        <v>#VALUE!</v>
      </c>
    </row>
    <row r="120" spans="1:30" x14ac:dyDescent="0.25">
      <c r="A120" t="e">
        <f ca="1">IF((A1)=(2),"",IF((116)=(A4),IF(("call")=(INDEX(B1:XFD1,((A3)+(1))+(0))),(B3)*(2),IF(("goto")=(INDEX(B1:XFD1,((A3)+(1))+(0))),(INDEX(B1:XFD1,((A3)+(1))+(1)))*(2),IF(("gotoiftrue")=(INDEX(B1:XFD1,((A3)+(1))+(0))),IF(B3,(INDEX(B1:XFD1,((A3)+(1))+(1)))*(2),(A120)+(2)),(A120)+(2)))),A120))</f>
        <v>#VALUE!</v>
      </c>
      <c r="B120" t="e">
        <f ca="1">IF((A1)=(2),"",IF((116)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120)+(1)),IF(("add")=(INDEX(B1:XFD1,((A3)+(1))+(0))),(INDEX(B5:B405,(B4)+(1)))+(B120),IF(("equals")=(INDEX(B1:XFD1,((A3)+(1))+(0))),(INDEX(B5:B405,(B4)+(1)))=(B120),IF(("leq")=(INDEX(B1:XFD1,((A3)+(1))+(0))),(INDEX(B5:B405,(B4)+(1)))&lt;=(B120),IF(("greater")=(INDEX(B1:XFD1,((A3)+(1))+(0))),(INDEX(B5:B405,(B4)+(1)))&gt;(B120),IF(("mod")=(INDEX(B1:XFD1,((A3)+(1))+(0))),MOD(INDEX(B5:B405,(B4)+(1)),B120),B120))))))))),B120))</f>
        <v>#VALUE!</v>
      </c>
      <c r="C120" t="e">
        <f ca="1">IF((A1)=(2),1,IF(AND((INDEX(B1:XFD1,((A3)+(1))+(0)))=("writeheap"),(INDEX(B5:B405,(B4)+(1)))=(115)),INDEX(B5:B405,(B4)+(2)),IF((A1)=(2),"",IF((116)=(C4),C120,C120))))</f>
        <v>#VALUE!</v>
      </c>
      <c r="F120" t="e">
        <f ca="1">IF((A1)=(2),"",IF((116)=(F4),IF(IF((INDEX(B1:XFD1,((A3)+(1))+(0)))=("store"),(INDEX(B1:XFD1,((A3)+(1))+(1)))=("F"),"false"),B3,F120),F120))</f>
        <v>#VALUE!</v>
      </c>
      <c r="G120" t="e">
        <f ca="1">IF((A1)=(2),"",IF((116)=(G4),IF(IF((INDEX(B1:XFD1,((A3)+(1))+(0)))=("store"),(INDEX(B1:XFD1,((A3)+(1))+(1)))=("G"),"false"),B3,G120),G120))</f>
        <v>#VALUE!</v>
      </c>
      <c r="H120" t="e">
        <f ca="1">IF((A1)=(2),"",IF((116)=(H4),IF(IF((INDEX(B1:XFD1,((A3)+(1))+(0)))=("store"),(INDEX(B1:XFD1,((A3)+(1))+(1)))=("H"),"false"),B3,H120),H120))</f>
        <v>#VALUE!</v>
      </c>
      <c r="I120" t="e">
        <f ca="1">IF((A1)=(2),"",IF((116)=(I4),IF(IF((INDEX(B1:XFD1,((A3)+(1))+(0)))=("store"),(INDEX(B1:XFD1,((A3)+(1))+(1)))=("I"),"false"),B3,I120),I120))</f>
        <v>#VALUE!</v>
      </c>
      <c r="J120" t="e">
        <f ca="1">IF((A1)=(2),"",IF((116)=(J4),IF(IF((INDEX(B1:XFD1,((A3)+(1))+(0)))=("store"),(INDEX(B1:XFD1,((A3)+(1))+(1)))=("J"),"false"),B3,J120),J120))</f>
        <v>#VALUE!</v>
      </c>
      <c r="K120" t="e">
        <f ca="1">IF((A1)=(2),"",IF((116)=(K4),IF(IF((INDEX(B1:XFD1,((A3)+(1))+(0)))=("store"),(INDEX(B1:XFD1,((A3)+(1))+(1)))=("K"),"false"),B3,K120),K120))</f>
        <v>#VALUE!</v>
      </c>
      <c r="L120" t="e">
        <f ca="1">IF((A1)=(2),"",IF((116)=(L4),IF(IF((INDEX(B1:XFD1,((A3)+(1))+(0)))=("store"),(INDEX(B1:XFD1,((A3)+(1))+(1)))=("L"),"false"),B3,L120),L120))</f>
        <v>#VALUE!</v>
      </c>
      <c r="M120" t="e">
        <f ca="1">IF((A1)=(2),"",IF((116)=(M4),IF(IF((INDEX(B1:XFD1,((A3)+(1))+(0)))=("store"),(INDEX(B1:XFD1,((A3)+(1))+(1)))=("M"),"false"),B3,M120),M120))</f>
        <v>#VALUE!</v>
      </c>
      <c r="N120" t="e">
        <f ca="1">IF((A1)=(2),"",IF((116)=(N4),IF(IF((INDEX(B1:XFD1,((A3)+(1))+(0)))=("store"),(INDEX(B1:XFD1,((A3)+(1))+(1)))=("N"),"false"),B3,N120),N120))</f>
        <v>#VALUE!</v>
      </c>
      <c r="O120" t="e">
        <f ca="1">IF((A1)=(2),"",IF((116)=(O4),IF(IF((INDEX(B1:XFD1,((A3)+(1))+(0)))=("store"),(INDEX(B1:XFD1,((A3)+(1))+(1)))=("O"),"false"),B3,O120),O120))</f>
        <v>#VALUE!</v>
      </c>
      <c r="P120" t="e">
        <f ca="1">IF((A1)=(2),"",IF((116)=(P4),IF(IF((INDEX(B1:XFD1,((A3)+(1))+(0)))=("store"),(INDEX(B1:XFD1,((A3)+(1))+(1)))=("P"),"false"),B3,P120),P120))</f>
        <v>#VALUE!</v>
      </c>
      <c r="Q120" t="e">
        <f ca="1">IF((A1)=(2),"",IF((116)=(Q4),IF(IF((INDEX(B1:XFD1,((A3)+(1))+(0)))=("store"),(INDEX(B1:XFD1,((A3)+(1))+(1)))=("Q"),"false"),B3,Q120),Q120))</f>
        <v>#VALUE!</v>
      </c>
      <c r="R120" t="e">
        <f ca="1">IF((A1)=(2),"",IF((116)=(R4),IF(IF((INDEX(B1:XFD1,((A3)+(1))+(0)))=("store"),(INDEX(B1:XFD1,((A3)+(1))+(1)))=("R"),"false"),B3,R120),R120))</f>
        <v>#VALUE!</v>
      </c>
      <c r="S120" t="e">
        <f ca="1">IF((A1)=(2),"",IF((116)=(S4),IF(IF((INDEX(B1:XFD1,((A3)+(1))+(0)))=("store"),(INDEX(B1:XFD1,((A3)+(1))+(1)))=("S"),"false"),B3,S120),S120))</f>
        <v>#VALUE!</v>
      </c>
      <c r="T120" t="e">
        <f ca="1">IF((A1)=(2),"",IF((116)=(T4),IF(IF((INDEX(B1:XFD1,((A3)+(1))+(0)))=("store"),(INDEX(B1:XFD1,((A3)+(1))+(1)))=("T"),"false"),B3,T120),T120))</f>
        <v>#VALUE!</v>
      </c>
      <c r="U120" t="e">
        <f ca="1">IF((A1)=(2),"",IF((116)=(U4),IF(IF((INDEX(B1:XFD1,((A3)+(1))+(0)))=("store"),(INDEX(B1:XFD1,((A3)+(1))+(1)))=("U"),"false"),B3,U120),U120))</f>
        <v>#VALUE!</v>
      </c>
      <c r="V120" t="e">
        <f ca="1">IF((A1)=(2),"",IF((116)=(V4),IF(IF((INDEX(B1:XFD1,((A3)+(1))+(0)))=("store"),(INDEX(B1:XFD1,((A3)+(1))+(1)))=("V"),"false"),B3,V120),V120))</f>
        <v>#VALUE!</v>
      </c>
      <c r="W120" t="e">
        <f ca="1">IF((A1)=(2),"",IF((116)=(W4),IF(IF((INDEX(B1:XFD1,((A3)+(1))+(0)))=("store"),(INDEX(B1:XFD1,((A3)+(1))+(1)))=("W"),"false"),B3,W120),W120))</f>
        <v>#VALUE!</v>
      </c>
      <c r="X120" t="e">
        <f ca="1">IF((A1)=(2),"",IF((116)=(X4),IF(IF((INDEX(B1:XFD1,((A3)+(1))+(0)))=("store"),(INDEX(B1:XFD1,((A3)+(1))+(1)))=("X"),"false"),B3,X120),X120))</f>
        <v>#VALUE!</v>
      </c>
      <c r="Y120" t="e">
        <f ca="1">IF((A1)=(2),"",IF((116)=(Y4),IF(IF((INDEX(B1:XFD1,((A3)+(1))+(0)))=("store"),(INDEX(B1:XFD1,((A3)+(1))+(1)))=("Y"),"false"),B3,Y120),Y120))</f>
        <v>#VALUE!</v>
      </c>
      <c r="Z120" t="e">
        <f ca="1">IF((A1)=(2),"",IF((116)=(Z4),IF(IF((INDEX(B1:XFD1,((A3)+(1))+(0)))=("store"),(INDEX(B1:XFD1,((A3)+(1))+(1)))=("Z"),"false"),B3,Z120),Z120))</f>
        <v>#VALUE!</v>
      </c>
      <c r="AA120" t="e">
        <f ca="1">IF((A1)=(2),"",IF((116)=(AA4),IF(IF((INDEX(B1:XFD1,((A3)+(1))+(0)))=("store"),(INDEX(B1:XFD1,((A3)+(1))+(1)))=("AA"),"false"),B3,AA120),AA120))</f>
        <v>#VALUE!</v>
      </c>
      <c r="AB120" t="e">
        <f ca="1">IF((A1)=(2),"",IF((116)=(AB4),IF(IF((INDEX(B1:XFD1,((A3)+(1))+(0)))=("store"),(INDEX(B1:XFD1,((A3)+(1))+(1)))=("AB"),"false"),B3,AB120),AB120))</f>
        <v>#VALUE!</v>
      </c>
      <c r="AC120" t="e">
        <f ca="1">IF((A1)=(2),"",IF((116)=(AC4),IF(IF((INDEX(B1:XFD1,((A3)+(1))+(0)))=("store"),(INDEX(B1:XFD1,((A3)+(1))+(1)))=("AC"),"false"),B3,AC120),AC120))</f>
        <v>#VALUE!</v>
      </c>
      <c r="AD120" t="e">
        <f ca="1">IF((A1)=(2),"",IF((116)=(AD4),IF(IF((INDEX(B1:XFD1,((A3)+(1))+(0)))=("store"),(INDEX(B1:XFD1,((A3)+(1))+(1)))=("AD"),"false"),B3,AD120),AD120))</f>
        <v>#VALUE!</v>
      </c>
    </row>
    <row r="121" spans="1:30" x14ac:dyDescent="0.25">
      <c r="A121" t="e">
        <f ca="1">IF((A1)=(2),"",IF((117)=(A4),IF(("call")=(INDEX(B1:XFD1,((A3)+(1))+(0))),(B3)*(2),IF(("goto")=(INDEX(B1:XFD1,((A3)+(1))+(0))),(INDEX(B1:XFD1,((A3)+(1))+(1)))*(2),IF(("gotoiftrue")=(INDEX(B1:XFD1,((A3)+(1))+(0))),IF(B3,(INDEX(B1:XFD1,((A3)+(1))+(1)))*(2),(A121)+(2)),(A121)+(2)))),A121))</f>
        <v>#VALUE!</v>
      </c>
      <c r="B121" t="e">
        <f ca="1">IF((A1)=(2),"",IF((117)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121)+(1)),IF(("add")=(INDEX(B1:XFD1,((A3)+(1))+(0))),(INDEX(B5:B405,(B4)+(1)))+(B121),IF(("equals")=(INDEX(B1:XFD1,((A3)+(1))+(0))),(INDEX(B5:B405,(B4)+(1)))=(B121),IF(("leq")=(INDEX(B1:XFD1,((A3)+(1))+(0))),(INDEX(B5:B405,(B4)+(1)))&lt;=(B121),IF(("greater")=(INDEX(B1:XFD1,((A3)+(1))+(0))),(INDEX(B5:B405,(B4)+(1)))&gt;(B121),IF(("mod")=(INDEX(B1:XFD1,((A3)+(1))+(0))),MOD(INDEX(B5:B405,(B4)+(1)),B121),B121))))))))),B121))</f>
        <v>#VALUE!</v>
      </c>
      <c r="C121" t="e">
        <f ca="1">IF((A1)=(2),1,IF(AND((INDEX(B1:XFD1,((A3)+(1))+(0)))=("writeheap"),(INDEX(B5:B405,(B4)+(1)))=(116)),INDEX(B5:B405,(B4)+(2)),IF((A1)=(2),"",IF((117)=(C4),C121,C121))))</f>
        <v>#VALUE!</v>
      </c>
      <c r="F121" t="e">
        <f ca="1">IF((A1)=(2),"",IF((117)=(F4),IF(IF((INDEX(B1:XFD1,((A3)+(1))+(0)))=("store"),(INDEX(B1:XFD1,((A3)+(1))+(1)))=("F"),"false"),B3,F121),F121))</f>
        <v>#VALUE!</v>
      </c>
      <c r="G121" t="e">
        <f ca="1">IF((A1)=(2),"",IF((117)=(G4),IF(IF((INDEX(B1:XFD1,((A3)+(1))+(0)))=("store"),(INDEX(B1:XFD1,((A3)+(1))+(1)))=("G"),"false"),B3,G121),G121))</f>
        <v>#VALUE!</v>
      </c>
      <c r="H121" t="e">
        <f ca="1">IF((A1)=(2),"",IF((117)=(H4),IF(IF((INDEX(B1:XFD1,((A3)+(1))+(0)))=("store"),(INDEX(B1:XFD1,((A3)+(1))+(1)))=("H"),"false"),B3,H121),H121))</f>
        <v>#VALUE!</v>
      </c>
      <c r="I121" t="e">
        <f ca="1">IF((A1)=(2),"",IF((117)=(I4),IF(IF((INDEX(B1:XFD1,((A3)+(1))+(0)))=("store"),(INDEX(B1:XFD1,((A3)+(1))+(1)))=("I"),"false"),B3,I121),I121))</f>
        <v>#VALUE!</v>
      </c>
      <c r="J121" t="e">
        <f ca="1">IF((A1)=(2),"",IF((117)=(J4),IF(IF((INDEX(B1:XFD1,((A3)+(1))+(0)))=("store"),(INDEX(B1:XFD1,((A3)+(1))+(1)))=("J"),"false"),B3,J121),J121))</f>
        <v>#VALUE!</v>
      </c>
      <c r="K121" t="e">
        <f ca="1">IF((A1)=(2),"",IF((117)=(K4),IF(IF((INDEX(B1:XFD1,((A3)+(1))+(0)))=("store"),(INDEX(B1:XFD1,((A3)+(1))+(1)))=("K"),"false"),B3,K121),K121))</f>
        <v>#VALUE!</v>
      </c>
      <c r="L121" t="e">
        <f ca="1">IF((A1)=(2),"",IF((117)=(L4),IF(IF((INDEX(B1:XFD1,((A3)+(1))+(0)))=("store"),(INDEX(B1:XFD1,((A3)+(1))+(1)))=("L"),"false"),B3,L121),L121))</f>
        <v>#VALUE!</v>
      </c>
      <c r="M121" t="e">
        <f ca="1">IF((A1)=(2),"",IF((117)=(M4),IF(IF((INDEX(B1:XFD1,((A3)+(1))+(0)))=("store"),(INDEX(B1:XFD1,((A3)+(1))+(1)))=("M"),"false"),B3,M121),M121))</f>
        <v>#VALUE!</v>
      </c>
      <c r="N121" t="e">
        <f ca="1">IF((A1)=(2),"",IF((117)=(N4),IF(IF((INDEX(B1:XFD1,((A3)+(1))+(0)))=("store"),(INDEX(B1:XFD1,((A3)+(1))+(1)))=("N"),"false"),B3,N121),N121))</f>
        <v>#VALUE!</v>
      </c>
      <c r="O121" t="e">
        <f ca="1">IF((A1)=(2),"",IF((117)=(O4),IF(IF((INDEX(B1:XFD1,((A3)+(1))+(0)))=("store"),(INDEX(B1:XFD1,((A3)+(1))+(1)))=("O"),"false"),B3,O121),O121))</f>
        <v>#VALUE!</v>
      </c>
      <c r="P121" t="e">
        <f ca="1">IF((A1)=(2),"",IF((117)=(P4),IF(IF((INDEX(B1:XFD1,((A3)+(1))+(0)))=("store"),(INDEX(B1:XFD1,((A3)+(1))+(1)))=("P"),"false"),B3,P121),P121))</f>
        <v>#VALUE!</v>
      </c>
      <c r="Q121" t="e">
        <f ca="1">IF((A1)=(2),"",IF((117)=(Q4),IF(IF((INDEX(B1:XFD1,((A3)+(1))+(0)))=("store"),(INDEX(B1:XFD1,((A3)+(1))+(1)))=("Q"),"false"),B3,Q121),Q121))</f>
        <v>#VALUE!</v>
      </c>
      <c r="R121" t="e">
        <f ca="1">IF((A1)=(2),"",IF((117)=(R4),IF(IF((INDEX(B1:XFD1,((A3)+(1))+(0)))=("store"),(INDEX(B1:XFD1,((A3)+(1))+(1)))=("R"),"false"),B3,R121),R121))</f>
        <v>#VALUE!</v>
      </c>
      <c r="S121" t="e">
        <f ca="1">IF((A1)=(2),"",IF((117)=(S4),IF(IF((INDEX(B1:XFD1,((A3)+(1))+(0)))=("store"),(INDEX(B1:XFD1,((A3)+(1))+(1)))=("S"),"false"),B3,S121),S121))</f>
        <v>#VALUE!</v>
      </c>
      <c r="T121" t="e">
        <f ca="1">IF((A1)=(2),"",IF((117)=(T4),IF(IF((INDEX(B1:XFD1,((A3)+(1))+(0)))=("store"),(INDEX(B1:XFD1,((A3)+(1))+(1)))=("T"),"false"),B3,T121),T121))</f>
        <v>#VALUE!</v>
      </c>
      <c r="U121" t="e">
        <f ca="1">IF((A1)=(2),"",IF((117)=(U4),IF(IF((INDEX(B1:XFD1,((A3)+(1))+(0)))=("store"),(INDEX(B1:XFD1,((A3)+(1))+(1)))=("U"),"false"),B3,U121),U121))</f>
        <v>#VALUE!</v>
      </c>
      <c r="V121" t="e">
        <f ca="1">IF((A1)=(2),"",IF((117)=(V4),IF(IF((INDEX(B1:XFD1,((A3)+(1))+(0)))=("store"),(INDEX(B1:XFD1,((A3)+(1))+(1)))=("V"),"false"),B3,V121),V121))</f>
        <v>#VALUE!</v>
      </c>
      <c r="W121" t="e">
        <f ca="1">IF((A1)=(2),"",IF((117)=(W4),IF(IF((INDEX(B1:XFD1,((A3)+(1))+(0)))=("store"),(INDEX(B1:XFD1,((A3)+(1))+(1)))=("W"),"false"),B3,W121),W121))</f>
        <v>#VALUE!</v>
      </c>
      <c r="X121" t="e">
        <f ca="1">IF((A1)=(2),"",IF((117)=(X4),IF(IF((INDEX(B1:XFD1,((A3)+(1))+(0)))=("store"),(INDEX(B1:XFD1,((A3)+(1))+(1)))=("X"),"false"),B3,X121),X121))</f>
        <v>#VALUE!</v>
      </c>
      <c r="Y121" t="e">
        <f ca="1">IF((A1)=(2),"",IF((117)=(Y4),IF(IF((INDEX(B1:XFD1,((A3)+(1))+(0)))=("store"),(INDEX(B1:XFD1,((A3)+(1))+(1)))=("Y"),"false"),B3,Y121),Y121))</f>
        <v>#VALUE!</v>
      </c>
      <c r="Z121" t="e">
        <f ca="1">IF((A1)=(2),"",IF((117)=(Z4),IF(IF((INDEX(B1:XFD1,((A3)+(1))+(0)))=("store"),(INDEX(B1:XFD1,((A3)+(1))+(1)))=("Z"),"false"),B3,Z121),Z121))</f>
        <v>#VALUE!</v>
      </c>
      <c r="AA121" t="e">
        <f ca="1">IF((A1)=(2),"",IF((117)=(AA4),IF(IF((INDEX(B1:XFD1,((A3)+(1))+(0)))=("store"),(INDEX(B1:XFD1,((A3)+(1))+(1)))=("AA"),"false"),B3,AA121),AA121))</f>
        <v>#VALUE!</v>
      </c>
      <c r="AB121" t="e">
        <f ca="1">IF((A1)=(2),"",IF((117)=(AB4),IF(IF((INDEX(B1:XFD1,((A3)+(1))+(0)))=("store"),(INDEX(B1:XFD1,((A3)+(1))+(1)))=("AB"),"false"),B3,AB121),AB121))</f>
        <v>#VALUE!</v>
      </c>
      <c r="AC121" t="e">
        <f ca="1">IF((A1)=(2),"",IF((117)=(AC4),IF(IF((INDEX(B1:XFD1,((A3)+(1))+(0)))=("store"),(INDEX(B1:XFD1,((A3)+(1))+(1)))=("AC"),"false"),B3,AC121),AC121))</f>
        <v>#VALUE!</v>
      </c>
      <c r="AD121" t="e">
        <f ca="1">IF((A1)=(2),"",IF((117)=(AD4),IF(IF((INDEX(B1:XFD1,((A3)+(1))+(0)))=("store"),(INDEX(B1:XFD1,((A3)+(1))+(1)))=("AD"),"false"),B3,AD121),AD121))</f>
        <v>#VALUE!</v>
      </c>
    </row>
    <row r="122" spans="1:30" x14ac:dyDescent="0.25">
      <c r="A122" t="e">
        <f ca="1">IF((A1)=(2),"",IF((118)=(A4),IF(("call")=(INDEX(B1:XFD1,((A3)+(1))+(0))),(B3)*(2),IF(("goto")=(INDEX(B1:XFD1,((A3)+(1))+(0))),(INDEX(B1:XFD1,((A3)+(1))+(1)))*(2),IF(("gotoiftrue")=(INDEX(B1:XFD1,((A3)+(1))+(0))),IF(B3,(INDEX(B1:XFD1,((A3)+(1))+(1)))*(2),(A122)+(2)),(A122)+(2)))),A122))</f>
        <v>#VALUE!</v>
      </c>
      <c r="B122" t="e">
        <f ca="1">IF((A1)=(2),"",IF((118)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122)+(1)),IF(("add")=(INDEX(B1:XFD1,((A3)+(1))+(0))),(INDEX(B5:B405,(B4)+(1)))+(B122),IF(("equals")=(INDEX(B1:XFD1,((A3)+(1))+(0))),(INDEX(B5:B405,(B4)+(1)))=(B122),IF(("leq")=(INDEX(B1:XFD1,((A3)+(1))+(0))),(INDEX(B5:B405,(B4)+(1)))&lt;=(B122),IF(("greater")=(INDEX(B1:XFD1,((A3)+(1))+(0))),(INDEX(B5:B405,(B4)+(1)))&gt;(B122),IF(("mod")=(INDEX(B1:XFD1,((A3)+(1))+(0))),MOD(INDEX(B5:B405,(B4)+(1)),B122),B122))))))))),B122))</f>
        <v>#VALUE!</v>
      </c>
      <c r="C122" t="e">
        <f ca="1">IF((A1)=(2),1,IF(AND((INDEX(B1:XFD1,((A3)+(1))+(0)))=("writeheap"),(INDEX(B5:B405,(B4)+(1)))=(117)),INDEX(B5:B405,(B4)+(2)),IF((A1)=(2),"",IF((118)=(C4),C122,C122))))</f>
        <v>#VALUE!</v>
      </c>
      <c r="F122" t="e">
        <f ca="1">IF((A1)=(2),"",IF((118)=(F4),IF(IF((INDEX(B1:XFD1,((A3)+(1))+(0)))=("store"),(INDEX(B1:XFD1,((A3)+(1))+(1)))=("F"),"false"),B3,F122),F122))</f>
        <v>#VALUE!</v>
      </c>
      <c r="G122" t="e">
        <f ca="1">IF((A1)=(2),"",IF((118)=(G4),IF(IF((INDEX(B1:XFD1,((A3)+(1))+(0)))=("store"),(INDEX(B1:XFD1,((A3)+(1))+(1)))=("G"),"false"),B3,G122),G122))</f>
        <v>#VALUE!</v>
      </c>
      <c r="H122" t="e">
        <f ca="1">IF((A1)=(2),"",IF((118)=(H4),IF(IF((INDEX(B1:XFD1,((A3)+(1))+(0)))=("store"),(INDEX(B1:XFD1,((A3)+(1))+(1)))=("H"),"false"),B3,H122),H122))</f>
        <v>#VALUE!</v>
      </c>
      <c r="I122" t="e">
        <f ca="1">IF((A1)=(2),"",IF((118)=(I4),IF(IF((INDEX(B1:XFD1,((A3)+(1))+(0)))=("store"),(INDEX(B1:XFD1,((A3)+(1))+(1)))=("I"),"false"),B3,I122),I122))</f>
        <v>#VALUE!</v>
      </c>
      <c r="J122" t="e">
        <f ca="1">IF((A1)=(2),"",IF((118)=(J4),IF(IF((INDEX(B1:XFD1,((A3)+(1))+(0)))=("store"),(INDEX(B1:XFD1,((A3)+(1))+(1)))=("J"),"false"),B3,J122),J122))</f>
        <v>#VALUE!</v>
      </c>
      <c r="K122" t="e">
        <f ca="1">IF((A1)=(2),"",IF((118)=(K4),IF(IF((INDEX(B1:XFD1,((A3)+(1))+(0)))=("store"),(INDEX(B1:XFD1,((A3)+(1))+(1)))=("K"),"false"),B3,K122),K122))</f>
        <v>#VALUE!</v>
      </c>
      <c r="L122" t="e">
        <f ca="1">IF((A1)=(2),"",IF((118)=(L4),IF(IF((INDEX(B1:XFD1,((A3)+(1))+(0)))=("store"),(INDEX(B1:XFD1,((A3)+(1))+(1)))=("L"),"false"),B3,L122),L122))</f>
        <v>#VALUE!</v>
      </c>
      <c r="M122" t="e">
        <f ca="1">IF((A1)=(2),"",IF((118)=(M4),IF(IF((INDEX(B1:XFD1,((A3)+(1))+(0)))=("store"),(INDEX(B1:XFD1,((A3)+(1))+(1)))=("M"),"false"),B3,M122),M122))</f>
        <v>#VALUE!</v>
      </c>
      <c r="N122" t="e">
        <f ca="1">IF((A1)=(2),"",IF((118)=(N4),IF(IF((INDEX(B1:XFD1,((A3)+(1))+(0)))=("store"),(INDEX(B1:XFD1,((A3)+(1))+(1)))=("N"),"false"),B3,N122),N122))</f>
        <v>#VALUE!</v>
      </c>
      <c r="O122" t="e">
        <f ca="1">IF((A1)=(2),"",IF((118)=(O4),IF(IF((INDEX(B1:XFD1,((A3)+(1))+(0)))=("store"),(INDEX(B1:XFD1,((A3)+(1))+(1)))=("O"),"false"),B3,O122),O122))</f>
        <v>#VALUE!</v>
      </c>
      <c r="P122" t="e">
        <f ca="1">IF((A1)=(2),"",IF((118)=(P4),IF(IF((INDEX(B1:XFD1,((A3)+(1))+(0)))=("store"),(INDEX(B1:XFD1,((A3)+(1))+(1)))=("P"),"false"),B3,P122),P122))</f>
        <v>#VALUE!</v>
      </c>
      <c r="Q122" t="e">
        <f ca="1">IF((A1)=(2),"",IF((118)=(Q4),IF(IF((INDEX(B1:XFD1,((A3)+(1))+(0)))=("store"),(INDEX(B1:XFD1,((A3)+(1))+(1)))=("Q"),"false"),B3,Q122),Q122))</f>
        <v>#VALUE!</v>
      </c>
      <c r="R122" t="e">
        <f ca="1">IF((A1)=(2),"",IF((118)=(R4),IF(IF((INDEX(B1:XFD1,((A3)+(1))+(0)))=("store"),(INDEX(B1:XFD1,((A3)+(1))+(1)))=("R"),"false"),B3,R122),R122))</f>
        <v>#VALUE!</v>
      </c>
      <c r="S122" t="e">
        <f ca="1">IF((A1)=(2),"",IF((118)=(S4),IF(IF((INDEX(B1:XFD1,((A3)+(1))+(0)))=("store"),(INDEX(B1:XFD1,((A3)+(1))+(1)))=("S"),"false"),B3,S122),S122))</f>
        <v>#VALUE!</v>
      </c>
      <c r="T122" t="e">
        <f ca="1">IF((A1)=(2),"",IF((118)=(T4),IF(IF((INDEX(B1:XFD1,((A3)+(1))+(0)))=("store"),(INDEX(B1:XFD1,((A3)+(1))+(1)))=("T"),"false"),B3,T122),T122))</f>
        <v>#VALUE!</v>
      </c>
      <c r="U122" t="e">
        <f ca="1">IF((A1)=(2),"",IF((118)=(U4),IF(IF((INDEX(B1:XFD1,((A3)+(1))+(0)))=("store"),(INDEX(B1:XFD1,((A3)+(1))+(1)))=("U"),"false"),B3,U122),U122))</f>
        <v>#VALUE!</v>
      </c>
      <c r="V122" t="e">
        <f ca="1">IF((A1)=(2),"",IF((118)=(V4),IF(IF((INDEX(B1:XFD1,((A3)+(1))+(0)))=("store"),(INDEX(B1:XFD1,((A3)+(1))+(1)))=("V"),"false"),B3,V122),V122))</f>
        <v>#VALUE!</v>
      </c>
      <c r="W122" t="e">
        <f ca="1">IF((A1)=(2),"",IF((118)=(W4),IF(IF((INDEX(B1:XFD1,((A3)+(1))+(0)))=("store"),(INDEX(B1:XFD1,((A3)+(1))+(1)))=("W"),"false"),B3,W122),W122))</f>
        <v>#VALUE!</v>
      </c>
      <c r="X122" t="e">
        <f ca="1">IF((A1)=(2),"",IF((118)=(X4),IF(IF((INDEX(B1:XFD1,((A3)+(1))+(0)))=("store"),(INDEX(B1:XFD1,((A3)+(1))+(1)))=("X"),"false"),B3,X122),X122))</f>
        <v>#VALUE!</v>
      </c>
      <c r="Y122" t="e">
        <f ca="1">IF((A1)=(2),"",IF((118)=(Y4),IF(IF((INDEX(B1:XFD1,((A3)+(1))+(0)))=("store"),(INDEX(B1:XFD1,((A3)+(1))+(1)))=("Y"),"false"),B3,Y122),Y122))</f>
        <v>#VALUE!</v>
      </c>
      <c r="Z122" t="e">
        <f ca="1">IF((A1)=(2),"",IF((118)=(Z4),IF(IF((INDEX(B1:XFD1,((A3)+(1))+(0)))=("store"),(INDEX(B1:XFD1,((A3)+(1))+(1)))=("Z"),"false"),B3,Z122),Z122))</f>
        <v>#VALUE!</v>
      </c>
      <c r="AA122" t="e">
        <f ca="1">IF((A1)=(2),"",IF((118)=(AA4),IF(IF((INDEX(B1:XFD1,((A3)+(1))+(0)))=("store"),(INDEX(B1:XFD1,((A3)+(1))+(1)))=("AA"),"false"),B3,AA122),AA122))</f>
        <v>#VALUE!</v>
      </c>
      <c r="AB122" t="e">
        <f ca="1">IF((A1)=(2),"",IF((118)=(AB4),IF(IF((INDEX(B1:XFD1,((A3)+(1))+(0)))=("store"),(INDEX(B1:XFD1,((A3)+(1))+(1)))=("AB"),"false"),B3,AB122),AB122))</f>
        <v>#VALUE!</v>
      </c>
      <c r="AC122" t="e">
        <f ca="1">IF((A1)=(2),"",IF((118)=(AC4),IF(IF((INDEX(B1:XFD1,((A3)+(1))+(0)))=("store"),(INDEX(B1:XFD1,((A3)+(1))+(1)))=("AC"),"false"),B3,AC122),AC122))</f>
        <v>#VALUE!</v>
      </c>
      <c r="AD122" t="e">
        <f ca="1">IF((A1)=(2),"",IF((118)=(AD4),IF(IF((INDEX(B1:XFD1,((A3)+(1))+(0)))=("store"),(INDEX(B1:XFD1,((A3)+(1))+(1)))=("AD"),"false"),B3,AD122),AD122))</f>
        <v>#VALUE!</v>
      </c>
    </row>
    <row r="123" spans="1:30" x14ac:dyDescent="0.25">
      <c r="A123" t="e">
        <f ca="1">IF((A1)=(2),"",IF((119)=(A4),IF(("call")=(INDEX(B1:XFD1,((A3)+(1))+(0))),(B3)*(2),IF(("goto")=(INDEX(B1:XFD1,((A3)+(1))+(0))),(INDEX(B1:XFD1,((A3)+(1))+(1)))*(2),IF(("gotoiftrue")=(INDEX(B1:XFD1,((A3)+(1))+(0))),IF(B3,(INDEX(B1:XFD1,((A3)+(1))+(1)))*(2),(A123)+(2)),(A123)+(2)))),A123))</f>
        <v>#VALUE!</v>
      </c>
      <c r="B123" t="e">
        <f ca="1">IF((A1)=(2),"",IF((119)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123)+(1)),IF(("add")=(INDEX(B1:XFD1,((A3)+(1))+(0))),(INDEX(B5:B405,(B4)+(1)))+(B123),IF(("equals")=(INDEX(B1:XFD1,((A3)+(1))+(0))),(INDEX(B5:B405,(B4)+(1)))=(B123),IF(("leq")=(INDEX(B1:XFD1,((A3)+(1))+(0))),(INDEX(B5:B405,(B4)+(1)))&lt;=(B123),IF(("greater")=(INDEX(B1:XFD1,((A3)+(1))+(0))),(INDEX(B5:B405,(B4)+(1)))&gt;(B123),IF(("mod")=(INDEX(B1:XFD1,((A3)+(1))+(0))),MOD(INDEX(B5:B405,(B4)+(1)),B123),B123))))))))),B123))</f>
        <v>#VALUE!</v>
      </c>
      <c r="C123" t="e">
        <f ca="1">IF((A1)=(2),1,IF(AND((INDEX(B1:XFD1,((A3)+(1))+(0)))=("writeheap"),(INDEX(B5:B405,(B4)+(1)))=(118)),INDEX(B5:B405,(B4)+(2)),IF((A1)=(2),"",IF((119)=(C4),C123,C123))))</f>
        <v>#VALUE!</v>
      </c>
      <c r="F123" t="e">
        <f ca="1">IF((A1)=(2),"",IF((119)=(F4),IF(IF((INDEX(B1:XFD1,((A3)+(1))+(0)))=("store"),(INDEX(B1:XFD1,((A3)+(1))+(1)))=("F"),"false"),B3,F123),F123))</f>
        <v>#VALUE!</v>
      </c>
      <c r="G123" t="e">
        <f ca="1">IF((A1)=(2),"",IF((119)=(G4),IF(IF((INDEX(B1:XFD1,((A3)+(1))+(0)))=("store"),(INDEX(B1:XFD1,((A3)+(1))+(1)))=("G"),"false"),B3,G123),G123))</f>
        <v>#VALUE!</v>
      </c>
      <c r="H123" t="e">
        <f ca="1">IF((A1)=(2),"",IF((119)=(H4),IF(IF((INDEX(B1:XFD1,((A3)+(1))+(0)))=("store"),(INDEX(B1:XFD1,((A3)+(1))+(1)))=("H"),"false"),B3,H123),H123))</f>
        <v>#VALUE!</v>
      </c>
      <c r="I123" t="e">
        <f ca="1">IF((A1)=(2),"",IF((119)=(I4),IF(IF((INDEX(B1:XFD1,((A3)+(1))+(0)))=("store"),(INDEX(B1:XFD1,((A3)+(1))+(1)))=("I"),"false"),B3,I123),I123))</f>
        <v>#VALUE!</v>
      </c>
      <c r="J123" t="e">
        <f ca="1">IF((A1)=(2),"",IF((119)=(J4),IF(IF((INDEX(B1:XFD1,((A3)+(1))+(0)))=("store"),(INDEX(B1:XFD1,((A3)+(1))+(1)))=("J"),"false"),B3,J123),J123))</f>
        <v>#VALUE!</v>
      </c>
      <c r="K123" t="e">
        <f ca="1">IF((A1)=(2),"",IF((119)=(K4),IF(IF((INDEX(B1:XFD1,((A3)+(1))+(0)))=("store"),(INDEX(B1:XFD1,((A3)+(1))+(1)))=("K"),"false"),B3,K123),K123))</f>
        <v>#VALUE!</v>
      </c>
      <c r="L123" t="e">
        <f ca="1">IF((A1)=(2),"",IF((119)=(L4),IF(IF((INDEX(B1:XFD1,((A3)+(1))+(0)))=("store"),(INDEX(B1:XFD1,((A3)+(1))+(1)))=("L"),"false"),B3,L123),L123))</f>
        <v>#VALUE!</v>
      </c>
      <c r="M123" t="e">
        <f ca="1">IF((A1)=(2),"",IF((119)=(M4),IF(IF((INDEX(B1:XFD1,((A3)+(1))+(0)))=("store"),(INDEX(B1:XFD1,((A3)+(1))+(1)))=("M"),"false"),B3,M123),M123))</f>
        <v>#VALUE!</v>
      </c>
      <c r="N123" t="e">
        <f ca="1">IF((A1)=(2),"",IF((119)=(N4),IF(IF((INDEX(B1:XFD1,((A3)+(1))+(0)))=("store"),(INDEX(B1:XFD1,((A3)+(1))+(1)))=("N"),"false"),B3,N123),N123))</f>
        <v>#VALUE!</v>
      </c>
      <c r="O123" t="e">
        <f ca="1">IF((A1)=(2),"",IF((119)=(O4),IF(IF((INDEX(B1:XFD1,((A3)+(1))+(0)))=("store"),(INDEX(B1:XFD1,((A3)+(1))+(1)))=("O"),"false"),B3,O123),O123))</f>
        <v>#VALUE!</v>
      </c>
      <c r="P123" t="e">
        <f ca="1">IF((A1)=(2),"",IF((119)=(P4),IF(IF((INDEX(B1:XFD1,((A3)+(1))+(0)))=("store"),(INDEX(B1:XFD1,((A3)+(1))+(1)))=("P"),"false"),B3,P123),P123))</f>
        <v>#VALUE!</v>
      </c>
      <c r="Q123" t="e">
        <f ca="1">IF((A1)=(2),"",IF((119)=(Q4),IF(IF((INDEX(B1:XFD1,((A3)+(1))+(0)))=("store"),(INDEX(B1:XFD1,((A3)+(1))+(1)))=("Q"),"false"),B3,Q123),Q123))</f>
        <v>#VALUE!</v>
      </c>
      <c r="R123" t="e">
        <f ca="1">IF((A1)=(2),"",IF((119)=(R4),IF(IF((INDEX(B1:XFD1,((A3)+(1))+(0)))=("store"),(INDEX(B1:XFD1,((A3)+(1))+(1)))=("R"),"false"),B3,R123),R123))</f>
        <v>#VALUE!</v>
      </c>
      <c r="S123" t="e">
        <f ca="1">IF((A1)=(2),"",IF((119)=(S4),IF(IF((INDEX(B1:XFD1,((A3)+(1))+(0)))=("store"),(INDEX(B1:XFD1,((A3)+(1))+(1)))=("S"),"false"),B3,S123),S123))</f>
        <v>#VALUE!</v>
      </c>
      <c r="T123" t="e">
        <f ca="1">IF((A1)=(2),"",IF((119)=(T4),IF(IF((INDEX(B1:XFD1,((A3)+(1))+(0)))=("store"),(INDEX(B1:XFD1,((A3)+(1))+(1)))=("T"),"false"),B3,T123),T123))</f>
        <v>#VALUE!</v>
      </c>
      <c r="U123" t="e">
        <f ca="1">IF((A1)=(2),"",IF((119)=(U4),IF(IF((INDEX(B1:XFD1,((A3)+(1))+(0)))=("store"),(INDEX(B1:XFD1,((A3)+(1))+(1)))=("U"),"false"),B3,U123),U123))</f>
        <v>#VALUE!</v>
      </c>
      <c r="V123" t="e">
        <f ca="1">IF((A1)=(2),"",IF((119)=(V4),IF(IF((INDEX(B1:XFD1,((A3)+(1))+(0)))=("store"),(INDEX(B1:XFD1,((A3)+(1))+(1)))=("V"),"false"),B3,V123),V123))</f>
        <v>#VALUE!</v>
      </c>
      <c r="W123" t="e">
        <f ca="1">IF((A1)=(2),"",IF((119)=(W4),IF(IF((INDEX(B1:XFD1,((A3)+(1))+(0)))=("store"),(INDEX(B1:XFD1,((A3)+(1))+(1)))=("W"),"false"),B3,W123),W123))</f>
        <v>#VALUE!</v>
      </c>
      <c r="X123" t="e">
        <f ca="1">IF((A1)=(2),"",IF((119)=(X4),IF(IF((INDEX(B1:XFD1,((A3)+(1))+(0)))=("store"),(INDEX(B1:XFD1,((A3)+(1))+(1)))=("X"),"false"),B3,X123),X123))</f>
        <v>#VALUE!</v>
      </c>
      <c r="Y123" t="e">
        <f ca="1">IF((A1)=(2),"",IF((119)=(Y4),IF(IF((INDEX(B1:XFD1,((A3)+(1))+(0)))=("store"),(INDEX(B1:XFD1,((A3)+(1))+(1)))=("Y"),"false"),B3,Y123),Y123))</f>
        <v>#VALUE!</v>
      </c>
      <c r="Z123" t="e">
        <f ca="1">IF((A1)=(2),"",IF((119)=(Z4),IF(IF((INDEX(B1:XFD1,((A3)+(1))+(0)))=("store"),(INDEX(B1:XFD1,((A3)+(1))+(1)))=("Z"),"false"),B3,Z123),Z123))</f>
        <v>#VALUE!</v>
      </c>
      <c r="AA123" t="e">
        <f ca="1">IF((A1)=(2),"",IF((119)=(AA4),IF(IF((INDEX(B1:XFD1,((A3)+(1))+(0)))=("store"),(INDEX(B1:XFD1,((A3)+(1))+(1)))=("AA"),"false"),B3,AA123),AA123))</f>
        <v>#VALUE!</v>
      </c>
      <c r="AB123" t="e">
        <f ca="1">IF((A1)=(2),"",IF((119)=(AB4),IF(IF((INDEX(B1:XFD1,((A3)+(1))+(0)))=("store"),(INDEX(B1:XFD1,((A3)+(1))+(1)))=("AB"),"false"),B3,AB123),AB123))</f>
        <v>#VALUE!</v>
      </c>
      <c r="AC123" t="e">
        <f ca="1">IF((A1)=(2),"",IF((119)=(AC4),IF(IF((INDEX(B1:XFD1,((A3)+(1))+(0)))=("store"),(INDEX(B1:XFD1,((A3)+(1))+(1)))=("AC"),"false"),B3,AC123),AC123))</f>
        <v>#VALUE!</v>
      </c>
      <c r="AD123" t="e">
        <f ca="1">IF((A1)=(2),"",IF((119)=(AD4),IF(IF((INDEX(B1:XFD1,((A3)+(1))+(0)))=("store"),(INDEX(B1:XFD1,((A3)+(1))+(1)))=("AD"),"false"),B3,AD123),AD123))</f>
        <v>#VALUE!</v>
      </c>
    </row>
    <row r="124" spans="1:30" x14ac:dyDescent="0.25">
      <c r="A124" t="e">
        <f ca="1">IF((A1)=(2),"",IF((120)=(A4),IF(("call")=(INDEX(B1:XFD1,((A3)+(1))+(0))),(B3)*(2),IF(("goto")=(INDEX(B1:XFD1,((A3)+(1))+(0))),(INDEX(B1:XFD1,((A3)+(1))+(1)))*(2),IF(("gotoiftrue")=(INDEX(B1:XFD1,((A3)+(1))+(0))),IF(B3,(INDEX(B1:XFD1,((A3)+(1))+(1)))*(2),(A124)+(2)),(A124)+(2)))),A124))</f>
        <v>#VALUE!</v>
      </c>
      <c r="B124" t="e">
        <f ca="1">IF((A1)=(2),"",IF((120)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124)+(1)),IF(("add")=(INDEX(B1:XFD1,((A3)+(1))+(0))),(INDEX(B5:B405,(B4)+(1)))+(B124),IF(("equals")=(INDEX(B1:XFD1,((A3)+(1))+(0))),(INDEX(B5:B405,(B4)+(1)))=(B124),IF(("leq")=(INDEX(B1:XFD1,((A3)+(1))+(0))),(INDEX(B5:B405,(B4)+(1)))&lt;=(B124),IF(("greater")=(INDEX(B1:XFD1,((A3)+(1))+(0))),(INDEX(B5:B405,(B4)+(1)))&gt;(B124),IF(("mod")=(INDEX(B1:XFD1,((A3)+(1))+(0))),MOD(INDEX(B5:B405,(B4)+(1)),B124),B124))))))))),B124))</f>
        <v>#VALUE!</v>
      </c>
      <c r="C124" t="e">
        <f ca="1">IF((A1)=(2),1,IF(AND((INDEX(B1:XFD1,((A3)+(1))+(0)))=("writeheap"),(INDEX(B5:B405,(B4)+(1)))=(119)),INDEX(B5:B405,(B4)+(2)),IF((A1)=(2),"",IF((120)=(C4),C124,C124))))</f>
        <v>#VALUE!</v>
      </c>
      <c r="F124" t="e">
        <f ca="1">IF((A1)=(2),"",IF((120)=(F4),IF(IF((INDEX(B1:XFD1,((A3)+(1))+(0)))=("store"),(INDEX(B1:XFD1,((A3)+(1))+(1)))=("F"),"false"),B3,F124),F124))</f>
        <v>#VALUE!</v>
      </c>
      <c r="G124" t="e">
        <f ca="1">IF((A1)=(2),"",IF((120)=(G4),IF(IF((INDEX(B1:XFD1,((A3)+(1))+(0)))=("store"),(INDEX(B1:XFD1,((A3)+(1))+(1)))=("G"),"false"),B3,G124),G124))</f>
        <v>#VALUE!</v>
      </c>
      <c r="H124" t="e">
        <f ca="1">IF((A1)=(2),"",IF((120)=(H4),IF(IF((INDEX(B1:XFD1,((A3)+(1))+(0)))=("store"),(INDEX(B1:XFD1,((A3)+(1))+(1)))=("H"),"false"),B3,H124),H124))</f>
        <v>#VALUE!</v>
      </c>
      <c r="I124" t="e">
        <f ca="1">IF((A1)=(2),"",IF((120)=(I4),IF(IF((INDEX(B1:XFD1,((A3)+(1))+(0)))=("store"),(INDEX(B1:XFD1,((A3)+(1))+(1)))=("I"),"false"),B3,I124),I124))</f>
        <v>#VALUE!</v>
      </c>
      <c r="J124" t="e">
        <f ca="1">IF((A1)=(2),"",IF((120)=(J4),IF(IF((INDEX(B1:XFD1,((A3)+(1))+(0)))=("store"),(INDEX(B1:XFD1,((A3)+(1))+(1)))=("J"),"false"),B3,J124),J124))</f>
        <v>#VALUE!</v>
      </c>
      <c r="K124" t="e">
        <f ca="1">IF((A1)=(2),"",IF((120)=(K4),IF(IF((INDEX(B1:XFD1,((A3)+(1))+(0)))=("store"),(INDEX(B1:XFD1,((A3)+(1))+(1)))=("K"),"false"),B3,K124),K124))</f>
        <v>#VALUE!</v>
      </c>
      <c r="L124" t="e">
        <f ca="1">IF((A1)=(2),"",IF((120)=(L4),IF(IF((INDEX(B1:XFD1,((A3)+(1))+(0)))=("store"),(INDEX(B1:XFD1,((A3)+(1))+(1)))=("L"),"false"),B3,L124),L124))</f>
        <v>#VALUE!</v>
      </c>
      <c r="M124" t="e">
        <f ca="1">IF((A1)=(2),"",IF((120)=(M4),IF(IF((INDEX(B1:XFD1,((A3)+(1))+(0)))=("store"),(INDEX(B1:XFD1,((A3)+(1))+(1)))=("M"),"false"),B3,M124),M124))</f>
        <v>#VALUE!</v>
      </c>
      <c r="N124" t="e">
        <f ca="1">IF((A1)=(2),"",IF((120)=(N4),IF(IF((INDEX(B1:XFD1,((A3)+(1))+(0)))=("store"),(INDEX(B1:XFD1,((A3)+(1))+(1)))=("N"),"false"),B3,N124),N124))</f>
        <v>#VALUE!</v>
      </c>
      <c r="O124" t="e">
        <f ca="1">IF((A1)=(2),"",IF((120)=(O4),IF(IF((INDEX(B1:XFD1,((A3)+(1))+(0)))=("store"),(INDEX(B1:XFD1,((A3)+(1))+(1)))=("O"),"false"),B3,O124),O124))</f>
        <v>#VALUE!</v>
      </c>
      <c r="P124" t="e">
        <f ca="1">IF((A1)=(2),"",IF((120)=(P4),IF(IF((INDEX(B1:XFD1,((A3)+(1))+(0)))=("store"),(INDEX(B1:XFD1,((A3)+(1))+(1)))=("P"),"false"),B3,P124),P124))</f>
        <v>#VALUE!</v>
      </c>
      <c r="Q124" t="e">
        <f ca="1">IF((A1)=(2),"",IF((120)=(Q4),IF(IF((INDEX(B1:XFD1,((A3)+(1))+(0)))=("store"),(INDEX(B1:XFD1,((A3)+(1))+(1)))=("Q"),"false"),B3,Q124),Q124))</f>
        <v>#VALUE!</v>
      </c>
      <c r="R124" t="e">
        <f ca="1">IF((A1)=(2),"",IF((120)=(R4),IF(IF((INDEX(B1:XFD1,((A3)+(1))+(0)))=("store"),(INDEX(B1:XFD1,((A3)+(1))+(1)))=("R"),"false"),B3,R124),R124))</f>
        <v>#VALUE!</v>
      </c>
      <c r="S124" t="e">
        <f ca="1">IF((A1)=(2),"",IF((120)=(S4),IF(IF((INDEX(B1:XFD1,((A3)+(1))+(0)))=("store"),(INDEX(B1:XFD1,((A3)+(1))+(1)))=("S"),"false"),B3,S124),S124))</f>
        <v>#VALUE!</v>
      </c>
      <c r="T124" t="e">
        <f ca="1">IF((A1)=(2),"",IF((120)=(T4),IF(IF((INDEX(B1:XFD1,((A3)+(1))+(0)))=("store"),(INDEX(B1:XFD1,((A3)+(1))+(1)))=("T"),"false"),B3,T124),T124))</f>
        <v>#VALUE!</v>
      </c>
      <c r="U124" t="e">
        <f ca="1">IF((A1)=(2),"",IF((120)=(U4),IF(IF((INDEX(B1:XFD1,((A3)+(1))+(0)))=("store"),(INDEX(B1:XFD1,((A3)+(1))+(1)))=("U"),"false"),B3,U124),U124))</f>
        <v>#VALUE!</v>
      </c>
      <c r="V124" t="e">
        <f ca="1">IF((A1)=(2),"",IF((120)=(V4),IF(IF((INDEX(B1:XFD1,((A3)+(1))+(0)))=("store"),(INDEX(B1:XFD1,((A3)+(1))+(1)))=("V"),"false"),B3,V124),V124))</f>
        <v>#VALUE!</v>
      </c>
      <c r="W124" t="e">
        <f ca="1">IF((A1)=(2),"",IF((120)=(W4),IF(IF((INDEX(B1:XFD1,((A3)+(1))+(0)))=("store"),(INDEX(B1:XFD1,((A3)+(1))+(1)))=("W"),"false"),B3,W124),W124))</f>
        <v>#VALUE!</v>
      </c>
      <c r="X124" t="e">
        <f ca="1">IF((A1)=(2),"",IF((120)=(X4),IF(IF((INDEX(B1:XFD1,((A3)+(1))+(0)))=("store"),(INDEX(B1:XFD1,((A3)+(1))+(1)))=("X"),"false"),B3,X124),X124))</f>
        <v>#VALUE!</v>
      </c>
      <c r="Y124" t="e">
        <f ca="1">IF((A1)=(2),"",IF((120)=(Y4),IF(IF((INDEX(B1:XFD1,((A3)+(1))+(0)))=("store"),(INDEX(B1:XFD1,((A3)+(1))+(1)))=("Y"),"false"),B3,Y124),Y124))</f>
        <v>#VALUE!</v>
      </c>
      <c r="Z124" t="e">
        <f ca="1">IF((A1)=(2),"",IF((120)=(Z4),IF(IF((INDEX(B1:XFD1,((A3)+(1))+(0)))=("store"),(INDEX(B1:XFD1,((A3)+(1))+(1)))=("Z"),"false"),B3,Z124),Z124))</f>
        <v>#VALUE!</v>
      </c>
      <c r="AA124" t="e">
        <f ca="1">IF((A1)=(2),"",IF((120)=(AA4),IF(IF((INDEX(B1:XFD1,((A3)+(1))+(0)))=("store"),(INDEX(B1:XFD1,((A3)+(1))+(1)))=("AA"),"false"),B3,AA124),AA124))</f>
        <v>#VALUE!</v>
      </c>
      <c r="AB124" t="e">
        <f ca="1">IF((A1)=(2),"",IF((120)=(AB4),IF(IF((INDEX(B1:XFD1,((A3)+(1))+(0)))=("store"),(INDEX(B1:XFD1,((A3)+(1))+(1)))=("AB"),"false"),B3,AB124),AB124))</f>
        <v>#VALUE!</v>
      </c>
      <c r="AC124" t="e">
        <f ca="1">IF((A1)=(2),"",IF((120)=(AC4),IF(IF((INDEX(B1:XFD1,((A3)+(1))+(0)))=("store"),(INDEX(B1:XFD1,((A3)+(1))+(1)))=("AC"),"false"),B3,AC124),AC124))</f>
        <v>#VALUE!</v>
      </c>
      <c r="AD124" t="e">
        <f ca="1">IF((A1)=(2),"",IF((120)=(AD4),IF(IF((INDEX(B1:XFD1,((A3)+(1))+(0)))=("store"),(INDEX(B1:XFD1,((A3)+(1))+(1)))=("AD"),"false"),B3,AD124),AD124))</f>
        <v>#VALUE!</v>
      </c>
    </row>
    <row r="125" spans="1:30" x14ac:dyDescent="0.25">
      <c r="A125" t="e">
        <f ca="1">IF((A1)=(2),"",IF((121)=(A4),IF(("call")=(INDEX(B1:XFD1,((A3)+(1))+(0))),(B3)*(2),IF(("goto")=(INDEX(B1:XFD1,((A3)+(1))+(0))),(INDEX(B1:XFD1,((A3)+(1))+(1)))*(2),IF(("gotoiftrue")=(INDEX(B1:XFD1,((A3)+(1))+(0))),IF(B3,(INDEX(B1:XFD1,((A3)+(1))+(1)))*(2),(A125)+(2)),(A125)+(2)))),A125))</f>
        <v>#VALUE!</v>
      </c>
      <c r="B125" t="e">
        <f ca="1">IF((A1)=(2),"",IF((121)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125)+(1)),IF(("add")=(INDEX(B1:XFD1,((A3)+(1))+(0))),(INDEX(B5:B405,(B4)+(1)))+(B125),IF(("equals")=(INDEX(B1:XFD1,((A3)+(1))+(0))),(INDEX(B5:B405,(B4)+(1)))=(B125),IF(("leq")=(INDEX(B1:XFD1,((A3)+(1))+(0))),(INDEX(B5:B405,(B4)+(1)))&lt;=(B125),IF(("greater")=(INDEX(B1:XFD1,((A3)+(1))+(0))),(INDEX(B5:B405,(B4)+(1)))&gt;(B125),IF(("mod")=(INDEX(B1:XFD1,((A3)+(1))+(0))),MOD(INDEX(B5:B405,(B4)+(1)),B125),B125))))))))),B125))</f>
        <v>#VALUE!</v>
      </c>
      <c r="C125" t="e">
        <f ca="1">IF((A1)=(2),1,IF(AND((INDEX(B1:XFD1,((A3)+(1))+(0)))=("writeheap"),(INDEX(B5:B405,(B4)+(1)))=(120)),INDEX(B5:B405,(B4)+(2)),IF((A1)=(2),"",IF((121)=(C4),C125,C125))))</f>
        <v>#VALUE!</v>
      </c>
      <c r="F125" t="e">
        <f ca="1">IF((A1)=(2),"",IF((121)=(F4),IF(IF((INDEX(B1:XFD1,((A3)+(1))+(0)))=("store"),(INDEX(B1:XFD1,((A3)+(1))+(1)))=("F"),"false"),B3,F125),F125))</f>
        <v>#VALUE!</v>
      </c>
      <c r="G125" t="e">
        <f ca="1">IF((A1)=(2),"",IF((121)=(G4),IF(IF((INDEX(B1:XFD1,((A3)+(1))+(0)))=("store"),(INDEX(B1:XFD1,((A3)+(1))+(1)))=("G"),"false"),B3,G125),G125))</f>
        <v>#VALUE!</v>
      </c>
      <c r="H125" t="e">
        <f ca="1">IF((A1)=(2),"",IF((121)=(H4),IF(IF((INDEX(B1:XFD1,((A3)+(1))+(0)))=("store"),(INDEX(B1:XFD1,((A3)+(1))+(1)))=("H"),"false"),B3,H125),H125))</f>
        <v>#VALUE!</v>
      </c>
      <c r="I125" t="e">
        <f ca="1">IF((A1)=(2),"",IF((121)=(I4),IF(IF((INDEX(B1:XFD1,((A3)+(1))+(0)))=("store"),(INDEX(B1:XFD1,((A3)+(1))+(1)))=("I"),"false"),B3,I125),I125))</f>
        <v>#VALUE!</v>
      </c>
      <c r="J125" t="e">
        <f ca="1">IF((A1)=(2),"",IF((121)=(J4),IF(IF((INDEX(B1:XFD1,((A3)+(1))+(0)))=("store"),(INDEX(B1:XFD1,((A3)+(1))+(1)))=("J"),"false"),B3,J125),J125))</f>
        <v>#VALUE!</v>
      </c>
      <c r="K125" t="e">
        <f ca="1">IF((A1)=(2),"",IF((121)=(K4),IF(IF((INDEX(B1:XFD1,((A3)+(1))+(0)))=("store"),(INDEX(B1:XFD1,((A3)+(1))+(1)))=("K"),"false"),B3,K125),K125))</f>
        <v>#VALUE!</v>
      </c>
      <c r="L125" t="e">
        <f ca="1">IF((A1)=(2),"",IF((121)=(L4),IF(IF((INDEX(B1:XFD1,((A3)+(1))+(0)))=("store"),(INDEX(B1:XFD1,((A3)+(1))+(1)))=("L"),"false"),B3,L125),L125))</f>
        <v>#VALUE!</v>
      </c>
      <c r="M125" t="e">
        <f ca="1">IF((A1)=(2),"",IF((121)=(M4),IF(IF((INDEX(B1:XFD1,((A3)+(1))+(0)))=("store"),(INDEX(B1:XFD1,((A3)+(1))+(1)))=("M"),"false"),B3,M125),M125))</f>
        <v>#VALUE!</v>
      </c>
      <c r="N125" t="e">
        <f ca="1">IF((A1)=(2),"",IF((121)=(N4),IF(IF((INDEX(B1:XFD1,((A3)+(1))+(0)))=("store"),(INDEX(B1:XFD1,((A3)+(1))+(1)))=("N"),"false"),B3,N125),N125))</f>
        <v>#VALUE!</v>
      </c>
      <c r="O125" t="e">
        <f ca="1">IF((A1)=(2),"",IF((121)=(O4),IF(IF((INDEX(B1:XFD1,((A3)+(1))+(0)))=("store"),(INDEX(B1:XFD1,((A3)+(1))+(1)))=("O"),"false"),B3,O125),O125))</f>
        <v>#VALUE!</v>
      </c>
      <c r="P125" t="e">
        <f ca="1">IF((A1)=(2),"",IF((121)=(P4),IF(IF((INDEX(B1:XFD1,((A3)+(1))+(0)))=("store"),(INDEX(B1:XFD1,((A3)+(1))+(1)))=("P"),"false"),B3,P125),P125))</f>
        <v>#VALUE!</v>
      </c>
      <c r="Q125" t="e">
        <f ca="1">IF((A1)=(2),"",IF((121)=(Q4),IF(IF((INDEX(B1:XFD1,((A3)+(1))+(0)))=("store"),(INDEX(B1:XFD1,((A3)+(1))+(1)))=("Q"),"false"),B3,Q125),Q125))</f>
        <v>#VALUE!</v>
      </c>
      <c r="R125" t="e">
        <f ca="1">IF((A1)=(2),"",IF((121)=(R4),IF(IF((INDEX(B1:XFD1,((A3)+(1))+(0)))=("store"),(INDEX(B1:XFD1,((A3)+(1))+(1)))=("R"),"false"),B3,R125),R125))</f>
        <v>#VALUE!</v>
      </c>
      <c r="S125" t="e">
        <f ca="1">IF((A1)=(2),"",IF((121)=(S4),IF(IF((INDEX(B1:XFD1,((A3)+(1))+(0)))=("store"),(INDEX(B1:XFD1,((A3)+(1))+(1)))=("S"),"false"),B3,S125),S125))</f>
        <v>#VALUE!</v>
      </c>
      <c r="T125" t="e">
        <f ca="1">IF((A1)=(2),"",IF((121)=(T4),IF(IF((INDEX(B1:XFD1,((A3)+(1))+(0)))=("store"),(INDEX(B1:XFD1,((A3)+(1))+(1)))=("T"),"false"),B3,T125),T125))</f>
        <v>#VALUE!</v>
      </c>
      <c r="U125" t="e">
        <f ca="1">IF((A1)=(2),"",IF((121)=(U4),IF(IF((INDEX(B1:XFD1,((A3)+(1))+(0)))=("store"),(INDEX(B1:XFD1,((A3)+(1))+(1)))=("U"),"false"),B3,U125),U125))</f>
        <v>#VALUE!</v>
      </c>
      <c r="V125" t="e">
        <f ca="1">IF((A1)=(2),"",IF((121)=(V4),IF(IF((INDEX(B1:XFD1,((A3)+(1))+(0)))=("store"),(INDEX(B1:XFD1,((A3)+(1))+(1)))=("V"),"false"),B3,V125),V125))</f>
        <v>#VALUE!</v>
      </c>
      <c r="W125" t="e">
        <f ca="1">IF((A1)=(2),"",IF((121)=(W4),IF(IF((INDEX(B1:XFD1,((A3)+(1))+(0)))=("store"),(INDEX(B1:XFD1,((A3)+(1))+(1)))=("W"),"false"),B3,W125),W125))</f>
        <v>#VALUE!</v>
      </c>
      <c r="X125" t="e">
        <f ca="1">IF((A1)=(2),"",IF((121)=(X4),IF(IF((INDEX(B1:XFD1,((A3)+(1))+(0)))=("store"),(INDEX(B1:XFD1,((A3)+(1))+(1)))=("X"),"false"),B3,X125),X125))</f>
        <v>#VALUE!</v>
      </c>
      <c r="Y125" t="e">
        <f ca="1">IF((A1)=(2),"",IF((121)=(Y4),IF(IF((INDEX(B1:XFD1,((A3)+(1))+(0)))=("store"),(INDEX(B1:XFD1,((A3)+(1))+(1)))=("Y"),"false"),B3,Y125),Y125))</f>
        <v>#VALUE!</v>
      </c>
      <c r="Z125" t="e">
        <f ca="1">IF((A1)=(2),"",IF((121)=(Z4),IF(IF((INDEX(B1:XFD1,((A3)+(1))+(0)))=("store"),(INDEX(B1:XFD1,((A3)+(1))+(1)))=("Z"),"false"),B3,Z125),Z125))</f>
        <v>#VALUE!</v>
      </c>
      <c r="AA125" t="e">
        <f ca="1">IF((A1)=(2),"",IF((121)=(AA4),IF(IF((INDEX(B1:XFD1,((A3)+(1))+(0)))=("store"),(INDEX(B1:XFD1,((A3)+(1))+(1)))=("AA"),"false"),B3,AA125),AA125))</f>
        <v>#VALUE!</v>
      </c>
      <c r="AB125" t="e">
        <f ca="1">IF((A1)=(2),"",IF((121)=(AB4),IF(IF((INDEX(B1:XFD1,((A3)+(1))+(0)))=("store"),(INDEX(B1:XFD1,((A3)+(1))+(1)))=("AB"),"false"),B3,AB125),AB125))</f>
        <v>#VALUE!</v>
      </c>
      <c r="AC125" t="e">
        <f ca="1">IF((A1)=(2),"",IF((121)=(AC4),IF(IF((INDEX(B1:XFD1,((A3)+(1))+(0)))=("store"),(INDEX(B1:XFD1,((A3)+(1))+(1)))=("AC"),"false"),B3,AC125),AC125))</f>
        <v>#VALUE!</v>
      </c>
      <c r="AD125" t="e">
        <f ca="1">IF((A1)=(2),"",IF((121)=(AD4),IF(IF((INDEX(B1:XFD1,((A3)+(1))+(0)))=("store"),(INDEX(B1:XFD1,((A3)+(1))+(1)))=("AD"),"false"),B3,AD125),AD125))</f>
        <v>#VALUE!</v>
      </c>
    </row>
    <row r="126" spans="1:30" x14ac:dyDescent="0.25">
      <c r="A126" t="e">
        <f ca="1">IF((A1)=(2),"",IF((122)=(A4),IF(("call")=(INDEX(B1:XFD1,((A3)+(1))+(0))),(B3)*(2),IF(("goto")=(INDEX(B1:XFD1,((A3)+(1))+(0))),(INDEX(B1:XFD1,((A3)+(1))+(1)))*(2),IF(("gotoiftrue")=(INDEX(B1:XFD1,((A3)+(1))+(0))),IF(B3,(INDEX(B1:XFD1,((A3)+(1))+(1)))*(2),(A126)+(2)),(A126)+(2)))),A126))</f>
        <v>#VALUE!</v>
      </c>
      <c r="B126" t="e">
        <f ca="1">IF((A1)=(2),"",IF((122)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126)+(1)),IF(("add")=(INDEX(B1:XFD1,((A3)+(1))+(0))),(INDEX(B5:B405,(B4)+(1)))+(B126),IF(("equals")=(INDEX(B1:XFD1,((A3)+(1))+(0))),(INDEX(B5:B405,(B4)+(1)))=(B126),IF(("leq")=(INDEX(B1:XFD1,((A3)+(1))+(0))),(INDEX(B5:B405,(B4)+(1)))&lt;=(B126),IF(("greater")=(INDEX(B1:XFD1,((A3)+(1))+(0))),(INDEX(B5:B405,(B4)+(1)))&gt;(B126),IF(("mod")=(INDEX(B1:XFD1,((A3)+(1))+(0))),MOD(INDEX(B5:B405,(B4)+(1)),B126),B126))))))))),B126))</f>
        <v>#VALUE!</v>
      </c>
      <c r="C126" t="e">
        <f ca="1">IF((A1)=(2),1,IF(AND((INDEX(B1:XFD1,((A3)+(1))+(0)))=("writeheap"),(INDEX(B5:B405,(B4)+(1)))=(121)),INDEX(B5:B405,(B4)+(2)),IF((A1)=(2),"",IF((122)=(C4),C126,C126))))</f>
        <v>#VALUE!</v>
      </c>
      <c r="F126" t="e">
        <f ca="1">IF((A1)=(2),"",IF((122)=(F4),IF(IF((INDEX(B1:XFD1,((A3)+(1))+(0)))=("store"),(INDEX(B1:XFD1,((A3)+(1))+(1)))=("F"),"false"),B3,F126),F126))</f>
        <v>#VALUE!</v>
      </c>
      <c r="G126" t="e">
        <f ca="1">IF((A1)=(2),"",IF((122)=(G4),IF(IF((INDEX(B1:XFD1,((A3)+(1))+(0)))=("store"),(INDEX(B1:XFD1,((A3)+(1))+(1)))=("G"),"false"),B3,G126),G126))</f>
        <v>#VALUE!</v>
      </c>
      <c r="H126" t="e">
        <f ca="1">IF((A1)=(2),"",IF((122)=(H4),IF(IF((INDEX(B1:XFD1,((A3)+(1))+(0)))=("store"),(INDEX(B1:XFD1,((A3)+(1))+(1)))=("H"),"false"),B3,H126),H126))</f>
        <v>#VALUE!</v>
      </c>
      <c r="I126" t="e">
        <f ca="1">IF((A1)=(2),"",IF((122)=(I4),IF(IF((INDEX(B1:XFD1,((A3)+(1))+(0)))=("store"),(INDEX(B1:XFD1,((A3)+(1))+(1)))=("I"),"false"),B3,I126),I126))</f>
        <v>#VALUE!</v>
      </c>
      <c r="J126" t="e">
        <f ca="1">IF((A1)=(2),"",IF((122)=(J4),IF(IF((INDEX(B1:XFD1,((A3)+(1))+(0)))=("store"),(INDEX(B1:XFD1,((A3)+(1))+(1)))=("J"),"false"),B3,J126),J126))</f>
        <v>#VALUE!</v>
      </c>
      <c r="K126" t="e">
        <f ca="1">IF((A1)=(2),"",IF((122)=(K4),IF(IF((INDEX(B1:XFD1,((A3)+(1))+(0)))=("store"),(INDEX(B1:XFD1,((A3)+(1))+(1)))=("K"),"false"),B3,K126),K126))</f>
        <v>#VALUE!</v>
      </c>
      <c r="L126" t="e">
        <f ca="1">IF((A1)=(2),"",IF((122)=(L4),IF(IF((INDEX(B1:XFD1,((A3)+(1))+(0)))=("store"),(INDEX(B1:XFD1,((A3)+(1))+(1)))=("L"),"false"),B3,L126),L126))</f>
        <v>#VALUE!</v>
      </c>
      <c r="M126" t="e">
        <f ca="1">IF((A1)=(2),"",IF((122)=(M4),IF(IF((INDEX(B1:XFD1,((A3)+(1))+(0)))=("store"),(INDEX(B1:XFD1,((A3)+(1))+(1)))=("M"),"false"),B3,M126),M126))</f>
        <v>#VALUE!</v>
      </c>
      <c r="N126" t="e">
        <f ca="1">IF((A1)=(2),"",IF((122)=(N4),IF(IF((INDEX(B1:XFD1,((A3)+(1))+(0)))=("store"),(INDEX(B1:XFD1,((A3)+(1))+(1)))=("N"),"false"),B3,N126),N126))</f>
        <v>#VALUE!</v>
      </c>
      <c r="O126" t="e">
        <f ca="1">IF((A1)=(2),"",IF((122)=(O4),IF(IF((INDEX(B1:XFD1,((A3)+(1))+(0)))=("store"),(INDEX(B1:XFD1,((A3)+(1))+(1)))=("O"),"false"),B3,O126),O126))</f>
        <v>#VALUE!</v>
      </c>
      <c r="P126" t="e">
        <f ca="1">IF((A1)=(2),"",IF((122)=(P4),IF(IF((INDEX(B1:XFD1,((A3)+(1))+(0)))=("store"),(INDEX(B1:XFD1,((A3)+(1))+(1)))=("P"),"false"),B3,P126),P126))</f>
        <v>#VALUE!</v>
      </c>
      <c r="Q126" t="e">
        <f ca="1">IF((A1)=(2),"",IF((122)=(Q4),IF(IF((INDEX(B1:XFD1,((A3)+(1))+(0)))=("store"),(INDEX(B1:XFD1,((A3)+(1))+(1)))=("Q"),"false"),B3,Q126),Q126))</f>
        <v>#VALUE!</v>
      </c>
      <c r="R126" t="e">
        <f ca="1">IF((A1)=(2),"",IF((122)=(R4),IF(IF((INDEX(B1:XFD1,((A3)+(1))+(0)))=("store"),(INDEX(B1:XFD1,((A3)+(1))+(1)))=("R"),"false"),B3,R126),R126))</f>
        <v>#VALUE!</v>
      </c>
      <c r="S126" t="e">
        <f ca="1">IF((A1)=(2),"",IF((122)=(S4),IF(IF((INDEX(B1:XFD1,((A3)+(1))+(0)))=("store"),(INDEX(B1:XFD1,((A3)+(1))+(1)))=("S"),"false"),B3,S126),S126))</f>
        <v>#VALUE!</v>
      </c>
      <c r="T126" t="e">
        <f ca="1">IF((A1)=(2),"",IF((122)=(T4),IF(IF((INDEX(B1:XFD1,((A3)+(1))+(0)))=("store"),(INDEX(B1:XFD1,((A3)+(1))+(1)))=("T"),"false"),B3,T126),T126))</f>
        <v>#VALUE!</v>
      </c>
      <c r="U126" t="e">
        <f ca="1">IF((A1)=(2),"",IF((122)=(U4),IF(IF((INDEX(B1:XFD1,((A3)+(1))+(0)))=("store"),(INDEX(B1:XFD1,((A3)+(1))+(1)))=("U"),"false"),B3,U126),U126))</f>
        <v>#VALUE!</v>
      </c>
      <c r="V126" t="e">
        <f ca="1">IF((A1)=(2),"",IF((122)=(V4),IF(IF((INDEX(B1:XFD1,((A3)+(1))+(0)))=("store"),(INDEX(B1:XFD1,((A3)+(1))+(1)))=("V"),"false"),B3,V126),V126))</f>
        <v>#VALUE!</v>
      </c>
      <c r="W126" t="e">
        <f ca="1">IF((A1)=(2),"",IF((122)=(W4),IF(IF((INDEX(B1:XFD1,((A3)+(1))+(0)))=("store"),(INDEX(B1:XFD1,((A3)+(1))+(1)))=("W"),"false"),B3,W126),W126))</f>
        <v>#VALUE!</v>
      </c>
      <c r="X126" t="e">
        <f ca="1">IF((A1)=(2),"",IF((122)=(X4),IF(IF((INDEX(B1:XFD1,((A3)+(1))+(0)))=("store"),(INDEX(B1:XFD1,((A3)+(1))+(1)))=("X"),"false"),B3,X126),X126))</f>
        <v>#VALUE!</v>
      </c>
      <c r="Y126" t="e">
        <f ca="1">IF((A1)=(2),"",IF((122)=(Y4),IF(IF((INDEX(B1:XFD1,((A3)+(1))+(0)))=("store"),(INDEX(B1:XFD1,((A3)+(1))+(1)))=("Y"),"false"),B3,Y126),Y126))</f>
        <v>#VALUE!</v>
      </c>
      <c r="Z126" t="e">
        <f ca="1">IF((A1)=(2),"",IF((122)=(Z4),IF(IF((INDEX(B1:XFD1,((A3)+(1))+(0)))=("store"),(INDEX(B1:XFD1,((A3)+(1))+(1)))=("Z"),"false"),B3,Z126),Z126))</f>
        <v>#VALUE!</v>
      </c>
      <c r="AA126" t="e">
        <f ca="1">IF((A1)=(2),"",IF((122)=(AA4),IF(IF((INDEX(B1:XFD1,((A3)+(1))+(0)))=("store"),(INDEX(B1:XFD1,((A3)+(1))+(1)))=("AA"),"false"),B3,AA126),AA126))</f>
        <v>#VALUE!</v>
      </c>
      <c r="AB126" t="e">
        <f ca="1">IF((A1)=(2),"",IF((122)=(AB4),IF(IF((INDEX(B1:XFD1,((A3)+(1))+(0)))=("store"),(INDEX(B1:XFD1,((A3)+(1))+(1)))=("AB"),"false"),B3,AB126),AB126))</f>
        <v>#VALUE!</v>
      </c>
      <c r="AC126" t="e">
        <f ca="1">IF((A1)=(2),"",IF((122)=(AC4),IF(IF((INDEX(B1:XFD1,((A3)+(1))+(0)))=("store"),(INDEX(B1:XFD1,((A3)+(1))+(1)))=("AC"),"false"),B3,AC126),AC126))</f>
        <v>#VALUE!</v>
      </c>
      <c r="AD126" t="e">
        <f ca="1">IF((A1)=(2),"",IF((122)=(AD4),IF(IF((INDEX(B1:XFD1,((A3)+(1))+(0)))=("store"),(INDEX(B1:XFD1,((A3)+(1))+(1)))=("AD"),"false"),B3,AD126),AD126))</f>
        <v>#VALUE!</v>
      </c>
    </row>
    <row r="127" spans="1:30" x14ac:dyDescent="0.25">
      <c r="A127" t="e">
        <f ca="1">IF((A1)=(2),"",IF((123)=(A4),IF(("call")=(INDEX(B1:XFD1,((A3)+(1))+(0))),(B3)*(2),IF(("goto")=(INDEX(B1:XFD1,((A3)+(1))+(0))),(INDEX(B1:XFD1,((A3)+(1))+(1)))*(2),IF(("gotoiftrue")=(INDEX(B1:XFD1,((A3)+(1))+(0))),IF(B3,(INDEX(B1:XFD1,((A3)+(1))+(1)))*(2),(A127)+(2)),(A127)+(2)))),A127))</f>
        <v>#VALUE!</v>
      </c>
      <c r="B127" t="e">
        <f ca="1">IF((A1)=(2),"",IF((123)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127)+(1)),IF(("add")=(INDEX(B1:XFD1,((A3)+(1))+(0))),(INDEX(B5:B405,(B4)+(1)))+(B127),IF(("equals")=(INDEX(B1:XFD1,((A3)+(1))+(0))),(INDEX(B5:B405,(B4)+(1)))=(B127),IF(("leq")=(INDEX(B1:XFD1,((A3)+(1))+(0))),(INDEX(B5:B405,(B4)+(1)))&lt;=(B127),IF(("greater")=(INDEX(B1:XFD1,((A3)+(1))+(0))),(INDEX(B5:B405,(B4)+(1)))&gt;(B127),IF(("mod")=(INDEX(B1:XFD1,((A3)+(1))+(0))),MOD(INDEX(B5:B405,(B4)+(1)),B127),B127))))))))),B127))</f>
        <v>#VALUE!</v>
      </c>
      <c r="C127" t="e">
        <f ca="1">IF((A1)=(2),1,IF(AND((INDEX(B1:XFD1,((A3)+(1))+(0)))=("writeheap"),(INDEX(B5:B405,(B4)+(1)))=(122)),INDEX(B5:B405,(B4)+(2)),IF((A1)=(2),"",IF((123)=(C4),C127,C127))))</f>
        <v>#VALUE!</v>
      </c>
      <c r="F127" t="e">
        <f ca="1">IF((A1)=(2),"",IF((123)=(F4),IF(IF((INDEX(B1:XFD1,((A3)+(1))+(0)))=("store"),(INDEX(B1:XFD1,((A3)+(1))+(1)))=("F"),"false"),B3,F127),F127))</f>
        <v>#VALUE!</v>
      </c>
      <c r="G127" t="e">
        <f ca="1">IF((A1)=(2),"",IF((123)=(G4),IF(IF((INDEX(B1:XFD1,((A3)+(1))+(0)))=("store"),(INDEX(B1:XFD1,((A3)+(1))+(1)))=("G"),"false"),B3,G127),G127))</f>
        <v>#VALUE!</v>
      </c>
      <c r="H127" t="e">
        <f ca="1">IF((A1)=(2),"",IF((123)=(H4),IF(IF((INDEX(B1:XFD1,((A3)+(1))+(0)))=("store"),(INDEX(B1:XFD1,((A3)+(1))+(1)))=("H"),"false"),B3,H127),H127))</f>
        <v>#VALUE!</v>
      </c>
      <c r="I127" t="e">
        <f ca="1">IF((A1)=(2),"",IF((123)=(I4),IF(IF((INDEX(B1:XFD1,((A3)+(1))+(0)))=("store"),(INDEX(B1:XFD1,((A3)+(1))+(1)))=("I"),"false"),B3,I127),I127))</f>
        <v>#VALUE!</v>
      </c>
      <c r="J127" t="e">
        <f ca="1">IF((A1)=(2),"",IF((123)=(J4),IF(IF((INDEX(B1:XFD1,((A3)+(1))+(0)))=("store"),(INDEX(B1:XFD1,((A3)+(1))+(1)))=("J"),"false"),B3,J127),J127))</f>
        <v>#VALUE!</v>
      </c>
      <c r="K127" t="e">
        <f ca="1">IF((A1)=(2),"",IF((123)=(K4),IF(IF((INDEX(B1:XFD1,((A3)+(1))+(0)))=("store"),(INDEX(B1:XFD1,((A3)+(1))+(1)))=("K"),"false"),B3,K127),K127))</f>
        <v>#VALUE!</v>
      </c>
      <c r="L127" t="e">
        <f ca="1">IF((A1)=(2),"",IF((123)=(L4),IF(IF((INDEX(B1:XFD1,((A3)+(1))+(0)))=("store"),(INDEX(B1:XFD1,((A3)+(1))+(1)))=("L"),"false"),B3,L127),L127))</f>
        <v>#VALUE!</v>
      </c>
      <c r="M127" t="e">
        <f ca="1">IF((A1)=(2),"",IF((123)=(M4),IF(IF((INDEX(B1:XFD1,((A3)+(1))+(0)))=("store"),(INDEX(B1:XFD1,((A3)+(1))+(1)))=("M"),"false"),B3,M127),M127))</f>
        <v>#VALUE!</v>
      </c>
      <c r="N127" t="e">
        <f ca="1">IF((A1)=(2),"",IF((123)=(N4),IF(IF((INDEX(B1:XFD1,((A3)+(1))+(0)))=("store"),(INDEX(B1:XFD1,((A3)+(1))+(1)))=("N"),"false"),B3,N127),N127))</f>
        <v>#VALUE!</v>
      </c>
      <c r="O127" t="e">
        <f ca="1">IF((A1)=(2),"",IF((123)=(O4),IF(IF((INDEX(B1:XFD1,((A3)+(1))+(0)))=("store"),(INDEX(B1:XFD1,((A3)+(1))+(1)))=("O"),"false"),B3,O127),O127))</f>
        <v>#VALUE!</v>
      </c>
      <c r="P127" t="e">
        <f ca="1">IF((A1)=(2),"",IF((123)=(P4),IF(IF((INDEX(B1:XFD1,((A3)+(1))+(0)))=("store"),(INDEX(B1:XFD1,((A3)+(1))+(1)))=("P"),"false"),B3,P127),P127))</f>
        <v>#VALUE!</v>
      </c>
      <c r="Q127" t="e">
        <f ca="1">IF((A1)=(2),"",IF((123)=(Q4),IF(IF((INDEX(B1:XFD1,((A3)+(1))+(0)))=("store"),(INDEX(B1:XFD1,((A3)+(1))+(1)))=("Q"),"false"),B3,Q127),Q127))</f>
        <v>#VALUE!</v>
      </c>
      <c r="R127" t="e">
        <f ca="1">IF((A1)=(2),"",IF((123)=(R4),IF(IF((INDEX(B1:XFD1,((A3)+(1))+(0)))=("store"),(INDEX(B1:XFD1,((A3)+(1))+(1)))=("R"),"false"),B3,R127),R127))</f>
        <v>#VALUE!</v>
      </c>
      <c r="S127" t="e">
        <f ca="1">IF((A1)=(2),"",IF((123)=(S4),IF(IF((INDEX(B1:XFD1,((A3)+(1))+(0)))=("store"),(INDEX(B1:XFD1,((A3)+(1))+(1)))=("S"),"false"),B3,S127),S127))</f>
        <v>#VALUE!</v>
      </c>
      <c r="T127" t="e">
        <f ca="1">IF((A1)=(2),"",IF((123)=(T4),IF(IF((INDEX(B1:XFD1,((A3)+(1))+(0)))=("store"),(INDEX(B1:XFD1,((A3)+(1))+(1)))=("T"),"false"),B3,T127),T127))</f>
        <v>#VALUE!</v>
      </c>
      <c r="U127" t="e">
        <f ca="1">IF((A1)=(2),"",IF((123)=(U4),IF(IF((INDEX(B1:XFD1,((A3)+(1))+(0)))=("store"),(INDEX(B1:XFD1,((A3)+(1))+(1)))=("U"),"false"),B3,U127),U127))</f>
        <v>#VALUE!</v>
      </c>
      <c r="V127" t="e">
        <f ca="1">IF((A1)=(2),"",IF((123)=(V4),IF(IF((INDEX(B1:XFD1,((A3)+(1))+(0)))=("store"),(INDEX(B1:XFD1,((A3)+(1))+(1)))=("V"),"false"),B3,V127),V127))</f>
        <v>#VALUE!</v>
      </c>
      <c r="W127" t="e">
        <f ca="1">IF((A1)=(2),"",IF((123)=(W4),IF(IF((INDEX(B1:XFD1,((A3)+(1))+(0)))=("store"),(INDEX(B1:XFD1,((A3)+(1))+(1)))=("W"),"false"),B3,W127),W127))</f>
        <v>#VALUE!</v>
      </c>
      <c r="X127" t="e">
        <f ca="1">IF((A1)=(2),"",IF((123)=(X4),IF(IF((INDEX(B1:XFD1,((A3)+(1))+(0)))=("store"),(INDEX(B1:XFD1,((A3)+(1))+(1)))=("X"),"false"),B3,X127),X127))</f>
        <v>#VALUE!</v>
      </c>
      <c r="Y127" t="e">
        <f ca="1">IF((A1)=(2),"",IF((123)=(Y4),IF(IF((INDEX(B1:XFD1,((A3)+(1))+(0)))=("store"),(INDEX(B1:XFD1,((A3)+(1))+(1)))=("Y"),"false"),B3,Y127),Y127))</f>
        <v>#VALUE!</v>
      </c>
      <c r="Z127" t="e">
        <f ca="1">IF((A1)=(2),"",IF((123)=(Z4),IF(IF((INDEX(B1:XFD1,((A3)+(1))+(0)))=("store"),(INDEX(B1:XFD1,((A3)+(1))+(1)))=("Z"),"false"),B3,Z127),Z127))</f>
        <v>#VALUE!</v>
      </c>
      <c r="AA127" t="e">
        <f ca="1">IF((A1)=(2),"",IF((123)=(AA4),IF(IF((INDEX(B1:XFD1,((A3)+(1))+(0)))=("store"),(INDEX(B1:XFD1,((A3)+(1))+(1)))=("AA"),"false"),B3,AA127),AA127))</f>
        <v>#VALUE!</v>
      </c>
      <c r="AB127" t="e">
        <f ca="1">IF((A1)=(2),"",IF((123)=(AB4),IF(IF((INDEX(B1:XFD1,((A3)+(1))+(0)))=("store"),(INDEX(B1:XFD1,((A3)+(1))+(1)))=("AB"),"false"),B3,AB127),AB127))</f>
        <v>#VALUE!</v>
      </c>
      <c r="AC127" t="e">
        <f ca="1">IF((A1)=(2),"",IF((123)=(AC4),IF(IF((INDEX(B1:XFD1,((A3)+(1))+(0)))=("store"),(INDEX(B1:XFD1,((A3)+(1))+(1)))=("AC"),"false"),B3,AC127),AC127))</f>
        <v>#VALUE!</v>
      </c>
      <c r="AD127" t="e">
        <f ca="1">IF((A1)=(2),"",IF((123)=(AD4),IF(IF((INDEX(B1:XFD1,((A3)+(1))+(0)))=("store"),(INDEX(B1:XFD1,((A3)+(1))+(1)))=("AD"),"false"),B3,AD127),AD127))</f>
        <v>#VALUE!</v>
      </c>
    </row>
    <row r="128" spans="1:30" x14ac:dyDescent="0.25">
      <c r="A128" t="e">
        <f ca="1">IF((A1)=(2),"",IF((124)=(A4),IF(("call")=(INDEX(B1:XFD1,((A3)+(1))+(0))),(B3)*(2),IF(("goto")=(INDEX(B1:XFD1,((A3)+(1))+(0))),(INDEX(B1:XFD1,((A3)+(1))+(1)))*(2),IF(("gotoiftrue")=(INDEX(B1:XFD1,((A3)+(1))+(0))),IF(B3,(INDEX(B1:XFD1,((A3)+(1))+(1)))*(2),(A128)+(2)),(A128)+(2)))),A128))</f>
        <v>#VALUE!</v>
      </c>
      <c r="B128" t="e">
        <f ca="1">IF((A1)=(2),"",IF((124)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128)+(1)),IF(("add")=(INDEX(B1:XFD1,((A3)+(1))+(0))),(INDEX(B5:B405,(B4)+(1)))+(B128),IF(("equals")=(INDEX(B1:XFD1,((A3)+(1))+(0))),(INDEX(B5:B405,(B4)+(1)))=(B128),IF(("leq")=(INDEX(B1:XFD1,((A3)+(1))+(0))),(INDEX(B5:B405,(B4)+(1)))&lt;=(B128),IF(("greater")=(INDEX(B1:XFD1,((A3)+(1))+(0))),(INDEX(B5:B405,(B4)+(1)))&gt;(B128),IF(("mod")=(INDEX(B1:XFD1,((A3)+(1))+(0))),MOD(INDEX(B5:B405,(B4)+(1)),B128),B128))))))))),B128))</f>
        <v>#VALUE!</v>
      </c>
      <c r="C128" t="e">
        <f ca="1">IF((A1)=(2),1,IF(AND((INDEX(B1:XFD1,((A3)+(1))+(0)))=("writeheap"),(INDEX(B5:B405,(B4)+(1)))=(123)),INDEX(B5:B405,(B4)+(2)),IF((A1)=(2),"",IF((124)=(C4),C128,C128))))</f>
        <v>#VALUE!</v>
      </c>
      <c r="F128" t="e">
        <f ca="1">IF((A1)=(2),"",IF((124)=(F4),IF(IF((INDEX(B1:XFD1,((A3)+(1))+(0)))=("store"),(INDEX(B1:XFD1,((A3)+(1))+(1)))=("F"),"false"),B3,F128),F128))</f>
        <v>#VALUE!</v>
      </c>
      <c r="G128" t="e">
        <f ca="1">IF((A1)=(2),"",IF((124)=(G4),IF(IF((INDEX(B1:XFD1,((A3)+(1))+(0)))=("store"),(INDEX(B1:XFD1,((A3)+(1))+(1)))=("G"),"false"),B3,G128),G128))</f>
        <v>#VALUE!</v>
      </c>
      <c r="H128" t="e">
        <f ca="1">IF((A1)=(2),"",IF((124)=(H4),IF(IF((INDEX(B1:XFD1,((A3)+(1))+(0)))=("store"),(INDEX(B1:XFD1,((A3)+(1))+(1)))=("H"),"false"),B3,H128),H128))</f>
        <v>#VALUE!</v>
      </c>
      <c r="I128" t="e">
        <f ca="1">IF((A1)=(2),"",IF((124)=(I4),IF(IF((INDEX(B1:XFD1,((A3)+(1))+(0)))=("store"),(INDEX(B1:XFD1,((A3)+(1))+(1)))=("I"),"false"),B3,I128),I128))</f>
        <v>#VALUE!</v>
      </c>
      <c r="J128" t="e">
        <f ca="1">IF((A1)=(2),"",IF((124)=(J4),IF(IF((INDEX(B1:XFD1,((A3)+(1))+(0)))=("store"),(INDEX(B1:XFD1,((A3)+(1))+(1)))=("J"),"false"),B3,J128),J128))</f>
        <v>#VALUE!</v>
      </c>
      <c r="K128" t="e">
        <f ca="1">IF((A1)=(2),"",IF((124)=(K4),IF(IF((INDEX(B1:XFD1,((A3)+(1))+(0)))=("store"),(INDEX(B1:XFD1,((A3)+(1))+(1)))=("K"),"false"),B3,K128),K128))</f>
        <v>#VALUE!</v>
      </c>
      <c r="L128" t="e">
        <f ca="1">IF((A1)=(2),"",IF((124)=(L4),IF(IF((INDEX(B1:XFD1,((A3)+(1))+(0)))=("store"),(INDEX(B1:XFD1,((A3)+(1))+(1)))=("L"),"false"),B3,L128),L128))</f>
        <v>#VALUE!</v>
      </c>
      <c r="M128" t="e">
        <f ca="1">IF((A1)=(2),"",IF((124)=(M4),IF(IF((INDEX(B1:XFD1,((A3)+(1))+(0)))=("store"),(INDEX(B1:XFD1,((A3)+(1))+(1)))=("M"),"false"),B3,M128),M128))</f>
        <v>#VALUE!</v>
      </c>
      <c r="N128" t="e">
        <f ca="1">IF((A1)=(2),"",IF((124)=(N4),IF(IF((INDEX(B1:XFD1,((A3)+(1))+(0)))=("store"),(INDEX(B1:XFD1,((A3)+(1))+(1)))=("N"),"false"),B3,N128),N128))</f>
        <v>#VALUE!</v>
      </c>
      <c r="O128" t="e">
        <f ca="1">IF((A1)=(2),"",IF((124)=(O4),IF(IF((INDEX(B1:XFD1,((A3)+(1))+(0)))=("store"),(INDEX(B1:XFD1,((A3)+(1))+(1)))=("O"),"false"),B3,O128),O128))</f>
        <v>#VALUE!</v>
      </c>
      <c r="P128" t="e">
        <f ca="1">IF((A1)=(2),"",IF((124)=(P4),IF(IF((INDEX(B1:XFD1,((A3)+(1))+(0)))=("store"),(INDEX(B1:XFD1,((A3)+(1))+(1)))=("P"),"false"),B3,P128),P128))</f>
        <v>#VALUE!</v>
      </c>
      <c r="Q128" t="e">
        <f ca="1">IF((A1)=(2),"",IF((124)=(Q4),IF(IF((INDEX(B1:XFD1,((A3)+(1))+(0)))=("store"),(INDEX(B1:XFD1,((A3)+(1))+(1)))=("Q"),"false"),B3,Q128),Q128))</f>
        <v>#VALUE!</v>
      </c>
      <c r="R128" t="e">
        <f ca="1">IF((A1)=(2),"",IF((124)=(R4),IF(IF((INDEX(B1:XFD1,((A3)+(1))+(0)))=("store"),(INDEX(B1:XFD1,((A3)+(1))+(1)))=("R"),"false"),B3,R128),R128))</f>
        <v>#VALUE!</v>
      </c>
      <c r="S128" t="e">
        <f ca="1">IF((A1)=(2),"",IF((124)=(S4),IF(IF((INDEX(B1:XFD1,((A3)+(1))+(0)))=("store"),(INDEX(B1:XFD1,((A3)+(1))+(1)))=("S"),"false"),B3,S128),S128))</f>
        <v>#VALUE!</v>
      </c>
      <c r="T128" t="e">
        <f ca="1">IF((A1)=(2),"",IF((124)=(T4),IF(IF((INDEX(B1:XFD1,((A3)+(1))+(0)))=("store"),(INDEX(B1:XFD1,((A3)+(1))+(1)))=("T"),"false"),B3,T128),T128))</f>
        <v>#VALUE!</v>
      </c>
      <c r="U128" t="e">
        <f ca="1">IF((A1)=(2),"",IF((124)=(U4),IF(IF((INDEX(B1:XFD1,((A3)+(1))+(0)))=("store"),(INDEX(B1:XFD1,((A3)+(1))+(1)))=("U"),"false"),B3,U128),U128))</f>
        <v>#VALUE!</v>
      </c>
      <c r="V128" t="e">
        <f ca="1">IF((A1)=(2),"",IF((124)=(V4),IF(IF((INDEX(B1:XFD1,((A3)+(1))+(0)))=("store"),(INDEX(B1:XFD1,((A3)+(1))+(1)))=("V"),"false"),B3,V128),V128))</f>
        <v>#VALUE!</v>
      </c>
      <c r="W128" t="e">
        <f ca="1">IF((A1)=(2),"",IF((124)=(W4),IF(IF((INDEX(B1:XFD1,((A3)+(1))+(0)))=("store"),(INDEX(B1:XFD1,((A3)+(1))+(1)))=("W"),"false"),B3,W128),W128))</f>
        <v>#VALUE!</v>
      </c>
      <c r="X128" t="e">
        <f ca="1">IF((A1)=(2),"",IF((124)=(X4),IF(IF((INDEX(B1:XFD1,((A3)+(1))+(0)))=("store"),(INDEX(B1:XFD1,((A3)+(1))+(1)))=("X"),"false"),B3,X128),X128))</f>
        <v>#VALUE!</v>
      </c>
      <c r="Y128" t="e">
        <f ca="1">IF((A1)=(2),"",IF((124)=(Y4),IF(IF((INDEX(B1:XFD1,((A3)+(1))+(0)))=("store"),(INDEX(B1:XFD1,((A3)+(1))+(1)))=("Y"),"false"),B3,Y128),Y128))</f>
        <v>#VALUE!</v>
      </c>
      <c r="Z128" t="e">
        <f ca="1">IF((A1)=(2),"",IF((124)=(Z4),IF(IF((INDEX(B1:XFD1,((A3)+(1))+(0)))=("store"),(INDEX(B1:XFD1,((A3)+(1))+(1)))=("Z"),"false"),B3,Z128),Z128))</f>
        <v>#VALUE!</v>
      </c>
      <c r="AA128" t="e">
        <f ca="1">IF((A1)=(2),"",IF((124)=(AA4),IF(IF((INDEX(B1:XFD1,((A3)+(1))+(0)))=("store"),(INDEX(B1:XFD1,((A3)+(1))+(1)))=("AA"),"false"),B3,AA128),AA128))</f>
        <v>#VALUE!</v>
      </c>
      <c r="AB128" t="e">
        <f ca="1">IF((A1)=(2),"",IF((124)=(AB4),IF(IF((INDEX(B1:XFD1,((A3)+(1))+(0)))=("store"),(INDEX(B1:XFD1,((A3)+(1))+(1)))=("AB"),"false"),B3,AB128),AB128))</f>
        <v>#VALUE!</v>
      </c>
      <c r="AC128" t="e">
        <f ca="1">IF((A1)=(2),"",IF((124)=(AC4),IF(IF((INDEX(B1:XFD1,((A3)+(1))+(0)))=("store"),(INDEX(B1:XFD1,((A3)+(1))+(1)))=("AC"),"false"),B3,AC128),AC128))</f>
        <v>#VALUE!</v>
      </c>
      <c r="AD128" t="e">
        <f ca="1">IF((A1)=(2),"",IF((124)=(AD4),IF(IF((INDEX(B1:XFD1,((A3)+(1))+(0)))=("store"),(INDEX(B1:XFD1,((A3)+(1))+(1)))=("AD"),"false"),B3,AD128),AD128))</f>
        <v>#VALUE!</v>
      </c>
    </row>
    <row r="129" spans="1:30" x14ac:dyDescent="0.25">
      <c r="A129" t="e">
        <f ca="1">IF((A1)=(2),"",IF((125)=(A4),IF(("call")=(INDEX(B1:XFD1,((A3)+(1))+(0))),(B3)*(2),IF(("goto")=(INDEX(B1:XFD1,((A3)+(1))+(0))),(INDEX(B1:XFD1,((A3)+(1))+(1)))*(2),IF(("gotoiftrue")=(INDEX(B1:XFD1,((A3)+(1))+(0))),IF(B3,(INDEX(B1:XFD1,((A3)+(1))+(1)))*(2),(A129)+(2)),(A129)+(2)))),A129))</f>
        <v>#VALUE!</v>
      </c>
      <c r="B129" t="e">
        <f ca="1">IF((A1)=(2),"",IF((125)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129)+(1)),IF(("add")=(INDEX(B1:XFD1,((A3)+(1))+(0))),(INDEX(B5:B405,(B4)+(1)))+(B129),IF(("equals")=(INDEX(B1:XFD1,((A3)+(1))+(0))),(INDEX(B5:B405,(B4)+(1)))=(B129),IF(("leq")=(INDEX(B1:XFD1,((A3)+(1))+(0))),(INDEX(B5:B405,(B4)+(1)))&lt;=(B129),IF(("greater")=(INDEX(B1:XFD1,((A3)+(1))+(0))),(INDEX(B5:B405,(B4)+(1)))&gt;(B129),IF(("mod")=(INDEX(B1:XFD1,((A3)+(1))+(0))),MOD(INDEX(B5:B405,(B4)+(1)),B129),B129))))))))),B129))</f>
        <v>#VALUE!</v>
      </c>
      <c r="C129" t="e">
        <f ca="1">IF((A1)=(2),1,IF(AND((INDEX(B1:XFD1,((A3)+(1))+(0)))=("writeheap"),(INDEX(B5:B405,(B4)+(1)))=(124)),INDEX(B5:B405,(B4)+(2)),IF((A1)=(2),"",IF((125)=(C4),C129,C129))))</f>
        <v>#VALUE!</v>
      </c>
      <c r="F129" t="e">
        <f ca="1">IF((A1)=(2),"",IF((125)=(F4),IF(IF((INDEX(B1:XFD1,((A3)+(1))+(0)))=("store"),(INDEX(B1:XFD1,((A3)+(1))+(1)))=("F"),"false"),B3,F129),F129))</f>
        <v>#VALUE!</v>
      </c>
      <c r="G129" t="e">
        <f ca="1">IF((A1)=(2),"",IF((125)=(G4),IF(IF((INDEX(B1:XFD1,((A3)+(1))+(0)))=("store"),(INDEX(B1:XFD1,((A3)+(1))+(1)))=("G"),"false"),B3,G129),G129))</f>
        <v>#VALUE!</v>
      </c>
      <c r="H129" t="e">
        <f ca="1">IF((A1)=(2),"",IF((125)=(H4),IF(IF((INDEX(B1:XFD1,((A3)+(1))+(0)))=("store"),(INDEX(B1:XFD1,((A3)+(1))+(1)))=("H"),"false"),B3,H129),H129))</f>
        <v>#VALUE!</v>
      </c>
      <c r="I129" t="e">
        <f ca="1">IF((A1)=(2),"",IF((125)=(I4),IF(IF((INDEX(B1:XFD1,((A3)+(1))+(0)))=("store"),(INDEX(B1:XFD1,((A3)+(1))+(1)))=("I"),"false"),B3,I129),I129))</f>
        <v>#VALUE!</v>
      </c>
      <c r="J129" t="e">
        <f ca="1">IF((A1)=(2),"",IF((125)=(J4),IF(IF((INDEX(B1:XFD1,((A3)+(1))+(0)))=("store"),(INDEX(B1:XFD1,((A3)+(1))+(1)))=("J"),"false"),B3,J129),J129))</f>
        <v>#VALUE!</v>
      </c>
      <c r="K129" t="e">
        <f ca="1">IF((A1)=(2),"",IF((125)=(K4),IF(IF((INDEX(B1:XFD1,((A3)+(1))+(0)))=("store"),(INDEX(B1:XFD1,((A3)+(1))+(1)))=("K"),"false"),B3,K129),K129))</f>
        <v>#VALUE!</v>
      </c>
      <c r="L129" t="e">
        <f ca="1">IF((A1)=(2),"",IF((125)=(L4),IF(IF((INDEX(B1:XFD1,((A3)+(1))+(0)))=("store"),(INDEX(B1:XFD1,((A3)+(1))+(1)))=("L"),"false"),B3,L129),L129))</f>
        <v>#VALUE!</v>
      </c>
      <c r="M129" t="e">
        <f ca="1">IF((A1)=(2),"",IF((125)=(M4),IF(IF((INDEX(B1:XFD1,((A3)+(1))+(0)))=("store"),(INDEX(B1:XFD1,((A3)+(1))+(1)))=("M"),"false"),B3,M129),M129))</f>
        <v>#VALUE!</v>
      </c>
      <c r="N129" t="e">
        <f ca="1">IF((A1)=(2),"",IF((125)=(N4),IF(IF((INDEX(B1:XFD1,((A3)+(1))+(0)))=("store"),(INDEX(B1:XFD1,((A3)+(1))+(1)))=("N"),"false"),B3,N129),N129))</f>
        <v>#VALUE!</v>
      </c>
      <c r="O129" t="e">
        <f ca="1">IF((A1)=(2),"",IF((125)=(O4),IF(IF((INDEX(B1:XFD1,((A3)+(1))+(0)))=("store"),(INDEX(B1:XFD1,((A3)+(1))+(1)))=("O"),"false"),B3,O129),O129))</f>
        <v>#VALUE!</v>
      </c>
      <c r="P129" t="e">
        <f ca="1">IF((A1)=(2),"",IF((125)=(P4),IF(IF((INDEX(B1:XFD1,((A3)+(1))+(0)))=("store"),(INDEX(B1:XFD1,((A3)+(1))+(1)))=("P"),"false"),B3,P129),P129))</f>
        <v>#VALUE!</v>
      </c>
      <c r="Q129" t="e">
        <f ca="1">IF((A1)=(2),"",IF((125)=(Q4),IF(IF((INDEX(B1:XFD1,((A3)+(1))+(0)))=("store"),(INDEX(B1:XFD1,((A3)+(1))+(1)))=("Q"),"false"),B3,Q129),Q129))</f>
        <v>#VALUE!</v>
      </c>
      <c r="R129" t="e">
        <f ca="1">IF((A1)=(2),"",IF((125)=(R4),IF(IF((INDEX(B1:XFD1,((A3)+(1))+(0)))=("store"),(INDEX(B1:XFD1,((A3)+(1))+(1)))=("R"),"false"),B3,R129),R129))</f>
        <v>#VALUE!</v>
      </c>
      <c r="S129" t="e">
        <f ca="1">IF((A1)=(2),"",IF((125)=(S4),IF(IF((INDEX(B1:XFD1,((A3)+(1))+(0)))=("store"),(INDEX(B1:XFD1,((A3)+(1))+(1)))=("S"),"false"),B3,S129),S129))</f>
        <v>#VALUE!</v>
      </c>
      <c r="T129" t="e">
        <f ca="1">IF((A1)=(2),"",IF((125)=(T4),IF(IF((INDEX(B1:XFD1,((A3)+(1))+(0)))=("store"),(INDEX(B1:XFD1,((A3)+(1))+(1)))=("T"),"false"),B3,T129),T129))</f>
        <v>#VALUE!</v>
      </c>
      <c r="U129" t="e">
        <f ca="1">IF((A1)=(2),"",IF((125)=(U4),IF(IF((INDEX(B1:XFD1,((A3)+(1))+(0)))=("store"),(INDEX(B1:XFD1,((A3)+(1))+(1)))=("U"),"false"),B3,U129),U129))</f>
        <v>#VALUE!</v>
      </c>
      <c r="V129" t="e">
        <f ca="1">IF((A1)=(2),"",IF((125)=(V4),IF(IF((INDEX(B1:XFD1,((A3)+(1))+(0)))=("store"),(INDEX(B1:XFD1,((A3)+(1))+(1)))=("V"),"false"),B3,V129),V129))</f>
        <v>#VALUE!</v>
      </c>
      <c r="W129" t="e">
        <f ca="1">IF((A1)=(2),"",IF((125)=(W4),IF(IF((INDEX(B1:XFD1,((A3)+(1))+(0)))=("store"),(INDEX(B1:XFD1,((A3)+(1))+(1)))=("W"),"false"),B3,W129),W129))</f>
        <v>#VALUE!</v>
      </c>
      <c r="X129" t="e">
        <f ca="1">IF((A1)=(2),"",IF((125)=(X4),IF(IF((INDEX(B1:XFD1,((A3)+(1))+(0)))=("store"),(INDEX(B1:XFD1,((A3)+(1))+(1)))=("X"),"false"),B3,X129),X129))</f>
        <v>#VALUE!</v>
      </c>
      <c r="Y129" t="e">
        <f ca="1">IF((A1)=(2),"",IF((125)=(Y4),IF(IF((INDEX(B1:XFD1,((A3)+(1))+(0)))=("store"),(INDEX(B1:XFD1,((A3)+(1))+(1)))=("Y"),"false"),B3,Y129),Y129))</f>
        <v>#VALUE!</v>
      </c>
      <c r="Z129" t="e">
        <f ca="1">IF((A1)=(2),"",IF((125)=(Z4),IF(IF((INDEX(B1:XFD1,((A3)+(1))+(0)))=("store"),(INDEX(B1:XFD1,((A3)+(1))+(1)))=("Z"),"false"),B3,Z129),Z129))</f>
        <v>#VALUE!</v>
      </c>
      <c r="AA129" t="e">
        <f ca="1">IF((A1)=(2),"",IF((125)=(AA4),IF(IF((INDEX(B1:XFD1,((A3)+(1))+(0)))=("store"),(INDEX(B1:XFD1,((A3)+(1))+(1)))=("AA"),"false"),B3,AA129),AA129))</f>
        <v>#VALUE!</v>
      </c>
      <c r="AB129" t="e">
        <f ca="1">IF((A1)=(2),"",IF((125)=(AB4),IF(IF((INDEX(B1:XFD1,((A3)+(1))+(0)))=("store"),(INDEX(B1:XFD1,((A3)+(1))+(1)))=("AB"),"false"),B3,AB129),AB129))</f>
        <v>#VALUE!</v>
      </c>
      <c r="AC129" t="e">
        <f ca="1">IF((A1)=(2),"",IF((125)=(AC4),IF(IF((INDEX(B1:XFD1,((A3)+(1))+(0)))=("store"),(INDEX(B1:XFD1,((A3)+(1))+(1)))=("AC"),"false"),B3,AC129),AC129))</f>
        <v>#VALUE!</v>
      </c>
      <c r="AD129" t="e">
        <f ca="1">IF((A1)=(2),"",IF((125)=(AD4),IF(IF((INDEX(B1:XFD1,((A3)+(1))+(0)))=("store"),(INDEX(B1:XFD1,((A3)+(1))+(1)))=("AD"),"false"),B3,AD129),AD129))</f>
        <v>#VALUE!</v>
      </c>
    </row>
    <row r="130" spans="1:30" x14ac:dyDescent="0.25">
      <c r="A130" t="e">
        <f ca="1">IF((A1)=(2),"",IF((126)=(A4),IF(("call")=(INDEX(B1:XFD1,((A3)+(1))+(0))),(B3)*(2),IF(("goto")=(INDEX(B1:XFD1,((A3)+(1))+(0))),(INDEX(B1:XFD1,((A3)+(1))+(1)))*(2),IF(("gotoiftrue")=(INDEX(B1:XFD1,((A3)+(1))+(0))),IF(B3,(INDEX(B1:XFD1,((A3)+(1))+(1)))*(2),(A130)+(2)),(A130)+(2)))),A130))</f>
        <v>#VALUE!</v>
      </c>
      <c r="B130" t="e">
        <f ca="1">IF((A1)=(2),"",IF((126)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130)+(1)),IF(("add")=(INDEX(B1:XFD1,((A3)+(1))+(0))),(INDEX(B5:B405,(B4)+(1)))+(B130),IF(("equals")=(INDEX(B1:XFD1,((A3)+(1))+(0))),(INDEX(B5:B405,(B4)+(1)))=(B130),IF(("leq")=(INDEX(B1:XFD1,((A3)+(1))+(0))),(INDEX(B5:B405,(B4)+(1)))&lt;=(B130),IF(("greater")=(INDEX(B1:XFD1,((A3)+(1))+(0))),(INDEX(B5:B405,(B4)+(1)))&gt;(B130),IF(("mod")=(INDEX(B1:XFD1,((A3)+(1))+(0))),MOD(INDEX(B5:B405,(B4)+(1)),B130),B130))))))))),B130))</f>
        <v>#VALUE!</v>
      </c>
      <c r="C130" t="e">
        <f ca="1">IF((A1)=(2),1,IF(AND((INDEX(B1:XFD1,((A3)+(1))+(0)))=("writeheap"),(INDEX(B5:B405,(B4)+(1)))=(125)),INDEX(B5:B405,(B4)+(2)),IF((A1)=(2),"",IF((126)=(C4),C130,C130))))</f>
        <v>#VALUE!</v>
      </c>
      <c r="F130" t="e">
        <f ca="1">IF((A1)=(2),"",IF((126)=(F4),IF(IF((INDEX(B1:XFD1,((A3)+(1))+(0)))=("store"),(INDEX(B1:XFD1,((A3)+(1))+(1)))=("F"),"false"),B3,F130),F130))</f>
        <v>#VALUE!</v>
      </c>
      <c r="G130" t="e">
        <f ca="1">IF((A1)=(2),"",IF((126)=(G4),IF(IF((INDEX(B1:XFD1,((A3)+(1))+(0)))=("store"),(INDEX(B1:XFD1,((A3)+(1))+(1)))=("G"),"false"),B3,G130),G130))</f>
        <v>#VALUE!</v>
      </c>
      <c r="H130" t="e">
        <f ca="1">IF((A1)=(2),"",IF((126)=(H4),IF(IF((INDEX(B1:XFD1,((A3)+(1))+(0)))=("store"),(INDEX(B1:XFD1,((A3)+(1))+(1)))=("H"),"false"),B3,H130),H130))</f>
        <v>#VALUE!</v>
      </c>
      <c r="I130" t="e">
        <f ca="1">IF((A1)=(2),"",IF((126)=(I4),IF(IF((INDEX(B1:XFD1,((A3)+(1))+(0)))=("store"),(INDEX(B1:XFD1,((A3)+(1))+(1)))=("I"),"false"),B3,I130),I130))</f>
        <v>#VALUE!</v>
      </c>
      <c r="J130" t="e">
        <f ca="1">IF((A1)=(2),"",IF((126)=(J4),IF(IF((INDEX(B1:XFD1,((A3)+(1))+(0)))=("store"),(INDEX(B1:XFD1,((A3)+(1))+(1)))=("J"),"false"),B3,J130),J130))</f>
        <v>#VALUE!</v>
      </c>
      <c r="K130" t="e">
        <f ca="1">IF((A1)=(2),"",IF((126)=(K4),IF(IF((INDEX(B1:XFD1,((A3)+(1))+(0)))=("store"),(INDEX(B1:XFD1,((A3)+(1))+(1)))=("K"),"false"),B3,K130),K130))</f>
        <v>#VALUE!</v>
      </c>
      <c r="L130" t="e">
        <f ca="1">IF((A1)=(2),"",IF((126)=(L4),IF(IF((INDEX(B1:XFD1,((A3)+(1))+(0)))=("store"),(INDEX(B1:XFD1,((A3)+(1))+(1)))=("L"),"false"),B3,L130),L130))</f>
        <v>#VALUE!</v>
      </c>
      <c r="M130" t="e">
        <f ca="1">IF((A1)=(2),"",IF((126)=(M4),IF(IF((INDEX(B1:XFD1,((A3)+(1))+(0)))=("store"),(INDEX(B1:XFD1,((A3)+(1))+(1)))=("M"),"false"),B3,M130),M130))</f>
        <v>#VALUE!</v>
      </c>
      <c r="N130" t="e">
        <f ca="1">IF((A1)=(2),"",IF((126)=(N4),IF(IF((INDEX(B1:XFD1,((A3)+(1))+(0)))=("store"),(INDEX(B1:XFD1,((A3)+(1))+(1)))=("N"),"false"),B3,N130),N130))</f>
        <v>#VALUE!</v>
      </c>
      <c r="O130" t="e">
        <f ca="1">IF((A1)=(2),"",IF((126)=(O4),IF(IF((INDEX(B1:XFD1,((A3)+(1))+(0)))=("store"),(INDEX(B1:XFD1,((A3)+(1))+(1)))=("O"),"false"),B3,O130),O130))</f>
        <v>#VALUE!</v>
      </c>
      <c r="P130" t="e">
        <f ca="1">IF((A1)=(2),"",IF((126)=(P4),IF(IF((INDEX(B1:XFD1,((A3)+(1))+(0)))=("store"),(INDEX(B1:XFD1,((A3)+(1))+(1)))=("P"),"false"),B3,P130),P130))</f>
        <v>#VALUE!</v>
      </c>
      <c r="Q130" t="e">
        <f ca="1">IF((A1)=(2),"",IF((126)=(Q4),IF(IF((INDEX(B1:XFD1,((A3)+(1))+(0)))=("store"),(INDEX(B1:XFD1,((A3)+(1))+(1)))=("Q"),"false"),B3,Q130),Q130))</f>
        <v>#VALUE!</v>
      </c>
      <c r="R130" t="e">
        <f ca="1">IF((A1)=(2),"",IF((126)=(R4),IF(IF((INDEX(B1:XFD1,((A3)+(1))+(0)))=("store"),(INDEX(B1:XFD1,((A3)+(1))+(1)))=("R"),"false"),B3,R130),R130))</f>
        <v>#VALUE!</v>
      </c>
      <c r="S130" t="e">
        <f ca="1">IF((A1)=(2),"",IF((126)=(S4),IF(IF((INDEX(B1:XFD1,((A3)+(1))+(0)))=("store"),(INDEX(B1:XFD1,((A3)+(1))+(1)))=("S"),"false"),B3,S130),S130))</f>
        <v>#VALUE!</v>
      </c>
      <c r="T130" t="e">
        <f ca="1">IF((A1)=(2),"",IF((126)=(T4),IF(IF((INDEX(B1:XFD1,((A3)+(1))+(0)))=("store"),(INDEX(B1:XFD1,((A3)+(1))+(1)))=("T"),"false"),B3,T130),T130))</f>
        <v>#VALUE!</v>
      </c>
      <c r="U130" t="e">
        <f ca="1">IF((A1)=(2),"",IF((126)=(U4),IF(IF((INDEX(B1:XFD1,((A3)+(1))+(0)))=("store"),(INDEX(B1:XFD1,((A3)+(1))+(1)))=("U"),"false"),B3,U130),U130))</f>
        <v>#VALUE!</v>
      </c>
      <c r="V130" t="e">
        <f ca="1">IF((A1)=(2),"",IF((126)=(V4),IF(IF((INDEX(B1:XFD1,((A3)+(1))+(0)))=("store"),(INDEX(B1:XFD1,((A3)+(1))+(1)))=("V"),"false"),B3,V130),V130))</f>
        <v>#VALUE!</v>
      </c>
      <c r="W130" t="e">
        <f ca="1">IF((A1)=(2),"",IF((126)=(W4),IF(IF((INDEX(B1:XFD1,((A3)+(1))+(0)))=("store"),(INDEX(B1:XFD1,((A3)+(1))+(1)))=("W"),"false"),B3,W130),W130))</f>
        <v>#VALUE!</v>
      </c>
      <c r="X130" t="e">
        <f ca="1">IF((A1)=(2),"",IF((126)=(X4),IF(IF((INDEX(B1:XFD1,((A3)+(1))+(0)))=("store"),(INDEX(B1:XFD1,((A3)+(1))+(1)))=("X"),"false"),B3,X130),X130))</f>
        <v>#VALUE!</v>
      </c>
      <c r="Y130" t="e">
        <f ca="1">IF((A1)=(2),"",IF((126)=(Y4),IF(IF((INDEX(B1:XFD1,((A3)+(1))+(0)))=("store"),(INDEX(B1:XFD1,((A3)+(1))+(1)))=("Y"),"false"),B3,Y130),Y130))</f>
        <v>#VALUE!</v>
      </c>
      <c r="Z130" t="e">
        <f ca="1">IF((A1)=(2),"",IF((126)=(Z4),IF(IF((INDEX(B1:XFD1,((A3)+(1))+(0)))=("store"),(INDEX(B1:XFD1,((A3)+(1))+(1)))=("Z"),"false"),B3,Z130),Z130))</f>
        <v>#VALUE!</v>
      </c>
      <c r="AA130" t="e">
        <f ca="1">IF((A1)=(2),"",IF((126)=(AA4),IF(IF((INDEX(B1:XFD1,((A3)+(1))+(0)))=("store"),(INDEX(B1:XFD1,((A3)+(1))+(1)))=("AA"),"false"),B3,AA130),AA130))</f>
        <v>#VALUE!</v>
      </c>
      <c r="AB130" t="e">
        <f ca="1">IF((A1)=(2),"",IF((126)=(AB4),IF(IF((INDEX(B1:XFD1,((A3)+(1))+(0)))=("store"),(INDEX(B1:XFD1,((A3)+(1))+(1)))=("AB"),"false"),B3,AB130),AB130))</f>
        <v>#VALUE!</v>
      </c>
      <c r="AC130" t="e">
        <f ca="1">IF((A1)=(2),"",IF((126)=(AC4),IF(IF((INDEX(B1:XFD1,((A3)+(1))+(0)))=("store"),(INDEX(B1:XFD1,((A3)+(1))+(1)))=("AC"),"false"),B3,AC130),AC130))</f>
        <v>#VALUE!</v>
      </c>
      <c r="AD130" t="e">
        <f ca="1">IF((A1)=(2),"",IF((126)=(AD4),IF(IF((INDEX(B1:XFD1,((A3)+(1))+(0)))=("store"),(INDEX(B1:XFD1,((A3)+(1))+(1)))=("AD"),"false"),B3,AD130),AD130))</f>
        <v>#VALUE!</v>
      </c>
    </row>
    <row r="131" spans="1:30" x14ac:dyDescent="0.25">
      <c r="A131" t="e">
        <f ca="1">IF((A1)=(2),"",IF((127)=(A4),IF(("call")=(INDEX(B1:XFD1,((A3)+(1))+(0))),(B3)*(2),IF(("goto")=(INDEX(B1:XFD1,((A3)+(1))+(0))),(INDEX(B1:XFD1,((A3)+(1))+(1)))*(2),IF(("gotoiftrue")=(INDEX(B1:XFD1,((A3)+(1))+(0))),IF(B3,(INDEX(B1:XFD1,((A3)+(1))+(1)))*(2),(A131)+(2)),(A131)+(2)))),A131))</f>
        <v>#VALUE!</v>
      </c>
      <c r="B131" t="e">
        <f ca="1">IF((A1)=(2),"",IF((127)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131)+(1)),IF(("add")=(INDEX(B1:XFD1,((A3)+(1))+(0))),(INDEX(B5:B405,(B4)+(1)))+(B131),IF(("equals")=(INDEX(B1:XFD1,((A3)+(1))+(0))),(INDEX(B5:B405,(B4)+(1)))=(B131),IF(("leq")=(INDEX(B1:XFD1,((A3)+(1))+(0))),(INDEX(B5:B405,(B4)+(1)))&lt;=(B131),IF(("greater")=(INDEX(B1:XFD1,((A3)+(1))+(0))),(INDEX(B5:B405,(B4)+(1)))&gt;(B131),IF(("mod")=(INDEX(B1:XFD1,((A3)+(1))+(0))),MOD(INDEX(B5:B405,(B4)+(1)),B131),B131))))))))),B131))</f>
        <v>#VALUE!</v>
      </c>
      <c r="C131" t="e">
        <f ca="1">IF((A1)=(2),1,IF(AND((INDEX(B1:XFD1,((A3)+(1))+(0)))=("writeheap"),(INDEX(B5:B405,(B4)+(1)))=(126)),INDEX(B5:B405,(B4)+(2)),IF((A1)=(2),"",IF((127)=(C4),C131,C131))))</f>
        <v>#VALUE!</v>
      </c>
      <c r="F131" t="e">
        <f ca="1">IF((A1)=(2),"",IF((127)=(F4),IF(IF((INDEX(B1:XFD1,((A3)+(1))+(0)))=("store"),(INDEX(B1:XFD1,((A3)+(1))+(1)))=("F"),"false"),B3,F131),F131))</f>
        <v>#VALUE!</v>
      </c>
      <c r="G131" t="e">
        <f ca="1">IF((A1)=(2),"",IF((127)=(G4),IF(IF((INDEX(B1:XFD1,((A3)+(1))+(0)))=("store"),(INDEX(B1:XFD1,((A3)+(1))+(1)))=("G"),"false"),B3,G131),G131))</f>
        <v>#VALUE!</v>
      </c>
      <c r="H131" t="e">
        <f ca="1">IF((A1)=(2),"",IF((127)=(H4),IF(IF((INDEX(B1:XFD1,((A3)+(1))+(0)))=("store"),(INDEX(B1:XFD1,((A3)+(1))+(1)))=("H"),"false"),B3,H131),H131))</f>
        <v>#VALUE!</v>
      </c>
      <c r="I131" t="e">
        <f ca="1">IF((A1)=(2),"",IF((127)=(I4),IF(IF((INDEX(B1:XFD1,((A3)+(1))+(0)))=("store"),(INDEX(B1:XFD1,((A3)+(1))+(1)))=("I"),"false"),B3,I131),I131))</f>
        <v>#VALUE!</v>
      </c>
      <c r="J131" t="e">
        <f ca="1">IF((A1)=(2),"",IF((127)=(J4),IF(IF((INDEX(B1:XFD1,((A3)+(1))+(0)))=("store"),(INDEX(B1:XFD1,((A3)+(1))+(1)))=("J"),"false"),B3,J131),J131))</f>
        <v>#VALUE!</v>
      </c>
      <c r="K131" t="e">
        <f ca="1">IF((A1)=(2),"",IF((127)=(K4),IF(IF((INDEX(B1:XFD1,((A3)+(1))+(0)))=("store"),(INDEX(B1:XFD1,((A3)+(1))+(1)))=("K"),"false"),B3,K131),K131))</f>
        <v>#VALUE!</v>
      </c>
      <c r="L131" t="e">
        <f ca="1">IF((A1)=(2),"",IF((127)=(L4),IF(IF((INDEX(B1:XFD1,((A3)+(1))+(0)))=("store"),(INDEX(B1:XFD1,((A3)+(1))+(1)))=("L"),"false"),B3,L131),L131))</f>
        <v>#VALUE!</v>
      </c>
      <c r="M131" t="e">
        <f ca="1">IF((A1)=(2),"",IF((127)=(M4),IF(IF((INDEX(B1:XFD1,((A3)+(1))+(0)))=("store"),(INDEX(B1:XFD1,((A3)+(1))+(1)))=("M"),"false"),B3,M131),M131))</f>
        <v>#VALUE!</v>
      </c>
      <c r="N131" t="e">
        <f ca="1">IF((A1)=(2),"",IF((127)=(N4),IF(IF((INDEX(B1:XFD1,((A3)+(1))+(0)))=("store"),(INDEX(B1:XFD1,((A3)+(1))+(1)))=("N"),"false"),B3,N131),N131))</f>
        <v>#VALUE!</v>
      </c>
      <c r="O131" t="e">
        <f ca="1">IF((A1)=(2),"",IF((127)=(O4),IF(IF((INDEX(B1:XFD1,((A3)+(1))+(0)))=("store"),(INDEX(B1:XFD1,((A3)+(1))+(1)))=("O"),"false"),B3,O131),O131))</f>
        <v>#VALUE!</v>
      </c>
      <c r="P131" t="e">
        <f ca="1">IF((A1)=(2),"",IF((127)=(P4),IF(IF((INDEX(B1:XFD1,((A3)+(1))+(0)))=("store"),(INDEX(B1:XFD1,((A3)+(1))+(1)))=("P"),"false"),B3,P131),P131))</f>
        <v>#VALUE!</v>
      </c>
      <c r="Q131" t="e">
        <f ca="1">IF((A1)=(2),"",IF((127)=(Q4),IF(IF((INDEX(B1:XFD1,((A3)+(1))+(0)))=("store"),(INDEX(B1:XFD1,((A3)+(1))+(1)))=("Q"),"false"),B3,Q131),Q131))</f>
        <v>#VALUE!</v>
      </c>
      <c r="R131" t="e">
        <f ca="1">IF((A1)=(2),"",IF((127)=(R4),IF(IF((INDEX(B1:XFD1,((A3)+(1))+(0)))=("store"),(INDEX(B1:XFD1,((A3)+(1))+(1)))=("R"),"false"),B3,R131),R131))</f>
        <v>#VALUE!</v>
      </c>
      <c r="S131" t="e">
        <f ca="1">IF((A1)=(2),"",IF((127)=(S4),IF(IF((INDEX(B1:XFD1,((A3)+(1))+(0)))=("store"),(INDEX(B1:XFD1,((A3)+(1))+(1)))=("S"),"false"),B3,S131),S131))</f>
        <v>#VALUE!</v>
      </c>
      <c r="T131" t="e">
        <f ca="1">IF((A1)=(2),"",IF((127)=(T4),IF(IF((INDEX(B1:XFD1,((A3)+(1))+(0)))=("store"),(INDEX(B1:XFD1,((A3)+(1))+(1)))=("T"),"false"),B3,T131),T131))</f>
        <v>#VALUE!</v>
      </c>
      <c r="U131" t="e">
        <f ca="1">IF((A1)=(2),"",IF((127)=(U4),IF(IF((INDEX(B1:XFD1,((A3)+(1))+(0)))=("store"),(INDEX(B1:XFD1,((A3)+(1))+(1)))=("U"),"false"),B3,U131),U131))</f>
        <v>#VALUE!</v>
      </c>
      <c r="V131" t="e">
        <f ca="1">IF((A1)=(2),"",IF((127)=(V4),IF(IF((INDEX(B1:XFD1,((A3)+(1))+(0)))=("store"),(INDEX(B1:XFD1,((A3)+(1))+(1)))=("V"),"false"),B3,V131),V131))</f>
        <v>#VALUE!</v>
      </c>
      <c r="W131" t="e">
        <f ca="1">IF((A1)=(2),"",IF((127)=(W4),IF(IF((INDEX(B1:XFD1,((A3)+(1))+(0)))=("store"),(INDEX(B1:XFD1,((A3)+(1))+(1)))=("W"),"false"),B3,W131),W131))</f>
        <v>#VALUE!</v>
      </c>
      <c r="X131" t="e">
        <f ca="1">IF((A1)=(2),"",IF((127)=(X4),IF(IF((INDEX(B1:XFD1,((A3)+(1))+(0)))=("store"),(INDEX(B1:XFD1,((A3)+(1))+(1)))=("X"),"false"),B3,X131),X131))</f>
        <v>#VALUE!</v>
      </c>
      <c r="Y131" t="e">
        <f ca="1">IF((A1)=(2),"",IF((127)=(Y4),IF(IF((INDEX(B1:XFD1,((A3)+(1))+(0)))=("store"),(INDEX(B1:XFD1,((A3)+(1))+(1)))=("Y"),"false"),B3,Y131),Y131))</f>
        <v>#VALUE!</v>
      </c>
      <c r="Z131" t="e">
        <f ca="1">IF((A1)=(2),"",IF((127)=(Z4),IF(IF((INDEX(B1:XFD1,((A3)+(1))+(0)))=("store"),(INDEX(B1:XFD1,((A3)+(1))+(1)))=("Z"),"false"),B3,Z131),Z131))</f>
        <v>#VALUE!</v>
      </c>
      <c r="AA131" t="e">
        <f ca="1">IF((A1)=(2),"",IF((127)=(AA4),IF(IF((INDEX(B1:XFD1,((A3)+(1))+(0)))=("store"),(INDEX(B1:XFD1,((A3)+(1))+(1)))=("AA"),"false"),B3,AA131),AA131))</f>
        <v>#VALUE!</v>
      </c>
      <c r="AB131" t="e">
        <f ca="1">IF((A1)=(2),"",IF((127)=(AB4),IF(IF((INDEX(B1:XFD1,((A3)+(1))+(0)))=("store"),(INDEX(B1:XFD1,((A3)+(1))+(1)))=("AB"),"false"),B3,AB131),AB131))</f>
        <v>#VALUE!</v>
      </c>
      <c r="AC131" t="e">
        <f ca="1">IF((A1)=(2),"",IF((127)=(AC4),IF(IF((INDEX(B1:XFD1,((A3)+(1))+(0)))=("store"),(INDEX(B1:XFD1,((A3)+(1))+(1)))=("AC"),"false"),B3,AC131),AC131))</f>
        <v>#VALUE!</v>
      </c>
      <c r="AD131" t="e">
        <f ca="1">IF((A1)=(2),"",IF((127)=(AD4),IF(IF((INDEX(B1:XFD1,((A3)+(1))+(0)))=("store"),(INDEX(B1:XFD1,((A3)+(1))+(1)))=("AD"),"false"),B3,AD131),AD131))</f>
        <v>#VALUE!</v>
      </c>
    </row>
    <row r="132" spans="1:30" x14ac:dyDescent="0.25">
      <c r="A132" t="e">
        <f ca="1">IF((A1)=(2),"",IF((128)=(A4),IF(("call")=(INDEX(B1:XFD1,((A3)+(1))+(0))),(B3)*(2),IF(("goto")=(INDEX(B1:XFD1,((A3)+(1))+(0))),(INDEX(B1:XFD1,((A3)+(1))+(1)))*(2),IF(("gotoiftrue")=(INDEX(B1:XFD1,((A3)+(1))+(0))),IF(B3,(INDEX(B1:XFD1,((A3)+(1))+(1)))*(2),(A132)+(2)),(A132)+(2)))),A132))</f>
        <v>#VALUE!</v>
      </c>
      <c r="B132" t="e">
        <f ca="1">IF((A1)=(2),"",IF((128)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132)+(1)),IF(("add")=(INDEX(B1:XFD1,((A3)+(1))+(0))),(INDEX(B5:B405,(B4)+(1)))+(B132),IF(("equals")=(INDEX(B1:XFD1,((A3)+(1))+(0))),(INDEX(B5:B405,(B4)+(1)))=(B132),IF(("leq")=(INDEX(B1:XFD1,((A3)+(1))+(0))),(INDEX(B5:B405,(B4)+(1)))&lt;=(B132),IF(("greater")=(INDEX(B1:XFD1,((A3)+(1))+(0))),(INDEX(B5:B405,(B4)+(1)))&gt;(B132),IF(("mod")=(INDEX(B1:XFD1,((A3)+(1))+(0))),MOD(INDEX(B5:B405,(B4)+(1)),B132),B132))))))))),B132))</f>
        <v>#VALUE!</v>
      </c>
      <c r="C132" t="e">
        <f ca="1">IF((A1)=(2),1,IF(AND((INDEX(B1:XFD1,((A3)+(1))+(0)))=("writeheap"),(INDEX(B5:B405,(B4)+(1)))=(127)),INDEX(B5:B405,(B4)+(2)),IF((A1)=(2),"",IF((128)=(C4),C132,C132))))</f>
        <v>#VALUE!</v>
      </c>
      <c r="F132" t="e">
        <f ca="1">IF((A1)=(2),"",IF((128)=(F4),IF(IF((INDEX(B1:XFD1,((A3)+(1))+(0)))=("store"),(INDEX(B1:XFD1,((A3)+(1))+(1)))=("F"),"false"),B3,F132),F132))</f>
        <v>#VALUE!</v>
      </c>
      <c r="G132" t="e">
        <f ca="1">IF((A1)=(2),"",IF((128)=(G4),IF(IF((INDEX(B1:XFD1,((A3)+(1))+(0)))=("store"),(INDEX(B1:XFD1,((A3)+(1))+(1)))=("G"),"false"),B3,G132),G132))</f>
        <v>#VALUE!</v>
      </c>
      <c r="H132" t="e">
        <f ca="1">IF((A1)=(2),"",IF((128)=(H4),IF(IF((INDEX(B1:XFD1,((A3)+(1))+(0)))=("store"),(INDEX(B1:XFD1,((A3)+(1))+(1)))=("H"),"false"),B3,H132),H132))</f>
        <v>#VALUE!</v>
      </c>
      <c r="I132" t="e">
        <f ca="1">IF((A1)=(2),"",IF((128)=(I4),IF(IF((INDEX(B1:XFD1,((A3)+(1))+(0)))=("store"),(INDEX(B1:XFD1,((A3)+(1))+(1)))=("I"),"false"),B3,I132),I132))</f>
        <v>#VALUE!</v>
      </c>
      <c r="J132" t="e">
        <f ca="1">IF((A1)=(2),"",IF((128)=(J4),IF(IF((INDEX(B1:XFD1,((A3)+(1))+(0)))=("store"),(INDEX(B1:XFD1,((A3)+(1))+(1)))=("J"),"false"),B3,J132),J132))</f>
        <v>#VALUE!</v>
      </c>
      <c r="K132" t="e">
        <f ca="1">IF((A1)=(2),"",IF((128)=(K4),IF(IF((INDEX(B1:XFD1,((A3)+(1))+(0)))=("store"),(INDEX(B1:XFD1,((A3)+(1))+(1)))=("K"),"false"),B3,K132),K132))</f>
        <v>#VALUE!</v>
      </c>
      <c r="L132" t="e">
        <f ca="1">IF((A1)=(2),"",IF((128)=(L4),IF(IF((INDEX(B1:XFD1,((A3)+(1))+(0)))=("store"),(INDEX(B1:XFD1,((A3)+(1))+(1)))=("L"),"false"),B3,L132),L132))</f>
        <v>#VALUE!</v>
      </c>
      <c r="M132" t="e">
        <f ca="1">IF((A1)=(2),"",IF((128)=(M4),IF(IF((INDEX(B1:XFD1,((A3)+(1))+(0)))=("store"),(INDEX(B1:XFD1,((A3)+(1))+(1)))=("M"),"false"),B3,M132),M132))</f>
        <v>#VALUE!</v>
      </c>
      <c r="N132" t="e">
        <f ca="1">IF((A1)=(2),"",IF((128)=(N4),IF(IF((INDEX(B1:XFD1,((A3)+(1))+(0)))=("store"),(INDEX(B1:XFD1,((A3)+(1))+(1)))=("N"),"false"),B3,N132),N132))</f>
        <v>#VALUE!</v>
      </c>
      <c r="O132" t="e">
        <f ca="1">IF((A1)=(2),"",IF((128)=(O4),IF(IF((INDEX(B1:XFD1,((A3)+(1))+(0)))=("store"),(INDEX(B1:XFD1,((A3)+(1))+(1)))=("O"),"false"),B3,O132),O132))</f>
        <v>#VALUE!</v>
      </c>
      <c r="P132" t="e">
        <f ca="1">IF((A1)=(2),"",IF((128)=(P4),IF(IF((INDEX(B1:XFD1,((A3)+(1))+(0)))=("store"),(INDEX(B1:XFD1,((A3)+(1))+(1)))=("P"),"false"),B3,P132),P132))</f>
        <v>#VALUE!</v>
      </c>
      <c r="Q132" t="e">
        <f ca="1">IF((A1)=(2),"",IF((128)=(Q4),IF(IF((INDEX(B1:XFD1,((A3)+(1))+(0)))=("store"),(INDEX(B1:XFD1,((A3)+(1))+(1)))=("Q"),"false"),B3,Q132),Q132))</f>
        <v>#VALUE!</v>
      </c>
      <c r="R132" t="e">
        <f ca="1">IF((A1)=(2),"",IF((128)=(R4),IF(IF((INDEX(B1:XFD1,((A3)+(1))+(0)))=("store"),(INDEX(B1:XFD1,((A3)+(1))+(1)))=("R"),"false"),B3,R132),R132))</f>
        <v>#VALUE!</v>
      </c>
      <c r="S132" t="e">
        <f ca="1">IF((A1)=(2),"",IF((128)=(S4),IF(IF((INDEX(B1:XFD1,((A3)+(1))+(0)))=("store"),(INDEX(B1:XFD1,((A3)+(1))+(1)))=("S"),"false"),B3,S132),S132))</f>
        <v>#VALUE!</v>
      </c>
      <c r="T132" t="e">
        <f ca="1">IF((A1)=(2),"",IF((128)=(T4),IF(IF((INDEX(B1:XFD1,((A3)+(1))+(0)))=("store"),(INDEX(B1:XFD1,((A3)+(1))+(1)))=("T"),"false"),B3,T132),T132))</f>
        <v>#VALUE!</v>
      </c>
      <c r="U132" t="e">
        <f ca="1">IF((A1)=(2),"",IF((128)=(U4),IF(IF((INDEX(B1:XFD1,((A3)+(1))+(0)))=("store"),(INDEX(B1:XFD1,((A3)+(1))+(1)))=("U"),"false"),B3,U132),U132))</f>
        <v>#VALUE!</v>
      </c>
      <c r="V132" t="e">
        <f ca="1">IF((A1)=(2),"",IF((128)=(V4),IF(IF((INDEX(B1:XFD1,((A3)+(1))+(0)))=("store"),(INDEX(B1:XFD1,((A3)+(1))+(1)))=("V"),"false"),B3,V132),V132))</f>
        <v>#VALUE!</v>
      </c>
      <c r="W132" t="e">
        <f ca="1">IF((A1)=(2),"",IF((128)=(W4),IF(IF((INDEX(B1:XFD1,((A3)+(1))+(0)))=("store"),(INDEX(B1:XFD1,((A3)+(1))+(1)))=("W"),"false"),B3,W132),W132))</f>
        <v>#VALUE!</v>
      </c>
      <c r="X132" t="e">
        <f ca="1">IF((A1)=(2),"",IF((128)=(X4),IF(IF((INDEX(B1:XFD1,((A3)+(1))+(0)))=("store"),(INDEX(B1:XFD1,((A3)+(1))+(1)))=("X"),"false"),B3,X132),X132))</f>
        <v>#VALUE!</v>
      </c>
      <c r="Y132" t="e">
        <f ca="1">IF((A1)=(2),"",IF((128)=(Y4),IF(IF((INDEX(B1:XFD1,((A3)+(1))+(0)))=("store"),(INDEX(B1:XFD1,((A3)+(1))+(1)))=("Y"),"false"),B3,Y132),Y132))</f>
        <v>#VALUE!</v>
      </c>
      <c r="Z132" t="e">
        <f ca="1">IF((A1)=(2),"",IF((128)=(Z4),IF(IF((INDEX(B1:XFD1,((A3)+(1))+(0)))=("store"),(INDEX(B1:XFD1,((A3)+(1))+(1)))=("Z"),"false"),B3,Z132),Z132))</f>
        <v>#VALUE!</v>
      </c>
      <c r="AA132" t="e">
        <f ca="1">IF((A1)=(2),"",IF((128)=(AA4),IF(IF((INDEX(B1:XFD1,((A3)+(1))+(0)))=("store"),(INDEX(B1:XFD1,((A3)+(1))+(1)))=("AA"),"false"),B3,AA132),AA132))</f>
        <v>#VALUE!</v>
      </c>
      <c r="AB132" t="e">
        <f ca="1">IF((A1)=(2),"",IF((128)=(AB4),IF(IF((INDEX(B1:XFD1,((A3)+(1))+(0)))=("store"),(INDEX(B1:XFD1,((A3)+(1))+(1)))=("AB"),"false"),B3,AB132),AB132))</f>
        <v>#VALUE!</v>
      </c>
      <c r="AC132" t="e">
        <f ca="1">IF((A1)=(2),"",IF((128)=(AC4),IF(IF((INDEX(B1:XFD1,((A3)+(1))+(0)))=("store"),(INDEX(B1:XFD1,((A3)+(1))+(1)))=("AC"),"false"),B3,AC132),AC132))</f>
        <v>#VALUE!</v>
      </c>
      <c r="AD132" t="e">
        <f ca="1">IF((A1)=(2),"",IF((128)=(AD4),IF(IF((INDEX(B1:XFD1,((A3)+(1))+(0)))=("store"),(INDEX(B1:XFD1,((A3)+(1))+(1)))=("AD"),"false"),B3,AD132),AD132))</f>
        <v>#VALUE!</v>
      </c>
    </row>
    <row r="133" spans="1:30" x14ac:dyDescent="0.25">
      <c r="A133" t="e">
        <f ca="1">IF((A1)=(2),"",IF((129)=(A4),IF(("call")=(INDEX(B1:XFD1,((A3)+(1))+(0))),(B3)*(2),IF(("goto")=(INDEX(B1:XFD1,((A3)+(1))+(0))),(INDEX(B1:XFD1,((A3)+(1))+(1)))*(2),IF(("gotoiftrue")=(INDEX(B1:XFD1,((A3)+(1))+(0))),IF(B3,(INDEX(B1:XFD1,((A3)+(1))+(1)))*(2),(A133)+(2)),(A133)+(2)))),A133))</f>
        <v>#VALUE!</v>
      </c>
      <c r="B133" t="e">
        <f ca="1">IF((A1)=(2),"",IF((129)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133)+(1)),IF(("add")=(INDEX(B1:XFD1,((A3)+(1))+(0))),(INDEX(B5:B405,(B4)+(1)))+(B133),IF(("equals")=(INDEX(B1:XFD1,((A3)+(1))+(0))),(INDEX(B5:B405,(B4)+(1)))=(B133),IF(("leq")=(INDEX(B1:XFD1,((A3)+(1))+(0))),(INDEX(B5:B405,(B4)+(1)))&lt;=(B133),IF(("greater")=(INDEX(B1:XFD1,((A3)+(1))+(0))),(INDEX(B5:B405,(B4)+(1)))&gt;(B133),IF(("mod")=(INDEX(B1:XFD1,((A3)+(1))+(0))),MOD(INDEX(B5:B405,(B4)+(1)),B133),B133))))))))),B133))</f>
        <v>#VALUE!</v>
      </c>
      <c r="C133" t="e">
        <f ca="1">IF((A1)=(2),1,IF(AND((INDEX(B1:XFD1,((A3)+(1))+(0)))=("writeheap"),(INDEX(B5:B405,(B4)+(1)))=(128)),INDEX(B5:B405,(B4)+(2)),IF((A1)=(2),"",IF((129)=(C4),C133,C133))))</f>
        <v>#VALUE!</v>
      </c>
      <c r="F133" t="e">
        <f ca="1">IF((A1)=(2),"",IF((129)=(F4),IF(IF((INDEX(B1:XFD1,((A3)+(1))+(0)))=("store"),(INDEX(B1:XFD1,((A3)+(1))+(1)))=("F"),"false"),B3,F133),F133))</f>
        <v>#VALUE!</v>
      </c>
      <c r="G133" t="e">
        <f ca="1">IF((A1)=(2),"",IF((129)=(G4),IF(IF((INDEX(B1:XFD1,((A3)+(1))+(0)))=("store"),(INDEX(B1:XFD1,((A3)+(1))+(1)))=("G"),"false"),B3,G133),G133))</f>
        <v>#VALUE!</v>
      </c>
      <c r="H133" t="e">
        <f ca="1">IF((A1)=(2),"",IF((129)=(H4),IF(IF((INDEX(B1:XFD1,((A3)+(1))+(0)))=("store"),(INDEX(B1:XFD1,((A3)+(1))+(1)))=("H"),"false"),B3,H133),H133))</f>
        <v>#VALUE!</v>
      </c>
      <c r="I133" t="e">
        <f ca="1">IF((A1)=(2),"",IF((129)=(I4),IF(IF((INDEX(B1:XFD1,((A3)+(1))+(0)))=("store"),(INDEX(B1:XFD1,((A3)+(1))+(1)))=("I"),"false"),B3,I133),I133))</f>
        <v>#VALUE!</v>
      </c>
      <c r="J133" t="e">
        <f ca="1">IF((A1)=(2),"",IF((129)=(J4),IF(IF((INDEX(B1:XFD1,((A3)+(1))+(0)))=("store"),(INDEX(B1:XFD1,((A3)+(1))+(1)))=("J"),"false"),B3,J133),J133))</f>
        <v>#VALUE!</v>
      </c>
      <c r="K133" t="e">
        <f ca="1">IF((A1)=(2),"",IF((129)=(K4),IF(IF((INDEX(B1:XFD1,((A3)+(1))+(0)))=("store"),(INDEX(B1:XFD1,((A3)+(1))+(1)))=("K"),"false"),B3,K133),K133))</f>
        <v>#VALUE!</v>
      </c>
      <c r="L133" t="e">
        <f ca="1">IF((A1)=(2),"",IF((129)=(L4),IF(IF((INDEX(B1:XFD1,((A3)+(1))+(0)))=("store"),(INDEX(B1:XFD1,((A3)+(1))+(1)))=("L"),"false"),B3,L133),L133))</f>
        <v>#VALUE!</v>
      </c>
      <c r="M133" t="e">
        <f ca="1">IF((A1)=(2),"",IF((129)=(M4),IF(IF((INDEX(B1:XFD1,((A3)+(1))+(0)))=("store"),(INDEX(B1:XFD1,((A3)+(1))+(1)))=("M"),"false"),B3,M133),M133))</f>
        <v>#VALUE!</v>
      </c>
      <c r="N133" t="e">
        <f ca="1">IF((A1)=(2),"",IF((129)=(N4),IF(IF((INDEX(B1:XFD1,((A3)+(1))+(0)))=("store"),(INDEX(B1:XFD1,((A3)+(1))+(1)))=("N"),"false"),B3,N133),N133))</f>
        <v>#VALUE!</v>
      </c>
      <c r="O133" t="e">
        <f ca="1">IF((A1)=(2),"",IF((129)=(O4),IF(IF((INDEX(B1:XFD1,((A3)+(1))+(0)))=("store"),(INDEX(B1:XFD1,((A3)+(1))+(1)))=("O"),"false"),B3,O133),O133))</f>
        <v>#VALUE!</v>
      </c>
      <c r="P133" t="e">
        <f ca="1">IF((A1)=(2),"",IF((129)=(P4),IF(IF((INDEX(B1:XFD1,((A3)+(1))+(0)))=("store"),(INDEX(B1:XFD1,((A3)+(1))+(1)))=("P"),"false"),B3,P133),P133))</f>
        <v>#VALUE!</v>
      </c>
      <c r="Q133" t="e">
        <f ca="1">IF((A1)=(2),"",IF((129)=(Q4),IF(IF((INDEX(B1:XFD1,((A3)+(1))+(0)))=("store"),(INDEX(B1:XFD1,((A3)+(1))+(1)))=("Q"),"false"),B3,Q133),Q133))</f>
        <v>#VALUE!</v>
      </c>
      <c r="R133" t="e">
        <f ca="1">IF((A1)=(2),"",IF((129)=(R4),IF(IF((INDEX(B1:XFD1,((A3)+(1))+(0)))=("store"),(INDEX(B1:XFD1,((A3)+(1))+(1)))=("R"),"false"),B3,R133),R133))</f>
        <v>#VALUE!</v>
      </c>
      <c r="S133" t="e">
        <f ca="1">IF((A1)=(2),"",IF((129)=(S4),IF(IF((INDEX(B1:XFD1,((A3)+(1))+(0)))=("store"),(INDEX(B1:XFD1,((A3)+(1))+(1)))=("S"),"false"),B3,S133),S133))</f>
        <v>#VALUE!</v>
      </c>
      <c r="T133" t="e">
        <f ca="1">IF((A1)=(2),"",IF((129)=(T4),IF(IF((INDEX(B1:XFD1,((A3)+(1))+(0)))=("store"),(INDEX(B1:XFD1,((A3)+(1))+(1)))=("T"),"false"),B3,T133),T133))</f>
        <v>#VALUE!</v>
      </c>
      <c r="U133" t="e">
        <f ca="1">IF((A1)=(2),"",IF((129)=(U4),IF(IF((INDEX(B1:XFD1,((A3)+(1))+(0)))=("store"),(INDEX(B1:XFD1,((A3)+(1))+(1)))=("U"),"false"),B3,U133),U133))</f>
        <v>#VALUE!</v>
      </c>
      <c r="V133" t="e">
        <f ca="1">IF((A1)=(2),"",IF((129)=(V4),IF(IF((INDEX(B1:XFD1,((A3)+(1))+(0)))=("store"),(INDEX(B1:XFD1,((A3)+(1))+(1)))=("V"),"false"),B3,V133),V133))</f>
        <v>#VALUE!</v>
      </c>
      <c r="W133" t="e">
        <f ca="1">IF((A1)=(2),"",IF((129)=(W4),IF(IF((INDEX(B1:XFD1,((A3)+(1))+(0)))=("store"),(INDEX(B1:XFD1,((A3)+(1))+(1)))=("W"),"false"),B3,W133),W133))</f>
        <v>#VALUE!</v>
      </c>
      <c r="X133" t="e">
        <f ca="1">IF((A1)=(2),"",IF((129)=(X4),IF(IF((INDEX(B1:XFD1,((A3)+(1))+(0)))=("store"),(INDEX(B1:XFD1,((A3)+(1))+(1)))=("X"),"false"),B3,X133),X133))</f>
        <v>#VALUE!</v>
      </c>
      <c r="Y133" t="e">
        <f ca="1">IF((A1)=(2),"",IF((129)=(Y4),IF(IF((INDEX(B1:XFD1,((A3)+(1))+(0)))=("store"),(INDEX(B1:XFD1,((A3)+(1))+(1)))=("Y"),"false"),B3,Y133),Y133))</f>
        <v>#VALUE!</v>
      </c>
      <c r="Z133" t="e">
        <f ca="1">IF((A1)=(2),"",IF((129)=(Z4),IF(IF((INDEX(B1:XFD1,((A3)+(1))+(0)))=("store"),(INDEX(B1:XFD1,((A3)+(1))+(1)))=("Z"),"false"),B3,Z133),Z133))</f>
        <v>#VALUE!</v>
      </c>
      <c r="AA133" t="e">
        <f ca="1">IF((A1)=(2),"",IF((129)=(AA4),IF(IF((INDEX(B1:XFD1,((A3)+(1))+(0)))=("store"),(INDEX(B1:XFD1,((A3)+(1))+(1)))=("AA"),"false"),B3,AA133),AA133))</f>
        <v>#VALUE!</v>
      </c>
      <c r="AB133" t="e">
        <f ca="1">IF((A1)=(2),"",IF((129)=(AB4),IF(IF((INDEX(B1:XFD1,((A3)+(1))+(0)))=("store"),(INDEX(B1:XFD1,((A3)+(1))+(1)))=("AB"),"false"),B3,AB133),AB133))</f>
        <v>#VALUE!</v>
      </c>
      <c r="AC133" t="e">
        <f ca="1">IF((A1)=(2),"",IF((129)=(AC4),IF(IF((INDEX(B1:XFD1,((A3)+(1))+(0)))=("store"),(INDEX(B1:XFD1,((A3)+(1))+(1)))=("AC"),"false"),B3,AC133),AC133))</f>
        <v>#VALUE!</v>
      </c>
      <c r="AD133" t="e">
        <f ca="1">IF((A1)=(2),"",IF((129)=(AD4),IF(IF((INDEX(B1:XFD1,((A3)+(1))+(0)))=("store"),(INDEX(B1:XFD1,((A3)+(1))+(1)))=("AD"),"false"),B3,AD133),AD133))</f>
        <v>#VALUE!</v>
      </c>
    </row>
    <row r="134" spans="1:30" x14ac:dyDescent="0.25">
      <c r="A134" t="e">
        <f ca="1">IF((A1)=(2),"",IF((130)=(A4),IF(("call")=(INDEX(B1:XFD1,((A3)+(1))+(0))),(B3)*(2),IF(("goto")=(INDEX(B1:XFD1,((A3)+(1))+(0))),(INDEX(B1:XFD1,((A3)+(1))+(1)))*(2),IF(("gotoiftrue")=(INDEX(B1:XFD1,((A3)+(1))+(0))),IF(B3,(INDEX(B1:XFD1,((A3)+(1))+(1)))*(2),(A134)+(2)),(A134)+(2)))),A134))</f>
        <v>#VALUE!</v>
      </c>
      <c r="B134" t="e">
        <f ca="1">IF((A1)=(2),"",IF((130)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134)+(1)),IF(("add")=(INDEX(B1:XFD1,((A3)+(1))+(0))),(INDEX(B5:B405,(B4)+(1)))+(B134),IF(("equals")=(INDEX(B1:XFD1,((A3)+(1))+(0))),(INDEX(B5:B405,(B4)+(1)))=(B134),IF(("leq")=(INDEX(B1:XFD1,((A3)+(1))+(0))),(INDEX(B5:B405,(B4)+(1)))&lt;=(B134),IF(("greater")=(INDEX(B1:XFD1,((A3)+(1))+(0))),(INDEX(B5:B405,(B4)+(1)))&gt;(B134),IF(("mod")=(INDEX(B1:XFD1,((A3)+(1))+(0))),MOD(INDEX(B5:B405,(B4)+(1)),B134),B134))))))))),B134))</f>
        <v>#VALUE!</v>
      </c>
      <c r="C134" t="e">
        <f ca="1">IF((A1)=(2),1,IF(AND((INDEX(B1:XFD1,((A3)+(1))+(0)))=("writeheap"),(INDEX(B5:B405,(B4)+(1)))=(129)),INDEX(B5:B405,(B4)+(2)),IF((A1)=(2),"",IF((130)=(C4),C134,C134))))</f>
        <v>#VALUE!</v>
      </c>
      <c r="F134" t="e">
        <f ca="1">IF((A1)=(2),"",IF((130)=(F4),IF(IF((INDEX(B1:XFD1,((A3)+(1))+(0)))=("store"),(INDEX(B1:XFD1,((A3)+(1))+(1)))=("F"),"false"),B3,F134),F134))</f>
        <v>#VALUE!</v>
      </c>
      <c r="G134" t="e">
        <f ca="1">IF((A1)=(2),"",IF((130)=(G4),IF(IF((INDEX(B1:XFD1,((A3)+(1))+(0)))=("store"),(INDEX(B1:XFD1,((A3)+(1))+(1)))=("G"),"false"),B3,G134),G134))</f>
        <v>#VALUE!</v>
      </c>
      <c r="H134" t="e">
        <f ca="1">IF((A1)=(2),"",IF((130)=(H4),IF(IF((INDEX(B1:XFD1,((A3)+(1))+(0)))=("store"),(INDEX(B1:XFD1,((A3)+(1))+(1)))=("H"),"false"),B3,H134),H134))</f>
        <v>#VALUE!</v>
      </c>
      <c r="I134" t="e">
        <f ca="1">IF((A1)=(2),"",IF((130)=(I4),IF(IF((INDEX(B1:XFD1,((A3)+(1))+(0)))=("store"),(INDEX(B1:XFD1,((A3)+(1))+(1)))=("I"),"false"),B3,I134),I134))</f>
        <v>#VALUE!</v>
      </c>
      <c r="J134" t="e">
        <f ca="1">IF((A1)=(2),"",IF((130)=(J4),IF(IF((INDEX(B1:XFD1,((A3)+(1))+(0)))=("store"),(INDEX(B1:XFD1,((A3)+(1))+(1)))=("J"),"false"),B3,J134),J134))</f>
        <v>#VALUE!</v>
      </c>
      <c r="K134" t="e">
        <f ca="1">IF((A1)=(2),"",IF((130)=(K4),IF(IF((INDEX(B1:XFD1,((A3)+(1))+(0)))=("store"),(INDEX(B1:XFD1,((A3)+(1))+(1)))=("K"),"false"),B3,K134),K134))</f>
        <v>#VALUE!</v>
      </c>
      <c r="L134" t="e">
        <f ca="1">IF((A1)=(2),"",IF((130)=(L4),IF(IF((INDEX(B1:XFD1,((A3)+(1))+(0)))=("store"),(INDEX(B1:XFD1,((A3)+(1))+(1)))=("L"),"false"),B3,L134),L134))</f>
        <v>#VALUE!</v>
      </c>
      <c r="M134" t="e">
        <f ca="1">IF((A1)=(2),"",IF((130)=(M4),IF(IF((INDEX(B1:XFD1,((A3)+(1))+(0)))=("store"),(INDEX(B1:XFD1,((A3)+(1))+(1)))=("M"),"false"),B3,M134),M134))</f>
        <v>#VALUE!</v>
      </c>
      <c r="N134" t="e">
        <f ca="1">IF((A1)=(2),"",IF((130)=(N4),IF(IF((INDEX(B1:XFD1,((A3)+(1))+(0)))=("store"),(INDEX(B1:XFD1,((A3)+(1))+(1)))=("N"),"false"),B3,N134),N134))</f>
        <v>#VALUE!</v>
      </c>
      <c r="O134" t="e">
        <f ca="1">IF((A1)=(2),"",IF((130)=(O4),IF(IF((INDEX(B1:XFD1,((A3)+(1))+(0)))=("store"),(INDEX(B1:XFD1,((A3)+(1))+(1)))=("O"),"false"),B3,O134),O134))</f>
        <v>#VALUE!</v>
      </c>
      <c r="P134" t="e">
        <f ca="1">IF((A1)=(2),"",IF((130)=(P4),IF(IF((INDEX(B1:XFD1,((A3)+(1))+(0)))=("store"),(INDEX(B1:XFD1,((A3)+(1))+(1)))=("P"),"false"),B3,P134),P134))</f>
        <v>#VALUE!</v>
      </c>
      <c r="Q134" t="e">
        <f ca="1">IF((A1)=(2),"",IF((130)=(Q4),IF(IF((INDEX(B1:XFD1,((A3)+(1))+(0)))=("store"),(INDEX(B1:XFD1,((A3)+(1))+(1)))=("Q"),"false"),B3,Q134),Q134))</f>
        <v>#VALUE!</v>
      </c>
      <c r="R134" t="e">
        <f ca="1">IF((A1)=(2),"",IF((130)=(R4),IF(IF((INDEX(B1:XFD1,((A3)+(1))+(0)))=("store"),(INDEX(B1:XFD1,((A3)+(1))+(1)))=("R"),"false"),B3,R134),R134))</f>
        <v>#VALUE!</v>
      </c>
      <c r="S134" t="e">
        <f ca="1">IF((A1)=(2),"",IF((130)=(S4),IF(IF((INDEX(B1:XFD1,((A3)+(1))+(0)))=("store"),(INDEX(B1:XFD1,((A3)+(1))+(1)))=("S"),"false"),B3,S134),S134))</f>
        <v>#VALUE!</v>
      </c>
      <c r="T134" t="e">
        <f ca="1">IF((A1)=(2),"",IF((130)=(T4),IF(IF((INDEX(B1:XFD1,((A3)+(1))+(0)))=("store"),(INDEX(B1:XFD1,((A3)+(1))+(1)))=("T"),"false"),B3,T134),T134))</f>
        <v>#VALUE!</v>
      </c>
      <c r="U134" t="e">
        <f ca="1">IF((A1)=(2),"",IF((130)=(U4),IF(IF((INDEX(B1:XFD1,((A3)+(1))+(0)))=("store"),(INDEX(B1:XFD1,((A3)+(1))+(1)))=("U"),"false"),B3,U134),U134))</f>
        <v>#VALUE!</v>
      </c>
      <c r="V134" t="e">
        <f ca="1">IF((A1)=(2),"",IF((130)=(V4),IF(IF((INDEX(B1:XFD1,((A3)+(1))+(0)))=("store"),(INDEX(B1:XFD1,((A3)+(1))+(1)))=("V"),"false"),B3,V134),V134))</f>
        <v>#VALUE!</v>
      </c>
      <c r="W134" t="e">
        <f ca="1">IF((A1)=(2),"",IF((130)=(W4),IF(IF((INDEX(B1:XFD1,((A3)+(1))+(0)))=("store"),(INDEX(B1:XFD1,((A3)+(1))+(1)))=("W"),"false"),B3,W134),W134))</f>
        <v>#VALUE!</v>
      </c>
      <c r="X134" t="e">
        <f ca="1">IF((A1)=(2),"",IF((130)=(X4),IF(IF((INDEX(B1:XFD1,((A3)+(1))+(0)))=("store"),(INDEX(B1:XFD1,((A3)+(1))+(1)))=("X"),"false"),B3,X134),X134))</f>
        <v>#VALUE!</v>
      </c>
      <c r="Y134" t="e">
        <f ca="1">IF((A1)=(2),"",IF((130)=(Y4),IF(IF((INDEX(B1:XFD1,((A3)+(1))+(0)))=("store"),(INDEX(B1:XFD1,((A3)+(1))+(1)))=("Y"),"false"),B3,Y134),Y134))</f>
        <v>#VALUE!</v>
      </c>
      <c r="Z134" t="e">
        <f ca="1">IF((A1)=(2),"",IF((130)=(Z4),IF(IF((INDEX(B1:XFD1,((A3)+(1))+(0)))=("store"),(INDEX(B1:XFD1,((A3)+(1))+(1)))=("Z"),"false"),B3,Z134),Z134))</f>
        <v>#VALUE!</v>
      </c>
      <c r="AA134" t="e">
        <f ca="1">IF((A1)=(2),"",IF((130)=(AA4),IF(IF((INDEX(B1:XFD1,((A3)+(1))+(0)))=("store"),(INDEX(B1:XFD1,((A3)+(1))+(1)))=("AA"),"false"),B3,AA134),AA134))</f>
        <v>#VALUE!</v>
      </c>
      <c r="AB134" t="e">
        <f ca="1">IF((A1)=(2),"",IF((130)=(AB4),IF(IF((INDEX(B1:XFD1,((A3)+(1))+(0)))=("store"),(INDEX(B1:XFD1,((A3)+(1))+(1)))=("AB"),"false"),B3,AB134),AB134))</f>
        <v>#VALUE!</v>
      </c>
      <c r="AC134" t="e">
        <f ca="1">IF((A1)=(2),"",IF((130)=(AC4),IF(IF((INDEX(B1:XFD1,((A3)+(1))+(0)))=("store"),(INDEX(B1:XFD1,((A3)+(1))+(1)))=("AC"),"false"),B3,AC134),AC134))</f>
        <v>#VALUE!</v>
      </c>
      <c r="AD134" t="e">
        <f ca="1">IF((A1)=(2),"",IF((130)=(AD4),IF(IF((INDEX(B1:XFD1,((A3)+(1))+(0)))=("store"),(INDEX(B1:XFD1,((A3)+(1))+(1)))=("AD"),"false"),B3,AD134),AD134))</f>
        <v>#VALUE!</v>
      </c>
    </row>
    <row r="135" spans="1:30" x14ac:dyDescent="0.25">
      <c r="A135" t="e">
        <f ca="1">IF((A1)=(2),"",IF((131)=(A4),IF(("call")=(INDEX(B1:XFD1,((A3)+(1))+(0))),(B3)*(2),IF(("goto")=(INDEX(B1:XFD1,((A3)+(1))+(0))),(INDEX(B1:XFD1,((A3)+(1))+(1)))*(2),IF(("gotoiftrue")=(INDEX(B1:XFD1,((A3)+(1))+(0))),IF(B3,(INDEX(B1:XFD1,((A3)+(1))+(1)))*(2),(A135)+(2)),(A135)+(2)))),A135))</f>
        <v>#VALUE!</v>
      </c>
      <c r="B135" t="e">
        <f ca="1">IF((A1)=(2),"",IF((131)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135)+(1)),IF(("add")=(INDEX(B1:XFD1,((A3)+(1))+(0))),(INDEX(B5:B405,(B4)+(1)))+(B135),IF(("equals")=(INDEX(B1:XFD1,((A3)+(1))+(0))),(INDEX(B5:B405,(B4)+(1)))=(B135),IF(("leq")=(INDEX(B1:XFD1,((A3)+(1))+(0))),(INDEX(B5:B405,(B4)+(1)))&lt;=(B135),IF(("greater")=(INDEX(B1:XFD1,((A3)+(1))+(0))),(INDEX(B5:B405,(B4)+(1)))&gt;(B135),IF(("mod")=(INDEX(B1:XFD1,((A3)+(1))+(0))),MOD(INDEX(B5:B405,(B4)+(1)),B135),B135))))))))),B135))</f>
        <v>#VALUE!</v>
      </c>
      <c r="C135" t="e">
        <f ca="1">IF((A1)=(2),1,IF(AND((INDEX(B1:XFD1,((A3)+(1))+(0)))=("writeheap"),(INDEX(B5:B405,(B4)+(1)))=(130)),INDEX(B5:B405,(B4)+(2)),IF((A1)=(2),"",IF((131)=(C4),C135,C135))))</f>
        <v>#VALUE!</v>
      </c>
      <c r="F135" t="e">
        <f ca="1">IF((A1)=(2),"",IF((131)=(F4),IF(IF((INDEX(B1:XFD1,((A3)+(1))+(0)))=("store"),(INDEX(B1:XFD1,((A3)+(1))+(1)))=("F"),"false"),B3,F135),F135))</f>
        <v>#VALUE!</v>
      </c>
      <c r="G135" t="e">
        <f ca="1">IF((A1)=(2),"",IF((131)=(G4),IF(IF((INDEX(B1:XFD1,((A3)+(1))+(0)))=("store"),(INDEX(B1:XFD1,((A3)+(1))+(1)))=("G"),"false"),B3,G135),G135))</f>
        <v>#VALUE!</v>
      </c>
      <c r="H135" t="e">
        <f ca="1">IF((A1)=(2),"",IF((131)=(H4),IF(IF((INDEX(B1:XFD1,((A3)+(1))+(0)))=("store"),(INDEX(B1:XFD1,((A3)+(1))+(1)))=("H"),"false"),B3,H135),H135))</f>
        <v>#VALUE!</v>
      </c>
      <c r="I135" t="e">
        <f ca="1">IF((A1)=(2),"",IF((131)=(I4),IF(IF((INDEX(B1:XFD1,((A3)+(1))+(0)))=("store"),(INDEX(B1:XFD1,((A3)+(1))+(1)))=("I"),"false"),B3,I135),I135))</f>
        <v>#VALUE!</v>
      </c>
      <c r="J135" t="e">
        <f ca="1">IF((A1)=(2),"",IF((131)=(J4),IF(IF((INDEX(B1:XFD1,((A3)+(1))+(0)))=("store"),(INDEX(B1:XFD1,((A3)+(1))+(1)))=("J"),"false"),B3,J135),J135))</f>
        <v>#VALUE!</v>
      </c>
      <c r="K135" t="e">
        <f ca="1">IF((A1)=(2),"",IF((131)=(K4),IF(IF((INDEX(B1:XFD1,((A3)+(1))+(0)))=("store"),(INDEX(B1:XFD1,((A3)+(1))+(1)))=("K"),"false"),B3,K135),K135))</f>
        <v>#VALUE!</v>
      </c>
      <c r="L135" t="e">
        <f ca="1">IF((A1)=(2),"",IF((131)=(L4),IF(IF((INDEX(B1:XFD1,((A3)+(1))+(0)))=("store"),(INDEX(B1:XFD1,((A3)+(1))+(1)))=("L"),"false"),B3,L135),L135))</f>
        <v>#VALUE!</v>
      </c>
      <c r="M135" t="e">
        <f ca="1">IF((A1)=(2),"",IF((131)=(M4),IF(IF((INDEX(B1:XFD1,((A3)+(1))+(0)))=("store"),(INDEX(B1:XFD1,((A3)+(1))+(1)))=("M"),"false"),B3,M135),M135))</f>
        <v>#VALUE!</v>
      </c>
      <c r="N135" t="e">
        <f ca="1">IF((A1)=(2),"",IF((131)=(N4),IF(IF((INDEX(B1:XFD1,((A3)+(1))+(0)))=("store"),(INDEX(B1:XFD1,((A3)+(1))+(1)))=("N"),"false"),B3,N135),N135))</f>
        <v>#VALUE!</v>
      </c>
      <c r="O135" t="e">
        <f ca="1">IF((A1)=(2),"",IF((131)=(O4),IF(IF((INDEX(B1:XFD1,((A3)+(1))+(0)))=("store"),(INDEX(B1:XFD1,((A3)+(1))+(1)))=("O"),"false"),B3,O135),O135))</f>
        <v>#VALUE!</v>
      </c>
      <c r="P135" t="e">
        <f ca="1">IF((A1)=(2),"",IF((131)=(P4),IF(IF((INDEX(B1:XFD1,((A3)+(1))+(0)))=("store"),(INDEX(B1:XFD1,((A3)+(1))+(1)))=("P"),"false"),B3,P135),P135))</f>
        <v>#VALUE!</v>
      </c>
      <c r="Q135" t="e">
        <f ca="1">IF((A1)=(2),"",IF((131)=(Q4),IF(IF((INDEX(B1:XFD1,((A3)+(1))+(0)))=("store"),(INDEX(B1:XFD1,((A3)+(1))+(1)))=("Q"),"false"),B3,Q135),Q135))</f>
        <v>#VALUE!</v>
      </c>
      <c r="R135" t="e">
        <f ca="1">IF((A1)=(2),"",IF((131)=(R4),IF(IF((INDEX(B1:XFD1,((A3)+(1))+(0)))=("store"),(INDEX(B1:XFD1,((A3)+(1))+(1)))=("R"),"false"),B3,R135),R135))</f>
        <v>#VALUE!</v>
      </c>
      <c r="S135" t="e">
        <f ca="1">IF((A1)=(2),"",IF((131)=(S4),IF(IF((INDEX(B1:XFD1,((A3)+(1))+(0)))=("store"),(INDEX(B1:XFD1,((A3)+(1))+(1)))=("S"),"false"),B3,S135),S135))</f>
        <v>#VALUE!</v>
      </c>
      <c r="T135" t="e">
        <f ca="1">IF((A1)=(2),"",IF((131)=(T4),IF(IF((INDEX(B1:XFD1,((A3)+(1))+(0)))=("store"),(INDEX(B1:XFD1,((A3)+(1))+(1)))=("T"),"false"),B3,T135),T135))</f>
        <v>#VALUE!</v>
      </c>
      <c r="U135" t="e">
        <f ca="1">IF((A1)=(2),"",IF((131)=(U4),IF(IF((INDEX(B1:XFD1,((A3)+(1))+(0)))=("store"),(INDEX(B1:XFD1,((A3)+(1))+(1)))=("U"),"false"),B3,U135),U135))</f>
        <v>#VALUE!</v>
      </c>
      <c r="V135" t="e">
        <f ca="1">IF((A1)=(2),"",IF((131)=(V4),IF(IF((INDEX(B1:XFD1,((A3)+(1))+(0)))=("store"),(INDEX(B1:XFD1,((A3)+(1))+(1)))=("V"),"false"),B3,V135),V135))</f>
        <v>#VALUE!</v>
      </c>
      <c r="W135" t="e">
        <f ca="1">IF((A1)=(2),"",IF((131)=(W4),IF(IF((INDEX(B1:XFD1,((A3)+(1))+(0)))=("store"),(INDEX(B1:XFD1,((A3)+(1))+(1)))=("W"),"false"),B3,W135),W135))</f>
        <v>#VALUE!</v>
      </c>
      <c r="X135" t="e">
        <f ca="1">IF((A1)=(2),"",IF((131)=(X4),IF(IF((INDEX(B1:XFD1,((A3)+(1))+(0)))=("store"),(INDEX(B1:XFD1,((A3)+(1))+(1)))=("X"),"false"),B3,X135),X135))</f>
        <v>#VALUE!</v>
      </c>
      <c r="Y135" t="e">
        <f ca="1">IF((A1)=(2),"",IF((131)=(Y4),IF(IF((INDEX(B1:XFD1,((A3)+(1))+(0)))=("store"),(INDEX(B1:XFD1,((A3)+(1))+(1)))=("Y"),"false"),B3,Y135),Y135))</f>
        <v>#VALUE!</v>
      </c>
      <c r="Z135" t="e">
        <f ca="1">IF((A1)=(2),"",IF((131)=(Z4),IF(IF((INDEX(B1:XFD1,((A3)+(1))+(0)))=("store"),(INDEX(B1:XFD1,((A3)+(1))+(1)))=("Z"),"false"),B3,Z135),Z135))</f>
        <v>#VALUE!</v>
      </c>
      <c r="AA135" t="e">
        <f ca="1">IF((A1)=(2),"",IF((131)=(AA4),IF(IF((INDEX(B1:XFD1,((A3)+(1))+(0)))=("store"),(INDEX(B1:XFD1,((A3)+(1))+(1)))=("AA"),"false"),B3,AA135),AA135))</f>
        <v>#VALUE!</v>
      </c>
      <c r="AB135" t="e">
        <f ca="1">IF((A1)=(2),"",IF((131)=(AB4),IF(IF((INDEX(B1:XFD1,((A3)+(1))+(0)))=("store"),(INDEX(B1:XFD1,((A3)+(1))+(1)))=("AB"),"false"),B3,AB135),AB135))</f>
        <v>#VALUE!</v>
      </c>
      <c r="AC135" t="e">
        <f ca="1">IF((A1)=(2),"",IF((131)=(AC4),IF(IF((INDEX(B1:XFD1,((A3)+(1))+(0)))=("store"),(INDEX(B1:XFD1,((A3)+(1))+(1)))=("AC"),"false"),B3,AC135),AC135))</f>
        <v>#VALUE!</v>
      </c>
      <c r="AD135" t="e">
        <f ca="1">IF((A1)=(2),"",IF((131)=(AD4),IF(IF((INDEX(B1:XFD1,((A3)+(1))+(0)))=("store"),(INDEX(B1:XFD1,((A3)+(1))+(1)))=("AD"),"false"),B3,AD135),AD135))</f>
        <v>#VALUE!</v>
      </c>
    </row>
    <row r="136" spans="1:30" x14ac:dyDescent="0.25">
      <c r="A136" t="e">
        <f ca="1">IF((A1)=(2),"",IF((132)=(A4),IF(("call")=(INDEX(B1:XFD1,((A3)+(1))+(0))),(B3)*(2),IF(("goto")=(INDEX(B1:XFD1,((A3)+(1))+(0))),(INDEX(B1:XFD1,((A3)+(1))+(1)))*(2),IF(("gotoiftrue")=(INDEX(B1:XFD1,((A3)+(1))+(0))),IF(B3,(INDEX(B1:XFD1,((A3)+(1))+(1)))*(2),(A136)+(2)),(A136)+(2)))),A136))</f>
        <v>#VALUE!</v>
      </c>
      <c r="B136" t="e">
        <f ca="1">IF((A1)=(2),"",IF((132)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136)+(1)),IF(("add")=(INDEX(B1:XFD1,((A3)+(1))+(0))),(INDEX(B5:B405,(B4)+(1)))+(B136),IF(("equals")=(INDEX(B1:XFD1,((A3)+(1))+(0))),(INDEX(B5:B405,(B4)+(1)))=(B136),IF(("leq")=(INDEX(B1:XFD1,((A3)+(1))+(0))),(INDEX(B5:B405,(B4)+(1)))&lt;=(B136),IF(("greater")=(INDEX(B1:XFD1,((A3)+(1))+(0))),(INDEX(B5:B405,(B4)+(1)))&gt;(B136),IF(("mod")=(INDEX(B1:XFD1,((A3)+(1))+(0))),MOD(INDEX(B5:B405,(B4)+(1)),B136),B136))))))))),B136))</f>
        <v>#VALUE!</v>
      </c>
      <c r="C136" t="e">
        <f ca="1">IF((A1)=(2),1,IF(AND((INDEX(B1:XFD1,((A3)+(1))+(0)))=("writeheap"),(INDEX(B5:B405,(B4)+(1)))=(131)),INDEX(B5:B405,(B4)+(2)),IF((A1)=(2),"",IF((132)=(C4),C136,C136))))</f>
        <v>#VALUE!</v>
      </c>
      <c r="F136" t="e">
        <f ca="1">IF((A1)=(2),"",IF((132)=(F4),IF(IF((INDEX(B1:XFD1,((A3)+(1))+(0)))=("store"),(INDEX(B1:XFD1,((A3)+(1))+(1)))=("F"),"false"),B3,F136),F136))</f>
        <v>#VALUE!</v>
      </c>
      <c r="G136" t="e">
        <f ca="1">IF((A1)=(2),"",IF((132)=(G4),IF(IF((INDEX(B1:XFD1,((A3)+(1))+(0)))=("store"),(INDEX(B1:XFD1,((A3)+(1))+(1)))=("G"),"false"),B3,G136),G136))</f>
        <v>#VALUE!</v>
      </c>
      <c r="H136" t="e">
        <f ca="1">IF((A1)=(2),"",IF((132)=(H4),IF(IF((INDEX(B1:XFD1,((A3)+(1))+(0)))=("store"),(INDEX(B1:XFD1,((A3)+(1))+(1)))=("H"),"false"),B3,H136),H136))</f>
        <v>#VALUE!</v>
      </c>
      <c r="I136" t="e">
        <f ca="1">IF((A1)=(2),"",IF((132)=(I4),IF(IF((INDEX(B1:XFD1,((A3)+(1))+(0)))=("store"),(INDEX(B1:XFD1,((A3)+(1))+(1)))=("I"),"false"),B3,I136),I136))</f>
        <v>#VALUE!</v>
      </c>
      <c r="J136" t="e">
        <f ca="1">IF((A1)=(2),"",IF((132)=(J4),IF(IF((INDEX(B1:XFD1,((A3)+(1))+(0)))=("store"),(INDEX(B1:XFD1,((A3)+(1))+(1)))=("J"),"false"),B3,J136),J136))</f>
        <v>#VALUE!</v>
      </c>
      <c r="K136" t="e">
        <f ca="1">IF((A1)=(2),"",IF((132)=(K4),IF(IF((INDEX(B1:XFD1,((A3)+(1))+(0)))=("store"),(INDEX(B1:XFD1,((A3)+(1))+(1)))=("K"),"false"),B3,K136),K136))</f>
        <v>#VALUE!</v>
      </c>
      <c r="L136" t="e">
        <f ca="1">IF((A1)=(2),"",IF((132)=(L4),IF(IF((INDEX(B1:XFD1,((A3)+(1))+(0)))=("store"),(INDEX(B1:XFD1,((A3)+(1))+(1)))=("L"),"false"),B3,L136),L136))</f>
        <v>#VALUE!</v>
      </c>
      <c r="M136" t="e">
        <f ca="1">IF((A1)=(2),"",IF((132)=(M4),IF(IF((INDEX(B1:XFD1,((A3)+(1))+(0)))=("store"),(INDEX(B1:XFD1,((A3)+(1))+(1)))=("M"),"false"),B3,M136),M136))</f>
        <v>#VALUE!</v>
      </c>
      <c r="N136" t="e">
        <f ca="1">IF((A1)=(2),"",IF((132)=(N4),IF(IF((INDEX(B1:XFD1,((A3)+(1))+(0)))=("store"),(INDEX(B1:XFD1,((A3)+(1))+(1)))=("N"),"false"),B3,N136),N136))</f>
        <v>#VALUE!</v>
      </c>
      <c r="O136" t="e">
        <f ca="1">IF((A1)=(2),"",IF((132)=(O4),IF(IF((INDEX(B1:XFD1,((A3)+(1))+(0)))=("store"),(INDEX(B1:XFD1,((A3)+(1))+(1)))=("O"),"false"),B3,O136),O136))</f>
        <v>#VALUE!</v>
      </c>
      <c r="P136" t="e">
        <f ca="1">IF((A1)=(2),"",IF((132)=(P4),IF(IF((INDEX(B1:XFD1,((A3)+(1))+(0)))=("store"),(INDEX(B1:XFD1,((A3)+(1))+(1)))=("P"),"false"),B3,P136),P136))</f>
        <v>#VALUE!</v>
      </c>
      <c r="Q136" t="e">
        <f ca="1">IF((A1)=(2),"",IF((132)=(Q4),IF(IF((INDEX(B1:XFD1,((A3)+(1))+(0)))=("store"),(INDEX(B1:XFD1,((A3)+(1))+(1)))=("Q"),"false"),B3,Q136),Q136))</f>
        <v>#VALUE!</v>
      </c>
      <c r="R136" t="e">
        <f ca="1">IF((A1)=(2),"",IF((132)=(R4),IF(IF((INDEX(B1:XFD1,((A3)+(1))+(0)))=("store"),(INDEX(B1:XFD1,((A3)+(1))+(1)))=("R"),"false"),B3,R136),R136))</f>
        <v>#VALUE!</v>
      </c>
      <c r="S136" t="e">
        <f ca="1">IF((A1)=(2),"",IF((132)=(S4),IF(IF((INDEX(B1:XFD1,((A3)+(1))+(0)))=("store"),(INDEX(B1:XFD1,((A3)+(1))+(1)))=("S"),"false"),B3,S136),S136))</f>
        <v>#VALUE!</v>
      </c>
      <c r="T136" t="e">
        <f ca="1">IF((A1)=(2),"",IF((132)=(T4),IF(IF((INDEX(B1:XFD1,((A3)+(1))+(0)))=("store"),(INDEX(B1:XFD1,((A3)+(1))+(1)))=("T"),"false"),B3,T136),T136))</f>
        <v>#VALUE!</v>
      </c>
      <c r="U136" t="e">
        <f ca="1">IF((A1)=(2),"",IF((132)=(U4),IF(IF((INDEX(B1:XFD1,((A3)+(1))+(0)))=("store"),(INDEX(B1:XFD1,((A3)+(1))+(1)))=("U"),"false"),B3,U136),U136))</f>
        <v>#VALUE!</v>
      </c>
      <c r="V136" t="e">
        <f ca="1">IF((A1)=(2),"",IF((132)=(V4),IF(IF((INDEX(B1:XFD1,((A3)+(1))+(0)))=("store"),(INDEX(B1:XFD1,((A3)+(1))+(1)))=("V"),"false"),B3,V136),V136))</f>
        <v>#VALUE!</v>
      </c>
      <c r="W136" t="e">
        <f ca="1">IF((A1)=(2),"",IF((132)=(W4),IF(IF((INDEX(B1:XFD1,((A3)+(1))+(0)))=("store"),(INDEX(B1:XFD1,((A3)+(1))+(1)))=("W"),"false"),B3,W136),W136))</f>
        <v>#VALUE!</v>
      </c>
      <c r="X136" t="e">
        <f ca="1">IF((A1)=(2),"",IF((132)=(X4),IF(IF((INDEX(B1:XFD1,((A3)+(1))+(0)))=("store"),(INDEX(B1:XFD1,((A3)+(1))+(1)))=("X"),"false"),B3,X136),X136))</f>
        <v>#VALUE!</v>
      </c>
      <c r="Y136" t="e">
        <f ca="1">IF((A1)=(2),"",IF((132)=(Y4),IF(IF((INDEX(B1:XFD1,((A3)+(1))+(0)))=("store"),(INDEX(B1:XFD1,((A3)+(1))+(1)))=("Y"),"false"),B3,Y136),Y136))</f>
        <v>#VALUE!</v>
      </c>
      <c r="Z136" t="e">
        <f ca="1">IF((A1)=(2),"",IF((132)=(Z4),IF(IF((INDEX(B1:XFD1,((A3)+(1))+(0)))=("store"),(INDEX(B1:XFD1,((A3)+(1))+(1)))=("Z"),"false"),B3,Z136),Z136))</f>
        <v>#VALUE!</v>
      </c>
      <c r="AA136" t="e">
        <f ca="1">IF((A1)=(2),"",IF((132)=(AA4),IF(IF((INDEX(B1:XFD1,((A3)+(1))+(0)))=("store"),(INDEX(B1:XFD1,((A3)+(1))+(1)))=("AA"),"false"),B3,AA136),AA136))</f>
        <v>#VALUE!</v>
      </c>
      <c r="AB136" t="e">
        <f ca="1">IF((A1)=(2),"",IF((132)=(AB4),IF(IF((INDEX(B1:XFD1,((A3)+(1))+(0)))=("store"),(INDEX(B1:XFD1,((A3)+(1))+(1)))=("AB"),"false"),B3,AB136),AB136))</f>
        <v>#VALUE!</v>
      </c>
      <c r="AC136" t="e">
        <f ca="1">IF((A1)=(2),"",IF((132)=(AC4),IF(IF((INDEX(B1:XFD1,((A3)+(1))+(0)))=("store"),(INDEX(B1:XFD1,((A3)+(1))+(1)))=("AC"),"false"),B3,AC136),AC136))</f>
        <v>#VALUE!</v>
      </c>
      <c r="AD136" t="e">
        <f ca="1">IF((A1)=(2),"",IF((132)=(AD4),IF(IF((INDEX(B1:XFD1,((A3)+(1))+(0)))=("store"),(INDEX(B1:XFD1,((A3)+(1))+(1)))=("AD"),"false"),B3,AD136),AD136))</f>
        <v>#VALUE!</v>
      </c>
    </row>
    <row r="137" spans="1:30" x14ac:dyDescent="0.25">
      <c r="A137" t="e">
        <f ca="1">IF((A1)=(2),"",IF((133)=(A4),IF(("call")=(INDEX(B1:XFD1,((A3)+(1))+(0))),(B3)*(2),IF(("goto")=(INDEX(B1:XFD1,((A3)+(1))+(0))),(INDEX(B1:XFD1,((A3)+(1))+(1)))*(2),IF(("gotoiftrue")=(INDEX(B1:XFD1,((A3)+(1))+(0))),IF(B3,(INDEX(B1:XFD1,((A3)+(1))+(1)))*(2),(A137)+(2)),(A137)+(2)))),A137))</f>
        <v>#VALUE!</v>
      </c>
      <c r="B137" t="e">
        <f ca="1">IF((A1)=(2),"",IF((133)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137)+(1)),IF(("add")=(INDEX(B1:XFD1,((A3)+(1))+(0))),(INDEX(B5:B405,(B4)+(1)))+(B137),IF(("equals")=(INDEX(B1:XFD1,((A3)+(1))+(0))),(INDEX(B5:B405,(B4)+(1)))=(B137),IF(("leq")=(INDEX(B1:XFD1,((A3)+(1))+(0))),(INDEX(B5:B405,(B4)+(1)))&lt;=(B137),IF(("greater")=(INDEX(B1:XFD1,((A3)+(1))+(0))),(INDEX(B5:B405,(B4)+(1)))&gt;(B137),IF(("mod")=(INDEX(B1:XFD1,((A3)+(1))+(0))),MOD(INDEX(B5:B405,(B4)+(1)),B137),B137))))))))),B137))</f>
        <v>#VALUE!</v>
      </c>
      <c r="C137" t="e">
        <f ca="1">IF((A1)=(2),1,IF(AND((INDEX(B1:XFD1,((A3)+(1))+(0)))=("writeheap"),(INDEX(B5:B405,(B4)+(1)))=(132)),INDEX(B5:B405,(B4)+(2)),IF((A1)=(2),"",IF((133)=(C4),C137,C137))))</f>
        <v>#VALUE!</v>
      </c>
      <c r="F137" t="e">
        <f ca="1">IF((A1)=(2),"",IF((133)=(F4),IF(IF((INDEX(B1:XFD1,((A3)+(1))+(0)))=("store"),(INDEX(B1:XFD1,((A3)+(1))+(1)))=("F"),"false"),B3,F137),F137))</f>
        <v>#VALUE!</v>
      </c>
      <c r="G137" t="e">
        <f ca="1">IF((A1)=(2),"",IF((133)=(G4),IF(IF((INDEX(B1:XFD1,((A3)+(1))+(0)))=("store"),(INDEX(B1:XFD1,((A3)+(1))+(1)))=("G"),"false"),B3,G137),G137))</f>
        <v>#VALUE!</v>
      </c>
      <c r="H137" t="e">
        <f ca="1">IF((A1)=(2),"",IF((133)=(H4),IF(IF((INDEX(B1:XFD1,((A3)+(1))+(0)))=("store"),(INDEX(B1:XFD1,((A3)+(1))+(1)))=("H"),"false"),B3,H137),H137))</f>
        <v>#VALUE!</v>
      </c>
      <c r="I137" t="e">
        <f ca="1">IF((A1)=(2),"",IF((133)=(I4),IF(IF((INDEX(B1:XFD1,((A3)+(1))+(0)))=("store"),(INDEX(B1:XFD1,((A3)+(1))+(1)))=("I"),"false"),B3,I137),I137))</f>
        <v>#VALUE!</v>
      </c>
      <c r="J137" t="e">
        <f ca="1">IF((A1)=(2),"",IF((133)=(J4),IF(IF((INDEX(B1:XFD1,((A3)+(1))+(0)))=("store"),(INDEX(B1:XFD1,((A3)+(1))+(1)))=("J"),"false"),B3,J137),J137))</f>
        <v>#VALUE!</v>
      </c>
      <c r="K137" t="e">
        <f ca="1">IF((A1)=(2),"",IF((133)=(K4),IF(IF((INDEX(B1:XFD1,((A3)+(1))+(0)))=("store"),(INDEX(B1:XFD1,((A3)+(1))+(1)))=("K"),"false"),B3,K137),K137))</f>
        <v>#VALUE!</v>
      </c>
      <c r="L137" t="e">
        <f ca="1">IF((A1)=(2),"",IF((133)=(L4),IF(IF((INDEX(B1:XFD1,((A3)+(1))+(0)))=("store"),(INDEX(B1:XFD1,((A3)+(1))+(1)))=("L"),"false"),B3,L137),L137))</f>
        <v>#VALUE!</v>
      </c>
      <c r="M137" t="e">
        <f ca="1">IF((A1)=(2),"",IF((133)=(M4),IF(IF((INDEX(B1:XFD1,((A3)+(1))+(0)))=("store"),(INDEX(B1:XFD1,((A3)+(1))+(1)))=("M"),"false"),B3,M137),M137))</f>
        <v>#VALUE!</v>
      </c>
      <c r="N137" t="e">
        <f ca="1">IF((A1)=(2),"",IF((133)=(N4),IF(IF((INDEX(B1:XFD1,((A3)+(1))+(0)))=("store"),(INDEX(B1:XFD1,((A3)+(1))+(1)))=("N"),"false"),B3,N137),N137))</f>
        <v>#VALUE!</v>
      </c>
      <c r="O137" t="e">
        <f ca="1">IF((A1)=(2),"",IF((133)=(O4),IF(IF((INDEX(B1:XFD1,((A3)+(1))+(0)))=("store"),(INDEX(B1:XFD1,((A3)+(1))+(1)))=("O"),"false"),B3,O137),O137))</f>
        <v>#VALUE!</v>
      </c>
      <c r="P137" t="e">
        <f ca="1">IF((A1)=(2),"",IF((133)=(P4),IF(IF((INDEX(B1:XFD1,((A3)+(1))+(0)))=("store"),(INDEX(B1:XFD1,((A3)+(1))+(1)))=("P"),"false"),B3,P137),P137))</f>
        <v>#VALUE!</v>
      </c>
      <c r="Q137" t="e">
        <f ca="1">IF((A1)=(2),"",IF((133)=(Q4),IF(IF((INDEX(B1:XFD1,((A3)+(1))+(0)))=("store"),(INDEX(B1:XFD1,((A3)+(1))+(1)))=("Q"),"false"),B3,Q137),Q137))</f>
        <v>#VALUE!</v>
      </c>
      <c r="R137" t="e">
        <f ca="1">IF((A1)=(2),"",IF((133)=(R4),IF(IF((INDEX(B1:XFD1,((A3)+(1))+(0)))=("store"),(INDEX(B1:XFD1,((A3)+(1))+(1)))=("R"),"false"),B3,R137),R137))</f>
        <v>#VALUE!</v>
      </c>
      <c r="S137" t="e">
        <f ca="1">IF((A1)=(2),"",IF((133)=(S4),IF(IF((INDEX(B1:XFD1,((A3)+(1))+(0)))=("store"),(INDEX(B1:XFD1,((A3)+(1))+(1)))=("S"),"false"),B3,S137),S137))</f>
        <v>#VALUE!</v>
      </c>
      <c r="T137" t="e">
        <f ca="1">IF((A1)=(2),"",IF((133)=(T4),IF(IF((INDEX(B1:XFD1,((A3)+(1))+(0)))=("store"),(INDEX(B1:XFD1,((A3)+(1))+(1)))=("T"),"false"),B3,T137),T137))</f>
        <v>#VALUE!</v>
      </c>
      <c r="U137" t="e">
        <f ca="1">IF((A1)=(2),"",IF((133)=(U4),IF(IF((INDEX(B1:XFD1,((A3)+(1))+(0)))=("store"),(INDEX(B1:XFD1,((A3)+(1))+(1)))=("U"),"false"),B3,U137),U137))</f>
        <v>#VALUE!</v>
      </c>
      <c r="V137" t="e">
        <f ca="1">IF((A1)=(2),"",IF((133)=(V4),IF(IF((INDEX(B1:XFD1,((A3)+(1))+(0)))=("store"),(INDEX(B1:XFD1,((A3)+(1))+(1)))=("V"),"false"),B3,V137),V137))</f>
        <v>#VALUE!</v>
      </c>
      <c r="W137" t="e">
        <f ca="1">IF((A1)=(2),"",IF((133)=(W4),IF(IF((INDEX(B1:XFD1,((A3)+(1))+(0)))=("store"),(INDEX(B1:XFD1,((A3)+(1))+(1)))=("W"),"false"),B3,W137),W137))</f>
        <v>#VALUE!</v>
      </c>
      <c r="X137" t="e">
        <f ca="1">IF((A1)=(2),"",IF((133)=(X4),IF(IF((INDEX(B1:XFD1,((A3)+(1))+(0)))=("store"),(INDEX(B1:XFD1,((A3)+(1))+(1)))=("X"),"false"),B3,X137),X137))</f>
        <v>#VALUE!</v>
      </c>
      <c r="Y137" t="e">
        <f ca="1">IF((A1)=(2),"",IF((133)=(Y4),IF(IF((INDEX(B1:XFD1,((A3)+(1))+(0)))=("store"),(INDEX(B1:XFD1,((A3)+(1))+(1)))=("Y"),"false"),B3,Y137),Y137))</f>
        <v>#VALUE!</v>
      </c>
      <c r="Z137" t="e">
        <f ca="1">IF((A1)=(2),"",IF((133)=(Z4),IF(IF((INDEX(B1:XFD1,((A3)+(1))+(0)))=("store"),(INDEX(B1:XFD1,((A3)+(1))+(1)))=("Z"),"false"),B3,Z137),Z137))</f>
        <v>#VALUE!</v>
      </c>
      <c r="AA137" t="e">
        <f ca="1">IF((A1)=(2),"",IF((133)=(AA4),IF(IF((INDEX(B1:XFD1,((A3)+(1))+(0)))=("store"),(INDEX(B1:XFD1,((A3)+(1))+(1)))=("AA"),"false"),B3,AA137),AA137))</f>
        <v>#VALUE!</v>
      </c>
      <c r="AB137" t="e">
        <f ca="1">IF((A1)=(2),"",IF((133)=(AB4),IF(IF((INDEX(B1:XFD1,((A3)+(1))+(0)))=("store"),(INDEX(B1:XFD1,((A3)+(1))+(1)))=("AB"),"false"),B3,AB137),AB137))</f>
        <v>#VALUE!</v>
      </c>
      <c r="AC137" t="e">
        <f ca="1">IF((A1)=(2),"",IF((133)=(AC4),IF(IF((INDEX(B1:XFD1,((A3)+(1))+(0)))=("store"),(INDEX(B1:XFD1,((A3)+(1))+(1)))=("AC"),"false"),B3,AC137),AC137))</f>
        <v>#VALUE!</v>
      </c>
      <c r="AD137" t="e">
        <f ca="1">IF((A1)=(2),"",IF((133)=(AD4),IF(IF((INDEX(B1:XFD1,((A3)+(1))+(0)))=("store"),(INDEX(B1:XFD1,((A3)+(1))+(1)))=("AD"),"false"),B3,AD137),AD137))</f>
        <v>#VALUE!</v>
      </c>
    </row>
    <row r="138" spans="1:30" x14ac:dyDescent="0.25">
      <c r="A138" t="e">
        <f ca="1">IF((A1)=(2),"",IF((134)=(A4),IF(("call")=(INDEX(B1:XFD1,((A3)+(1))+(0))),(B3)*(2),IF(("goto")=(INDEX(B1:XFD1,((A3)+(1))+(0))),(INDEX(B1:XFD1,((A3)+(1))+(1)))*(2),IF(("gotoiftrue")=(INDEX(B1:XFD1,((A3)+(1))+(0))),IF(B3,(INDEX(B1:XFD1,((A3)+(1))+(1)))*(2),(A138)+(2)),(A138)+(2)))),A138))</f>
        <v>#VALUE!</v>
      </c>
      <c r="B138" t="e">
        <f ca="1">IF((A1)=(2),"",IF((134)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138)+(1)),IF(("add")=(INDEX(B1:XFD1,((A3)+(1))+(0))),(INDEX(B5:B405,(B4)+(1)))+(B138),IF(("equals")=(INDEX(B1:XFD1,((A3)+(1))+(0))),(INDEX(B5:B405,(B4)+(1)))=(B138),IF(("leq")=(INDEX(B1:XFD1,((A3)+(1))+(0))),(INDEX(B5:B405,(B4)+(1)))&lt;=(B138),IF(("greater")=(INDEX(B1:XFD1,((A3)+(1))+(0))),(INDEX(B5:B405,(B4)+(1)))&gt;(B138),IF(("mod")=(INDEX(B1:XFD1,((A3)+(1))+(0))),MOD(INDEX(B5:B405,(B4)+(1)),B138),B138))))))))),B138))</f>
        <v>#VALUE!</v>
      </c>
      <c r="C138" t="e">
        <f ca="1">IF((A1)=(2),1,IF(AND((INDEX(B1:XFD1,((A3)+(1))+(0)))=("writeheap"),(INDEX(B5:B405,(B4)+(1)))=(133)),INDEX(B5:B405,(B4)+(2)),IF((A1)=(2),"",IF((134)=(C4),C138,C138))))</f>
        <v>#VALUE!</v>
      </c>
      <c r="F138" t="e">
        <f ca="1">IF((A1)=(2),"",IF((134)=(F4),IF(IF((INDEX(B1:XFD1,((A3)+(1))+(0)))=("store"),(INDEX(B1:XFD1,((A3)+(1))+(1)))=("F"),"false"),B3,F138),F138))</f>
        <v>#VALUE!</v>
      </c>
      <c r="G138" t="e">
        <f ca="1">IF((A1)=(2),"",IF((134)=(G4),IF(IF((INDEX(B1:XFD1,((A3)+(1))+(0)))=("store"),(INDEX(B1:XFD1,((A3)+(1))+(1)))=("G"),"false"),B3,G138),G138))</f>
        <v>#VALUE!</v>
      </c>
      <c r="H138" t="e">
        <f ca="1">IF((A1)=(2),"",IF((134)=(H4),IF(IF((INDEX(B1:XFD1,((A3)+(1))+(0)))=("store"),(INDEX(B1:XFD1,((A3)+(1))+(1)))=("H"),"false"),B3,H138),H138))</f>
        <v>#VALUE!</v>
      </c>
      <c r="I138" t="e">
        <f ca="1">IF((A1)=(2),"",IF((134)=(I4),IF(IF((INDEX(B1:XFD1,((A3)+(1))+(0)))=("store"),(INDEX(B1:XFD1,((A3)+(1))+(1)))=("I"),"false"),B3,I138),I138))</f>
        <v>#VALUE!</v>
      </c>
      <c r="J138" t="e">
        <f ca="1">IF((A1)=(2),"",IF((134)=(J4),IF(IF((INDEX(B1:XFD1,((A3)+(1))+(0)))=("store"),(INDEX(B1:XFD1,((A3)+(1))+(1)))=("J"),"false"),B3,J138),J138))</f>
        <v>#VALUE!</v>
      </c>
      <c r="K138" t="e">
        <f ca="1">IF((A1)=(2),"",IF((134)=(K4),IF(IF((INDEX(B1:XFD1,((A3)+(1))+(0)))=("store"),(INDEX(B1:XFD1,((A3)+(1))+(1)))=("K"),"false"),B3,K138),K138))</f>
        <v>#VALUE!</v>
      </c>
      <c r="L138" t="e">
        <f ca="1">IF((A1)=(2),"",IF((134)=(L4),IF(IF((INDEX(B1:XFD1,((A3)+(1))+(0)))=("store"),(INDEX(B1:XFD1,((A3)+(1))+(1)))=("L"),"false"),B3,L138),L138))</f>
        <v>#VALUE!</v>
      </c>
      <c r="M138" t="e">
        <f ca="1">IF((A1)=(2),"",IF((134)=(M4),IF(IF((INDEX(B1:XFD1,((A3)+(1))+(0)))=("store"),(INDEX(B1:XFD1,((A3)+(1))+(1)))=("M"),"false"),B3,M138),M138))</f>
        <v>#VALUE!</v>
      </c>
      <c r="N138" t="e">
        <f ca="1">IF((A1)=(2),"",IF((134)=(N4),IF(IF((INDEX(B1:XFD1,((A3)+(1))+(0)))=("store"),(INDEX(B1:XFD1,((A3)+(1))+(1)))=("N"),"false"),B3,N138),N138))</f>
        <v>#VALUE!</v>
      </c>
      <c r="O138" t="e">
        <f ca="1">IF((A1)=(2),"",IF((134)=(O4),IF(IF((INDEX(B1:XFD1,((A3)+(1))+(0)))=("store"),(INDEX(B1:XFD1,((A3)+(1))+(1)))=("O"),"false"),B3,O138),O138))</f>
        <v>#VALUE!</v>
      </c>
      <c r="P138" t="e">
        <f ca="1">IF((A1)=(2),"",IF((134)=(P4),IF(IF((INDEX(B1:XFD1,((A3)+(1))+(0)))=("store"),(INDEX(B1:XFD1,((A3)+(1))+(1)))=("P"),"false"),B3,P138),P138))</f>
        <v>#VALUE!</v>
      </c>
      <c r="Q138" t="e">
        <f ca="1">IF((A1)=(2),"",IF((134)=(Q4),IF(IF((INDEX(B1:XFD1,((A3)+(1))+(0)))=("store"),(INDEX(B1:XFD1,((A3)+(1))+(1)))=("Q"),"false"),B3,Q138),Q138))</f>
        <v>#VALUE!</v>
      </c>
      <c r="R138" t="e">
        <f ca="1">IF((A1)=(2),"",IF((134)=(R4),IF(IF((INDEX(B1:XFD1,((A3)+(1))+(0)))=("store"),(INDEX(B1:XFD1,((A3)+(1))+(1)))=("R"),"false"),B3,R138),R138))</f>
        <v>#VALUE!</v>
      </c>
      <c r="S138" t="e">
        <f ca="1">IF((A1)=(2),"",IF((134)=(S4),IF(IF((INDEX(B1:XFD1,((A3)+(1))+(0)))=("store"),(INDEX(B1:XFD1,((A3)+(1))+(1)))=("S"),"false"),B3,S138),S138))</f>
        <v>#VALUE!</v>
      </c>
      <c r="T138" t="e">
        <f ca="1">IF((A1)=(2),"",IF((134)=(T4),IF(IF((INDEX(B1:XFD1,((A3)+(1))+(0)))=("store"),(INDEX(B1:XFD1,((A3)+(1))+(1)))=("T"),"false"),B3,T138),T138))</f>
        <v>#VALUE!</v>
      </c>
      <c r="U138" t="e">
        <f ca="1">IF((A1)=(2),"",IF((134)=(U4),IF(IF((INDEX(B1:XFD1,((A3)+(1))+(0)))=("store"),(INDEX(B1:XFD1,((A3)+(1))+(1)))=("U"),"false"),B3,U138),U138))</f>
        <v>#VALUE!</v>
      </c>
      <c r="V138" t="e">
        <f ca="1">IF((A1)=(2),"",IF((134)=(V4),IF(IF((INDEX(B1:XFD1,((A3)+(1))+(0)))=("store"),(INDEX(B1:XFD1,((A3)+(1))+(1)))=("V"),"false"),B3,V138),V138))</f>
        <v>#VALUE!</v>
      </c>
      <c r="W138" t="e">
        <f ca="1">IF((A1)=(2),"",IF((134)=(W4),IF(IF((INDEX(B1:XFD1,((A3)+(1))+(0)))=("store"),(INDEX(B1:XFD1,((A3)+(1))+(1)))=("W"),"false"),B3,W138),W138))</f>
        <v>#VALUE!</v>
      </c>
      <c r="X138" t="e">
        <f ca="1">IF((A1)=(2),"",IF((134)=(X4),IF(IF((INDEX(B1:XFD1,((A3)+(1))+(0)))=("store"),(INDEX(B1:XFD1,((A3)+(1))+(1)))=("X"),"false"),B3,X138),X138))</f>
        <v>#VALUE!</v>
      </c>
      <c r="Y138" t="e">
        <f ca="1">IF((A1)=(2),"",IF((134)=(Y4),IF(IF((INDEX(B1:XFD1,((A3)+(1))+(0)))=("store"),(INDEX(B1:XFD1,((A3)+(1))+(1)))=("Y"),"false"),B3,Y138),Y138))</f>
        <v>#VALUE!</v>
      </c>
      <c r="Z138" t="e">
        <f ca="1">IF((A1)=(2),"",IF((134)=(Z4),IF(IF((INDEX(B1:XFD1,((A3)+(1))+(0)))=("store"),(INDEX(B1:XFD1,((A3)+(1))+(1)))=("Z"),"false"),B3,Z138),Z138))</f>
        <v>#VALUE!</v>
      </c>
      <c r="AA138" t="e">
        <f ca="1">IF((A1)=(2),"",IF((134)=(AA4),IF(IF((INDEX(B1:XFD1,((A3)+(1))+(0)))=("store"),(INDEX(B1:XFD1,((A3)+(1))+(1)))=("AA"),"false"),B3,AA138),AA138))</f>
        <v>#VALUE!</v>
      </c>
      <c r="AB138" t="e">
        <f ca="1">IF((A1)=(2),"",IF((134)=(AB4),IF(IF((INDEX(B1:XFD1,((A3)+(1))+(0)))=("store"),(INDEX(B1:XFD1,((A3)+(1))+(1)))=("AB"),"false"),B3,AB138),AB138))</f>
        <v>#VALUE!</v>
      </c>
      <c r="AC138" t="e">
        <f ca="1">IF((A1)=(2),"",IF((134)=(AC4),IF(IF((INDEX(B1:XFD1,((A3)+(1))+(0)))=("store"),(INDEX(B1:XFD1,((A3)+(1))+(1)))=("AC"),"false"),B3,AC138),AC138))</f>
        <v>#VALUE!</v>
      </c>
      <c r="AD138" t="e">
        <f ca="1">IF((A1)=(2),"",IF((134)=(AD4),IF(IF((INDEX(B1:XFD1,((A3)+(1))+(0)))=("store"),(INDEX(B1:XFD1,((A3)+(1))+(1)))=("AD"),"false"),B3,AD138),AD138))</f>
        <v>#VALUE!</v>
      </c>
    </row>
    <row r="139" spans="1:30" x14ac:dyDescent="0.25">
      <c r="A139" t="e">
        <f ca="1">IF((A1)=(2),"",IF((135)=(A4),IF(("call")=(INDEX(B1:XFD1,((A3)+(1))+(0))),(B3)*(2),IF(("goto")=(INDEX(B1:XFD1,((A3)+(1))+(0))),(INDEX(B1:XFD1,((A3)+(1))+(1)))*(2),IF(("gotoiftrue")=(INDEX(B1:XFD1,((A3)+(1))+(0))),IF(B3,(INDEX(B1:XFD1,((A3)+(1))+(1)))*(2),(A139)+(2)),(A139)+(2)))),A139))</f>
        <v>#VALUE!</v>
      </c>
      <c r="B139" t="e">
        <f ca="1">IF((A1)=(2),"",IF((135)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139)+(1)),IF(("add")=(INDEX(B1:XFD1,((A3)+(1))+(0))),(INDEX(B5:B405,(B4)+(1)))+(B139),IF(("equals")=(INDEX(B1:XFD1,((A3)+(1))+(0))),(INDEX(B5:B405,(B4)+(1)))=(B139),IF(("leq")=(INDEX(B1:XFD1,((A3)+(1))+(0))),(INDEX(B5:B405,(B4)+(1)))&lt;=(B139),IF(("greater")=(INDEX(B1:XFD1,((A3)+(1))+(0))),(INDEX(B5:B405,(B4)+(1)))&gt;(B139),IF(("mod")=(INDEX(B1:XFD1,((A3)+(1))+(0))),MOD(INDEX(B5:B405,(B4)+(1)),B139),B139))))))))),B139))</f>
        <v>#VALUE!</v>
      </c>
      <c r="C139" t="e">
        <f ca="1">IF((A1)=(2),1,IF(AND((INDEX(B1:XFD1,((A3)+(1))+(0)))=("writeheap"),(INDEX(B5:B405,(B4)+(1)))=(134)),INDEX(B5:B405,(B4)+(2)),IF((A1)=(2),"",IF((135)=(C4),C139,C139))))</f>
        <v>#VALUE!</v>
      </c>
      <c r="F139" t="e">
        <f ca="1">IF((A1)=(2),"",IF((135)=(F4),IF(IF((INDEX(B1:XFD1,((A3)+(1))+(0)))=("store"),(INDEX(B1:XFD1,((A3)+(1))+(1)))=("F"),"false"),B3,F139),F139))</f>
        <v>#VALUE!</v>
      </c>
      <c r="G139" t="e">
        <f ca="1">IF((A1)=(2),"",IF((135)=(G4),IF(IF((INDEX(B1:XFD1,((A3)+(1))+(0)))=("store"),(INDEX(B1:XFD1,((A3)+(1))+(1)))=("G"),"false"),B3,G139),G139))</f>
        <v>#VALUE!</v>
      </c>
      <c r="H139" t="e">
        <f ca="1">IF((A1)=(2),"",IF((135)=(H4),IF(IF((INDEX(B1:XFD1,((A3)+(1))+(0)))=("store"),(INDEX(B1:XFD1,((A3)+(1))+(1)))=("H"),"false"),B3,H139),H139))</f>
        <v>#VALUE!</v>
      </c>
      <c r="I139" t="e">
        <f ca="1">IF((A1)=(2),"",IF((135)=(I4),IF(IF((INDEX(B1:XFD1,((A3)+(1))+(0)))=("store"),(INDEX(B1:XFD1,((A3)+(1))+(1)))=("I"),"false"),B3,I139),I139))</f>
        <v>#VALUE!</v>
      </c>
      <c r="J139" t="e">
        <f ca="1">IF((A1)=(2),"",IF((135)=(J4),IF(IF((INDEX(B1:XFD1,((A3)+(1))+(0)))=("store"),(INDEX(B1:XFD1,((A3)+(1))+(1)))=("J"),"false"),B3,J139),J139))</f>
        <v>#VALUE!</v>
      </c>
      <c r="K139" t="e">
        <f ca="1">IF((A1)=(2),"",IF((135)=(K4),IF(IF((INDEX(B1:XFD1,((A3)+(1))+(0)))=("store"),(INDEX(B1:XFD1,((A3)+(1))+(1)))=("K"),"false"),B3,K139),K139))</f>
        <v>#VALUE!</v>
      </c>
      <c r="L139" t="e">
        <f ca="1">IF((A1)=(2),"",IF((135)=(L4),IF(IF((INDEX(B1:XFD1,((A3)+(1))+(0)))=("store"),(INDEX(B1:XFD1,((A3)+(1))+(1)))=("L"),"false"),B3,L139),L139))</f>
        <v>#VALUE!</v>
      </c>
      <c r="M139" t="e">
        <f ca="1">IF((A1)=(2),"",IF((135)=(M4),IF(IF((INDEX(B1:XFD1,((A3)+(1))+(0)))=("store"),(INDEX(B1:XFD1,((A3)+(1))+(1)))=("M"),"false"),B3,M139),M139))</f>
        <v>#VALUE!</v>
      </c>
      <c r="N139" t="e">
        <f ca="1">IF((A1)=(2),"",IF((135)=(N4),IF(IF((INDEX(B1:XFD1,((A3)+(1))+(0)))=("store"),(INDEX(B1:XFD1,((A3)+(1))+(1)))=("N"),"false"),B3,N139),N139))</f>
        <v>#VALUE!</v>
      </c>
      <c r="O139" t="e">
        <f ca="1">IF((A1)=(2),"",IF((135)=(O4),IF(IF((INDEX(B1:XFD1,((A3)+(1))+(0)))=("store"),(INDEX(B1:XFD1,((A3)+(1))+(1)))=("O"),"false"),B3,O139),O139))</f>
        <v>#VALUE!</v>
      </c>
      <c r="P139" t="e">
        <f ca="1">IF((A1)=(2),"",IF((135)=(P4),IF(IF((INDEX(B1:XFD1,((A3)+(1))+(0)))=("store"),(INDEX(B1:XFD1,((A3)+(1))+(1)))=("P"),"false"),B3,P139),P139))</f>
        <v>#VALUE!</v>
      </c>
      <c r="Q139" t="e">
        <f ca="1">IF((A1)=(2),"",IF((135)=(Q4),IF(IF((INDEX(B1:XFD1,((A3)+(1))+(0)))=("store"),(INDEX(B1:XFD1,((A3)+(1))+(1)))=("Q"),"false"),B3,Q139),Q139))</f>
        <v>#VALUE!</v>
      </c>
      <c r="R139" t="e">
        <f ca="1">IF((A1)=(2),"",IF((135)=(R4),IF(IF((INDEX(B1:XFD1,((A3)+(1))+(0)))=("store"),(INDEX(B1:XFD1,((A3)+(1))+(1)))=("R"),"false"),B3,R139),R139))</f>
        <v>#VALUE!</v>
      </c>
      <c r="S139" t="e">
        <f ca="1">IF((A1)=(2),"",IF((135)=(S4),IF(IF((INDEX(B1:XFD1,((A3)+(1))+(0)))=("store"),(INDEX(B1:XFD1,((A3)+(1))+(1)))=("S"),"false"),B3,S139),S139))</f>
        <v>#VALUE!</v>
      </c>
      <c r="T139" t="e">
        <f ca="1">IF((A1)=(2),"",IF((135)=(T4),IF(IF((INDEX(B1:XFD1,((A3)+(1))+(0)))=("store"),(INDEX(B1:XFD1,((A3)+(1))+(1)))=("T"),"false"),B3,T139),T139))</f>
        <v>#VALUE!</v>
      </c>
      <c r="U139" t="e">
        <f ca="1">IF((A1)=(2),"",IF((135)=(U4),IF(IF((INDEX(B1:XFD1,((A3)+(1))+(0)))=("store"),(INDEX(B1:XFD1,((A3)+(1))+(1)))=("U"),"false"),B3,U139),U139))</f>
        <v>#VALUE!</v>
      </c>
      <c r="V139" t="e">
        <f ca="1">IF((A1)=(2),"",IF((135)=(V4),IF(IF((INDEX(B1:XFD1,((A3)+(1))+(0)))=("store"),(INDEX(B1:XFD1,((A3)+(1))+(1)))=("V"),"false"),B3,V139),V139))</f>
        <v>#VALUE!</v>
      </c>
      <c r="W139" t="e">
        <f ca="1">IF((A1)=(2),"",IF((135)=(W4),IF(IF((INDEX(B1:XFD1,((A3)+(1))+(0)))=("store"),(INDEX(B1:XFD1,((A3)+(1))+(1)))=("W"),"false"),B3,W139),W139))</f>
        <v>#VALUE!</v>
      </c>
      <c r="X139" t="e">
        <f ca="1">IF((A1)=(2),"",IF((135)=(X4),IF(IF((INDEX(B1:XFD1,((A3)+(1))+(0)))=("store"),(INDEX(B1:XFD1,((A3)+(1))+(1)))=("X"),"false"),B3,X139),X139))</f>
        <v>#VALUE!</v>
      </c>
      <c r="Y139" t="e">
        <f ca="1">IF((A1)=(2),"",IF((135)=(Y4),IF(IF((INDEX(B1:XFD1,((A3)+(1))+(0)))=("store"),(INDEX(B1:XFD1,((A3)+(1))+(1)))=("Y"),"false"),B3,Y139),Y139))</f>
        <v>#VALUE!</v>
      </c>
      <c r="Z139" t="e">
        <f ca="1">IF((A1)=(2),"",IF((135)=(Z4),IF(IF((INDEX(B1:XFD1,((A3)+(1))+(0)))=("store"),(INDEX(B1:XFD1,((A3)+(1))+(1)))=("Z"),"false"),B3,Z139),Z139))</f>
        <v>#VALUE!</v>
      </c>
      <c r="AA139" t="e">
        <f ca="1">IF((A1)=(2),"",IF((135)=(AA4),IF(IF((INDEX(B1:XFD1,((A3)+(1))+(0)))=("store"),(INDEX(B1:XFD1,((A3)+(1))+(1)))=("AA"),"false"),B3,AA139),AA139))</f>
        <v>#VALUE!</v>
      </c>
      <c r="AB139" t="e">
        <f ca="1">IF((A1)=(2),"",IF((135)=(AB4),IF(IF((INDEX(B1:XFD1,((A3)+(1))+(0)))=("store"),(INDEX(B1:XFD1,((A3)+(1))+(1)))=("AB"),"false"),B3,AB139),AB139))</f>
        <v>#VALUE!</v>
      </c>
      <c r="AC139" t="e">
        <f ca="1">IF((A1)=(2),"",IF((135)=(AC4),IF(IF((INDEX(B1:XFD1,((A3)+(1))+(0)))=("store"),(INDEX(B1:XFD1,((A3)+(1))+(1)))=("AC"),"false"),B3,AC139),AC139))</f>
        <v>#VALUE!</v>
      </c>
      <c r="AD139" t="e">
        <f ca="1">IF((A1)=(2),"",IF((135)=(AD4),IF(IF((INDEX(B1:XFD1,((A3)+(1))+(0)))=("store"),(INDEX(B1:XFD1,((A3)+(1))+(1)))=("AD"),"false"),B3,AD139),AD139))</f>
        <v>#VALUE!</v>
      </c>
    </row>
    <row r="140" spans="1:30" x14ac:dyDescent="0.25">
      <c r="A140" t="e">
        <f ca="1">IF((A1)=(2),"",IF((136)=(A4),IF(("call")=(INDEX(B1:XFD1,((A3)+(1))+(0))),(B3)*(2),IF(("goto")=(INDEX(B1:XFD1,((A3)+(1))+(0))),(INDEX(B1:XFD1,((A3)+(1))+(1)))*(2),IF(("gotoiftrue")=(INDEX(B1:XFD1,((A3)+(1))+(0))),IF(B3,(INDEX(B1:XFD1,((A3)+(1))+(1)))*(2),(A140)+(2)),(A140)+(2)))),A140))</f>
        <v>#VALUE!</v>
      </c>
      <c r="B140" t="e">
        <f ca="1">IF((A1)=(2),"",IF((136)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140)+(1)),IF(("add")=(INDEX(B1:XFD1,((A3)+(1))+(0))),(INDEX(B5:B405,(B4)+(1)))+(B140),IF(("equals")=(INDEX(B1:XFD1,((A3)+(1))+(0))),(INDEX(B5:B405,(B4)+(1)))=(B140),IF(("leq")=(INDEX(B1:XFD1,((A3)+(1))+(0))),(INDEX(B5:B405,(B4)+(1)))&lt;=(B140),IF(("greater")=(INDEX(B1:XFD1,((A3)+(1))+(0))),(INDEX(B5:B405,(B4)+(1)))&gt;(B140),IF(("mod")=(INDEX(B1:XFD1,((A3)+(1))+(0))),MOD(INDEX(B5:B405,(B4)+(1)),B140),B140))))))))),B140))</f>
        <v>#VALUE!</v>
      </c>
      <c r="C140" t="e">
        <f ca="1">IF((A1)=(2),1,IF(AND((INDEX(B1:XFD1,((A3)+(1))+(0)))=("writeheap"),(INDEX(B5:B405,(B4)+(1)))=(135)),INDEX(B5:B405,(B4)+(2)),IF((A1)=(2),"",IF((136)=(C4),C140,C140))))</f>
        <v>#VALUE!</v>
      </c>
      <c r="F140" t="e">
        <f ca="1">IF((A1)=(2),"",IF((136)=(F4),IF(IF((INDEX(B1:XFD1,((A3)+(1))+(0)))=("store"),(INDEX(B1:XFD1,((A3)+(1))+(1)))=("F"),"false"),B3,F140),F140))</f>
        <v>#VALUE!</v>
      </c>
      <c r="G140" t="e">
        <f ca="1">IF((A1)=(2),"",IF((136)=(G4),IF(IF((INDEX(B1:XFD1,((A3)+(1))+(0)))=("store"),(INDEX(B1:XFD1,((A3)+(1))+(1)))=("G"),"false"),B3,G140),G140))</f>
        <v>#VALUE!</v>
      </c>
      <c r="H140" t="e">
        <f ca="1">IF((A1)=(2),"",IF((136)=(H4),IF(IF((INDEX(B1:XFD1,((A3)+(1))+(0)))=("store"),(INDEX(B1:XFD1,((A3)+(1))+(1)))=("H"),"false"),B3,H140),H140))</f>
        <v>#VALUE!</v>
      </c>
      <c r="I140" t="e">
        <f ca="1">IF((A1)=(2),"",IF((136)=(I4),IF(IF((INDEX(B1:XFD1,((A3)+(1))+(0)))=("store"),(INDEX(B1:XFD1,((A3)+(1))+(1)))=("I"),"false"),B3,I140),I140))</f>
        <v>#VALUE!</v>
      </c>
      <c r="J140" t="e">
        <f ca="1">IF((A1)=(2),"",IF((136)=(J4),IF(IF((INDEX(B1:XFD1,((A3)+(1))+(0)))=("store"),(INDEX(B1:XFD1,((A3)+(1))+(1)))=("J"),"false"),B3,J140),J140))</f>
        <v>#VALUE!</v>
      </c>
      <c r="K140" t="e">
        <f ca="1">IF((A1)=(2),"",IF((136)=(K4),IF(IF((INDEX(B1:XFD1,((A3)+(1))+(0)))=("store"),(INDEX(B1:XFD1,((A3)+(1))+(1)))=("K"),"false"),B3,K140),K140))</f>
        <v>#VALUE!</v>
      </c>
      <c r="L140" t="e">
        <f ca="1">IF((A1)=(2),"",IF((136)=(L4),IF(IF((INDEX(B1:XFD1,((A3)+(1))+(0)))=("store"),(INDEX(B1:XFD1,((A3)+(1))+(1)))=("L"),"false"),B3,L140),L140))</f>
        <v>#VALUE!</v>
      </c>
      <c r="M140" t="e">
        <f ca="1">IF((A1)=(2),"",IF((136)=(M4),IF(IF((INDEX(B1:XFD1,((A3)+(1))+(0)))=("store"),(INDEX(B1:XFD1,((A3)+(1))+(1)))=("M"),"false"),B3,M140),M140))</f>
        <v>#VALUE!</v>
      </c>
      <c r="N140" t="e">
        <f ca="1">IF((A1)=(2),"",IF((136)=(N4),IF(IF((INDEX(B1:XFD1,((A3)+(1))+(0)))=("store"),(INDEX(B1:XFD1,((A3)+(1))+(1)))=("N"),"false"),B3,N140),N140))</f>
        <v>#VALUE!</v>
      </c>
      <c r="O140" t="e">
        <f ca="1">IF((A1)=(2),"",IF((136)=(O4),IF(IF((INDEX(B1:XFD1,((A3)+(1))+(0)))=("store"),(INDEX(B1:XFD1,((A3)+(1))+(1)))=("O"),"false"),B3,O140),O140))</f>
        <v>#VALUE!</v>
      </c>
      <c r="P140" t="e">
        <f ca="1">IF((A1)=(2),"",IF((136)=(P4),IF(IF((INDEX(B1:XFD1,((A3)+(1))+(0)))=("store"),(INDEX(B1:XFD1,((A3)+(1))+(1)))=("P"),"false"),B3,P140),P140))</f>
        <v>#VALUE!</v>
      </c>
      <c r="Q140" t="e">
        <f ca="1">IF((A1)=(2),"",IF((136)=(Q4),IF(IF((INDEX(B1:XFD1,((A3)+(1))+(0)))=("store"),(INDEX(B1:XFD1,((A3)+(1))+(1)))=("Q"),"false"),B3,Q140),Q140))</f>
        <v>#VALUE!</v>
      </c>
      <c r="R140" t="e">
        <f ca="1">IF((A1)=(2),"",IF((136)=(R4),IF(IF((INDEX(B1:XFD1,((A3)+(1))+(0)))=("store"),(INDEX(B1:XFD1,((A3)+(1))+(1)))=("R"),"false"),B3,R140),R140))</f>
        <v>#VALUE!</v>
      </c>
      <c r="S140" t="e">
        <f ca="1">IF((A1)=(2),"",IF((136)=(S4),IF(IF((INDEX(B1:XFD1,((A3)+(1))+(0)))=("store"),(INDEX(B1:XFD1,((A3)+(1))+(1)))=("S"),"false"),B3,S140),S140))</f>
        <v>#VALUE!</v>
      </c>
      <c r="T140" t="e">
        <f ca="1">IF((A1)=(2),"",IF((136)=(T4),IF(IF((INDEX(B1:XFD1,((A3)+(1))+(0)))=("store"),(INDEX(B1:XFD1,((A3)+(1))+(1)))=("T"),"false"),B3,T140),T140))</f>
        <v>#VALUE!</v>
      </c>
      <c r="U140" t="e">
        <f ca="1">IF((A1)=(2),"",IF((136)=(U4),IF(IF((INDEX(B1:XFD1,((A3)+(1))+(0)))=("store"),(INDEX(B1:XFD1,((A3)+(1))+(1)))=("U"),"false"),B3,U140),U140))</f>
        <v>#VALUE!</v>
      </c>
      <c r="V140" t="e">
        <f ca="1">IF((A1)=(2),"",IF((136)=(V4),IF(IF((INDEX(B1:XFD1,((A3)+(1))+(0)))=("store"),(INDEX(B1:XFD1,((A3)+(1))+(1)))=("V"),"false"),B3,V140),V140))</f>
        <v>#VALUE!</v>
      </c>
      <c r="W140" t="e">
        <f ca="1">IF((A1)=(2),"",IF((136)=(W4),IF(IF((INDEX(B1:XFD1,((A3)+(1))+(0)))=("store"),(INDEX(B1:XFD1,((A3)+(1))+(1)))=("W"),"false"),B3,W140),W140))</f>
        <v>#VALUE!</v>
      </c>
      <c r="X140" t="e">
        <f ca="1">IF((A1)=(2),"",IF((136)=(X4),IF(IF((INDEX(B1:XFD1,((A3)+(1))+(0)))=("store"),(INDEX(B1:XFD1,((A3)+(1))+(1)))=("X"),"false"),B3,X140),X140))</f>
        <v>#VALUE!</v>
      </c>
      <c r="Y140" t="e">
        <f ca="1">IF((A1)=(2),"",IF((136)=(Y4),IF(IF((INDEX(B1:XFD1,((A3)+(1))+(0)))=("store"),(INDEX(B1:XFD1,((A3)+(1))+(1)))=("Y"),"false"),B3,Y140),Y140))</f>
        <v>#VALUE!</v>
      </c>
      <c r="Z140" t="e">
        <f ca="1">IF((A1)=(2),"",IF((136)=(Z4),IF(IF((INDEX(B1:XFD1,((A3)+(1))+(0)))=("store"),(INDEX(B1:XFD1,((A3)+(1))+(1)))=("Z"),"false"),B3,Z140),Z140))</f>
        <v>#VALUE!</v>
      </c>
      <c r="AA140" t="e">
        <f ca="1">IF((A1)=(2),"",IF((136)=(AA4),IF(IF((INDEX(B1:XFD1,((A3)+(1))+(0)))=("store"),(INDEX(B1:XFD1,((A3)+(1))+(1)))=("AA"),"false"),B3,AA140),AA140))</f>
        <v>#VALUE!</v>
      </c>
      <c r="AB140" t="e">
        <f ca="1">IF((A1)=(2),"",IF((136)=(AB4),IF(IF((INDEX(B1:XFD1,((A3)+(1))+(0)))=("store"),(INDEX(B1:XFD1,((A3)+(1))+(1)))=("AB"),"false"),B3,AB140),AB140))</f>
        <v>#VALUE!</v>
      </c>
      <c r="AC140" t="e">
        <f ca="1">IF((A1)=(2),"",IF((136)=(AC4),IF(IF((INDEX(B1:XFD1,((A3)+(1))+(0)))=("store"),(INDEX(B1:XFD1,((A3)+(1))+(1)))=("AC"),"false"),B3,AC140),AC140))</f>
        <v>#VALUE!</v>
      </c>
      <c r="AD140" t="e">
        <f ca="1">IF((A1)=(2),"",IF((136)=(AD4),IF(IF((INDEX(B1:XFD1,((A3)+(1))+(0)))=("store"),(INDEX(B1:XFD1,((A3)+(1))+(1)))=("AD"),"false"),B3,AD140),AD140))</f>
        <v>#VALUE!</v>
      </c>
    </row>
    <row r="141" spans="1:30" x14ac:dyDescent="0.25">
      <c r="A141" t="e">
        <f ca="1">IF((A1)=(2),"",IF((137)=(A4),IF(("call")=(INDEX(B1:XFD1,((A3)+(1))+(0))),(B3)*(2),IF(("goto")=(INDEX(B1:XFD1,((A3)+(1))+(0))),(INDEX(B1:XFD1,((A3)+(1))+(1)))*(2),IF(("gotoiftrue")=(INDEX(B1:XFD1,((A3)+(1))+(0))),IF(B3,(INDEX(B1:XFD1,((A3)+(1))+(1)))*(2),(A141)+(2)),(A141)+(2)))),A141))</f>
        <v>#VALUE!</v>
      </c>
      <c r="B141" t="e">
        <f ca="1">IF((A1)=(2),"",IF((137)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141)+(1)),IF(("add")=(INDEX(B1:XFD1,((A3)+(1))+(0))),(INDEX(B5:B405,(B4)+(1)))+(B141),IF(("equals")=(INDEX(B1:XFD1,((A3)+(1))+(0))),(INDEX(B5:B405,(B4)+(1)))=(B141),IF(("leq")=(INDEX(B1:XFD1,((A3)+(1))+(0))),(INDEX(B5:B405,(B4)+(1)))&lt;=(B141),IF(("greater")=(INDEX(B1:XFD1,((A3)+(1))+(0))),(INDEX(B5:B405,(B4)+(1)))&gt;(B141),IF(("mod")=(INDEX(B1:XFD1,((A3)+(1))+(0))),MOD(INDEX(B5:B405,(B4)+(1)),B141),B141))))))))),B141))</f>
        <v>#VALUE!</v>
      </c>
      <c r="C141" t="e">
        <f ca="1">IF((A1)=(2),1,IF(AND((INDEX(B1:XFD1,((A3)+(1))+(0)))=("writeheap"),(INDEX(B5:B405,(B4)+(1)))=(136)),INDEX(B5:B405,(B4)+(2)),IF((A1)=(2),"",IF((137)=(C4),C141,C141))))</f>
        <v>#VALUE!</v>
      </c>
      <c r="F141" t="e">
        <f ca="1">IF((A1)=(2),"",IF((137)=(F4),IF(IF((INDEX(B1:XFD1,((A3)+(1))+(0)))=("store"),(INDEX(B1:XFD1,((A3)+(1))+(1)))=("F"),"false"),B3,F141),F141))</f>
        <v>#VALUE!</v>
      </c>
      <c r="G141" t="e">
        <f ca="1">IF((A1)=(2),"",IF((137)=(G4),IF(IF((INDEX(B1:XFD1,((A3)+(1))+(0)))=("store"),(INDEX(B1:XFD1,((A3)+(1))+(1)))=("G"),"false"),B3,G141),G141))</f>
        <v>#VALUE!</v>
      </c>
      <c r="H141" t="e">
        <f ca="1">IF((A1)=(2),"",IF((137)=(H4),IF(IF((INDEX(B1:XFD1,((A3)+(1))+(0)))=("store"),(INDEX(B1:XFD1,((A3)+(1))+(1)))=("H"),"false"),B3,H141),H141))</f>
        <v>#VALUE!</v>
      </c>
      <c r="I141" t="e">
        <f ca="1">IF((A1)=(2),"",IF((137)=(I4),IF(IF((INDEX(B1:XFD1,((A3)+(1))+(0)))=("store"),(INDEX(B1:XFD1,((A3)+(1))+(1)))=("I"),"false"),B3,I141),I141))</f>
        <v>#VALUE!</v>
      </c>
      <c r="J141" t="e">
        <f ca="1">IF((A1)=(2),"",IF((137)=(J4),IF(IF((INDEX(B1:XFD1,((A3)+(1))+(0)))=("store"),(INDEX(B1:XFD1,((A3)+(1))+(1)))=("J"),"false"),B3,J141),J141))</f>
        <v>#VALUE!</v>
      </c>
      <c r="K141" t="e">
        <f ca="1">IF((A1)=(2),"",IF((137)=(K4),IF(IF((INDEX(B1:XFD1,((A3)+(1))+(0)))=("store"),(INDEX(B1:XFD1,((A3)+(1))+(1)))=("K"),"false"),B3,K141),K141))</f>
        <v>#VALUE!</v>
      </c>
      <c r="L141" t="e">
        <f ca="1">IF((A1)=(2),"",IF((137)=(L4),IF(IF((INDEX(B1:XFD1,((A3)+(1))+(0)))=("store"),(INDEX(B1:XFD1,((A3)+(1))+(1)))=("L"),"false"),B3,L141),L141))</f>
        <v>#VALUE!</v>
      </c>
      <c r="M141" t="e">
        <f ca="1">IF((A1)=(2),"",IF((137)=(M4),IF(IF((INDEX(B1:XFD1,((A3)+(1))+(0)))=("store"),(INDEX(B1:XFD1,((A3)+(1))+(1)))=("M"),"false"),B3,M141),M141))</f>
        <v>#VALUE!</v>
      </c>
      <c r="N141" t="e">
        <f ca="1">IF((A1)=(2),"",IF((137)=(N4),IF(IF((INDEX(B1:XFD1,((A3)+(1))+(0)))=("store"),(INDEX(B1:XFD1,((A3)+(1))+(1)))=("N"),"false"),B3,N141),N141))</f>
        <v>#VALUE!</v>
      </c>
      <c r="O141" t="e">
        <f ca="1">IF((A1)=(2),"",IF((137)=(O4),IF(IF((INDEX(B1:XFD1,((A3)+(1))+(0)))=("store"),(INDEX(B1:XFD1,((A3)+(1))+(1)))=("O"),"false"),B3,O141),O141))</f>
        <v>#VALUE!</v>
      </c>
      <c r="P141" t="e">
        <f ca="1">IF((A1)=(2),"",IF((137)=(P4),IF(IF((INDEX(B1:XFD1,((A3)+(1))+(0)))=("store"),(INDEX(B1:XFD1,((A3)+(1))+(1)))=("P"),"false"),B3,P141),P141))</f>
        <v>#VALUE!</v>
      </c>
      <c r="Q141" t="e">
        <f ca="1">IF((A1)=(2),"",IF((137)=(Q4),IF(IF((INDEX(B1:XFD1,((A3)+(1))+(0)))=("store"),(INDEX(B1:XFD1,((A3)+(1))+(1)))=("Q"),"false"),B3,Q141),Q141))</f>
        <v>#VALUE!</v>
      </c>
      <c r="R141" t="e">
        <f ca="1">IF((A1)=(2),"",IF((137)=(R4),IF(IF((INDEX(B1:XFD1,((A3)+(1))+(0)))=("store"),(INDEX(B1:XFD1,((A3)+(1))+(1)))=("R"),"false"),B3,R141),R141))</f>
        <v>#VALUE!</v>
      </c>
      <c r="S141" t="e">
        <f ca="1">IF((A1)=(2),"",IF((137)=(S4),IF(IF((INDEX(B1:XFD1,((A3)+(1))+(0)))=("store"),(INDEX(B1:XFD1,((A3)+(1))+(1)))=("S"),"false"),B3,S141),S141))</f>
        <v>#VALUE!</v>
      </c>
      <c r="T141" t="e">
        <f ca="1">IF((A1)=(2),"",IF((137)=(T4),IF(IF((INDEX(B1:XFD1,((A3)+(1))+(0)))=("store"),(INDEX(B1:XFD1,((A3)+(1))+(1)))=("T"),"false"),B3,T141),T141))</f>
        <v>#VALUE!</v>
      </c>
      <c r="U141" t="e">
        <f ca="1">IF((A1)=(2),"",IF((137)=(U4),IF(IF((INDEX(B1:XFD1,((A3)+(1))+(0)))=("store"),(INDEX(B1:XFD1,((A3)+(1))+(1)))=("U"),"false"),B3,U141),U141))</f>
        <v>#VALUE!</v>
      </c>
      <c r="V141" t="e">
        <f ca="1">IF((A1)=(2),"",IF((137)=(V4),IF(IF((INDEX(B1:XFD1,((A3)+(1))+(0)))=("store"),(INDEX(B1:XFD1,((A3)+(1))+(1)))=("V"),"false"),B3,V141),V141))</f>
        <v>#VALUE!</v>
      </c>
      <c r="W141" t="e">
        <f ca="1">IF((A1)=(2),"",IF((137)=(W4),IF(IF((INDEX(B1:XFD1,((A3)+(1))+(0)))=("store"),(INDEX(B1:XFD1,((A3)+(1))+(1)))=("W"),"false"),B3,W141),W141))</f>
        <v>#VALUE!</v>
      </c>
      <c r="X141" t="e">
        <f ca="1">IF((A1)=(2),"",IF((137)=(X4),IF(IF((INDEX(B1:XFD1,((A3)+(1))+(0)))=("store"),(INDEX(B1:XFD1,((A3)+(1))+(1)))=("X"),"false"),B3,X141),X141))</f>
        <v>#VALUE!</v>
      </c>
      <c r="Y141" t="e">
        <f ca="1">IF((A1)=(2),"",IF((137)=(Y4),IF(IF((INDEX(B1:XFD1,((A3)+(1))+(0)))=("store"),(INDEX(B1:XFD1,((A3)+(1))+(1)))=("Y"),"false"),B3,Y141),Y141))</f>
        <v>#VALUE!</v>
      </c>
      <c r="Z141" t="e">
        <f ca="1">IF((A1)=(2),"",IF((137)=(Z4),IF(IF((INDEX(B1:XFD1,((A3)+(1))+(0)))=("store"),(INDEX(B1:XFD1,((A3)+(1))+(1)))=("Z"),"false"),B3,Z141),Z141))</f>
        <v>#VALUE!</v>
      </c>
      <c r="AA141" t="e">
        <f ca="1">IF((A1)=(2),"",IF((137)=(AA4),IF(IF((INDEX(B1:XFD1,((A3)+(1))+(0)))=("store"),(INDEX(B1:XFD1,((A3)+(1))+(1)))=("AA"),"false"),B3,AA141),AA141))</f>
        <v>#VALUE!</v>
      </c>
      <c r="AB141" t="e">
        <f ca="1">IF((A1)=(2),"",IF((137)=(AB4),IF(IF((INDEX(B1:XFD1,((A3)+(1))+(0)))=("store"),(INDEX(B1:XFD1,((A3)+(1))+(1)))=("AB"),"false"),B3,AB141),AB141))</f>
        <v>#VALUE!</v>
      </c>
      <c r="AC141" t="e">
        <f ca="1">IF((A1)=(2),"",IF((137)=(AC4),IF(IF((INDEX(B1:XFD1,((A3)+(1))+(0)))=("store"),(INDEX(B1:XFD1,((A3)+(1))+(1)))=("AC"),"false"),B3,AC141),AC141))</f>
        <v>#VALUE!</v>
      </c>
      <c r="AD141" t="e">
        <f ca="1">IF((A1)=(2),"",IF((137)=(AD4),IF(IF((INDEX(B1:XFD1,((A3)+(1))+(0)))=("store"),(INDEX(B1:XFD1,((A3)+(1))+(1)))=("AD"),"false"),B3,AD141),AD141))</f>
        <v>#VALUE!</v>
      </c>
    </row>
    <row r="142" spans="1:30" x14ac:dyDescent="0.25">
      <c r="A142" t="e">
        <f ca="1">IF((A1)=(2),"",IF((138)=(A4),IF(("call")=(INDEX(B1:XFD1,((A3)+(1))+(0))),(B3)*(2),IF(("goto")=(INDEX(B1:XFD1,((A3)+(1))+(0))),(INDEX(B1:XFD1,((A3)+(1))+(1)))*(2),IF(("gotoiftrue")=(INDEX(B1:XFD1,((A3)+(1))+(0))),IF(B3,(INDEX(B1:XFD1,((A3)+(1))+(1)))*(2),(A142)+(2)),(A142)+(2)))),A142))</f>
        <v>#VALUE!</v>
      </c>
      <c r="B142" t="e">
        <f ca="1">IF((A1)=(2),"",IF((138)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142)+(1)),IF(("add")=(INDEX(B1:XFD1,((A3)+(1))+(0))),(INDEX(B5:B405,(B4)+(1)))+(B142),IF(("equals")=(INDEX(B1:XFD1,((A3)+(1))+(0))),(INDEX(B5:B405,(B4)+(1)))=(B142),IF(("leq")=(INDEX(B1:XFD1,((A3)+(1))+(0))),(INDEX(B5:B405,(B4)+(1)))&lt;=(B142),IF(("greater")=(INDEX(B1:XFD1,((A3)+(1))+(0))),(INDEX(B5:B405,(B4)+(1)))&gt;(B142),IF(("mod")=(INDEX(B1:XFD1,((A3)+(1))+(0))),MOD(INDEX(B5:B405,(B4)+(1)),B142),B142))))))))),B142))</f>
        <v>#VALUE!</v>
      </c>
      <c r="C142" t="e">
        <f ca="1">IF((A1)=(2),1,IF(AND((INDEX(B1:XFD1,((A3)+(1))+(0)))=("writeheap"),(INDEX(B5:B405,(B4)+(1)))=(137)),INDEX(B5:B405,(B4)+(2)),IF((A1)=(2),"",IF((138)=(C4),C142,C142))))</f>
        <v>#VALUE!</v>
      </c>
      <c r="F142" t="e">
        <f ca="1">IF((A1)=(2),"",IF((138)=(F4),IF(IF((INDEX(B1:XFD1,((A3)+(1))+(0)))=("store"),(INDEX(B1:XFD1,((A3)+(1))+(1)))=("F"),"false"),B3,F142),F142))</f>
        <v>#VALUE!</v>
      </c>
      <c r="G142" t="e">
        <f ca="1">IF((A1)=(2),"",IF((138)=(G4),IF(IF((INDEX(B1:XFD1,((A3)+(1))+(0)))=("store"),(INDEX(B1:XFD1,((A3)+(1))+(1)))=("G"),"false"),B3,G142),G142))</f>
        <v>#VALUE!</v>
      </c>
      <c r="H142" t="e">
        <f ca="1">IF((A1)=(2),"",IF((138)=(H4),IF(IF((INDEX(B1:XFD1,((A3)+(1))+(0)))=("store"),(INDEX(B1:XFD1,((A3)+(1))+(1)))=("H"),"false"),B3,H142),H142))</f>
        <v>#VALUE!</v>
      </c>
      <c r="I142" t="e">
        <f ca="1">IF((A1)=(2),"",IF((138)=(I4),IF(IF((INDEX(B1:XFD1,((A3)+(1))+(0)))=("store"),(INDEX(B1:XFD1,((A3)+(1))+(1)))=("I"),"false"),B3,I142),I142))</f>
        <v>#VALUE!</v>
      </c>
      <c r="J142" t="e">
        <f ca="1">IF((A1)=(2),"",IF((138)=(J4),IF(IF((INDEX(B1:XFD1,((A3)+(1))+(0)))=("store"),(INDEX(B1:XFD1,((A3)+(1))+(1)))=("J"),"false"),B3,J142),J142))</f>
        <v>#VALUE!</v>
      </c>
      <c r="K142" t="e">
        <f ca="1">IF((A1)=(2),"",IF((138)=(K4),IF(IF((INDEX(B1:XFD1,((A3)+(1))+(0)))=("store"),(INDEX(B1:XFD1,((A3)+(1))+(1)))=("K"),"false"),B3,K142),K142))</f>
        <v>#VALUE!</v>
      </c>
      <c r="L142" t="e">
        <f ca="1">IF((A1)=(2),"",IF((138)=(L4),IF(IF((INDEX(B1:XFD1,((A3)+(1))+(0)))=("store"),(INDEX(B1:XFD1,((A3)+(1))+(1)))=("L"),"false"),B3,L142),L142))</f>
        <v>#VALUE!</v>
      </c>
      <c r="M142" t="e">
        <f ca="1">IF((A1)=(2),"",IF((138)=(M4),IF(IF((INDEX(B1:XFD1,((A3)+(1))+(0)))=("store"),(INDEX(B1:XFD1,((A3)+(1))+(1)))=("M"),"false"),B3,M142),M142))</f>
        <v>#VALUE!</v>
      </c>
      <c r="N142" t="e">
        <f ca="1">IF((A1)=(2),"",IF((138)=(N4),IF(IF((INDEX(B1:XFD1,((A3)+(1))+(0)))=("store"),(INDEX(B1:XFD1,((A3)+(1))+(1)))=("N"),"false"),B3,N142),N142))</f>
        <v>#VALUE!</v>
      </c>
      <c r="O142" t="e">
        <f ca="1">IF((A1)=(2),"",IF((138)=(O4),IF(IF((INDEX(B1:XFD1,((A3)+(1))+(0)))=("store"),(INDEX(B1:XFD1,((A3)+(1))+(1)))=("O"),"false"),B3,O142),O142))</f>
        <v>#VALUE!</v>
      </c>
      <c r="P142" t="e">
        <f ca="1">IF((A1)=(2),"",IF((138)=(P4),IF(IF((INDEX(B1:XFD1,((A3)+(1))+(0)))=("store"),(INDEX(B1:XFD1,((A3)+(1))+(1)))=("P"),"false"),B3,P142),P142))</f>
        <v>#VALUE!</v>
      </c>
      <c r="Q142" t="e">
        <f ca="1">IF((A1)=(2),"",IF((138)=(Q4),IF(IF((INDEX(B1:XFD1,((A3)+(1))+(0)))=("store"),(INDEX(B1:XFD1,((A3)+(1))+(1)))=("Q"),"false"),B3,Q142),Q142))</f>
        <v>#VALUE!</v>
      </c>
      <c r="R142" t="e">
        <f ca="1">IF((A1)=(2),"",IF((138)=(R4),IF(IF((INDEX(B1:XFD1,((A3)+(1))+(0)))=("store"),(INDEX(B1:XFD1,((A3)+(1))+(1)))=("R"),"false"),B3,R142),R142))</f>
        <v>#VALUE!</v>
      </c>
      <c r="S142" t="e">
        <f ca="1">IF((A1)=(2),"",IF((138)=(S4),IF(IF((INDEX(B1:XFD1,((A3)+(1))+(0)))=("store"),(INDEX(B1:XFD1,((A3)+(1))+(1)))=("S"),"false"),B3,S142),S142))</f>
        <v>#VALUE!</v>
      </c>
      <c r="T142" t="e">
        <f ca="1">IF((A1)=(2),"",IF((138)=(T4),IF(IF((INDEX(B1:XFD1,((A3)+(1))+(0)))=("store"),(INDEX(B1:XFD1,((A3)+(1))+(1)))=("T"),"false"),B3,T142),T142))</f>
        <v>#VALUE!</v>
      </c>
      <c r="U142" t="e">
        <f ca="1">IF((A1)=(2),"",IF((138)=(U4),IF(IF((INDEX(B1:XFD1,((A3)+(1))+(0)))=("store"),(INDEX(B1:XFD1,((A3)+(1))+(1)))=("U"),"false"),B3,U142),U142))</f>
        <v>#VALUE!</v>
      </c>
      <c r="V142" t="e">
        <f ca="1">IF((A1)=(2),"",IF((138)=(V4),IF(IF((INDEX(B1:XFD1,((A3)+(1))+(0)))=("store"),(INDEX(B1:XFD1,((A3)+(1))+(1)))=("V"),"false"),B3,V142),V142))</f>
        <v>#VALUE!</v>
      </c>
      <c r="W142" t="e">
        <f ca="1">IF((A1)=(2),"",IF((138)=(W4),IF(IF((INDEX(B1:XFD1,((A3)+(1))+(0)))=("store"),(INDEX(B1:XFD1,((A3)+(1))+(1)))=("W"),"false"),B3,W142),W142))</f>
        <v>#VALUE!</v>
      </c>
      <c r="X142" t="e">
        <f ca="1">IF((A1)=(2),"",IF((138)=(X4),IF(IF((INDEX(B1:XFD1,((A3)+(1))+(0)))=("store"),(INDEX(B1:XFD1,((A3)+(1))+(1)))=("X"),"false"),B3,X142),X142))</f>
        <v>#VALUE!</v>
      </c>
      <c r="Y142" t="e">
        <f ca="1">IF((A1)=(2),"",IF((138)=(Y4),IF(IF((INDEX(B1:XFD1,((A3)+(1))+(0)))=("store"),(INDEX(B1:XFD1,((A3)+(1))+(1)))=("Y"),"false"),B3,Y142),Y142))</f>
        <v>#VALUE!</v>
      </c>
      <c r="Z142" t="e">
        <f ca="1">IF((A1)=(2),"",IF((138)=(Z4),IF(IF((INDEX(B1:XFD1,((A3)+(1))+(0)))=("store"),(INDEX(B1:XFD1,((A3)+(1))+(1)))=("Z"),"false"),B3,Z142),Z142))</f>
        <v>#VALUE!</v>
      </c>
      <c r="AA142" t="e">
        <f ca="1">IF((A1)=(2),"",IF((138)=(AA4),IF(IF((INDEX(B1:XFD1,((A3)+(1))+(0)))=("store"),(INDEX(B1:XFD1,((A3)+(1))+(1)))=("AA"),"false"),B3,AA142),AA142))</f>
        <v>#VALUE!</v>
      </c>
      <c r="AB142" t="e">
        <f ca="1">IF((A1)=(2),"",IF((138)=(AB4),IF(IF((INDEX(B1:XFD1,((A3)+(1))+(0)))=("store"),(INDEX(B1:XFD1,((A3)+(1))+(1)))=("AB"),"false"),B3,AB142),AB142))</f>
        <v>#VALUE!</v>
      </c>
      <c r="AC142" t="e">
        <f ca="1">IF((A1)=(2),"",IF((138)=(AC4),IF(IF((INDEX(B1:XFD1,((A3)+(1))+(0)))=("store"),(INDEX(B1:XFD1,((A3)+(1))+(1)))=("AC"),"false"),B3,AC142),AC142))</f>
        <v>#VALUE!</v>
      </c>
      <c r="AD142" t="e">
        <f ca="1">IF((A1)=(2),"",IF((138)=(AD4),IF(IF((INDEX(B1:XFD1,((A3)+(1))+(0)))=("store"),(INDEX(B1:XFD1,((A3)+(1))+(1)))=("AD"),"false"),B3,AD142),AD142))</f>
        <v>#VALUE!</v>
      </c>
    </row>
    <row r="143" spans="1:30" x14ac:dyDescent="0.25">
      <c r="A143" t="e">
        <f ca="1">IF((A1)=(2),"",IF((139)=(A4),IF(("call")=(INDEX(B1:XFD1,((A3)+(1))+(0))),(B3)*(2),IF(("goto")=(INDEX(B1:XFD1,((A3)+(1))+(0))),(INDEX(B1:XFD1,((A3)+(1))+(1)))*(2),IF(("gotoiftrue")=(INDEX(B1:XFD1,((A3)+(1))+(0))),IF(B3,(INDEX(B1:XFD1,((A3)+(1))+(1)))*(2),(A143)+(2)),(A143)+(2)))),A143))</f>
        <v>#VALUE!</v>
      </c>
      <c r="B143" t="e">
        <f ca="1">IF((A1)=(2),"",IF((139)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143)+(1)),IF(("add")=(INDEX(B1:XFD1,((A3)+(1))+(0))),(INDEX(B5:B405,(B4)+(1)))+(B143),IF(("equals")=(INDEX(B1:XFD1,((A3)+(1))+(0))),(INDEX(B5:B405,(B4)+(1)))=(B143),IF(("leq")=(INDEX(B1:XFD1,((A3)+(1))+(0))),(INDEX(B5:B405,(B4)+(1)))&lt;=(B143),IF(("greater")=(INDEX(B1:XFD1,((A3)+(1))+(0))),(INDEX(B5:B405,(B4)+(1)))&gt;(B143),IF(("mod")=(INDEX(B1:XFD1,((A3)+(1))+(0))),MOD(INDEX(B5:B405,(B4)+(1)),B143),B143))))))))),B143))</f>
        <v>#VALUE!</v>
      </c>
      <c r="C143" t="e">
        <f ca="1">IF((A1)=(2),1,IF(AND((INDEX(B1:XFD1,((A3)+(1))+(0)))=("writeheap"),(INDEX(B5:B405,(B4)+(1)))=(138)),INDEX(B5:B405,(B4)+(2)),IF((A1)=(2),"",IF((139)=(C4),C143,C143))))</f>
        <v>#VALUE!</v>
      </c>
      <c r="F143" t="e">
        <f ca="1">IF((A1)=(2),"",IF((139)=(F4),IF(IF((INDEX(B1:XFD1,((A3)+(1))+(0)))=("store"),(INDEX(B1:XFD1,((A3)+(1))+(1)))=("F"),"false"),B3,F143),F143))</f>
        <v>#VALUE!</v>
      </c>
      <c r="G143" t="e">
        <f ca="1">IF((A1)=(2),"",IF((139)=(G4),IF(IF((INDEX(B1:XFD1,((A3)+(1))+(0)))=("store"),(INDEX(B1:XFD1,((A3)+(1))+(1)))=("G"),"false"),B3,G143),G143))</f>
        <v>#VALUE!</v>
      </c>
      <c r="H143" t="e">
        <f ca="1">IF((A1)=(2),"",IF((139)=(H4),IF(IF((INDEX(B1:XFD1,((A3)+(1))+(0)))=("store"),(INDEX(B1:XFD1,((A3)+(1))+(1)))=("H"),"false"),B3,H143),H143))</f>
        <v>#VALUE!</v>
      </c>
      <c r="I143" t="e">
        <f ca="1">IF((A1)=(2),"",IF((139)=(I4),IF(IF((INDEX(B1:XFD1,((A3)+(1))+(0)))=("store"),(INDEX(B1:XFD1,((A3)+(1))+(1)))=("I"),"false"),B3,I143),I143))</f>
        <v>#VALUE!</v>
      </c>
      <c r="J143" t="e">
        <f ca="1">IF((A1)=(2),"",IF((139)=(J4),IF(IF((INDEX(B1:XFD1,((A3)+(1))+(0)))=("store"),(INDEX(B1:XFD1,((A3)+(1))+(1)))=("J"),"false"),B3,J143),J143))</f>
        <v>#VALUE!</v>
      </c>
      <c r="K143" t="e">
        <f ca="1">IF((A1)=(2),"",IF((139)=(K4),IF(IF((INDEX(B1:XFD1,((A3)+(1))+(0)))=("store"),(INDEX(B1:XFD1,((A3)+(1))+(1)))=("K"),"false"),B3,K143),K143))</f>
        <v>#VALUE!</v>
      </c>
      <c r="L143" t="e">
        <f ca="1">IF((A1)=(2),"",IF((139)=(L4),IF(IF((INDEX(B1:XFD1,((A3)+(1))+(0)))=("store"),(INDEX(B1:XFD1,((A3)+(1))+(1)))=("L"),"false"),B3,L143),L143))</f>
        <v>#VALUE!</v>
      </c>
      <c r="M143" t="e">
        <f ca="1">IF((A1)=(2),"",IF((139)=(M4),IF(IF((INDEX(B1:XFD1,((A3)+(1))+(0)))=("store"),(INDEX(B1:XFD1,((A3)+(1))+(1)))=("M"),"false"),B3,M143),M143))</f>
        <v>#VALUE!</v>
      </c>
      <c r="N143" t="e">
        <f ca="1">IF((A1)=(2),"",IF((139)=(N4),IF(IF((INDEX(B1:XFD1,((A3)+(1))+(0)))=("store"),(INDEX(B1:XFD1,((A3)+(1))+(1)))=("N"),"false"),B3,N143),N143))</f>
        <v>#VALUE!</v>
      </c>
      <c r="O143" t="e">
        <f ca="1">IF((A1)=(2),"",IF((139)=(O4),IF(IF((INDEX(B1:XFD1,((A3)+(1))+(0)))=("store"),(INDEX(B1:XFD1,((A3)+(1))+(1)))=("O"),"false"),B3,O143),O143))</f>
        <v>#VALUE!</v>
      </c>
      <c r="P143" t="e">
        <f ca="1">IF((A1)=(2),"",IF((139)=(P4),IF(IF((INDEX(B1:XFD1,((A3)+(1))+(0)))=("store"),(INDEX(B1:XFD1,((A3)+(1))+(1)))=("P"),"false"),B3,P143),P143))</f>
        <v>#VALUE!</v>
      </c>
      <c r="Q143" t="e">
        <f ca="1">IF((A1)=(2),"",IF((139)=(Q4),IF(IF((INDEX(B1:XFD1,((A3)+(1))+(0)))=("store"),(INDEX(B1:XFD1,((A3)+(1))+(1)))=("Q"),"false"),B3,Q143),Q143))</f>
        <v>#VALUE!</v>
      </c>
      <c r="R143" t="e">
        <f ca="1">IF((A1)=(2),"",IF((139)=(R4),IF(IF((INDEX(B1:XFD1,((A3)+(1))+(0)))=("store"),(INDEX(B1:XFD1,((A3)+(1))+(1)))=("R"),"false"),B3,R143),R143))</f>
        <v>#VALUE!</v>
      </c>
      <c r="S143" t="e">
        <f ca="1">IF((A1)=(2),"",IF((139)=(S4),IF(IF((INDEX(B1:XFD1,((A3)+(1))+(0)))=("store"),(INDEX(B1:XFD1,((A3)+(1))+(1)))=("S"),"false"),B3,S143),S143))</f>
        <v>#VALUE!</v>
      </c>
      <c r="T143" t="e">
        <f ca="1">IF((A1)=(2),"",IF((139)=(T4),IF(IF((INDEX(B1:XFD1,((A3)+(1))+(0)))=("store"),(INDEX(B1:XFD1,((A3)+(1))+(1)))=("T"),"false"),B3,T143),T143))</f>
        <v>#VALUE!</v>
      </c>
      <c r="U143" t="e">
        <f ca="1">IF((A1)=(2),"",IF((139)=(U4),IF(IF((INDEX(B1:XFD1,((A3)+(1))+(0)))=("store"),(INDEX(B1:XFD1,((A3)+(1))+(1)))=("U"),"false"),B3,U143),U143))</f>
        <v>#VALUE!</v>
      </c>
      <c r="V143" t="e">
        <f ca="1">IF((A1)=(2),"",IF((139)=(V4),IF(IF((INDEX(B1:XFD1,((A3)+(1))+(0)))=("store"),(INDEX(B1:XFD1,((A3)+(1))+(1)))=("V"),"false"),B3,V143),V143))</f>
        <v>#VALUE!</v>
      </c>
      <c r="W143" t="e">
        <f ca="1">IF((A1)=(2),"",IF((139)=(W4),IF(IF((INDEX(B1:XFD1,((A3)+(1))+(0)))=("store"),(INDEX(B1:XFD1,((A3)+(1))+(1)))=("W"),"false"),B3,W143),W143))</f>
        <v>#VALUE!</v>
      </c>
      <c r="X143" t="e">
        <f ca="1">IF((A1)=(2),"",IF((139)=(X4),IF(IF((INDEX(B1:XFD1,((A3)+(1))+(0)))=("store"),(INDEX(B1:XFD1,((A3)+(1))+(1)))=("X"),"false"),B3,X143),X143))</f>
        <v>#VALUE!</v>
      </c>
      <c r="Y143" t="e">
        <f ca="1">IF((A1)=(2),"",IF((139)=(Y4),IF(IF((INDEX(B1:XFD1,((A3)+(1))+(0)))=("store"),(INDEX(B1:XFD1,((A3)+(1))+(1)))=("Y"),"false"),B3,Y143),Y143))</f>
        <v>#VALUE!</v>
      </c>
      <c r="Z143" t="e">
        <f ca="1">IF((A1)=(2),"",IF((139)=(Z4),IF(IF((INDEX(B1:XFD1,((A3)+(1))+(0)))=("store"),(INDEX(B1:XFD1,((A3)+(1))+(1)))=("Z"),"false"),B3,Z143),Z143))</f>
        <v>#VALUE!</v>
      </c>
      <c r="AA143" t="e">
        <f ca="1">IF((A1)=(2),"",IF((139)=(AA4),IF(IF((INDEX(B1:XFD1,((A3)+(1))+(0)))=("store"),(INDEX(B1:XFD1,((A3)+(1))+(1)))=("AA"),"false"),B3,AA143),AA143))</f>
        <v>#VALUE!</v>
      </c>
      <c r="AB143" t="e">
        <f ca="1">IF((A1)=(2),"",IF((139)=(AB4),IF(IF((INDEX(B1:XFD1,((A3)+(1))+(0)))=("store"),(INDEX(B1:XFD1,((A3)+(1))+(1)))=("AB"),"false"),B3,AB143),AB143))</f>
        <v>#VALUE!</v>
      </c>
      <c r="AC143" t="e">
        <f ca="1">IF((A1)=(2),"",IF((139)=(AC4),IF(IF((INDEX(B1:XFD1,((A3)+(1))+(0)))=("store"),(INDEX(B1:XFD1,((A3)+(1))+(1)))=("AC"),"false"),B3,AC143),AC143))</f>
        <v>#VALUE!</v>
      </c>
      <c r="AD143" t="e">
        <f ca="1">IF((A1)=(2),"",IF((139)=(AD4),IF(IF((INDEX(B1:XFD1,((A3)+(1))+(0)))=("store"),(INDEX(B1:XFD1,((A3)+(1))+(1)))=("AD"),"false"),B3,AD143),AD143))</f>
        <v>#VALUE!</v>
      </c>
    </row>
    <row r="144" spans="1:30" x14ac:dyDescent="0.25">
      <c r="A144" t="e">
        <f ca="1">IF((A1)=(2),"",IF((140)=(A4),IF(("call")=(INDEX(B1:XFD1,((A3)+(1))+(0))),(B3)*(2),IF(("goto")=(INDEX(B1:XFD1,((A3)+(1))+(0))),(INDEX(B1:XFD1,((A3)+(1))+(1)))*(2),IF(("gotoiftrue")=(INDEX(B1:XFD1,((A3)+(1))+(0))),IF(B3,(INDEX(B1:XFD1,((A3)+(1))+(1)))*(2),(A144)+(2)),(A144)+(2)))),A144))</f>
        <v>#VALUE!</v>
      </c>
      <c r="B144" t="e">
        <f ca="1">IF((A1)=(2),"",IF((140)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144)+(1)),IF(("add")=(INDEX(B1:XFD1,((A3)+(1))+(0))),(INDEX(B5:B405,(B4)+(1)))+(B144),IF(("equals")=(INDEX(B1:XFD1,((A3)+(1))+(0))),(INDEX(B5:B405,(B4)+(1)))=(B144),IF(("leq")=(INDEX(B1:XFD1,((A3)+(1))+(0))),(INDEX(B5:B405,(B4)+(1)))&lt;=(B144),IF(("greater")=(INDEX(B1:XFD1,((A3)+(1))+(0))),(INDEX(B5:B405,(B4)+(1)))&gt;(B144),IF(("mod")=(INDEX(B1:XFD1,((A3)+(1))+(0))),MOD(INDEX(B5:B405,(B4)+(1)),B144),B144))))))))),B144))</f>
        <v>#VALUE!</v>
      </c>
      <c r="C144" t="e">
        <f ca="1">IF((A1)=(2),1,IF(AND((INDEX(B1:XFD1,((A3)+(1))+(0)))=("writeheap"),(INDEX(B5:B405,(B4)+(1)))=(139)),INDEX(B5:B405,(B4)+(2)),IF((A1)=(2),"",IF((140)=(C4),C144,C144))))</f>
        <v>#VALUE!</v>
      </c>
      <c r="F144" t="e">
        <f ca="1">IF((A1)=(2),"",IF((140)=(F4),IF(IF((INDEX(B1:XFD1,((A3)+(1))+(0)))=("store"),(INDEX(B1:XFD1,((A3)+(1))+(1)))=("F"),"false"),B3,F144),F144))</f>
        <v>#VALUE!</v>
      </c>
      <c r="G144" t="e">
        <f ca="1">IF((A1)=(2),"",IF((140)=(G4),IF(IF((INDEX(B1:XFD1,((A3)+(1))+(0)))=("store"),(INDEX(B1:XFD1,((A3)+(1))+(1)))=("G"),"false"),B3,G144),G144))</f>
        <v>#VALUE!</v>
      </c>
      <c r="H144" t="e">
        <f ca="1">IF((A1)=(2),"",IF((140)=(H4),IF(IF((INDEX(B1:XFD1,((A3)+(1))+(0)))=("store"),(INDEX(B1:XFD1,((A3)+(1))+(1)))=("H"),"false"),B3,H144),H144))</f>
        <v>#VALUE!</v>
      </c>
      <c r="I144" t="e">
        <f ca="1">IF((A1)=(2),"",IF((140)=(I4),IF(IF((INDEX(B1:XFD1,((A3)+(1))+(0)))=("store"),(INDEX(B1:XFD1,((A3)+(1))+(1)))=("I"),"false"),B3,I144),I144))</f>
        <v>#VALUE!</v>
      </c>
      <c r="J144" t="e">
        <f ca="1">IF((A1)=(2),"",IF((140)=(J4),IF(IF((INDEX(B1:XFD1,((A3)+(1))+(0)))=("store"),(INDEX(B1:XFD1,((A3)+(1))+(1)))=("J"),"false"),B3,J144),J144))</f>
        <v>#VALUE!</v>
      </c>
      <c r="K144" t="e">
        <f ca="1">IF((A1)=(2),"",IF((140)=(K4),IF(IF((INDEX(B1:XFD1,((A3)+(1))+(0)))=("store"),(INDEX(B1:XFD1,((A3)+(1))+(1)))=("K"),"false"),B3,K144),K144))</f>
        <v>#VALUE!</v>
      </c>
      <c r="L144" t="e">
        <f ca="1">IF((A1)=(2),"",IF((140)=(L4),IF(IF((INDEX(B1:XFD1,((A3)+(1))+(0)))=("store"),(INDEX(B1:XFD1,((A3)+(1))+(1)))=("L"),"false"),B3,L144),L144))</f>
        <v>#VALUE!</v>
      </c>
      <c r="M144" t="e">
        <f ca="1">IF((A1)=(2),"",IF((140)=(M4),IF(IF((INDEX(B1:XFD1,((A3)+(1))+(0)))=("store"),(INDEX(B1:XFD1,((A3)+(1))+(1)))=("M"),"false"),B3,M144),M144))</f>
        <v>#VALUE!</v>
      </c>
      <c r="N144" t="e">
        <f ca="1">IF((A1)=(2),"",IF((140)=(N4),IF(IF((INDEX(B1:XFD1,((A3)+(1))+(0)))=("store"),(INDEX(B1:XFD1,((A3)+(1))+(1)))=("N"),"false"),B3,N144),N144))</f>
        <v>#VALUE!</v>
      </c>
      <c r="O144" t="e">
        <f ca="1">IF((A1)=(2),"",IF((140)=(O4),IF(IF((INDEX(B1:XFD1,((A3)+(1))+(0)))=("store"),(INDEX(B1:XFD1,((A3)+(1))+(1)))=("O"),"false"),B3,O144),O144))</f>
        <v>#VALUE!</v>
      </c>
      <c r="P144" t="e">
        <f ca="1">IF((A1)=(2),"",IF((140)=(P4),IF(IF((INDEX(B1:XFD1,((A3)+(1))+(0)))=("store"),(INDEX(B1:XFD1,((A3)+(1))+(1)))=("P"),"false"),B3,P144),P144))</f>
        <v>#VALUE!</v>
      </c>
      <c r="Q144" t="e">
        <f ca="1">IF((A1)=(2),"",IF((140)=(Q4),IF(IF((INDEX(B1:XFD1,((A3)+(1))+(0)))=("store"),(INDEX(B1:XFD1,((A3)+(1))+(1)))=("Q"),"false"),B3,Q144),Q144))</f>
        <v>#VALUE!</v>
      </c>
      <c r="R144" t="e">
        <f ca="1">IF((A1)=(2),"",IF((140)=(R4),IF(IF((INDEX(B1:XFD1,((A3)+(1))+(0)))=("store"),(INDEX(B1:XFD1,((A3)+(1))+(1)))=("R"),"false"),B3,R144),R144))</f>
        <v>#VALUE!</v>
      </c>
      <c r="S144" t="e">
        <f ca="1">IF((A1)=(2),"",IF((140)=(S4),IF(IF((INDEX(B1:XFD1,((A3)+(1))+(0)))=("store"),(INDEX(B1:XFD1,((A3)+(1))+(1)))=("S"),"false"),B3,S144),S144))</f>
        <v>#VALUE!</v>
      </c>
      <c r="T144" t="e">
        <f ca="1">IF((A1)=(2),"",IF((140)=(T4),IF(IF((INDEX(B1:XFD1,((A3)+(1))+(0)))=("store"),(INDEX(B1:XFD1,((A3)+(1))+(1)))=("T"),"false"),B3,T144),T144))</f>
        <v>#VALUE!</v>
      </c>
      <c r="U144" t="e">
        <f ca="1">IF((A1)=(2),"",IF((140)=(U4),IF(IF((INDEX(B1:XFD1,((A3)+(1))+(0)))=("store"),(INDEX(B1:XFD1,((A3)+(1))+(1)))=("U"),"false"),B3,U144),U144))</f>
        <v>#VALUE!</v>
      </c>
      <c r="V144" t="e">
        <f ca="1">IF((A1)=(2),"",IF((140)=(V4),IF(IF((INDEX(B1:XFD1,((A3)+(1))+(0)))=("store"),(INDEX(B1:XFD1,((A3)+(1))+(1)))=("V"),"false"),B3,V144),V144))</f>
        <v>#VALUE!</v>
      </c>
      <c r="W144" t="e">
        <f ca="1">IF((A1)=(2),"",IF((140)=(W4),IF(IF((INDEX(B1:XFD1,((A3)+(1))+(0)))=("store"),(INDEX(B1:XFD1,((A3)+(1))+(1)))=("W"),"false"),B3,W144),W144))</f>
        <v>#VALUE!</v>
      </c>
      <c r="X144" t="e">
        <f ca="1">IF((A1)=(2),"",IF((140)=(X4),IF(IF((INDEX(B1:XFD1,((A3)+(1))+(0)))=("store"),(INDEX(B1:XFD1,((A3)+(1))+(1)))=("X"),"false"),B3,X144),X144))</f>
        <v>#VALUE!</v>
      </c>
      <c r="Y144" t="e">
        <f ca="1">IF((A1)=(2),"",IF((140)=(Y4),IF(IF((INDEX(B1:XFD1,((A3)+(1))+(0)))=("store"),(INDEX(B1:XFD1,((A3)+(1))+(1)))=("Y"),"false"),B3,Y144),Y144))</f>
        <v>#VALUE!</v>
      </c>
      <c r="Z144" t="e">
        <f ca="1">IF((A1)=(2),"",IF((140)=(Z4),IF(IF((INDEX(B1:XFD1,((A3)+(1))+(0)))=("store"),(INDEX(B1:XFD1,((A3)+(1))+(1)))=("Z"),"false"),B3,Z144),Z144))</f>
        <v>#VALUE!</v>
      </c>
      <c r="AA144" t="e">
        <f ca="1">IF((A1)=(2),"",IF((140)=(AA4),IF(IF((INDEX(B1:XFD1,((A3)+(1))+(0)))=("store"),(INDEX(B1:XFD1,((A3)+(1))+(1)))=("AA"),"false"),B3,AA144),AA144))</f>
        <v>#VALUE!</v>
      </c>
      <c r="AB144" t="e">
        <f ca="1">IF((A1)=(2),"",IF((140)=(AB4),IF(IF((INDEX(B1:XFD1,((A3)+(1))+(0)))=("store"),(INDEX(B1:XFD1,((A3)+(1))+(1)))=("AB"),"false"),B3,AB144),AB144))</f>
        <v>#VALUE!</v>
      </c>
      <c r="AC144" t="e">
        <f ca="1">IF((A1)=(2),"",IF((140)=(AC4),IF(IF((INDEX(B1:XFD1,((A3)+(1))+(0)))=("store"),(INDEX(B1:XFD1,((A3)+(1))+(1)))=("AC"),"false"),B3,AC144),AC144))</f>
        <v>#VALUE!</v>
      </c>
      <c r="AD144" t="e">
        <f ca="1">IF((A1)=(2),"",IF((140)=(AD4),IF(IF((INDEX(B1:XFD1,((A3)+(1))+(0)))=("store"),(INDEX(B1:XFD1,((A3)+(1))+(1)))=("AD"),"false"),B3,AD144),AD144))</f>
        <v>#VALUE!</v>
      </c>
    </row>
    <row r="145" spans="1:30" x14ac:dyDescent="0.25">
      <c r="A145" t="e">
        <f ca="1">IF((A1)=(2),"",IF((141)=(A4),IF(("call")=(INDEX(B1:XFD1,((A3)+(1))+(0))),(B3)*(2),IF(("goto")=(INDEX(B1:XFD1,((A3)+(1))+(0))),(INDEX(B1:XFD1,((A3)+(1))+(1)))*(2),IF(("gotoiftrue")=(INDEX(B1:XFD1,((A3)+(1))+(0))),IF(B3,(INDEX(B1:XFD1,((A3)+(1))+(1)))*(2),(A145)+(2)),(A145)+(2)))),A145))</f>
        <v>#VALUE!</v>
      </c>
      <c r="B145" t="e">
        <f ca="1">IF((A1)=(2),"",IF((141)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145)+(1)),IF(("add")=(INDEX(B1:XFD1,((A3)+(1))+(0))),(INDEX(B5:B405,(B4)+(1)))+(B145),IF(("equals")=(INDEX(B1:XFD1,((A3)+(1))+(0))),(INDEX(B5:B405,(B4)+(1)))=(B145),IF(("leq")=(INDEX(B1:XFD1,((A3)+(1))+(0))),(INDEX(B5:B405,(B4)+(1)))&lt;=(B145),IF(("greater")=(INDEX(B1:XFD1,((A3)+(1))+(0))),(INDEX(B5:B405,(B4)+(1)))&gt;(B145),IF(("mod")=(INDEX(B1:XFD1,((A3)+(1))+(0))),MOD(INDEX(B5:B405,(B4)+(1)),B145),B145))))))))),B145))</f>
        <v>#VALUE!</v>
      </c>
      <c r="C145" t="e">
        <f ca="1">IF((A1)=(2),1,IF(AND((INDEX(B1:XFD1,((A3)+(1))+(0)))=("writeheap"),(INDEX(B5:B405,(B4)+(1)))=(140)),INDEX(B5:B405,(B4)+(2)),IF((A1)=(2),"",IF((141)=(C4),C145,C145))))</f>
        <v>#VALUE!</v>
      </c>
      <c r="F145" t="e">
        <f ca="1">IF((A1)=(2),"",IF((141)=(F4),IF(IF((INDEX(B1:XFD1,((A3)+(1))+(0)))=("store"),(INDEX(B1:XFD1,((A3)+(1))+(1)))=("F"),"false"),B3,F145),F145))</f>
        <v>#VALUE!</v>
      </c>
      <c r="G145" t="e">
        <f ca="1">IF((A1)=(2),"",IF((141)=(G4),IF(IF((INDEX(B1:XFD1,((A3)+(1))+(0)))=("store"),(INDEX(B1:XFD1,((A3)+(1))+(1)))=("G"),"false"),B3,G145),G145))</f>
        <v>#VALUE!</v>
      </c>
      <c r="H145" t="e">
        <f ca="1">IF((A1)=(2),"",IF((141)=(H4),IF(IF((INDEX(B1:XFD1,((A3)+(1))+(0)))=("store"),(INDEX(B1:XFD1,((A3)+(1))+(1)))=("H"),"false"),B3,H145),H145))</f>
        <v>#VALUE!</v>
      </c>
      <c r="I145" t="e">
        <f ca="1">IF((A1)=(2),"",IF((141)=(I4),IF(IF((INDEX(B1:XFD1,((A3)+(1))+(0)))=("store"),(INDEX(B1:XFD1,((A3)+(1))+(1)))=("I"),"false"),B3,I145),I145))</f>
        <v>#VALUE!</v>
      </c>
      <c r="J145" t="e">
        <f ca="1">IF((A1)=(2),"",IF((141)=(J4),IF(IF((INDEX(B1:XFD1,((A3)+(1))+(0)))=("store"),(INDEX(B1:XFD1,((A3)+(1))+(1)))=("J"),"false"),B3,J145),J145))</f>
        <v>#VALUE!</v>
      </c>
      <c r="K145" t="e">
        <f ca="1">IF((A1)=(2),"",IF((141)=(K4),IF(IF((INDEX(B1:XFD1,((A3)+(1))+(0)))=("store"),(INDEX(B1:XFD1,((A3)+(1))+(1)))=("K"),"false"),B3,K145),K145))</f>
        <v>#VALUE!</v>
      </c>
      <c r="L145" t="e">
        <f ca="1">IF((A1)=(2),"",IF((141)=(L4),IF(IF((INDEX(B1:XFD1,((A3)+(1))+(0)))=("store"),(INDEX(B1:XFD1,((A3)+(1))+(1)))=("L"),"false"),B3,L145),L145))</f>
        <v>#VALUE!</v>
      </c>
      <c r="M145" t="e">
        <f ca="1">IF((A1)=(2),"",IF((141)=(M4),IF(IF((INDEX(B1:XFD1,((A3)+(1))+(0)))=("store"),(INDEX(B1:XFD1,((A3)+(1))+(1)))=("M"),"false"),B3,M145),M145))</f>
        <v>#VALUE!</v>
      </c>
      <c r="N145" t="e">
        <f ca="1">IF((A1)=(2),"",IF((141)=(N4),IF(IF((INDEX(B1:XFD1,((A3)+(1))+(0)))=("store"),(INDEX(B1:XFD1,((A3)+(1))+(1)))=("N"),"false"),B3,N145),N145))</f>
        <v>#VALUE!</v>
      </c>
      <c r="O145" t="e">
        <f ca="1">IF((A1)=(2),"",IF((141)=(O4),IF(IF((INDEX(B1:XFD1,((A3)+(1))+(0)))=("store"),(INDEX(B1:XFD1,((A3)+(1))+(1)))=("O"),"false"),B3,O145),O145))</f>
        <v>#VALUE!</v>
      </c>
      <c r="P145" t="e">
        <f ca="1">IF((A1)=(2),"",IF((141)=(P4),IF(IF((INDEX(B1:XFD1,((A3)+(1))+(0)))=("store"),(INDEX(B1:XFD1,((A3)+(1))+(1)))=("P"),"false"),B3,P145),P145))</f>
        <v>#VALUE!</v>
      </c>
      <c r="Q145" t="e">
        <f ca="1">IF((A1)=(2),"",IF((141)=(Q4),IF(IF((INDEX(B1:XFD1,((A3)+(1))+(0)))=("store"),(INDEX(B1:XFD1,((A3)+(1))+(1)))=("Q"),"false"),B3,Q145),Q145))</f>
        <v>#VALUE!</v>
      </c>
      <c r="R145" t="e">
        <f ca="1">IF((A1)=(2),"",IF((141)=(R4),IF(IF((INDEX(B1:XFD1,((A3)+(1))+(0)))=("store"),(INDEX(B1:XFD1,((A3)+(1))+(1)))=("R"),"false"),B3,R145),R145))</f>
        <v>#VALUE!</v>
      </c>
      <c r="S145" t="e">
        <f ca="1">IF((A1)=(2),"",IF((141)=(S4),IF(IF((INDEX(B1:XFD1,((A3)+(1))+(0)))=("store"),(INDEX(B1:XFD1,((A3)+(1))+(1)))=("S"),"false"),B3,S145),S145))</f>
        <v>#VALUE!</v>
      </c>
      <c r="T145" t="e">
        <f ca="1">IF((A1)=(2),"",IF((141)=(T4),IF(IF((INDEX(B1:XFD1,((A3)+(1))+(0)))=("store"),(INDEX(B1:XFD1,((A3)+(1))+(1)))=("T"),"false"),B3,T145),T145))</f>
        <v>#VALUE!</v>
      </c>
      <c r="U145" t="e">
        <f ca="1">IF((A1)=(2),"",IF((141)=(U4),IF(IF((INDEX(B1:XFD1,((A3)+(1))+(0)))=("store"),(INDEX(B1:XFD1,((A3)+(1))+(1)))=("U"),"false"),B3,U145),U145))</f>
        <v>#VALUE!</v>
      </c>
      <c r="V145" t="e">
        <f ca="1">IF((A1)=(2),"",IF((141)=(V4),IF(IF((INDEX(B1:XFD1,((A3)+(1))+(0)))=("store"),(INDEX(B1:XFD1,((A3)+(1))+(1)))=("V"),"false"),B3,V145),V145))</f>
        <v>#VALUE!</v>
      </c>
      <c r="W145" t="e">
        <f ca="1">IF((A1)=(2),"",IF((141)=(W4),IF(IF((INDEX(B1:XFD1,((A3)+(1))+(0)))=("store"),(INDEX(B1:XFD1,((A3)+(1))+(1)))=("W"),"false"),B3,W145),W145))</f>
        <v>#VALUE!</v>
      </c>
      <c r="X145" t="e">
        <f ca="1">IF((A1)=(2),"",IF((141)=(X4),IF(IF((INDEX(B1:XFD1,((A3)+(1))+(0)))=("store"),(INDEX(B1:XFD1,((A3)+(1))+(1)))=("X"),"false"),B3,X145),X145))</f>
        <v>#VALUE!</v>
      </c>
      <c r="Y145" t="e">
        <f ca="1">IF((A1)=(2),"",IF((141)=(Y4),IF(IF((INDEX(B1:XFD1,((A3)+(1))+(0)))=("store"),(INDEX(B1:XFD1,((A3)+(1))+(1)))=("Y"),"false"),B3,Y145),Y145))</f>
        <v>#VALUE!</v>
      </c>
      <c r="Z145" t="e">
        <f ca="1">IF((A1)=(2),"",IF((141)=(Z4),IF(IF((INDEX(B1:XFD1,((A3)+(1))+(0)))=("store"),(INDEX(B1:XFD1,((A3)+(1))+(1)))=("Z"),"false"),B3,Z145),Z145))</f>
        <v>#VALUE!</v>
      </c>
      <c r="AA145" t="e">
        <f ca="1">IF((A1)=(2),"",IF((141)=(AA4),IF(IF((INDEX(B1:XFD1,((A3)+(1))+(0)))=("store"),(INDEX(B1:XFD1,((A3)+(1))+(1)))=("AA"),"false"),B3,AA145),AA145))</f>
        <v>#VALUE!</v>
      </c>
      <c r="AB145" t="e">
        <f ca="1">IF((A1)=(2),"",IF((141)=(AB4),IF(IF((INDEX(B1:XFD1,((A3)+(1))+(0)))=("store"),(INDEX(B1:XFD1,((A3)+(1))+(1)))=("AB"),"false"),B3,AB145),AB145))</f>
        <v>#VALUE!</v>
      </c>
      <c r="AC145" t="e">
        <f ca="1">IF((A1)=(2),"",IF((141)=(AC4),IF(IF((INDEX(B1:XFD1,((A3)+(1))+(0)))=("store"),(INDEX(B1:XFD1,((A3)+(1))+(1)))=("AC"),"false"),B3,AC145),AC145))</f>
        <v>#VALUE!</v>
      </c>
      <c r="AD145" t="e">
        <f ca="1">IF((A1)=(2),"",IF((141)=(AD4),IF(IF((INDEX(B1:XFD1,((A3)+(1))+(0)))=("store"),(INDEX(B1:XFD1,((A3)+(1))+(1)))=("AD"),"false"),B3,AD145),AD145))</f>
        <v>#VALUE!</v>
      </c>
    </row>
    <row r="146" spans="1:30" x14ac:dyDescent="0.25">
      <c r="A146" t="e">
        <f ca="1">IF((A1)=(2),"",IF((142)=(A4),IF(("call")=(INDEX(B1:XFD1,((A3)+(1))+(0))),(B3)*(2),IF(("goto")=(INDEX(B1:XFD1,((A3)+(1))+(0))),(INDEX(B1:XFD1,((A3)+(1))+(1)))*(2),IF(("gotoiftrue")=(INDEX(B1:XFD1,((A3)+(1))+(0))),IF(B3,(INDEX(B1:XFD1,((A3)+(1))+(1)))*(2),(A146)+(2)),(A146)+(2)))),A146))</f>
        <v>#VALUE!</v>
      </c>
      <c r="B146" t="e">
        <f ca="1">IF((A1)=(2),"",IF((142)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146)+(1)),IF(("add")=(INDEX(B1:XFD1,((A3)+(1))+(0))),(INDEX(B5:B405,(B4)+(1)))+(B146),IF(("equals")=(INDEX(B1:XFD1,((A3)+(1))+(0))),(INDEX(B5:B405,(B4)+(1)))=(B146),IF(("leq")=(INDEX(B1:XFD1,((A3)+(1))+(0))),(INDEX(B5:B405,(B4)+(1)))&lt;=(B146),IF(("greater")=(INDEX(B1:XFD1,((A3)+(1))+(0))),(INDEX(B5:B405,(B4)+(1)))&gt;(B146),IF(("mod")=(INDEX(B1:XFD1,((A3)+(1))+(0))),MOD(INDEX(B5:B405,(B4)+(1)),B146),B146))))))))),B146))</f>
        <v>#VALUE!</v>
      </c>
      <c r="C146" t="e">
        <f ca="1">IF((A1)=(2),1,IF(AND((INDEX(B1:XFD1,((A3)+(1))+(0)))=("writeheap"),(INDEX(B5:B405,(B4)+(1)))=(141)),INDEX(B5:B405,(B4)+(2)),IF((A1)=(2),"",IF((142)=(C4),C146,C146))))</f>
        <v>#VALUE!</v>
      </c>
      <c r="F146" t="e">
        <f ca="1">IF((A1)=(2),"",IF((142)=(F4),IF(IF((INDEX(B1:XFD1,((A3)+(1))+(0)))=("store"),(INDEX(B1:XFD1,((A3)+(1))+(1)))=("F"),"false"),B3,F146),F146))</f>
        <v>#VALUE!</v>
      </c>
      <c r="G146" t="e">
        <f ca="1">IF((A1)=(2),"",IF((142)=(G4),IF(IF((INDEX(B1:XFD1,((A3)+(1))+(0)))=("store"),(INDEX(B1:XFD1,((A3)+(1))+(1)))=("G"),"false"),B3,G146),G146))</f>
        <v>#VALUE!</v>
      </c>
      <c r="H146" t="e">
        <f ca="1">IF((A1)=(2),"",IF((142)=(H4),IF(IF((INDEX(B1:XFD1,((A3)+(1))+(0)))=("store"),(INDEX(B1:XFD1,((A3)+(1))+(1)))=("H"),"false"),B3,H146),H146))</f>
        <v>#VALUE!</v>
      </c>
      <c r="I146" t="e">
        <f ca="1">IF((A1)=(2),"",IF((142)=(I4),IF(IF((INDEX(B1:XFD1,((A3)+(1))+(0)))=("store"),(INDEX(B1:XFD1,((A3)+(1))+(1)))=("I"),"false"),B3,I146),I146))</f>
        <v>#VALUE!</v>
      </c>
      <c r="J146" t="e">
        <f ca="1">IF((A1)=(2),"",IF((142)=(J4),IF(IF((INDEX(B1:XFD1,((A3)+(1))+(0)))=("store"),(INDEX(B1:XFD1,((A3)+(1))+(1)))=("J"),"false"),B3,J146),J146))</f>
        <v>#VALUE!</v>
      </c>
      <c r="K146" t="e">
        <f ca="1">IF((A1)=(2),"",IF((142)=(K4),IF(IF((INDEX(B1:XFD1,((A3)+(1))+(0)))=("store"),(INDEX(B1:XFD1,((A3)+(1))+(1)))=("K"),"false"),B3,K146),K146))</f>
        <v>#VALUE!</v>
      </c>
      <c r="L146" t="e">
        <f ca="1">IF((A1)=(2),"",IF((142)=(L4),IF(IF((INDEX(B1:XFD1,((A3)+(1))+(0)))=("store"),(INDEX(B1:XFD1,((A3)+(1))+(1)))=("L"),"false"),B3,L146),L146))</f>
        <v>#VALUE!</v>
      </c>
      <c r="M146" t="e">
        <f ca="1">IF((A1)=(2),"",IF((142)=(M4),IF(IF((INDEX(B1:XFD1,((A3)+(1))+(0)))=("store"),(INDEX(B1:XFD1,((A3)+(1))+(1)))=("M"),"false"),B3,M146),M146))</f>
        <v>#VALUE!</v>
      </c>
      <c r="N146" t="e">
        <f ca="1">IF((A1)=(2),"",IF((142)=(N4),IF(IF((INDEX(B1:XFD1,((A3)+(1))+(0)))=("store"),(INDEX(B1:XFD1,((A3)+(1))+(1)))=("N"),"false"),B3,N146),N146))</f>
        <v>#VALUE!</v>
      </c>
      <c r="O146" t="e">
        <f ca="1">IF((A1)=(2),"",IF((142)=(O4),IF(IF((INDEX(B1:XFD1,((A3)+(1))+(0)))=("store"),(INDEX(B1:XFD1,((A3)+(1))+(1)))=("O"),"false"),B3,O146),O146))</f>
        <v>#VALUE!</v>
      </c>
      <c r="P146" t="e">
        <f ca="1">IF((A1)=(2),"",IF((142)=(P4),IF(IF((INDEX(B1:XFD1,((A3)+(1))+(0)))=("store"),(INDEX(B1:XFD1,((A3)+(1))+(1)))=("P"),"false"),B3,P146),P146))</f>
        <v>#VALUE!</v>
      </c>
      <c r="Q146" t="e">
        <f ca="1">IF((A1)=(2),"",IF((142)=(Q4),IF(IF((INDEX(B1:XFD1,((A3)+(1))+(0)))=("store"),(INDEX(B1:XFD1,((A3)+(1))+(1)))=("Q"),"false"),B3,Q146),Q146))</f>
        <v>#VALUE!</v>
      </c>
      <c r="R146" t="e">
        <f ca="1">IF((A1)=(2),"",IF((142)=(R4),IF(IF((INDEX(B1:XFD1,((A3)+(1))+(0)))=("store"),(INDEX(B1:XFD1,((A3)+(1))+(1)))=("R"),"false"),B3,R146),R146))</f>
        <v>#VALUE!</v>
      </c>
      <c r="S146" t="e">
        <f ca="1">IF((A1)=(2),"",IF((142)=(S4),IF(IF((INDEX(B1:XFD1,((A3)+(1))+(0)))=("store"),(INDEX(B1:XFD1,((A3)+(1))+(1)))=("S"),"false"),B3,S146),S146))</f>
        <v>#VALUE!</v>
      </c>
      <c r="T146" t="e">
        <f ca="1">IF((A1)=(2),"",IF((142)=(T4),IF(IF((INDEX(B1:XFD1,((A3)+(1))+(0)))=("store"),(INDEX(B1:XFD1,((A3)+(1))+(1)))=("T"),"false"),B3,T146),T146))</f>
        <v>#VALUE!</v>
      </c>
      <c r="U146" t="e">
        <f ca="1">IF((A1)=(2),"",IF((142)=(U4),IF(IF((INDEX(B1:XFD1,((A3)+(1))+(0)))=("store"),(INDEX(B1:XFD1,((A3)+(1))+(1)))=("U"),"false"),B3,U146),U146))</f>
        <v>#VALUE!</v>
      </c>
      <c r="V146" t="e">
        <f ca="1">IF((A1)=(2),"",IF((142)=(V4),IF(IF((INDEX(B1:XFD1,((A3)+(1))+(0)))=("store"),(INDEX(B1:XFD1,((A3)+(1))+(1)))=("V"),"false"),B3,V146),V146))</f>
        <v>#VALUE!</v>
      </c>
      <c r="W146" t="e">
        <f ca="1">IF((A1)=(2),"",IF((142)=(W4),IF(IF((INDEX(B1:XFD1,((A3)+(1))+(0)))=("store"),(INDEX(B1:XFD1,((A3)+(1))+(1)))=("W"),"false"),B3,W146),W146))</f>
        <v>#VALUE!</v>
      </c>
      <c r="X146" t="e">
        <f ca="1">IF((A1)=(2),"",IF((142)=(X4),IF(IF((INDEX(B1:XFD1,((A3)+(1))+(0)))=("store"),(INDEX(B1:XFD1,((A3)+(1))+(1)))=("X"),"false"),B3,X146),X146))</f>
        <v>#VALUE!</v>
      </c>
      <c r="Y146" t="e">
        <f ca="1">IF((A1)=(2),"",IF((142)=(Y4),IF(IF((INDEX(B1:XFD1,((A3)+(1))+(0)))=("store"),(INDEX(B1:XFD1,((A3)+(1))+(1)))=("Y"),"false"),B3,Y146),Y146))</f>
        <v>#VALUE!</v>
      </c>
      <c r="Z146" t="e">
        <f ca="1">IF((A1)=(2),"",IF((142)=(Z4),IF(IF((INDEX(B1:XFD1,((A3)+(1))+(0)))=("store"),(INDEX(B1:XFD1,((A3)+(1))+(1)))=("Z"),"false"),B3,Z146),Z146))</f>
        <v>#VALUE!</v>
      </c>
      <c r="AA146" t="e">
        <f ca="1">IF((A1)=(2),"",IF((142)=(AA4),IF(IF((INDEX(B1:XFD1,((A3)+(1))+(0)))=("store"),(INDEX(B1:XFD1,((A3)+(1))+(1)))=("AA"),"false"),B3,AA146),AA146))</f>
        <v>#VALUE!</v>
      </c>
      <c r="AB146" t="e">
        <f ca="1">IF((A1)=(2),"",IF((142)=(AB4),IF(IF((INDEX(B1:XFD1,((A3)+(1))+(0)))=("store"),(INDEX(B1:XFD1,((A3)+(1))+(1)))=("AB"),"false"),B3,AB146),AB146))</f>
        <v>#VALUE!</v>
      </c>
      <c r="AC146" t="e">
        <f ca="1">IF((A1)=(2),"",IF((142)=(AC4),IF(IF((INDEX(B1:XFD1,((A3)+(1))+(0)))=("store"),(INDEX(B1:XFD1,((A3)+(1))+(1)))=("AC"),"false"),B3,AC146),AC146))</f>
        <v>#VALUE!</v>
      </c>
      <c r="AD146" t="e">
        <f ca="1">IF((A1)=(2),"",IF((142)=(AD4),IF(IF((INDEX(B1:XFD1,((A3)+(1))+(0)))=("store"),(INDEX(B1:XFD1,((A3)+(1))+(1)))=("AD"),"false"),B3,AD146),AD146))</f>
        <v>#VALUE!</v>
      </c>
    </row>
    <row r="147" spans="1:30" x14ac:dyDescent="0.25">
      <c r="A147" t="e">
        <f ca="1">IF((A1)=(2),"",IF((143)=(A4),IF(("call")=(INDEX(B1:XFD1,((A3)+(1))+(0))),(B3)*(2),IF(("goto")=(INDEX(B1:XFD1,((A3)+(1))+(0))),(INDEX(B1:XFD1,((A3)+(1))+(1)))*(2),IF(("gotoiftrue")=(INDEX(B1:XFD1,((A3)+(1))+(0))),IF(B3,(INDEX(B1:XFD1,((A3)+(1))+(1)))*(2),(A147)+(2)),(A147)+(2)))),A147))</f>
        <v>#VALUE!</v>
      </c>
      <c r="B147" t="e">
        <f ca="1">IF((A1)=(2),"",IF((143)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147)+(1)),IF(("add")=(INDEX(B1:XFD1,((A3)+(1))+(0))),(INDEX(B5:B405,(B4)+(1)))+(B147),IF(("equals")=(INDEX(B1:XFD1,((A3)+(1))+(0))),(INDEX(B5:B405,(B4)+(1)))=(B147),IF(("leq")=(INDEX(B1:XFD1,((A3)+(1))+(0))),(INDEX(B5:B405,(B4)+(1)))&lt;=(B147),IF(("greater")=(INDEX(B1:XFD1,((A3)+(1))+(0))),(INDEX(B5:B405,(B4)+(1)))&gt;(B147),IF(("mod")=(INDEX(B1:XFD1,((A3)+(1))+(0))),MOD(INDEX(B5:B405,(B4)+(1)),B147),B147))))))))),B147))</f>
        <v>#VALUE!</v>
      </c>
      <c r="C147" t="e">
        <f ca="1">IF((A1)=(2),1,IF(AND((INDEX(B1:XFD1,((A3)+(1))+(0)))=("writeheap"),(INDEX(B5:B405,(B4)+(1)))=(142)),INDEX(B5:B405,(B4)+(2)),IF((A1)=(2),"",IF((143)=(C4),C147,C147))))</f>
        <v>#VALUE!</v>
      </c>
      <c r="F147" t="e">
        <f ca="1">IF((A1)=(2),"",IF((143)=(F4),IF(IF((INDEX(B1:XFD1,((A3)+(1))+(0)))=("store"),(INDEX(B1:XFD1,((A3)+(1))+(1)))=("F"),"false"),B3,F147),F147))</f>
        <v>#VALUE!</v>
      </c>
      <c r="G147" t="e">
        <f ca="1">IF((A1)=(2),"",IF((143)=(G4),IF(IF((INDEX(B1:XFD1,((A3)+(1))+(0)))=("store"),(INDEX(B1:XFD1,((A3)+(1))+(1)))=("G"),"false"),B3,G147),G147))</f>
        <v>#VALUE!</v>
      </c>
      <c r="H147" t="e">
        <f ca="1">IF((A1)=(2),"",IF((143)=(H4),IF(IF((INDEX(B1:XFD1,((A3)+(1))+(0)))=("store"),(INDEX(B1:XFD1,((A3)+(1))+(1)))=("H"),"false"),B3,H147),H147))</f>
        <v>#VALUE!</v>
      </c>
      <c r="I147" t="e">
        <f ca="1">IF((A1)=(2),"",IF((143)=(I4),IF(IF((INDEX(B1:XFD1,((A3)+(1))+(0)))=("store"),(INDEX(B1:XFD1,((A3)+(1))+(1)))=("I"),"false"),B3,I147),I147))</f>
        <v>#VALUE!</v>
      </c>
      <c r="J147" t="e">
        <f ca="1">IF((A1)=(2),"",IF((143)=(J4),IF(IF((INDEX(B1:XFD1,((A3)+(1))+(0)))=("store"),(INDEX(B1:XFD1,((A3)+(1))+(1)))=("J"),"false"),B3,J147),J147))</f>
        <v>#VALUE!</v>
      </c>
      <c r="K147" t="e">
        <f ca="1">IF((A1)=(2),"",IF((143)=(K4),IF(IF((INDEX(B1:XFD1,((A3)+(1))+(0)))=("store"),(INDEX(B1:XFD1,((A3)+(1))+(1)))=("K"),"false"),B3,K147),K147))</f>
        <v>#VALUE!</v>
      </c>
      <c r="L147" t="e">
        <f ca="1">IF((A1)=(2),"",IF((143)=(L4),IF(IF((INDEX(B1:XFD1,((A3)+(1))+(0)))=("store"),(INDEX(B1:XFD1,((A3)+(1))+(1)))=("L"),"false"),B3,L147),L147))</f>
        <v>#VALUE!</v>
      </c>
      <c r="M147" t="e">
        <f ca="1">IF((A1)=(2),"",IF((143)=(M4),IF(IF((INDEX(B1:XFD1,((A3)+(1))+(0)))=("store"),(INDEX(B1:XFD1,((A3)+(1))+(1)))=("M"),"false"),B3,M147),M147))</f>
        <v>#VALUE!</v>
      </c>
      <c r="N147" t="e">
        <f ca="1">IF((A1)=(2),"",IF((143)=(N4),IF(IF((INDEX(B1:XFD1,((A3)+(1))+(0)))=("store"),(INDEX(B1:XFD1,((A3)+(1))+(1)))=("N"),"false"),B3,N147),N147))</f>
        <v>#VALUE!</v>
      </c>
      <c r="O147" t="e">
        <f ca="1">IF((A1)=(2),"",IF((143)=(O4),IF(IF((INDEX(B1:XFD1,((A3)+(1))+(0)))=("store"),(INDEX(B1:XFD1,((A3)+(1))+(1)))=("O"),"false"),B3,O147),O147))</f>
        <v>#VALUE!</v>
      </c>
      <c r="P147" t="e">
        <f ca="1">IF((A1)=(2),"",IF((143)=(P4),IF(IF((INDEX(B1:XFD1,((A3)+(1))+(0)))=("store"),(INDEX(B1:XFD1,((A3)+(1))+(1)))=("P"),"false"),B3,P147),P147))</f>
        <v>#VALUE!</v>
      </c>
      <c r="Q147" t="e">
        <f ca="1">IF((A1)=(2),"",IF((143)=(Q4),IF(IF((INDEX(B1:XFD1,((A3)+(1))+(0)))=("store"),(INDEX(B1:XFD1,((A3)+(1))+(1)))=("Q"),"false"),B3,Q147),Q147))</f>
        <v>#VALUE!</v>
      </c>
      <c r="R147" t="e">
        <f ca="1">IF((A1)=(2),"",IF((143)=(R4),IF(IF((INDEX(B1:XFD1,((A3)+(1))+(0)))=("store"),(INDEX(B1:XFD1,((A3)+(1))+(1)))=("R"),"false"),B3,R147),R147))</f>
        <v>#VALUE!</v>
      </c>
      <c r="S147" t="e">
        <f ca="1">IF((A1)=(2),"",IF((143)=(S4),IF(IF((INDEX(B1:XFD1,((A3)+(1))+(0)))=("store"),(INDEX(B1:XFD1,((A3)+(1))+(1)))=("S"),"false"),B3,S147),S147))</f>
        <v>#VALUE!</v>
      </c>
      <c r="T147" t="e">
        <f ca="1">IF((A1)=(2),"",IF((143)=(T4),IF(IF((INDEX(B1:XFD1,((A3)+(1))+(0)))=("store"),(INDEX(B1:XFD1,((A3)+(1))+(1)))=("T"),"false"),B3,T147),T147))</f>
        <v>#VALUE!</v>
      </c>
      <c r="U147" t="e">
        <f ca="1">IF((A1)=(2),"",IF((143)=(U4),IF(IF((INDEX(B1:XFD1,((A3)+(1))+(0)))=("store"),(INDEX(B1:XFD1,((A3)+(1))+(1)))=("U"),"false"),B3,U147),U147))</f>
        <v>#VALUE!</v>
      </c>
      <c r="V147" t="e">
        <f ca="1">IF((A1)=(2),"",IF((143)=(V4),IF(IF((INDEX(B1:XFD1,((A3)+(1))+(0)))=("store"),(INDEX(B1:XFD1,((A3)+(1))+(1)))=("V"),"false"),B3,V147),V147))</f>
        <v>#VALUE!</v>
      </c>
      <c r="W147" t="e">
        <f ca="1">IF((A1)=(2),"",IF((143)=(W4),IF(IF((INDEX(B1:XFD1,((A3)+(1))+(0)))=("store"),(INDEX(B1:XFD1,((A3)+(1))+(1)))=("W"),"false"),B3,W147),W147))</f>
        <v>#VALUE!</v>
      </c>
      <c r="X147" t="e">
        <f ca="1">IF((A1)=(2),"",IF((143)=(X4),IF(IF((INDEX(B1:XFD1,((A3)+(1))+(0)))=("store"),(INDEX(B1:XFD1,((A3)+(1))+(1)))=("X"),"false"),B3,X147),X147))</f>
        <v>#VALUE!</v>
      </c>
      <c r="Y147" t="e">
        <f ca="1">IF((A1)=(2),"",IF((143)=(Y4),IF(IF((INDEX(B1:XFD1,((A3)+(1))+(0)))=("store"),(INDEX(B1:XFD1,((A3)+(1))+(1)))=("Y"),"false"),B3,Y147),Y147))</f>
        <v>#VALUE!</v>
      </c>
      <c r="Z147" t="e">
        <f ca="1">IF((A1)=(2),"",IF((143)=(Z4),IF(IF((INDEX(B1:XFD1,((A3)+(1))+(0)))=("store"),(INDEX(B1:XFD1,((A3)+(1))+(1)))=("Z"),"false"),B3,Z147),Z147))</f>
        <v>#VALUE!</v>
      </c>
      <c r="AA147" t="e">
        <f ca="1">IF((A1)=(2),"",IF((143)=(AA4),IF(IF((INDEX(B1:XFD1,((A3)+(1))+(0)))=("store"),(INDEX(B1:XFD1,((A3)+(1))+(1)))=("AA"),"false"),B3,AA147),AA147))</f>
        <v>#VALUE!</v>
      </c>
      <c r="AB147" t="e">
        <f ca="1">IF((A1)=(2),"",IF((143)=(AB4),IF(IF((INDEX(B1:XFD1,((A3)+(1))+(0)))=("store"),(INDEX(B1:XFD1,((A3)+(1))+(1)))=("AB"),"false"),B3,AB147),AB147))</f>
        <v>#VALUE!</v>
      </c>
      <c r="AC147" t="e">
        <f ca="1">IF((A1)=(2),"",IF((143)=(AC4),IF(IF((INDEX(B1:XFD1,((A3)+(1))+(0)))=("store"),(INDEX(B1:XFD1,((A3)+(1))+(1)))=("AC"),"false"),B3,AC147),AC147))</f>
        <v>#VALUE!</v>
      </c>
      <c r="AD147" t="e">
        <f ca="1">IF((A1)=(2),"",IF((143)=(AD4),IF(IF((INDEX(B1:XFD1,((A3)+(1))+(0)))=("store"),(INDEX(B1:XFD1,((A3)+(1))+(1)))=("AD"),"false"),B3,AD147),AD147))</f>
        <v>#VALUE!</v>
      </c>
    </row>
    <row r="148" spans="1:30" x14ac:dyDescent="0.25">
      <c r="A148" t="e">
        <f ca="1">IF((A1)=(2),"",IF((144)=(A4),IF(("call")=(INDEX(B1:XFD1,((A3)+(1))+(0))),(B3)*(2),IF(("goto")=(INDEX(B1:XFD1,((A3)+(1))+(0))),(INDEX(B1:XFD1,((A3)+(1))+(1)))*(2),IF(("gotoiftrue")=(INDEX(B1:XFD1,((A3)+(1))+(0))),IF(B3,(INDEX(B1:XFD1,((A3)+(1))+(1)))*(2),(A148)+(2)),(A148)+(2)))),A148))</f>
        <v>#VALUE!</v>
      </c>
      <c r="B148" t="e">
        <f ca="1">IF((A1)=(2),"",IF((144)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148)+(1)),IF(("add")=(INDEX(B1:XFD1,((A3)+(1))+(0))),(INDEX(B5:B405,(B4)+(1)))+(B148),IF(("equals")=(INDEX(B1:XFD1,((A3)+(1))+(0))),(INDEX(B5:B405,(B4)+(1)))=(B148),IF(("leq")=(INDEX(B1:XFD1,((A3)+(1))+(0))),(INDEX(B5:B405,(B4)+(1)))&lt;=(B148),IF(("greater")=(INDEX(B1:XFD1,((A3)+(1))+(0))),(INDEX(B5:B405,(B4)+(1)))&gt;(B148),IF(("mod")=(INDEX(B1:XFD1,((A3)+(1))+(0))),MOD(INDEX(B5:B405,(B4)+(1)),B148),B148))))))))),B148))</f>
        <v>#VALUE!</v>
      </c>
      <c r="C148" t="e">
        <f ca="1">IF((A1)=(2),1,IF(AND((INDEX(B1:XFD1,((A3)+(1))+(0)))=("writeheap"),(INDEX(B5:B405,(B4)+(1)))=(143)),INDEX(B5:B405,(B4)+(2)),IF((A1)=(2),"",IF((144)=(C4),C148,C148))))</f>
        <v>#VALUE!</v>
      </c>
      <c r="F148" t="e">
        <f ca="1">IF((A1)=(2),"",IF((144)=(F4),IF(IF((INDEX(B1:XFD1,((A3)+(1))+(0)))=("store"),(INDEX(B1:XFD1,((A3)+(1))+(1)))=("F"),"false"),B3,F148),F148))</f>
        <v>#VALUE!</v>
      </c>
      <c r="G148" t="e">
        <f ca="1">IF((A1)=(2),"",IF((144)=(G4),IF(IF((INDEX(B1:XFD1,((A3)+(1))+(0)))=("store"),(INDEX(B1:XFD1,((A3)+(1))+(1)))=("G"),"false"),B3,G148),G148))</f>
        <v>#VALUE!</v>
      </c>
      <c r="H148" t="e">
        <f ca="1">IF((A1)=(2),"",IF((144)=(H4),IF(IF((INDEX(B1:XFD1,((A3)+(1))+(0)))=("store"),(INDEX(B1:XFD1,((A3)+(1))+(1)))=("H"),"false"),B3,H148),H148))</f>
        <v>#VALUE!</v>
      </c>
      <c r="I148" t="e">
        <f ca="1">IF((A1)=(2),"",IF((144)=(I4),IF(IF((INDEX(B1:XFD1,((A3)+(1))+(0)))=("store"),(INDEX(B1:XFD1,((A3)+(1))+(1)))=("I"),"false"),B3,I148),I148))</f>
        <v>#VALUE!</v>
      </c>
      <c r="J148" t="e">
        <f ca="1">IF((A1)=(2),"",IF((144)=(J4),IF(IF((INDEX(B1:XFD1,((A3)+(1))+(0)))=("store"),(INDEX(B1:XFD1,((A3)+(1))+(1)))=("J"),"false"),B3,J148),J148))</f>
        <v>#VALUE!</v>
      </c>
      <c r="K148" t="e">
        <f ca="1">IF((A1)=(2),"",IF((144)=(K4),IF(IF((INDEX(B1:XFD1,((A3)+(1))+(0)))=("store"),(INDEX(B1:XFD1,((A3)+(1))+(1)))=("K"),"false"),B3,K148),K148))</f>
        <v>#VALUE!</v>
      </c>
      <c r="L148" t="e">
        <f ca="1">IF((A1)=(2),"",IF((144)=(L4),IF(IF((INDEX(B1:XFD1,((A3)+(1))+(0)))=("store"),(INDEX(B1:XFD1,((A3)+(1))+(1)))=("L"),"false"),B3,L148),L148))</f>
        <v>#VALUE!</v>
      </c>
      <c r="M148" t="e">
        <f ca="1">IF((A1)=(2),"",IF((144)=(M4),IF(IF((INDEX(B1:XFD1,((A3)+(1))+(0)))=("store"),(INDEX(B1:XFD1,((A3)+(1))+(1)))=("M"),"false"),B3,M148),M148))</f>
        <v>#VALUE!</v>
      </c>
      <c r="N148" t="e">
        <f ca="1">IF((A1)=(2),"",IF((144)=(N4),IF(IF((INDEX(B1:XFD1,((A3)+(1))+(0)))=("store"),(INDEX(B1:XFD1,((A3)+(1))+(1)))=("N"),"false"),B3,N148),N148))</f>
        <v>#VALUE!</v>
      </c>
      <c r="O148" t="e">
        <f ca="1">IF((A1)=(2),"",IF((144)=(O4),IF(IF((INDEX(B1:XFD1,((A3)+(1))+(0)))=("store"),(INDEX(B1:XFD1,((A3)+(1))+(1)))=("O"),"false"),B3,O148),O148))</f>
        <v>#VALUE!</v>
      </c>
      <c r="P148" t="e">
        <f ca="1">IF((A1)=(2),"",IF((144)=(P4),IF(IF((INDEX(B1:XFD1,((A3)+(1))+(0)))=("store"),(INDEX(B1:XFD1,((A3)+(1))+(1)))=("P"),"false"),B3,P148),P148))</f>
        <v>#VALUE!</v>
      </c>
      <c r="Q148" t="e">
        <f ca="1">IF((A1)=(2),"",IF((144)=(Q4),IF(IF((INDEX(B1:XFD1,((A3)+(1))+(0)))=("store"),(INDEX(B1:XFD1,((A3)+(1))+(1)))=("Q"),"false"),B3,Q148),Q148))</f>
        <v>#VALUE!</v>
      </c>
      <c r="R148" t="e">
        <f ca="1">IF((A1)=(2),"",IF((144)=(R4),IF(IF((INDEX(B1:XFD1,((A3)+(1))+(0)))=("store"),(INDEX(B1:XFD1,((A3)+(1))+(1)))=("R"),"false"),B3,R148),R148))</f>
        <v>#VALUE!</v>
      </c>
      <c r="S148" t="e">
        <f ca="1">IF((A1)=(2),"",IF((144)=(S4),IF(IF((INDEX(B1:XFD1,((A3)+(1))+(0)))=("store"),(INDEX(B1:XFD1,((A3)+(1))+(1)))=("S"),"false"),B3,S148),S148))</f>
        <v>#VALUE!</v>
      </c>
      <c r="T148" t="e">
        <f ca="1">IF((A1)=(2),"",IF((144)=(T4),IF(IF((INDEX(B1:XFD1,((A3)+(1))+(0)))=("store"),(INDEX(B1:XFD1,((A3)+(1))+(1)))=("T"),"false"),B3,T148),T148))</f>
        <v>#VALUE!</v>
      </c>
      <c r="U148" t="e">
        <f ca="1">IF((A1)=(2),"",IF((144)=(U4),IF(IF((INDEX(B1:XFD1,((A3)+(1))+(0)))=("store"),(INDEX(B1:XFD1,((A3)+(1))+(1)))=("U"),"false"),B3,U148),U148))</f>
        <v>#VALUE!</v>
      </c>
      <c r="V148" t="e">
        <f ca="1">IF((A1)=(2),"",IF((144)=(V4),IF(IF((INDEX(B1:XFD1,((A3)+(1))+(0)))=("store"),(INDEX(B1:XFD1,((A3)+(1))+(1)))=("V"),"false"),B3,V148),V148))</f>
        <v>#VALUE!</v>
      </c>
      <c r="W148" t="e">
        <f ca="1">IF((A1)=(2),"",IF((144)=(W4),IF(IF((INDEX(B1:XFD1,((A3)+(1))+(0)))=("store"),(INDEX(B1:XFD1,((A3)+(1))+(1)))=("W"),"false"),B3,W148),W148))</f>
        <v>#VALUE!</v>
      </c>
      <c r="X148" t="e">
        <f ca="1">IF((A1)=(2),"",IF((144)=(X4),IF(IF((INDEX(B1:XFD1,((A3)+(1))+(0)))=("store"),(INDEX(B1:XFD1,((A3)+(1))+(1)))=("X"),"false"),B3,X148),X148))</f>
        <v>#VALUE!</v>
      </c>
      <c r="Y148" t="e">
        <f ca="1">IF((A1)=(2),"",IF((144)=(Y4),IF(IF((INDEX(B1:XFD1,((A3)+(1))+(0)))=("store"),(INDEX(B1:XFD1,((A3)+(1))+(1)))=("Y"),"false"),B3,Y148),Y148))</f>
        <v>#VALUE!</v>
      </c>
      <c r="Z148" t="e">
        <f ca="1">IF((A1)=(2),"",IF((144)=(Z4),IF(IF((INDEX(B1:XFD1,((A3)+(1))+(0)))=("store"),(INDEX(B1:XFD1,((A3)+(1))+(1)))=("Z"),"false"),B3,Z148),Z148))</f>
        <v>#VALUE!</v>
      </c>
      <c r="AA148" t="e">
        <f ca="1">IF((A1)=(2),"",IF((144)=(AA4),IF(IF((INDEX(B1:XFD1,((A3)+(1))+(0)))=("store"),(INDEX(B1:XFD1,((A3)+(1))+(1)))=("AA"),"false"),B3,AA148),AA148))</f>
        <v>#VALUE!</v>
      </c>
      <c r="AB148" t="e">
        <f ca="1">IF((A1)=(2),"",IF((144)=(AB4),IF(IF((INDEX(B1:XFD1,((A3)+(1))+(0)))=("store"),(INDEX(B1:XFD1,((A3)+(1))+(1)))=("AB"),"false"),B3,AB148),AB148))</f>
        <v>#VALUE!</v>
      </c>
      <c r="AC148" t="e">
        <f ca="1">IF((A1)=(2),"",IF((144)=(AC4),IF(IF((INDEX(B1:XFD1,((A3)+(1))+(0)))=("store"),(INDEX(B1:XFD1,((A3)+(1))+(1)))=("AC"),"false"),B3,AC148),AC148))</f>
        <v>#VALUE!</v>
      </c>
      <c r="AD148" t="e">
        <f ca="1">IF((A1)=(2),"",IF((144)=(AD4),IF(IF((INDEX(B1:XFD1,((A3)+(1))+(0)))=("store"),(INDEX(B1:XFD1,((A3)+(1))+(1)))=("AD"),"false"),B3,AD148),AD148))</f>
        <v>#VALUE!</v>
      </c>
    </row>
    <row r="149" spans="1:30" x14ac:dyDescent="0.25">
      <c r="A149" t="e">
        <f ca="1">IF((A1)=(2),"",IF((145)=(A4),IF(("call")=(INDEX(B1:XFD1,((A3)+(1))+(0))),(B3)*(2),IF(("goto")=(INDEX(B1:XFD1,((A3)+(1))+(0))),(INDEX(B1:XFD1,((A3)+(1))+(1)))*(2),IF(("gotoiftrue")=(INDEX(B1:XFD1,((A3)+(1))+(0))),IF(B3,(INDEX(B1:XFD1,((A3)+(1))+(1)))*(2),(A149)+(2)),(A149)+(2)))),A149))</f>
        <v>#VALUE!</v>
      </c>
      <c r="B149" t="e">
        <f ca="1">IF((A1)=(2),"",IF((145)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149)+(1)),IF(("add")=(INDEX(B1:XFD1,((A3)+(1))+(0))),(INDEX(B5:B405,(B4)+(1)))+(B149),IF(("equals")=(INDEX(B1:XFD1,((A3)+(1))+(0))),(INDEX(B5:B405,(B4)+(1)))=(B149),IF(("leq")=(INDEX(B1:XFD1,((A3)+(1))+(0))),(INDEX(B5:B405,(B4)+(1)))&lt;=(B149),IF(("greater")=(INDEX(B1:XFD1,((A3)+(1))+(0))),(INDEX(B5:B405,(B4)+(1)))&gt;(B149),IF(("mod")=(INDEX(B1:XFD1,((A3)+(1))+(0))),MOD(INDEX(B5:B405,(B4)+(1)),B149),B149))))))))),B149))</f>
        <v>#VALUE!</v>
      </c>
      <c r="C149" t="e">
        <f ca="1">IF((A1)=(2),1,IF(AND((INDEX(B1:XFD1,((A3)+(1))+(0)))=("writeheap"),(INDEX(B5:B405,(B4)+(1)))=(144)),INDEX(B5:B405,(B4)+(2)),IF((A1)=(2),"",IF((145)=(C4),C149,C149))))</f>
        <v>#VALUE!</v>
      </c>
      <c r="F149" t="e">
        <f ca="1">IF((A1)=(2),"",IF((145)=(F4),IF(IF((INDEX(B1:XFD1,((A3)+(1))+(0)))=("store"),(INDEX(B1:XFD1,((A3)+(1))+(1)))=("F"),"false"),B3,F149),F149))</f>
        <v>#VALUE!</v>
      </c>
      <c r="G149" t="e">
        <f ca="1">IF((A1)=(2),"",IF((145)=(G4),IF(IF((INDEX(B1:XFD1,((A3)+(1))+(0)))=("store"),(INDEX(B1:XFD1,((A3)+(1))+(1)))=("G"),"false"),B3,G149),G149))</f>
        <v>#VALUE!</v>
      </c>
      <c r="H149" t="e">
        <f ca="1">IF((A1)=(2),"",IF((145)=(H4),IF(IF((INDEX(B1:XFD1,((A3)+(1))+(0)))=("store"),(INDEX(B1:XFD1,((A3)+(1))+(1)))=("H"),"false"),B3,H149),H149))</f>
        <v>#VALUE!</v>
      </c>
      <c r="I149" t="e">
        <f ca="1">IF((A1)=(2),"",IF((145)=(I4),IF(IF((INDEX(B1:XFD1,((A3)+(1))+(0)))=("store"),(INDEX(B1:XFD1,((A3)+(1))+(1)))=("I"),"false"),B3,I149),I149))</f>
        <v>#VALUE!</v>
      </c>
      <c r="J149" t="e">
        <f ca="1">IF((A1)=(2),"",IF((145)=(J4),IF(IF((INDEX(B1:XFD1,((A3)+(1))+(0)))=("store"),(INDEX(B1:XFD1,((A3)+(1))+(1)))=("J"),"false"),B3,J149),J149))</f>
        <v>#VALUE!</v>
      </c>
      <c r="K149" t="e">
        <f ca="1">IF((A1)=(2),"",IF((145)=(K4),IF(IF((INDEX(B1:XFD1,((A3)+(1))+(0)))=("store"),(INDEX(B1:XFD1,((A3)+(1))+(1)))=("K"),"false"),B3,K149),K149))</f>
        <v>#VALUE!</v>
      </c>
      <c r="L149" t="e">
        <f ca="1">IF((A1)=(2),"",IF((145)=(L4),IF(IF((INDEX(B1:XFD1,((A3)+(1))+(0)))=("store"),(INDEX(B1:XFD1,((A3)+(1))+(1)))=("L"),"false"),B3,L149),L149))</f>
        <v>#VALUE!</v>
      </c>
      <c r="M149" t="e">
        <f ca="1">IF((A1)=(2),"",IF((145)=(M4),IF(IF((INDEX(B1:XFD1,((A3)+(1))+(0)))=("store"),(INDEX(B1:XFD1,((A3)+(1))+(1)))=("M"),"false"),B3,M149),M149))</f>
        <v>#VALUE!</v>
      </c>
      <c r="N149" t="e">
        <f ca="1">IF((A1)=(2),"",IF((145)=(N4),IF(IF((INDEX(B1:XFD1,((A3)+(1))+(0)))=("store"),(INDEX(B1:XFD1,((A3)+(1))+(1)))=("N"),"false"),B3,N149),N149))</f>
        <v>#VALUE!</v>
      </c>
      <c r="O149" t="e">
        <f ca="1">IF((A1)=(2),"",IF((145)=(O4),IF(IF((INDEX(B1:XFD1,((A3)+(1))+(0)))=("store"),(INDEX(B1:XFD1,((A3)+(1))+(1)))=("O"),"false"),B3,O149),O149))</f>
        <v>#VALUE!</v>
      </c>
      <c r="P149" t="e">
        <f ca="1">IF((A1)=(2),"",IF((145)=(P4),IF(IF((INDEX(B1:XFD1,((A3)+(1))+(0)))=("store"),(INDEX(B1:XFD1,((A3)+(1))+(1)))=("P"),"false"),B3,P149),P149))</f>
        <v>#VALUE!</v>
      </c>
      <c r="Q149" t="e">
        <f ca="1">IF((A1)=(2),"",IF((145)=(Q4),IF(IF((INDEX(B1:XFD1,((A3)+(1))+(0)))=("store"),(INDEX(B1:XFD1,((A3)+(1))+(1)))=("Q"),"false"),B3,Q149),Q149))</f>
        <v>#VALUE!</v>
      </c>
      <c r="R149" t="e">
        <f ca="1">IF((A1)=(2),"",IF((145)=(R4),IF(IF((INDEX(B1:XFD1,((A3)+(1))+(0)))=("store"),(INDEX(B1:XFD1,((A3)+(1))+(1)))=("R"),"false"),B3,R149),R149))</f>
        <v>#VALUE!</v>
      </c>
      <c r="S149" t="e">
        <f ca="1">IF((A1)=(2),"",IF((145)=(S4),IF(IF((INDEX(B1:XFD1,((A3)+(1))+(0)))=("store"),(INDEX(B1:XFD1,((A3)+(1))+(1)))=("S"),"false"),B3,S149),S149))</f>
        <v>#VALUE!</v>
      </c>
      <c r="T149" t="e">
        <f ca="1">IF((A1)=(2),"",IF((145)=(T4),IF(IF((INDEX(B1:XFD1,((A3)+(1))+(0)))=("store"),(INDEX(B1:XFD1,((A3)+(1))+(1)))=("T"),"false"),B3,T149),T149))</f>
        <v>#VALUE!</v>
      </c>
      <c r="U149" t="e">
        <f ca="1">IF((A1)=(2),"",IF((145)=(U4),IF(IF((INDEX(B1:XFD1,((A3)+(1))+(0)))=("store"),(INDEX(B1:XFD1,((A3)+(1))+(1)))=("U"),"false"),B3,U149),U149))</f>
        <v>#VALUE!</v>
      </c>
      <c r="V149" t="e">
        <f ca="1">IF((A1)=(2),"",IF((145)=(V4),IF(IF((INDEX(B1:XFD1,((A3)+(1))+(0)))=("store"),(INDEX(B1:XFD1,((A3)+(1))+(1)))=("V"),"false"),B3,V149),V149))</f>
        <v>#VALUE!</v>
      </c>
      <c r="W149" t="e">
        <f ca="1">IF((A1)=(2),"",IF((145)=(W4),IF(IF((INDEX(B1:XFD1,((A3)+(1))+(0)))=("store"),(INDEX(B1:XFD1,((A3)+(1))+(1)))=("W"),"false"),B3,W149),W149))</f>
        <v>#VALUE!</v>
      </c>
      <c r="X149" t="e">
        <f ca="1">IF((A1)=(2),"",IF((145)=(X4),IF(IF((INDEX(B1:XFD1,((A3)+(1))+(0)))=("store"),(INDEX(B1:XFD1,((A3)+(1))+(1)))=("X"),"false"),B3,X149),X149))</f>
        <v>#VALUE!</v>
      </c>
      <c r="Y149" t="e">
        <f ca="1">IF((A1)=(2),"",IF((145)=(Y4),IF(IF((INDEX(B1:XFD1,((A3)+(1))+(0)))=("store"),(INDEX(B1:XFD1,((A3)+(1))+(1)))=("Y"),"false"),B3,Y149),Y149))</f>
        <v>#VALUE!</v>
      </c>
      <c r="Z149" t="e">
        <f ca="1">IF((A1)=(2),"",IF((145)=(Z4),IF(IF((INDEX(B1:XFD1,((A3)+(1))+(0)))=("store"),(INDEX(B1:XFD1,((A3)+(1))+(1)))=("Z"),"false"),B3,Z149),Z149))</f>
        <v>#VALUE!</v>
      </c>
      <c r="AA149" t="e">
        <f ca="1">IF((A1)=(2),"",IF((145)=(AA4),IF(IF((INDEX(B1:XFD1,((A3)+(1))+(0)))=("store"),(INDEX(B1:XFD1,((A3)+(1))+(1)))=("AA"),"false"),B3,AA149),AA149))</f>
        <v>#VALUE!</v>
      </c>
      <c r="AB149" t="e">
        <f ca="1">IF((A1)=(2),"",IF((145)=(AB4),IF(IF((INDEX(B1:XFD1,((A3)+(1))+(0)))=("store"),(INDEX(B1:XFD1,((A3)+(1))+(1)))=("AB"),"false"),B3,AB149),AB149))</f>
        <v>#VALUE!</v>
      </c>
      <c r="AC149" t="e">
        <f ca="1">IF((A1)=(2),"",IF((145)=(AC4),IF(IF((INDEX(B1:XFD1,((A3)+(1))+(0)))=("store"),(INDEX(B1:XFD1,((A3)+(1))+(1)))=("AC"),"false"),B3,AC149),AC149))</f>
        <v>#VALUE!</v>
      </c>
      <c r="AD149" t="e">
        <f ca="1">IF((A1)=(2),"",IF((145)=(AD4),IF(IF((INDEX(B1:XFD1,((A3)+(1))+(0)))=("store"),(INDEX(B1:XFD1,((A3)+(1))+(1)))=("AD"),"false"),B3,AD149),AD149))</f>
        <v>#VALUE!</v>
      </c>
    </row>
    <row r="150" spans="1:30" x14ac:dyDescent="0.25">
      <c r="A150" t="e">
        <f ca="1">IF((A1)=(2),"",IF((146)=(A4),IF(("call")=(INDEX(B1:XFD1,((A3)+(1))+(0))),(B3)*(2),IF(("goto")=(INDEX(B1:XFD1,((A3)+(1))+(0))),(INDEX(B1:XFD1,((A3)+(1))+(1)))*(2),IF(("gotoiftrue")=(INDEX(B1:XFD1,((A3)+(1))+(0))),IF(B3,(INDEX(B1:XFD1,((A3)+(1))+(1)))*(2),(A150)+(2)),(A150)+(2)))),A150))</f>
        <v>#VALUE!</v>
      </c>
      <c r="B150" t="e">
        <f ca="1">IF((A1)=(2),"",IF((146)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150)+(1)),IF(("add")=(INDEX(B1:XFD1,((A3)+(1))+(0))),(INDEX(B5:B405,(B4)+(1)))+(B150),IF(("equals")=(INDEX(B1:XFD1,((A3)+(1))+(0))),(INDEX(B5:B405,(B4)+(1)))=(B150),IF(("leq")=(INDEX(B1:XFD1,((A3)+(1))+(0))),(INDEX(B5:B405,(B4)+(1)))&lt;=(B150),IF(("greater")=(INDEX(B1:XFD1,((A3)+(1))+(0))),(INDEX(B5:B405,(B4)+(1)))&gt;(B150),IF(("mod")=(INDEX(B1:XFD1,((A3)+(1))+(0))),MOD(INDEX(B5:B405,(B4)+(1)),B150),B150))))))))),B150))</f>
        <v>#VALUE!</v>
      </c>
      <c r="C150" t="e">
        <f ca="1">IF((A1)=(2),1,IF(AND((INDEX(B1:XFD1,((A3)+(1))+(0)))=("writeheap"),(INDEX(B5:B405,(B4)+(1)))=(145)),INDEX(B5:B405,(B4)+(2)),IF((A1)=(2),"",IF((146)=(C4),C150,C150))))</f>
        <v>#VALUE!</v>
      </c>
      <c r="F150" t="e">
        <f ca="1">IF((A1)=(2),"",IF((146)=(F4),IF(IF((INDEX(B1:XFD1,((A3)+(1))+(0)))=("store"),(INDEX(B1:XFD1,((A3)+(1))+(1)))=("F"),"false"),B3,F150),F150))</f>
        <v>#VALUE!</v>
      </c>
      <c r="G150" t="e">
        <f ca="1">IF((A1)=(2),"",IF((146)=(G4),IF(IF((INDEX(B1:XFD1,((A3)+(1))+(0)))=("store"),(INDEX(B1:XFD1,((A3)+(1))+(1)))=("G"),"false"),B3,G150),G150))</f>
        <v>#VALUE!</v>
      </c>
      <c r="H150" t="e">
        <f ca="1">IF((A1)=(2),"",IF((146)=(H4),IF(IF((INDEX(B1:XFD1,((A3)+(1))+(0)))=("store"),(INDEX(B1:XFD1,((A3)+(1))+(1)))=("H"),"false"),B3,H150),H150))</f>
        <v>#VALUE!</v>
      </c>
      <c r="I150" t="e">
        <f ca="1">IF((A1)=(2),"",IF((146)=(I4),IF(IF((INDEX(B1:XFD1,((A3)+(1))+(0)))=("store"),(INDEX(B1:XFD1,((A3)+(1))+(1)))=("I"),"false"),B3,I150),I150))</f>
        <v>#VALUE!</v>
      </c>
      <c r="J150" t="e">
        <f ca="1">IF((A1)=(2),"",IF((146)=(J4),IF(IF((INDEX(B1:XFD1,((A3)+(1))+(0)))=("store"),(INDEX(B1:XFD1,((A3)+(1))+(1)))=("J"),"false"),B3,J150),J150))</f>
        <v>#VALUE!</v>
      </c>
      <c r="K150" t="e">
        <f ca="1">IF((A1)=(2),"",IF((146)=(K4),IF(IF((INDEX(B1:XFD1,((A3)+(1))+(0)))=("store"),(INDEX(B1:XFD1,((A3)+(1))+(1)))=("K"),"false"),B3,K150),K150))</f>
        <v>#VALUE!</v>
      </c>
      <c r="L150" t="e">
        <f ca="1">IF((A1)=(2),"",IF((146)=(L4),IF(IF((INDEX(B1:XFD1,((A3)+(1))+(0)))=("store"),(INDEX(B1:XFD1,((A3)+(1))+(1)))=("L"),"false"),B3,L150),L150))</f>
        <v>#VALUE!</v>
      </c>
      <c r="M150" t="e">
        <f ca="1">IF((A1)=(2),"",IF((146)=(M4),IF(IF((INDEX(B1:XFD1,((A3)+(1))+(0)))=("store"),(INDEX(B1:XFD1,((A3)+(1))+(1)))=("M"),"false"),B3,M150),M150))</f>
        <v>#VALUE!</v>
      </c>
      <c r="N150" t="e">
        <f ca="1">IF((A1)=(2),"",IF((146)=(N4),IF(IF((INDEX(B1:XFD1,((A3)+(1))+(0)))=("store"),(INDEX(B1:XFD1,((A3)+(1))+(1)))=("N"),"false"),B3,N150),N150))</f>
        <v>#VALUE!</v>
      </c>
      <c r="O150" t="e">
        <f ca="1">IF((A1)=(2),"",IF((146)=(O4),IF(IF((INDEX(B1:XFD1,((A3)+(1))+(0)))=("store"),(INDEX(B1:XFD1,((A3)+(1))+(1)))=("O"),"false"),B3,O150),O150))</f>
        <v>#VALUE!</v>
      </c>
      <c r="P150" t="e">
        <f ca="1">IF((A1)=(2),"",IF((146)=(P4),IF(IF((INDEX(B1:XFD1,((A3)+(1))+(0)))=("store"),(INDEX(B1:XFD1,((A3)+(1))+(1)))=("P"),"false"),B3,P150),P150))</f>
        <v>#VALUE!</v>
      </c>
      <c r="Q150" t="e">
        <f ca="1">IF((A1)=(2),"",IF((146)=(Q4),IF(IF((INDEX(B1:XFD1,((A3)+(1))+(0)))=("store"),(INDEX(B1:XFD1,((A3)+(1))+(1)))=("Q"),"false"),B3,Q150),Q150))</f>
        <v>#VALUE!</v>
      </c>
      <c r="R150" t="e">
        <f ca="1">IF((A1)=(2),"",IF((146)=(R4),IF(IF((INDEX(B1:XFD1,((A3)+(1))+(0)))=("store"),(INDEX(B1:XFD1,((A3)+(1))+(1)))=("R"),"false"),B3,R150),R150))</f>
        <v>#VALUE!</v>
      </c>
      <c r="S150" t="e">
        <f ca="1">IF((A1)=(2),"",IF((146)=(S4),IF(IF((INDEX(B1:XFD1,((A3)+(1))+(0)))=("store"),(INDEX(B1:XFD1,((A3)+(1))+(1)))=("S"),"false"),B3,S150),S150))</f>
        <v>#VALUE!</v>
      </c>
      <c r="T150" t="e">
        <f ca="1">IF((A1)=(2),"",IF((146)=(T4),IF(IF((INDEX(B1:XFD1,((A3)+(1))+(0)))=("store"),(INDEX(B1:XFD1,((A3)+(1))+(1)))=("T"),"false"),B3,T150),T150))</f>
        <v>#VALUE!</v>
      </c>
      <c r="U150" t="e">
        <f ca="1">IF((A1)=(2),"",IF((146)=(U4),IF(IF((INDEX(B1:XFD1,((A3)+(1))+(0)))=("store"),(INDEX(B1:XFD1,((A3)+(1))+(1)))=("U"),"false"),B3,U150),U150))</f>
        <v>#VALUE!</v>
      </c>
      <c r="V150" t="e">
        <f ca="1">IF((A1)=(2),"",IF((146)=(V4),IF(IF((INDEX(B1:XFD1,((A3)+(1))+(0)))=("store"),(INDEX(B1:XFD1,((A3)+(1))+(1)))=("V"),"false"),B3,V150),V150))</f>
        <v>#VALUE!</v>
      </c>
      <c r="W150" t="e">
        <f ca="1">IF((A1)=(2),"",IF((146)=(W4),IF(IF((INDEX(B1:XFD1,((A3)+(1))+(0)))=("store"),(INDEX(B1:XFD1,((A3)+(1))+(1)))=("W"),"false"),B3,W150),W150))</f>
        <v>#VALUE!</v>
      </c>
      <c r="X150" t="e">
        <f ca="1">IF((A1)=(2),"",IF((146)=(X4),IF(IF((INDEX(B1:XFD1,((A3)+(1))+(0)))=("store"),(INDEX(B1:XFD1,((A3)+(1))+(1)))=("X"),"false"),B3,X150),X150))</f>
        <v>#VALUE!</v>
      </c>
      <c r="Y150" t="e">
        <f ca="1">IF((A1)=(2),"",IF((146)=(Y4),IF(IF((INDEX(B1:XFD1,((A3)+(1))+(0)))=("store"),(INDEX(B1:XFD1,((A3)+(1))+(1)))=("Y"),"false"),B3,Y150),Y150))</f>
        <v>#VALUE!</v>
      </c>
      <c r="Z150" t="e">
        <f ca="1">IF((A1)=(2),"",IF((146)=(Z4),IF(IF((INDEX(B1:XFD1,((A3)+(1))+(0)))=("store"),(INDEX(B1:XFD1,((A3)+(1))+(1)))=("Z"),"false"),B3,Z150),Z150))</f>
        <v>#VALUE!</v>
      </c>
      <c r="AA150" t="e">
        <f ca="1">IF((A1)=(2),"",IF((146)=(AA4),IF(IF((INDEX(B1:XFD1,((A3)+(1))+(0)))=("store"),(INDEX(B1:XFD1,((A3)+(1))+(1)))=("AA"),"false"),B3,AA150),AA150))</f>
        <v>#VALUE!</v>
      </c>
      <c r="AB150" t="e">
        <f ca="1">IF((A1)=(2),"",IF((146)=(AB4),IF(IF((INDEX(B1:XFD1,((A3)+(1))+(0)))=("store"),(INDEX(B1:XFD1,((A3)+(1))+(1)))=("AB"),"false"),B3,AB150),AB150))</f>
        <v>#VALUE!</v>
      </c>
      <c r="AC150" t="e">
        <f ca="1">IF((A1)=(2),"",IF((146)=(AC4),IF(IF((INDEX(B1:XFD1,((A3)+(1))+(0)))=("store"),(INDEX(B1:XFD1,((A3)+(1))+(1)))=("AC"),"false"),B3,AC150),AC150))</f>
        <v>#VALUE!</v>
      </c>
      <c r="AD150" t="e">
        <f ca="1">IF((A1)=(2),"",IF((146)=(AD4),IF(IF((INDEX(B1:XFD1,((A3)+(1))+(0)))=("store"),(INDEX(B1:XFD1,((A3)+(1))+(1)))=("AD"),"false"),B3,AD150),AD150))</f>
        <v>#VALUE!</v>
      </c>
    </row>
    <row r="151" spans="1:30" x14ac:dyDescent="0.25">
      <c r="A151" t="e">
        <f ca="1">IF((A1)=(2),"",IF((147)=(A4),IF(("call")=(INDEX(B1:XFD1,((A3)+(1))+(0))),(B3)*(2),IF(("goto")=(INDEX(B1:XFD1,((A3)+(1))+(0))),(INDEX(B1:XFD1,((A3)+(1))+(1)))*(2),IF(("gotoiftrue")=(INDEX(B1:XFD1,((A3)+(1))+(0))),IF(B3,(INDEX(B1:XFD1,((A3)+(1))+(1)))*(2),(A151)+(2)),(A151)+(2)))),A151))</f>
        <v>#VALUE!</v>
      </c>
      <c r="B151" t="e">
        <f ca="1">IF((A1)=(2),"",IF((147)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151)+(1)),IF(("add")=(INDEX(B1:XFD1,((A3)+(1))+(0))),(INDEX(B5:B405,(B4)+(1)))+(B151),IF(("equals")=(INDEX(B1:XFD1,((A3)+(1))+(0))),(INDEX(B5:B405,(B4)+(1)))=(B151),IF(("leq")=(INDEX(B1:XFD1,((A3)+(1))+(0))),(INDEX(B5:B405,(B4)+(1)))&lt;=(B151),IF(("greater")=(INDEX(B1:XFD1,((A3)+(1))+(0))),(INDEX(B5:B405,(B4)+(1)))&gt;(B151),IF(("mod")=(INDEX(B1:XFD1,((A3)+(1))+(0))),MOD(INDEX(B5:B405,(B4)+(1)),B151),B151))))))))),B151))</f>
        <v>#VALUE!</v>
      </c>
      <c r="C151" t="e">
        <f ca="1">IF((A1)=(2),1,IF(AND((INDEX(B1:XFD1,((A3)+(1))+(0)))=("writeheap"),(INDEX(B5:B405,(B4)+(1)))=(146)),INDEX(B5:B405,(B4)+(2)),IF((A1)=(2),"",IF((147)=(C4),C151,C151))))</f>
        <v>#VALUE!</v>
      </c>
      <c r="F151" t="e">
        <f ca="1">IF((A1)=(2),"",IF((147)=(F4),IF(IF((INDEX(B1:XFD1,((A3)+(1))+(0)))=("store"),(INDEX(B1:XFD1,((A3)+(1))+(1)))=("F"),"false"),B3,F151),F151))</f>
        <v>#VALUE!</v>
      </c>
      <c r="G151" t="e">
        <f ca="1">IF((A1)=(2),"",IF((147)=(G4),IF(IF((INDEX(B1:XFD1,((A3)+(1))+(0)))=("store"),(INDEX(B1:XFD1,((A3)+(1))+(1)))=("G"),"false"),B3,G151),G151))</f>
        <v>#VALUE!</v>
      </c>
      <c r="H151" t="e">
        <f ca="1">IF((A1)=(2),"",IF((147)=(H4),IF(IF((INDEX(B1:XFD1,((A3)+(1))+(0)))=("store"),(INDEX(B1:XFD1,((A3)+(1))+(1)))=("H"),"false"),B3,H151),H151))</f>
        <v>#VALUE!</v>
      </c>
      <c r="I151" t="e">
        <f ca="1">IF((A1)=(2),"",IF((147)=(I4),IF(IF((INDEX(B1:XFD1,((A3)+(1))+(0)))=("store"),(INDEX(B1:XFD1,((A3)+(1))+(1)))=("I"),"false"),B3,I151),I151))</f>
        <v>#VALUE!</v>
      </c>
      <c r="J151" t="e">
        <f ca="1">IF((A1)=(2),"",IF((147)=(J4),IF(IF((INDEX(B1:XFD1,((A3)+(1))+(0)))=("store"),(INDEX(B1:XFD1,((A3)+(1))+(1)))=("J"),"false"),B3,J151),J151))</f>
        <v>#VALUE!</v>
      </c>
      <c r="K151" t="e">
        <f ca="1">IF((A1)=(2),"",IF((147)=(K4),IF(IF((INDEX(B1:XFD1,((A3)+(1))+(0)))=("store"),(INDEX(B1:XFD1,((A3)+(1))+(1)))=("K"),"false"),B3,K151),K151))</f>
        <v>#VALUE!</v>
      </c>
      <c r="L151" t="e">
        <f ca="1">IF((A1)=(2),"",IF((147)=(L4),IF(IF((INDEX(B1:XFD1,((A3)+(1))+(0)))=("store"),(INDEX(B1:XFD1,((A3)+(1))+(1)))=("L"),"false"),B3,L151),L151))</f>
        <v>#VALUE!</v>
      </c>
      <c r="M151" t="e">
        <f ca="1">IF((A1)=(2),"",IF((147)=(M4),IF(IF((INDEX(B1:XFD1,((A3)+(1))+(0)))=("store"),(INDEX(B1:XFD1,((A3)+(1))+(1)))=("M"),"false"),B3,M151),M151))</f>
        <v>#VALUE!</v>
      </c>
      <c r="N151" t="e">
        <f ca="1">IF((A1)=(2),"",IF((147)=(N4),IF(IF((INDEX(B1:XFD1,((A3)+(1))+(0)))=("store"),(INDEX(B1:XFD1,((A3)+(1))+(1)))=("N"),"false"),B3,N151),N151))</f>
        <v>#VALUE!</v>
      </c>
      <c r="O151" t="e">
        <f ca="1">IF((A1)=(2),"",IF((147)=(O4),IF(IF((INDEX(B1:XFD1,((A3)+(1))+(0)))=("store"),(INDEX(B1:XFD1,((A3)+(1))+(1)))=("O"),"false"),B3,O151),O151))</f>
        <v>#VALUE!</v>
      </c>
      <c r="P151" t="e">
        <f ca="1">IF((A1)=(2),"",IF((147)=(P4),IF(IF((INDEX(B1:XFD1,((A3)+(1))+(0)))=("store"),(INDEX(B1:XFD1,((A3)+(1))+(1)))=("P"),"false"),B3,P151),P151))</f>
        <v>#VALUE!</v>
      </c>
      <c r="Q151" t="e">
        <f ca="1">IF((A1)=(2),"",IF((147)=(Q4),IF(IF((INDEX(B1:XFD1,((A3)+(1))+(0)))=("store"),(INDEX(B1:XFD1,((A3)+(1))+(1)))=("Q"),"false"),B3,Q151),Q151))</f>
        <v>#VALUE!</v>
      </c>
      <c r="R151" t="e">
        <f ca="1">IF((A1)=(2),"",IF((147)=(R4),IF(IF((INDEX(B1:XFD1,((A3)+(1))+(0)))=("store"),(INDEX(B1:XFD1,((A3)+(1))+(1)))=("R"),"false"),B3,R151),R151))</f>
        <v>#VALUE!</v>
      </c>
      <c r="S151" t="e">
        <f ca="1">IF((A1)=(2),"",IF((147)=(S4),IF(IF((INDEX(B1:XFD1,((A3)+(1))+(0)))=("store"),(INDEX(B1:XFD1,((A3)+(1))+(1)))=("S"),"false"),B3,S151),S151))</f>
        <v>#VALUE!</v>
      </c>
      <c r="T151" t="e">
        <f ca="1">IF((A1)=(2),"",IF((147)=(T4),IF(IF((INDEX(B1:XFD1,((A3)+(1))+(0)))=("store"),(INDEX(B1:XFD1,((A3)+(1))+(1)))=("T"),"false"),B3,T151),T151))</f>
        <v>#VALUE!</v>
      </c>
      <c r="U151" t="e">
        <f ca="1">IF((A1)=(2),"",IF((147)=(U4),IF(IF((INDEX(B1:XFD1,((A3)+(1))+(0)))=("store"),(INDEX(B1:XFD1,((A3)+(1))+(1)))=("U"),"false"),B3,U151),U151))</f>
        <v>#VALUE!</v>
      </c>
      <c r="V151" t="e">
        <f ca="1">IF((A1)=(2),"",IF((147)=(V4),IF(IF((INDEX(B1:XFD1,((A3)+(1))+(0)))=("store"),(INDEX(B1:XFD1,((A3)+(1))+(1)))=("V"),"false"),B3,V151),V151))</f>
        <v>#VALUE!</v>
      </c>
      <c r="W151" t="e">
        <f ca="1">IF((A1)=(2),"",IF((147)=(W4),IF(IF((INDEX(B1:XFD1,((A3)+(1))+(0)))=("store"),(INDEX(B1:XFD1,((A3)+(1))+(1)))=("W"),"false"),B3,W151),W151))</f>
        <v>#VALUE!</v>
      </c>
      <c r="X151" t="e">
        <f ca="1">IF((A1)=(2),"",IF((147)=(X4),IF(IF((INDEX(B1:XFD1,((A3)+(1))+(0)))=("store"),(INDEX(B1:XFD1,((A3)+(1))+(1)))=("X"),"false"),B3,X151),X151))</f>
        <v>#VALUE!</v>
      </c>
      <c r="Y151" t="e">
        <f ca="1">IF((A1)=(2),"",IF((147)=(Y4),IF(IF((INDEX(B1:XFD1,((A3)+(1))+(0)))=("store"),(INDEX(B1:XFD1,((A3)+(1))+(1)))=("Y"),"false"),B3,Y151),Y151))</f>
        <v>#VALUE!</v>
      </c>
      <c r="Z151" t="e">
        <f ca="1">IF((A1)=(2),"",IF((147)=(Z4),IF(IF((INDEX(B1:XFD1,((A3)+(1))+(0)))=("store"),(INDEX(B1:XFD1,((A3)+(1))+(1)))=("Z"),"false"),B3,Z151),Z151))</f>
        <v>#VALUE!</v>
      </c>
      <c r="AA151" t="e">
        <f ca="1">IF((A1)=(2),"",IF((147)=(AA4),IF(IF((INDEX(B1:XFD1,((A3)+(1))+(0)))=("store"),(INDEX(B1:XFD1,((A3)+(1))+(1)))=("AA"),"false"),B3,AA151),AA151))</f>
        <v>#VALUE!</v>
      </c>
      <c r="AB151" t="e">
        <f ca="1">IF((A1)=(2),"",IF((147)=(AB4),IF(IF((INDEX(B1:XFD1,((A3)+(1))+(0)))=("store"),(INDEX(B1:XFD1,((A3)+(1))+(1)))=("AB"),"false"),B3,AB151),AB151))</f>
        <v>#VALUE!</v>
      </c>
      <c r="AC151" t="e">
        <f ca="1">IF((A1)=(2),"",IF((147)=(AC4),IF(IF((INDEX(B1:XFD1,((A3)+(1))+(0)))=("store"),(INDEX(B1:XFD1,((A3)+(1))+(1)))=("AC"),"false"),B3,AC151),AC151))</f>
        <v>#VALUE!</v>
      </c>
      <c r="AD151" t="e">
        <f ca="1">IF((A1)=(2),"",IF((147)=(AD4),IF(IF((INDEX(B1:XFD1,((A3)+(1))+(0)))=("store"),(INDEX(B1:XFD1,((A3)+(1))+(1)))=("AD"),"false"),B3,AD151),AD151))</f>
        <v>#VALUE!</v>
      </c>
    </row>
    <row r="152" spans="1:30" x14ac:dyDescent="0.25">
      <c r="A152" t="e">
        <f ca="1">IF((A1)=(2),"",IF((148)=(A4),IF(("call")=(INDEX(B1:XFD1,((A3)+(1))+(0))),(B3)*(2),IF(("goto")=(INDEX(B1:XFD1,((A3)+(1))+(0))),(INDEX(B1:XFD1,((A3)+(1))+(1)))*(2),IF(("gotoiftrue")=(INDEX(B1:XFD1,((A3)+(1))+(0))),IF(B3,(INDEX(B1:XFD1,((A3)+(1))+(1)))*(2),(A152)+(2)),(A152)+(2)))),A152))</f>
        <v>#VALUE!</v>
      </c>
      <c r="B152" t="e">
        <f ca="1">IF((A1)=(2),"",IF((148)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152)+(1)),IF(("add")=(INDEX(B1:XFD1,((A3)+(1))+(0))),(INDEX(B5:B405,(B4)+(1)))+(B152),IF(("equals")=(INDEX(B1:XFD1,((A3)+(1))+(0))),(INDEX(B5:B405,(B4)+(1)))=(B152),IF(("leq")=(INDEX(B1:XFD1,((A3)+(1))+(0))),(INDEX(B5:B405,(B4)+(1)))&lt;=(B152),IF(("greater")=(INDEX(B1:XFD1,((A3)+(1))+(0))),(INDEX(B5:B405,(B4)+(1)))&gt;(B152),IF(("mod")=(INDEX(B1:XFD1,((A3)+(1))+(0))),MOD(INDEX(B5:B405,(B4)+(1)),B152),B152))))))))),B152))</f>
        <v>#VALUE!</v>
      </c>
      <c r="C152" t="e">
        <f ca="1">IF((A1)=(2),1,IF(AND((INDEX(B1:XFD1,((A3)+(1))+(0)))=("writeheap"),(INDEX(B5:B405,(B4)+(1)))=(147)),INDEX(B5:B405,(B4)+(2)),IF((A1)=(2),"",IF((148)=(C4),C152,C152))))</f>
        <v>#VALUE!</v>
      </c>
      <c r="F152" t="e">
        <f ca="1">IF((A1)=(2),"",IF((148)=(F4),IF(IF((INDEX(B1:XFD1,((A3)+(1))+(0)))=("store"),(INDEX(B1:XFD1,((A3)+(1))+(1)))=("F"),"false"),B3,F152),F152))</f>
        <v>#VALUE!</v>
      </c>
      <c r="G152" t="e">
        <f ca="1">IF((A1)=(2),"",IF((148)=(G4),IF(IF((INDEX(B1:XFD1,((A3)+(1))+(0)))=("store"),(INDEX(B1:XFD1,((A3)+(1))+(1)))=("G"),"false"),B3,G152),G152))</f>
        <v>#VALUE!</v>
      </c>
      <c r="H152" t="e">
        <f ca="1">IF((A1)=(2),"",IF((148)=(H4),IF(IF((INDEX(B1:XFD1,((A3)+(1))+(0)))=("store"),(INDEX(B1:XFD1,((A3)+(1))+(1)))=("H"),"false"),B3,H152),H152))</f>
        <v>#VALUE!</v>
      </c>
      <c r="I152" t="e">
        <f ca="1">IF((A1)=(2),"",IF((148)=(I4),IF(IF((INDEX(B1:XFD1,((A3)+(1))+(0)))=("store"),(INDEX(B1:XFD1,((A3)+(1))+(1)))=("I"),"false"),B3,I152),I152))</f>
        <v>#VALUE!</v>
      </c>
      <c r="J152" t="e">
        <f ca="1">IF((A1)=(2),"",IF((148)=(J4),IF(IF((INDEX(B1:XFD1,((A3)+(1))+(0)))=("store"),(INDEX(B1:XFD1,((A3)+(1))+(1)))=("J"),"false"),B3,J152),J152))</f>
        <v>#VALUE!</v>
      </c>
      <c r="K152" t="e">
        <f ca="1">IF((A1)=(2),"",IF((148)=(K4),IF(IF((INDEX(B1:XFD1,((A3)+(1))+(0)))=("store"),(INDEX(B1:XFD1,((A3)+(1))+(1)))=("K"),"false"),B3,K152),K152))</f>
        <v>#VALUE!</v>
      </c>
      <c r="L152" t="e">
        <f ca="1">IF((A1)=(2),"",IF((148)=(L4),IF(IF((INDEX(B1:XFD1,((A3)+(1))+(0)))=("store"),(INDEX(B1:XFD1,((A3)+(1))+(1)))=("L"),"false"),B3,L152),L152))</f>
        <v>#VALUE!</v>
      </c>
      <c r="M152" t="e">
        <f ca="1">IF((A1)=(2),"",IF((148)=(M4),IF(IF((INDEX(B1:XFD1,((A3)+(1))+(0)))=("store"),(INDEX(B1:XFD1,((A3)+(1))+(1)))=("M"),"false"),B3,M152),M152))</f>
        <v>#VALUE!</v>
      </c>
      <c r="N152" t="e">
        <f ca="1">IF((A1)=(2),"",IF((148)=(N4),IF(IF((INDEX(B1:XFD1,((A3)+(1))+(0)))=("store"),(INDEX(B1:XFD1,((A3)+(1))+(1)))=("N"),"false"),B3,N152),N152))</f>
        <v>#VALUE!</v>
      </c>
      <c r="O152" t="e">
        <f ca="1">IF((A1)=(2),"",IF((148)=(O4),IF(IF((INDEX(B1:XFD1,((A3)+(1))+(0)))=("store"),(INDEX(B1:XFD1,((A3)+(1))+(1)))=("O"),"false"),B3,O152),O152))</f>
        <v>#VALUE!</v>
      </c>
      <c r="P152" t="e">
        <f ca="1">IF((A1)=(2),"",IF((148)=(P4),IF(IF((INDEX(B1:XFD1,((A3)+(1))+(0)))=("store"),(INDEX(B1:XFD1,((A3)+(1))+(1)))=("P"),"false"),B3,P152),P152))</f>
        <v>#VALUE!</v>
      </c>
      <c r="Q152" t="e">
        <f ca="1">IF((A1)=(2),"",IF((148)=(Q4),IF(IF((INDEX(B1:XFD1,((A3)+(1))+(0)))=("store"),(INDEX(B1:XFD1,((A3)+(1))+(1)))=("Q"),"false"),B3,Q152),Q152))</f>
        <v>#VALUE!</v>
      </c>
      <c r="R152" t="e">
        <f ca="1">IF((A1)=(2),"",IF((148)=(R4),IF(IF((INDEX(B1:XFD1,((A3)+(1))+(0)))=("store"),(INDEX(B1:XFD1,((A3)+(1))+(1)))=("R"),"false"),B3,R152),R152))</f>
        <v>#VALUE!</v>
      </c>
      <c r="S152" t="e">
        <f ca="1">IF((A1)=(2),"",IF((148)=(S4),IF(IF((INDEX(B1:XFD1,((A3)+(1))+(0)))=("store"),(INDEX(B1:XFD1,((A3)+(1))+(1)))=("S"),"false"),B3,S152),S152))</f>
        <v>#VALUE!</v>
      </c>
      <c r="T152" t="e">
        <f ca="1">IF((A1)=(2),"",IF((148)=(T4),IF(IF((INDEX(B1:XFD1,((A3)+(1))+(0)))=("store"),(INDEX(B1:XFD1,((A3)+(1))+(1)))=("T"),"false"),B3,T152),T152))</f>
        <v>#VALUE!</v>
      </c>
      <c r="U152" t="e">
        <f ca="1">IF((A1)=(2),"",IF((148)=(U4),IF(IF((INDEX(B1:XFD1,((A3)+(1))+(0)))=("store"),(INDEX(B1:XFD1,((A3)+(1))+(1)))=("U"),"false"),B3,U152),U152))</f>
        <v>#VALUE!</v>
      </c>
      <c r="V152" t="e">
        <f ca="1">IF((A1)=(2),"",IF((148)=(V4),IF(IF((INDEX(B1:XFD1,((A3)+(1))+(0)))=("store"),(INDEX(B1:XFD1,((A3)+(1))+(1)))=("V"),"false"),B3,V152),V152))</f>
        <v>#VALUE!</v>
      </c>
      <c r="W152" t="e">
        <f ca="1">IF((A1)=(2),"",IF((148)=(W4),IF(IF((INDEX(B1:XFD1,((A3)+(1))+(0)))=("store"),(INDEX(B1:XFD1,((A3)+(1))+(1)))=("W"),"false"),B3,W152),W152))</f>
        <v>#VALUE!</v>
      </c>
      <c r="X152" t="e">
        <f ca="1">IF((A1)=(2),"",IF((148)=(X4),IF(IF((INDEX(B1:XFD1,((A3)+(1))+(0)))=("store"),(INDEX(B1:XFD1,((A3)+(1))+(1)))=("X"),"false"),B3,X152),X152))</f>
        <v>#VALUE!</v>
      </c>
      <c r="Y152" t="e">
        <f ca="1">IF((A1)=(2),"",IF((148)=(Y4),IF(IF((INDEX(B1:XFD1,((A3)+(1))+(0)))=("store"),(INDEX(B1:XFD1,((A3)+(1))+(1)))=("Y"),"false"),B3,Y152),Y152))</f>
        <v>#VALUE!</v>
      </c>
      <c r="Z152" t="e">
        <f ca="1">IF((A1)=(2),"",IF((148)=(Z4),IF(IF((INDEX(B1:XFD1,((A3)+(1))+(0)))=("store"),(INDEX(B1:XFD1,((A3)+(1))+(1)))=("Z"),"false"),B3,Z152),Z152))</f>
        <v>#VALUE!</v>
      </c>
      <c r="AA152" t="e">
        <f ca="1">IF((A1)=(2),"",IF((148)=(AA4),IF(IF((INDEX(B1:XFD1,((A3)+(1))+(0)))=("store"),(INDEX(B1:XFD1,((A3)+(1))+(1)))=("AA"),"false"),B3,AA152),AA152))</f>
        <v>#VALUE!</v>
      </c>
      <c r="AB152" t="e">
        <f ca="1">IF((A1)=(2),"",IF((148)=(AB4),IF(IF((INDEX(B1:XFD1,((A3)+(1))+(0)))=("store"),(INDEX(B1:XFD1,((A3)+(1))+(1)))=("AB"),"false"),B3,AB152),AB152))</f>
        <v>#VALUE!</v>
      </c>
      <c r="AC152" t="e">
        <f ca="1">IF((A1)=(2),"",IF((148)=(AC4),IF(IF((INDEX(B1:XFD1,((A3)+(1))+(0)))=("store"),(INDEX(B1:XFD1,((A3)+(1))+(1)))=("AC"),"false"),B3,AC152),AC152))</f>
        <v>#VALUE!</v>
      </c>
      <c r="AD152" t="e">
        <f ca="1">IF((A1)=(2),"",IF((148)=(AD4),IF(IF((INDEX(B1:XFD1,((A3)+(1))+(0)))=("store"),(INDEX(B1:XFD1,((A3)+(1))+(1)))=("AD"),"false"),B3,AD152),AD152))</f>
        <v>#VALUE!</v>
      </c>
    </row>
    <row r="153" spans="1:30" x14ac:dyDescent="0.25">
      <c r="A153" t="e">
        <f ca="1">IF((A1)=(2),"",IF((149)=(A4),IF(("call")=(INDEX(B1:XFD1,((A3)+(1))+(0))),(B3)*(2),IF(("goto")=(INDEX(B1:XFD1,((A3)+(1))+(0))),(INDEX(B1:XFD1,((A3)+(1))+(1)))*(2),IF(("gotoiftrue")=(INDEX(B1:XFD1,((A3)+(1))+(0))),IF(B3,(INDEX(B1:XFD1,((A3)+(1))+(1)))*(2),(A153)+(2)),(A153)+(2)))),A153))</f>
        <v>#VALUE!</v>
      </c>
      <c r="B153" t="e">
        <f ca="1">IF((A1)=(2),"",IF((149)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153)+(1)),IF(("add")=(INDEX(B1:XFD1,((A3)+(1))+(0))),(INDEX(B5:B405,(B4)+(1)))+(B153),IF(("equals")=(INDEX(B1:XFD1,((A3)+(1))+(0))),(INDEX(B5:B405,(B4)+(1)))=(B153),IF(("leq")=(INDEX(B1:XFD1,((A3)+(1))+(0))),(INDEX(B5:B405,(B4)+(1)))&lt;=(B153),IF(("greater")=(INDEX(B1:XFD1,((A3)+(1))+(0))),(INDEX(B5:B405,(B4)+(1)))&gt;(B153),IF(("mod")=(INDEX(B1:XFD1,((A3)+(1))+(0))),MOD(INDEX(B5:B405,(B4)+(1)),B153),B153))))))))),B153))</f>
        <v>#VALUE!</v>
      </c>
      <c r="C153" t="e">
        <f ca="1">IF((A1)=(2),1,IF(AND((INDEX(B1:XFD1,((A3)+(1))+(0)))=("writeheap"),(INDEX(B5:B405,(B4)+(1)))=(148)),INDEX(B5:B405,(B4)+(2)),IF((A1)=(2),"",IF((149)=(C4),C153,C153))))</f>
        <v>#VALUE!</v>
      </c>
      <c r="F153" t="e">
        <f ca="1">IF((A1)=(2),"",IF((149)=(F4),IF(IF((INDEX(B1:XFD1,((A3)+(1))+(0)))=("store"),(INDEX(B1:XFD1,((A3)+(1))+(1)))=("F"),"false"),B3,F153),F153))</f>
        <v>#VALUE!</v>
      </c>
      <c r="G153" t="e">
        <f ca="1">IF((A1)=(2),"",IF((149)=(G4),IF(IF((INDEX(B1:XFD1,((A3)+(1))+(0)))=("store"),(INDEX(B1:XFD1,((A3)+(1))+(1)))=("G"),"false"),B3,G153),G153))</f>
        <v>#VALUE!</v>
      </c>
      <c r="H153" t="e">
        <f ca="1">IF((A1)=(2),"",IF((149)=(H4),IF(IF((INDEX(B1:XFD1,((A3)+(1))+(0)))=("store"),(INDEX(B1:XFD1,((A3)+(1))+(1)))=("H"),"false"),B3,H153),H153))</f>
        <v>#VALUE!</v>
      </c>
      <c r="I153" t="e">
        <f ca="1">IF((A1)=(2),"",IF((149)=(I4),IF(IF((INDEX(B1:XFD1,((A3)+(1))+(0)))=("store"),(INDEX(B1:XFD1,((A3)+(1))+(1)))=("I"),"false"),B3,I153),I153))</f>
        <v>#VALUE!</v>
      </c>
      <c r="J153" t="e">
        <f ca="1">IF((A1)=(2),"",IF((149)=(J4),IF(IF((INDEX(B1:XFD1,((A3)+(1))+(0)))=("store"),(INDEX(B1:XFD1,((A3)+(1))+(1)))=("J"),"false"),B3,J153),J153))</f>
        <v>#VALUE!</v>
      </c>
      <c r="K153" t="e">
        <f ca="1">IF((A1)=(2),"",IF((149)=(K4),IF(IF((INDEX(B1:XFD1,((A3)+(1))+(0)))=("store"),(INDEX(B1:XFD1,((A3)+(1))+(1)))=("K"),"false"),B3,K153),K153))</f>
        <v>#VALUE!</v>
      </c>
      <c r="L153" t="e">
        <f ca="1">IF((A1)=(2),"",IF((149)=(L4),IF(IF((INDEX(B1:XFD1,((A3)+(1))+(0)))=("store"),(INDEX(B1:XFD1,((A3)+(1))+(1)))=("L"),"false"),B3,L153),L153))</f>
        <v>#VALUE!</v>
      </c>
      <c r="M153" t="e">
        <f ca="1">IF((A1)=(2),"",IF((149)=(M4),IF(IF((INDEX(B1:XFD1,((A3)+(1))+(0)))=("store"),(INDEX(B1:XFD1,((A3)+(1))+(1)))=("M"),"false"),B3,M153),M153))</f>
        <v>#VALUE!</v>
      </c>
      <c r="N153" t="e">
        <f ca="1">IF((A1)=(2),"",IF((149)=(N4),IF(IF((INDEX(B1:XFD1,((A3)+(1))+(0)))=("store"),(INDEX(B1:XFD1,((A3)+(1))+(1)))=("N"),"false"),B3,N153),N153))</f>
        <v>#VALUE!</v>
      </c>
      <c r="O153" t="e">
        <f ca="1">IF((A1)=(2),"",IF((149)=(O4),IF(IF((INDEX(B1:XFD1,((A3)+(1))+(0)))=("store"),(INDEX(B1:XFD1,((A3)+(1))+(1)))=("O"),"false"),B3,O153),O153))</f>
        <v>#VALUE!</v>
      </c>
      <c r="P153" t="e">
        <f ca="1">IF((A1)=(2),"",IF((149)=(P4),IF(IF((INDEX(B1:XFD1,((A3)+(1))+(0)))=("store"),(INDEX(B1:XFD1,((A3)+(1))+(1)))=("P"),"false"),B3,P153),P153))</f>
        <v>#VALUE!</v>
      </c>
      <c r="Q153" t="e">
        <f ca="1">IF((A1)=(2),"",IF((149)=(Q4),IF(IF((INDEX(B1:XFD1,((A3)+(1))+(0)))=("store"),(INDEX(B1:XFD1,((A3)+(1))+(1)))=("Q"),"false"),B3,Q153),Q153))</f>
        <v>#VALUE!</v>
      </c>
      <c r="R153" t="e">
        <f ca="1">IF((A1)=(2),"",IF((149)=(R4),IF(IF((INDEX(B1:XFD1,((A3)+(1))+(0)))=("store"),(INDEX(B1:XFD1,((A3)+(1))+(1)))=("R"),"false"),B3,R153),R153))</f>
        <v>#VALUE!</v>
      </c>
      <c r="S153" t="e">
        <f ca="1">IF((A1)=(2),"",IF((149)=(S4),IF(IF((INDEX(B1:XFD1,((A3)+(1))+(0)))=("store"),(INDEX(B1:XFD1,((A3)+(1))+(1)))=("S"),"false"),B3,S153),S153))</f>
        <v>#VALUE!</v>
      </c>
      <c r="T153" t="e">
        <f ca="1">IF((A1)=(2),"",IF((149)=(T4),IF(IF((INDEX(B1:XFD1,((A3)+(1))+(0)))=("store"),(INDEX(B1:XFD1,((A3)+(1))+(1)))=("T"),"false"),B3,T153),T153))</f>
        <v>#VALUE!</v>
      </c>
      <c r="U153" t="e">
        <f ca="1">IF((A1)=(2),"",IF((149)=(U4),IF(IF((INDEX(B1:XFD1,((A3)+(1))+(0)))=("store"),(INDEX(B1:XFD1,((A3)+(1))+(1)))=("U"),"false"),B3,U153),U153))</f>
        <v>#VALUE!</v>
      </c>
      <c r="V153" t="e">
        <f ca="1">IF((A1)=(2),"",IF((149)=(V4),IF(IF((INDEX(B1:XFD1,((A3)+(1))+(0)))=("store"),(INDEX(B1:XFD1,((A3)+(1))+(1)))=("V"),"false"),B3,V153),V153))</f>
        <v>#VALUE!</v>
      </c>
      <c r="W153" t="e">
        <f ca="1">IF((A1)=(2),"",IF((149)=(W4),IF(IF((INDEX(B1:XFD1,((A3)+(1))+(0)))=("store"),(INDEX(B1:XFD1,((A3)+(1))+(1)))=("W"),"false"),B3,W153),W153))</f>
        <v>#VALUE!</v>
      </c>
      <c r="X153" t="e">
        <f ca="1">IF((A1)=(2),"",IF((149)=(X4),IF(IF((INDEX(B1:XFD1,((A3)+(1))+(0)))=("store"),(INDEX(B1:XFD1,((A3)+(1))+(1)))=("X"),"false"),B3,X153),X153))</f>
        <v>#VALUE!</v>
      </c>
      <c r="Y153" t="e">
        <f ca="1">IF((A1)=(2),"",IF((149)=(Y4),IF(IF((INDEX(B1:XFD1,((A3)+(1))+(0)))=("store"),(INDEX(B1:XFD1,((A3)+(1))+(1)))=("Y"),"false"),B3,Y153),Y153))</f>
        <v>#VALUE!</v>
      </c>
      <c r="Z153" t="e">
        <f ca="1">IF((A1)=(2),"",IF((149)=(Z4),IF(IF((INDEX(B1:XFD1,((A3)+(1))+(0)))=("store"),(INDEX(B1:XFD1,((A3)+(1))+(1)))=("Z"),"false"),B3,Z153),Z153))</f>
        <v>#VALUE!</v>
      </c>
      <c r="AA153" t="e">
        <f ca="1">IF((A1)=(2),"",IF((149)=(AA4),IF(IF((INDEX(B1:XFD1,((A3)+(1))+(0)))=("store"),(INDEX(B1:XFD1,((A3)+(1))+(1)))=("AA"),"false"),B3,AA153),AA153))</f>
        <v>#VALUE!</v>
      </c>
      <c r="AB153" t="e">
        <f ca="1">IF((A1)=(2),"",IF((149)=(AB4),IF(IF((INDEX(B1:XFD1,((A3)+(1))+(0)))=("store"),(INDEX(B1:XFD1,((A3)+(1))+(1)))=("AB"),"false"),B3,AB153),AB153))</f>
        <v>#VALUE!</v>
      </c>
      <c r="AC153" t="e">
        <f ca="1">IF((A1)=(2),"",IF((149)=(AC4),IF(IF((INDEX(B1:XFD1,((A3)+(1))+(0)))=("store"),(INDEX(B1:XFD1,((A3)+(1))+(1)))=("AC"),"false"),B3,AC153),AC153))</f>
        <v>#VALUE!</v>
      </c>
      <c r="AD153" t="e">
        <f ca="1">IF((A1)=(2),"",IF((149)=(AD4),IF(IF((INDEX(B1:XFD1,((A3)+(1))+(0)))=("store"),(INDEX(B1:XFD1,((A3)+(1))+(1)))=("AD"),"false"),B3,AD153),AD153))</f>
        <v>#VALUE!</v>
      </c>
    </row>
    <row r="154" spans="1:30" x14ac:dyDescent="0.25">
      <c r="A154" t="e">
        <f ca="1">IF((A1)=(2),"",IF((150)=(A4),IF(("call")=(INDEX(B1:XFD1,((A3)+(1))+(0))),(B3)*(2),IF(("goto")=(INDEX(B1:XFD1,((A3)+(1))+(0))),(INDEX(B1:XFD1,((A3)+(1))+(1)))*(2),IF(("gotoiftrue")=(INDEX(B1:XFD1,((A3)+(1))+(0))),IF(B3,(INDEX(B1:XFD1,((A3)+(1))+(1)))*(2),(A154)+(2)),(A154)+(2)))),A154))</f>
        <v>#VALUE!</v>
      </c>
      <c r="B154" t="e">
        <f ca="1">IF((A1)=(2),"",IF((150)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154)+(1)),IF(("add")=(INDEX(B1:XFD1,((A3)+(1))+(0))),(INDEX(B5:B405,(B4)+(1)))+(B154),IF(("equals")=(INDEX(B1:XFD1,((A3)+(1))+(0))),(INDEX(B5:B405,(B4)+(1)))=(B154),IF(("leq")=(INDEX(B1:XFD1,((A3)+(1))+(0))),(INDEX(B5:B405,(B4)+(1)))&lt;=(B154),IF(("greater")=(INDEX(B1:XFD1,((A3)+(1))+(0))),(INDEX(B5:B405,(B4)+(1)))&gt;(B154),IF(("mod")=(INDEX(B1:XFD1,((A3)+(1))+(0))),MOD(INDEX(B5:B405,(B4)+(1)),B154),B154))))))))),B154))</f>
        <v>#VALUE!</v>
      </c>
      <c r="C154" t="e">
        <f ca="1">IF((A1)=(2),1,IF(AND((INDEX(B1:XFD1,((A3)+(1))+(0)))=("writeheap"),(INDEX(B5:B405,(B4)+(1)))=(149)),INDEX(B5:B405,(B4)+(2)),IF((A1)=(2),"",IF((150)=(C4),C154,C154))))</f>
        <v>#VALUE!</v>
      </c>
      <c r="F154" t="e">
        <f ca="1">IF((A1)=(2),"",IF((150)=(F4),IF(IF((INDEX(B1:XFD1,((A3)+(1))+(0)))=("store"),(INDEX(B1:XFD1,((A3)+(1))+(1)))=("F"),"false"),B3,F154),F154))</f>
        <v>#VALUE!</v>
      </c>
      <c r="G154" t="e">
        <f ca="1">IF((A1)=(2),"",IF((150)=(G4),IF(IF((INDEX(B1:XFD1,((A3)+(1))+(0)))=("store"),(INDEX(B1:XFD1,((A3)+(1))+(1)))=("G"),"false"),B3,G154),G154))</f>
        <v>#VALUE!</v>
      </c>
      <c r="H154" t="e">
        <f ca="1">IF((A1)=(2),"",IF((150)=(H4),IF(IF((INDEX(B1:XFD1,((A3)+(1))+(0)))=("store"),(INDEX(B1:XFD1,((A3)+(1))+(1)))=("H"),"false"),B3,H154),H154))</f>
        <v>#VALUE!</v>
      </c>
      <c r="I154" t="e">
        <f ca="1">IF((A1)=(2),"",IF((150)=(I4),IF(IF((INDEX(B1:XFD1,((A3)+(1))+(0)))=("store"),(INDEX(B1:XFD1,((A3)+(1))+(1)))=("I"),"false"),B3,I154),I154))</f>
        <v>#VALUE!</v>
      </c>
      <c r="J154" t="e">
        <f ca="1">IF((A1)=(2),"",IF((150)=(J4),IF(IF((INDEX(B1:XFD1,((A3)+(1))+(0)))=("store"),(INDEX(B1:XFD1,((A3)+(1))+(1)))=("J"),"false"),B3,J154),J154))</f>
        <v>#VALUE!</v>
      </c>
      <c r="K154" t="e">
        <f ca="1">IF((A1)=(2),"",IF((150)=(K4),IF(IF((INDEX(B1:XFD1,((A3)+(1))+(0)))=("store"),(INDEX(B1:XFD1,((A3)+(1))+(1)))=("K"),"false"),B3,K154),K154))</f>
        <v>#VALUE!</v>
      </c>
      <c r="L154" t="e">
        <f ca="1">IF((A1)=(2),"",IF((150)=(L4),IF(IF((INDEX(B1:XFD1,((A3)+(1))+(0)))=("store"),(INDEX(B1:XFD1,((A3)+(1))+(1)))=("L"),"false"),B3,L154),L154))</f>
        <v>#VALUE!</v>
      </c>
      <c r="M154" t="e">
        <f ca="1">IF((A1)=(2),"",IF((150)=(M4),IF(IF((INDEX(B1:XFD1,((A3)+(1))+(0)))=("store"),(INDEX(B1:XFD1,((A3)+(1))+(1)))=("M"),"false"),B3,M154),M154))</f>
        <v>#VALUE!</v>
      </c>
      <c r="N154" t="e">
        <f ca="1">IF((A1)=(2),"",IF((150)=(N4),IF(IF((INDEX(B1:XFD1,((A3)+(1))+(0)))=("store"),(INDEX(B1:XFD1,((A3)+(1))+(1)))=("N"),"false"),B3,N154),N154))</f>
        <v>#VALUE!</v>
      </c>
      <c r="O154" t="e">
        <f ca="1">IF((A1)=(2),"",IF((150)=(O4),IF(IF((INDEX(B1:XFD1,((A3)+(1))+(0)))=("store"),(INDEX(B1:XFD1,((A3)+(1))+(1)))=("O"),"false"),B3,O154),O154))</f>
        <v>#VALUE!</v>
      </c>
      <c r="P154" t="e">
        <f ca="1">IF((A1)=(2),"",IF((150)=(P4),IF(IF((INDEX(B1:XFD1,((A3)+(1))+(0)))=("store"),(INDEX(B1:XFD1,((A3)+(1))+(1)))=("P"),"false"),B3,P154),P154))</f>
        <v>#VALUE!</v>
      </c>
      <c r="Q154" t="e">
        <f ca="1">IF((A1)=(2),"",IF((150)=(Q4),IF(IF((INDEX(B1:XFD1,((A3)+(1))+(0)))=("store"),(INDEX(B1:XFD1,((A3)+(1))+(1)))=("Q"),"false"),B3,Q154),Q154))</f>
        <v>#VALUE!</v>
      </c>
      <c r="R154" t="e">
        <f ca="1">IF((A1)=(2),"",IF((150)=(R4),IF(IF((INDEX(B1:XFD1,((A3)+(1))+(0)))=("store"),(INDEX(B1:XFD1,((A3)+(1))+(1)))=("R"),"false"),B3,R154),R154))</f>
        <v>#VALUE!</v>
      </c>
      <c r="S154" t="e">
        <f ca="1">IF((A1)=(2),"",IF((150)=(S4),IF(IF((INDEX(B1:XFD1,((A3)+(1))+(0)))=("store"),(INDEX(B1:XFD1,((A3)+(1))+(1)))=("S"),"false"),B3,S154),S154))</f>
        <v>#VALUE!</v>
      </c>
      <c r="T154" t="e">
        <f ca="1">IF((A1)=(2),"",IF((150)=(T4),IF(IF((INDEX(B1:XFD1,((A3)+(1))+(0)))=("store"),(INDEX(B1:XFD1,((A3)+(1))+(1)))=("T"),"false"),B3,T154),T154))</f>
        <v>#VALUE!</v>
      </c>
      <c r="U154" t="e">
        <f ca="1">IF((A1)=(2),"",IF((150)=(U4),IF(IF((INDEX(B1:XFD1,((A3)+(1))+(0)))=("store"),(INDEX(B1:XFD1,((A3)+(1))+(1)))=("U"),"false"),B3,U154),U154))</f>
        <v>#VALUE!</v>
      </c>
      <c r="V154" t="e">
        <f ca="1">IF((A1)=(2),"",IF((150)=(V4),IF(IF((INDEX(B1:XFD1,((A3)+(1))+(0)))=("store"),(INDEX(B1:XFD1,((A3)+(1))+(1)))=("V"),"false"),B3,V154),V154))</f>
        <v>#VALUE!</v>
      </c>
      <c r="W154" t="e">
        <f ca="1">IF((A1)=(2),"",IF((150)=(W4),IF(IF((INDEX(B1:XFD1,((A3)+(1))+(0)))=("store"),(INDEX(B1:XFD1,((A3)+(1))+(1)))=("W"),"false"),B3,W154),W154))</f>
        <v>#VALUE!</v>
      </c>
      <c r="X154" t="e">
        <f ca="1">IF((A1)=(2),"",IF((150)=(X4),IF(IF((INDEX(B1:XFD1,((A3)+(1))+(0)))=("store"),(INDEX(B1:XFD1,((A3)+(1))+(1)))=("X"),"false"),B3,X154),X154))</f>
        <v>#VALUE!</v>
      </c>
      <c r="Y154" t="e">
        <f ca="1">IF((A1)=(2),"",IF((150)=(Y4),IF(IF((INDEX(B1:XFD1,((A3)+(1))+(0)))=("store"),(INDEX(B1:XFD1,((A3)+(1))+(1)))=("Y"),"false"),B3,Y154),Y154))</f>
        <v>#VALUE!</v>
      </c>
      <c r="Z154" t="e">
        <f ca="1">IF((A1)=(2),"",IF((150)=(Z4),IF(IF((INDEX(B1:XFD1,((A3)+(1))+(0)))=("store"),(INDEX(B1:XFD1,((A3)+(1))+(1)))=("Z"),"false"),B3,Z154),Z154))</f>
        <v>#VALUE!</v>
      </c>
      <c r="AA154" t="e">
        <f ca="1">IF((A1)=(2),"",IF((150)=(AA4),IF(IF((INDEX(B1:XFD1,((A3)+(1))+(0)))=("store"),(INDEX(B1:XFD1,((A3)+(1))+(1)))=("AA"),"false"),B3,AA154),AA154))</f>
        <v>#VALUE!</v>
      </c>
      <c r="AB154" t="e">
        <f ca="1">IF((A1)=(2),"",IF((150)=(AB4),IF(IF((INDEX(B1:XFD1,((A3)+(1))+(0)))=("store"),(INDEX(B1:XFD1,((A3)+(1))+(1)))=("AB"),"false"),B3,AB154),AB154))</f>
        <v>#VALUE!</v>
      </c>
      <c r="AC154" t="e">
        <f ca="1">IF((A1)=(2),"",IF((150)=(AC4),IF(IF((INDEX(B1:XFD1,((A3)+(1))+(0)))=("store"),(INDEX(B1:XFD1,((A3)+(1))+(1)))=("AC"),"false"),B3,AC154),AC154))</f>
        <v>#VALUE!</v>
      </c>
      <c r="AD154" t="e">
        <f ca="1">IF((A1)=(2),"",IF((150)=(AD4),IF(IF((INDEX(B1:XFD1,((A3)+(1))+(0)))=("store"),(INDEX(B1:XFD1,((A3)+(1))+(1)))=("AD"),"false"),B3,AD154),AD154))</f>
        <v>#VALUE!</v>
      </c>
    </row>
    <row r="155" spans="1:30" x14ac:dyDescent="0.25">
      <c r="A155" t="e">
        <f ca="1">IF((A1)=(2),"",IF((151)=(A4),IF(("call")=(INDEX(B1:XFD1,((A3)+(1))+(0))),(B3)*(2),IF(("goto")=(INDEX(B1:XFD1,((A3)+(1))+(0))),(INDEX(B1:XFD1,((A3)+(1))+(1)))*(2),IF(("gotoiftrue")=(INDEX(B1:XFD1,((A3)+(1))+(0))),IF(B3,(INDEX(B1:XFD1,((A3)+(1))+(1)))*(2),(A155)+(2)),(A155)+(2)))),A155))</f>
        <v>#VALUE!</v>
      </c>
      <c r="B155" t="e">
        <f ca="1">IF((A1)=(2),"",IF((151)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155)+(1)),IF(("add")=(INDEX(B1:XFD1,((A3)+(1))+(0))),(INDEX(B5:B405,(B4)+(1)))+(B155),IF(("equals")=(INDEX(B1:XFD1,((A3)+(1))+(0))),(INDEX(B5:B405,(B4)+(1)))=(B155),IF(("leq")=(INDEX(B1:XFD1,((A3)+(1))+(0))),(INDEX(B5:B405,(B4)+(1)))&lt;=(B155),IF(("greater")=(INDEX(B1:XFD1,((A3)+(1))+(0))),(INDEX(B5:B405,(B4)+(1)))&gt;(B155),IF(("mod")=(INDEX(B1:XFD1,((A3)+(1))+(0))),MOD(INDEX(B5:B405,(B4)+(1)),B155),B155))))))))),B155))</f>
        <v>#VALUE!</v>
      </c>
      <c r="C155" t="e">
        <f ca="1">IF((A1)=(2),1,IF(AND((INDEX(B1:XFD1,((A3)+(1))+(0)))=("writeheap"),(INDEX(B5:B405,(B4)+(1)))=(150)),INDEX(B5:B405,(B4)+(2)),IF((A1)=(2),"",IF((151)=(C4),C155,C155))))</f>
        <v>#VALUE!</v>
      </c>
      <c r="F155" t="e">
        <f ca="1">IF((A1)=(2),"",IF((151)=(F4),IF(IF((INDEX(B1:XFD1,((A3)+(1))+(0)))=("store"),(INDEX(B1:XFD1,((A3)+(1))+(1)))=("F"),"false"),B3,F155),F155))</f>
        <v>#VALUE!</v>
      </c>
      <c r="G155" t="e">
        <f ca="1">IF((A1)=(2),"",IF((151)=(G4),IF(IF((INDEX(B1:XFD1,((A3)+(1))+(0)))=("store"),(INDEX(B1:XFD1,((A3)+(1))+(1)))=("G"),"false"),B3,G155),G155))</f>
        <v>#VALUE!</v>
      </c>
      <c r="H155" t="e">
        <f ca="1">IF((A1)=(2),"",IF((151)=(H4),IF(IF((INDEX(B1:XFD1,((A3)+(1))+(0)))=("store"),(INDEX(B1:XFD1,((A3)+(1))+(1)))=("H"),"false"),B3,H155),H155))</f>
        <v>#VALUE!</v>
      </c>
      <c r="I155" t="e">
        <f ca="1">IF((A1)=(2),"",IF((151)=(I4),IF(IF((INDEX(B1:XFD1,((A3)+(1))+(0)))=("store"),(INDEX(B1:XFD1,((A3)+(1))+(1)))=("I"),"false"),B3,I155),I155))</f>
        <v>#VALUE!</v>
      </c>
      <c r="J155" t="e">
        <f ca="1">IF((A1)=(2),"",IF((151)=(J4),IF(IF((INDEX(B1:XFD1,((A3)+(1))+(0)))=("store"),(INDEX(B1:XFD1,((A3)+(1))+(1)))=("J"),"false"),B3,J155),J155))</f>
        <v>#VALUE!</v>
      </c>
      <c r="K155" t="e">
        <f ca="1">IF((A1)=(2),"",IF((151)=(K4),IF(IF((INDEX(B1:XFD1,((A3)+(1))+(0)))=("store"),(INDEX(B1:XFD1,((A3)+(1))+(1)))=("K"),"false"),B3,K155),K155))</f>
        <v>#VALUE!</v>
      </c>
      <c r="L155" t="e">
        <f ca="1">IF((A1)=(2),"",IF((151)=(L4),IF(IF((INDEX(B1:XFD1,((A3)+(1))+(0)))=("store"),(INDEX(B1:XFD1,((A3)+(1))+(1)))=("L"),"false"),B3,L155),L155))</f>
        <v>#VALUE!</v>
      </c>
      <c r="M155" t="e">
        <f ca="1">IF((A1)=(2),"",IF((151)=(M4),IF(IF((INDEX(B1:XFD1,((A3)+(1))+(0)))=("store"),(INDEX(B1:XFD1,((A3)+(1))+(1)))=("M"),"false"),B3,M155),M155))</f>
        <v>#VALUE!</v>
      </c>
      <c r="N155" t="e">
        <f ca="1">IF((A1)=(2),"",IF((151)=(N4),IF(IF((INDEX(B1:XFD1,((A3)+(1))+(0)))=("store"),(INDEX(B1:XFD1,((A3)+(1))+(1)))=("N"),"false"),B3,N155),N155))</f>
        <v>#VALUE!</v>
      </c>
      <c r="O155" t="e">
        <f ca="1">IF((A1)=(2),"",IF((151)=(O4),IF(IF((INDEX(B1:XFD1,((A3)+(1))+(0)))=("store"),(INDEX(B1:XFD1,((A3)+(1))+(1)))=("O"),"false"),B3,O155),O155))</f>
        <v>#VALUE!</v>
      </c>
      <c r="P155" t="e">
        <f ca="1">IF((A1)=(2),"",IF((151)=(P4),IF(IF((INDEX(B1:XFD1,((A3)+(1))+(0)))=("store"),(INDEX(B1:XFD1,((A3)+(1))+(1)))=("P"),"false"),B3,P155),P155))</f>
        <v>#VALUE!</v>
      </c>
      <c r="Q155" t="e">
        <f ca="1">IF((A1)=(2),"",IF((151)=(Q4),IF(IF((INDEX(B1:XFD1,((A3)+(1))+(0)))=("store"),(INDEX(B1:XFD1,((A3)+(1))+(1)))=("Q"),"false"),B3,Q155),Q155))</f>
        <v>#VALUE!</v>
      </c>
      <c r="R155" t="e">
        <f ca="1">IF((A1)=(2),"",IF((151)=(R4),IF(IF((INDEX(B1:XFD1,((A3)+(1))+(0)))=("store"),(INDEX(B1:XFD1,((A3)+(1))+(1)))=("R"),"false"),B3,R155),R155))</f>
        <v>#VALUE!</v>
      </c>
      <c r="S155" t="e">
        <f ca="1">IF((A1)=(2),"",IF((151)=(S4),IF(IF((INDEX(B1:XFD1,((A3)+(1))+(0)))=("store"),(INDEX(B1:XFD1,((A3)+(1))+(1)))=("S"),"false"),B3,S155),S155))</f>
        <v>#VALUE!</v>
      </c>
      <c r="T155" t="e">
        <f ca="1">IF((A1)=(2),"",IF((151)=(T4),IF(IF((INDEX(B1:XFD1,((A3)+(1))+(0)))=("store"),(INDEX(B1:XFD1,((A3)+(1))+(1)))=("T"),"false"),B3,T155),T155))</f>
        <v>#VALUE!</v>
      </c>
      <c r="U155" t="e">
        <f ca="1">IF((A1)=(2),"",IF((151)=(U4),IF(IF((INDEX(B1:XFD1,((A3)+(1))+(0)))=("store"),(INDEX(B1:XFD1,((A3)+(1))+(1)))=("U"),"false"),B3,U155),U155))</f>
        <v>#VALUE!</v>
      </c>
      <c r="V155" t="e">
        <f ca="1">IF((A1)=(2),"",IF((151)=(V4),IF(IF((INDEX(B1:XFD1,((A3)+(1))+(0)))=("store"),(INDEX(B1:XFD1,((A3)+(1))+(1)))=("V"),"false"),B3,V155),V155))</f>
        <v>#VALUE!</v>
      </c>
      <c r="W155" t="e">
        <f ca="1">IF((A1)=(2),"",IF((151)=(W4),IF(IF((INDEX(B1:XFD1,((A3)+(1))+(0)))=("store"),(INDEX(B1:XFD1,((A3)+(1))+(1)))=("W"),"false"),B3,W155),W155))</f>
        <v>#VALUE!</v>
      </c>
      <c r="X155" t="e">
        <f ca="1">IF((A1)=(2),"",IF((151)=(X4),IF(IF((INDEX(B1:XFD1,((A3)+(1))+(0)))=("store"),(INDEX(B1:XFD1,((A3)+(1))+(1)))=("X"),"false"),B3,X155),X155))</f>
        <v>#VALUE!</v>
      </c>
      <c r="Y155" t="e">
        <f ca="1">IF((A1)=(2),"",IF((151)=(Y4),IF(IF((INDEX(B1:XFD1,((A3)+(1))+(0)))=("store"),(INDEX(B1:XFD1,((A3)+(1))+(1)))=("Y"),"false"),B3,Y155),Y155))</f>
        <v>#VALUE!</v>
      </c>
      <c r="Z155" t="e">
        <f ca="1">IF((A1)=(2),"",IF((151)=(Z4),IF(IF((INDEX(B1:XFD1,((A3)+(1))+(0)))=("store"),(INDEX(B1:XFD1,((A3)+(1))+(1)))=("Z"),"false"),B3,Z155),Z155))</f>
        <v>#VALUE!</v>
      </c>
      <c r="AA155" t="e">
        <f ca="1">IF((A1)=(2),"",IF((151)=(AA4),IF(IF((INDEX(B1:XFD1,((A3)+(1))+(0)))=("store"),(INDEX(B1:XFD1,((A3)+(1))+(1)))=("AA"),"false"),B3,AA155),AA155))</f>
        <v>#VALUE!</v>
      </c>
      <c r="AB155" t="e">
        <f ca="1">IF((A1)=(2),"",IF((151)=(AB4),IF(IF((INDEX(B1:XFD1,((A3)+(1))+(0)))=("store"),(INDEX(B1:XFD1,((A3)+(1))+(1)))=("AB"),"false"),B3,AB155),AB155))</f>
        <v>#VALUE!</v>
      </c>
      <c r="AC155" t="e">
        <f ca="1">IF((A1)=(2),"",IF((151)=(AC4),IF(IF((INDEX(B1:XFD1,((A3)+(1))+(0)))=("store"),(INDEX(B1:XFD1,((A3)+(1))+(1)))=("AC"),"false"),B3,AC155),AC155))</f>
        <v>#VALUE!</v>
      </c>
      <c r="AD155" t="e">
        <f ca="1">IF((A1)=(2),"",IF((151)=(AD4),IF(IF((INDEX(B1:XFD1,((A3)+(1))+(0)))=("store"),(INDEX(B1:XFD1,((A3)+(1))+(1)))=("AD"),"false"),B3,AD155),AD155))</f>
        <v>#VALUE!</v>
      </c>
    </row>
    <row r="156" spans="1:30" x14ac:dyDescent="0.25">
      <c r="A156" t="e">
        <f ca="1">IF((A1)=(2),"",IF((152)=(A4),IF(("call")=(INDEX(B1:XFD1,((A3)+(1))+(0))),(B3)*(2),IF(("goto")=(INDEX(B1:XFD1,((A3)+(1))+(0))),(INDEX(B1:XFD1,((A3)+(1))+(1)))*(2),IF(("gotoiftrue")=(INDEX(B1:XFD1,((A3)+(1))+(0))),IF(B3,(INDEX(B1:XFD1,((A3)+(1))+(1)))*(2),(A156)+(2)),(A156)+(2)))),A156))</f>
        <v>#VALUE!</v>
      </c>
      <c r="B156" t="e">
        <f ca="1">IF((A1)=(2),"",IF((152)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156)+(1)),IF(("add")=(INDEX(B1:XFD1,((A3)+(1))+(0))),(INDEX(B5:B405,(B4)+(1)))+(B156),IF(("equals")=(INDEX(B1:XFD1,((A3)+(1))+(0))),(INDEX(B5:B405,(B4)+(1)))=(B156),IF(("leq")=(INDEX(B1:XFD1,((A3)+(1))+(0))),(INDEX(B5:B405,(B4)+(1)))&lt;=(B156),IF(("greater")=(INDEX(B1:XFD1,((A3)+(1))+(0))),(INDEX(B5:B405,(B4)+(1)))&gt;(B156),IF(("mod")=(INDEX(B1:XFD1,((A3)+(1))+(0))),MOD(INDEX(B5:B405,(B4)+(1)),B156),B156))))))))),B156))</f>
        <v>#VALUE!</v>
      </c>
      <c r="C156" t="e">
        <f ca="1">IF((A1)=(2),1,IF(AND((INDEX(B1:XFD1,((A3)+(1))+(0)))=("writeheap"),(INDEX(B5:B405,(B4)+(1)))=(151)),INDEX(B5:B405,(B4)+(2)),IF((A1)=(2),"",IF((152)=(C4),C156,C156))))</f>
        <v>#VALUE!</v>
      </c>
      <c r="F156" t="e">
        <f ca="1">IF((A1)=(2),"",IF((152)=(F4),IF(IF((INDEX(B1:XFD1,((A3)+(1))+(0)))=("store"),(INDEX(B1:XFD1,((A3)+(1))+(1)))=("F"),"false"),B3,F156),F156))</f>
        <v>#VALUE!</v>
      </c>
      <c r="G156" t="e">
        <f ca="1">IF((A1)=(2),"",IF((152)=(G4),IF(IF((INDEX(B1:XFD1,((A3)+(1))+(0)))=("store"),(INDEX(B1:XFD1,((A3)+(1))+(1)))=("G"),"false"),B3,G156),G156))</f>
        <v>#VALUE!</v>
      </c>
      <c r="H156" t="e">
        <f ca="1">IF((A1)=(2),"",IF((152)=(H4),IF(IF((INDEX(B1:XFD1,((A3)+(1))+(0)))=("store"),(INDEX(B1:XFD1,((A3)+(1))+(1)))=("H"),"false"),B3,H156),H156))</f>
        <v>#VALUE!</v>
      </c>
      <c r="I156" t="e">
        <f ca="1">IF((A1)=(2),"",IF((152)=(I4),IF(IF((INDEX(B1:XFD1,((A3)+(1))+(0)))=("store"),(INDEX(B1:XFD1,((A3)+(1))+(1)))=("I"),"false"),B3,I156),I156))</f>
        <v>#VALUE!</v>
      </c>
      <c r="J156" t="e">
        <f ca="1">IF((A1)=(2),"",IF((152)=(J4),IF(IF((INDEX(B1:XFD1,((A3)+(1))+(0)))=("store"),(INDEX(B1:XFD1,((A3)+(1))+(1)))=("J"),"false"),B3,J156),J156))</f>
        <v>#VALUE!</v>
      </c>
      <c r="K156" t="e">
        <f ca="1">IF((A1)=(2),"",IF((152)=(K4),IF(IF((INDEX(B1:XFD1,((A3)+(1))+(0)))=("store"),(INDEX(B1:XFD1,((A3)+(1))+(1)))=("K"),"false"),B3,K156),K156))</f>
        <v>#VALUE!</v>
      </c>
      <c r="L156" t="e">
        <f ca="1">IF((A1)=(2),"",IF((152)=(L4),IF(IF((INDEX(B1:XFD1,((A3)+(1))+(0)))=("store"),(INDEX(B1:XFD1,((A3)+(1))+(1)))=("L"),"false"),B3,L156),L156))</f>
        <v>#VALUE!</v>
      </c>
      <c r="M156" t="e">
        <f ca="1">IF((A1)=(2),"",IF((152)=(M4),IF(IF((INDEX(B1:XFD1,((A3)+(1))+(0)))=("store"),(INDEX(B1:XFD1,((A3)+(1))+(1)))=("M"),"false"),B3,M156),M156))</f>
        <v>#VALUE!</v>
      </c>
      <c r="N156" t="e">
        <f ca="1">IF((A1)=(2),"",IF((152)=(N4),IF(IF((INDEX(B1:XFD1,((A3)+(1))+(0)))=("store"),(INDEX(B1:XFD1,((A3)+(1))+(1)))=("N"),"false"),B3,N156),N156))</f>
        <v>#VALUE!</v>
      </c>
      <c r="O156" t="e">
        <f ca="1">IF((A1)=(2),"",IF((152)=(O4),IF(IF((INDEX(B1:XFD1,((A3)+(1))+(0)))=("store"),(INDEX(B1:XFD1,((A3)+(1))+(1)))=("O"),"false"),B3,O156),O156))</f>
        <v>#VALUE!</v>
      </c>
      <c r="P156" t="e">
        <f ca="1">IF((A1)=(2),"",IF((152)=(P4),IF(IF((INDEX(B1:XFD1,((A3)+(1))+(0)))=("store"),(INDEX(B1:XFD1,((A3)+(1))+(1)))=("P"),"false"),B3,P156),P156))</f>
        <v>#VALUE!</v>
      </c>
      <c r="Q156" t="e">
        <f ca="1">IF((A1)=(2),"",IF((152)=(Q4),IF(IF((INDEX(B1:XFD1,((A3)+(1))+(0)))=("store"),(INDEX(B1:XFD1,((A3)+(1))+(1)))=("Q"),"false"),B3,Q156),Q156))</f>
        <v>#VALUE!</v>
      </c>
      <c r="R156" t="e">
        <f ca="1">IF((A1)=(2),"",IF((152)=(R4),IF(IF((INDEX(B1:XFD1,((A3)+(1))+(0)))=("store"),(INDEX(B1:XFD1,((A3)+(1))+(1)))=("R"),"false"),B3,R156),R156))</f>
        <v>#VALUE!</v>
      </c>
      <c r="S156" t="e">
        <f ca="1">IF((A1)=(2),"",IF((152)=(S4),IF(IF((INDEX(B1:XFD1,((A3)+(1))+(0)))=("store"),(INDEX(B1:XFD1,((A3)+(1))+(1)))=("S"),"false"),B3,S156),S156))</f>
        <v>#VALUE!</v>
      </c>
      <c r="T156" t="e">
        <f ca="1">IF((A1)=(2),"",IF((152)=(T4),IF(IF((INDEX(B1:XFD1,((A3)+(1))+(0)))=("store"),(INDEX(B1:XFD1,((A3)+(1))+(1)))=("T"),"false"),B3,T156),T156))</f>
        <v>#VALUE!</v>
      </c>
      <c r="U156" t="e">
        <f ca="1">IF((A1)=(2),"",IF((152)=(U4),IF(IF((INDEX(B1:XFD1,((A3)+(1))+(0)))=("store"),(INDEX(B1:XFD1,((A3)+(1))+(1)))=("U"),"false"),B3,U156),U156))</f>
        <v>#VALUE!</v>
      </c>
      <c r="V156" t="e">
        <f ca="1">IF((A1)=(2),"",IF((152)=(V4),IF(IF((INDEX(B1:XFD1,((A3)+(1))+(0)))=("store"),(INDEX(B1:XFD1,((A3)+(1))+(1)))=("V"),"false"),B3,V156),V156))</f>
        <v>#VALUE!</v>
      </c>
      <c r="W156" t="e">
        <f ca="1">IF((A1)=(2),"",IF((152)=(W4),IF(IF((INDEX(B1:XFD1,((A3)+(1))+(0)))=("store"),(INDEX(B1:XFD1,((A3)+(1))+(1)))=("W"),"false"),B3,W156),W156))</f>
        <v>#VALUE!</v>
      </c>
      <c r="X156" t="e">
        <f ca="1">IF((A1)=(2),"",IF((152)=(X4),IF(IF((INDEX(B1:XFD1,((A3)+(1))+(0)))=("store"),(INDEX(B1:XFD1,((A3)+(1))+(1)))=("X"),"false"),B3,X156),X156))</f>
        <v>#VALUE!</v>
      </c>
      <c r="Y156" t="e">
        <f ca="1">IF((A1)=(2),"",IF((152)=(Y4),IF(IF((INDEX(B1:XFD1,((A3)+(1))+(0)))=("store"),(INDEX(B1:XFD1,((A3)+(1))+(1)))=("Y"),"false"),B3,Y156),Y156))</f>
        <v>#VALUE!</v>
      </c>
      <c r="Z156" t="e">
        <f ca="1">IF((A1)=(2),"",IF((152)=(Z4),IF(IF((INDEX(B1:XFD1,((A3)+(1))+(0)))=("store"),(INDEX(B1:XFD1,((A3)+(1))+(1)))=("Z"),"false"),B3,Z156),Z156))</f>
        <v>#VALUE!</v>
      </c>
      <c r="AA156" t="e">
        <f ca="1">IF((A1)=(2),"",IF((152)=(AA4),IF(IF((INDEX(B1:XFD1,((A3)+(1))+(0)))=("store"),(INDEX(B1:XFD1,((A3)+(1))+(1)))=("AA"),"false"),B3,AA156),AA156))</f>
        <v>#VALUE!</v>
      </c>
      <c r="AB156" t="e">
        <f ca="1">IF((A1)=(2),"",IF((152)=(AB4),IF(IF((INDEX(B1:XFD1,((A3)+(1))+(0)))=("store"),(INDEX(B1:XFD1,((A3)+(1))+(1)))=("AB"),"false"),B3,AB156),AB156))</f>
        <v>#VALUE!</v>
      </c>
      <c r="AC156" t="e">
        <f ca="1">IF((A1)=(2),"",IF((152)=(AC4),IF(IF((INDEX(B1:XFD1,((A3)+(1))+(0)))=("store"),(INDEX(B1:XFD1,((A3)+(1))+(1)))=("AC"),"false"),B3,AC156),AC156))</f>
        <v>#VALUE!</v>
      </c>
      <c r="AD156" t="e">
        <f ca="1">IF((A1)=(2),"",IF((152)=(AD4),IF(IF((INDEX(B1:XFD1,((A3)+(1))+(0)))=("store"),(INDEX(B1:XFD1,((A3)+(1))+(1)))=("AD"),"false"),B3,AD156),AD156))</f>
        <v>#VALUE!</v>
      </c>
    </row>
    <row r="157" spans="1:30" x14ac:dyDescent="0.25">
      <c r="A157" t="e">
        <f ca="1">IF((A1)=(2),"",IF((153)=(A4),IF(("call")=(INDEX(B1:XFD1,((A3)+(1))+(0))),(B3)*(2),IF(("goto")=(INDEX(B1:XFD1,((A3)+(1))+(0))),(INDEX(B1:XFD1,((A3)+(1))+(1)))*(2),IF(("gotoiftrue")=(INDEX(B1:XFD1,((A3)+(1))+(0))),IF(B3,(INDEX(B1:XFD1,((A3)+(1))+(1)))*(2),(A157)+(2)),(A157)+(2)))),A157))</f>
        <v>#VALUE!</v>
      </c>
      <c r="B157" t="e">
        <f ca="1">IF((A1)=(2),"",IF((153)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157)+(1)),IF(("add")=(INDEX(B1:XFD1,((A3)+(1))+(0))),(INDEX(B5:B405,(B4)+(1)))+(B157),IF(("equals")=(INDEX(B1:XFD1,((A3)+(1))+(0))),(INDEX(B5:B405,(B4)+(1)))=(B157),IF(("leq")=(INDEX(B1:XFD1,((A3)+(1))+(0))),(INDEX(B5:B405,(B4)+(1)))&lt;=(B157),IF(("greater")=(INDEX(B1:XFD1,((A3)+(1))+(0))),(INDEX(B5:B405,(B4)+(1)))&gt;(B157),IF(("mod")=(INDEX(B1:XFD1,((A3)+(1))+(0))),MOD(INDEX(B5:B405,(B4)+(1)),B157),B157))))))))),B157))</f>
        <v>#VALUE!</v>
      </c>
      <c r="C157" t="e">
        <f ca="1">IF((A1)=(2),1,IF(AND((INDEX(B1:XFD1,((A3)+(1))+(0)))=("writeheap"),(INDEX(B5:B405,(B4)+(1)))=(152)),INDEX(B5:B405,(B4)+(2)),IF((A1)=(2),"",IF((153)=(C4),C157,C157))))</f>
        <v>#VALUE!</v>
      </c>
      <c r="F157" t="e">
        <f ca="1">IF((A1)=(2),"",IF((153)=(F4),IF(IF((INDEX(B1:XFD1,((A3)+(1))+(0)))=("store"),(INDEX(B1:XFD1,((A3)+(1))+(1)))=("F"),"false"),B3,F157),F157))</f>
        <v>#VALUE!</v>
      </c>
      <c r="G157" t="e">
        <f ca="1">IF((A1)=(2),"",IF((153)=(G4),IF(IF((INDEX(B1:XFD1,((A3)+(1))+(0)))=("store"),(INDEX(B1:XFD1,((A3)+(1))+(1)))=("G"),"false"),B3,G157),G157))</f>
        <v>#VALUE!</v>
      </c>
      <c r="H157" t="e">
        <f ca="1">IF((A1)=(2),"",IF((153)=(H4),IF(IF((INDEX(B1:XFD1,((A3)+(1))+(0)))=("store"),(INDEX(B1:XFD1,((A3)+(1))+(1)))=("H"),"false"),B3,H157),H157))</f>
        <v>#VALUE!</v>
      </c>
      <c r="I157" t="e">
        <f ca="1">IF((A1)=(2),"",IF((153)=(I4),IF(IF((INDEX(B1:XFD1,((A3)+(1))+(0)))=("store"),(INDEX(B1:XFD1,((A3)+(1))+(1)))=("I"),"false"),B3,I157),I157))</f>
        <v>#VALUE!</v>
      </c>
      <c r="J157" t="e">
        <f ca="1">IF((A1)=(2),"",IF((153)=(J4),IF(IF((INDEX(B1:XFD1,((A3)+(1))+(0)))=("store"),(INDEX(B1:XFD1,((A3)+(1))+(1)))=("J"),"false"),B3,J157),J157))</f>
        <v>#VALUE!</v>
      </c>
      <c r="K157" t="e">
        <f ca="1">IF((A1)=(2),"",IF((153)=(K4),IF(IF((INDEX(B1:XFD1,((A3)+(1))+(0)))=("store"),(INDEX(B1:XFD1,((A3)+(1))+(1)))=("K"),"false"),B3,K157),K157))</f>
        <v>#VALUE!</v>
      </c>
      <c r="L157" t="e">
        <f ca="1">IF((A1)=(2),"",IF((153)=(L4),IF(IF((INDEX(B1:XFD1,((A3)+(1))+(0)))=("store"),(INDEX(B1:XFD1,((A3)+(1))+(1)))=("L"),"false"),B3,L157),L157))</f>
        <v>#VALUE!</v>
      </c>
      <c r="M157" t="e">
        <f ca="1">IF((A1)=(2),"",IF((153)=(M4),IF(IF((INDEX(B1:XFD1,((A3)+(1))+(0)))=("store"),(INDEX(B1:XFD1,((A3)+(1))+(1)))=("M"),"false"),B3,M157),M157))</f>
        <v>#VALUE!</v>
      </c>
      <c r="N157" t="e">
        <f ca="1">IF((A1)=(2),"",IF((153)=(N4),IF(IF((INDEX(B1:XFD1,((A3)+(1))+(0)))=("store"),(INDEX(B1:XFD1,((A3)+(1))+(1)))=("N"),"false"),B3,N157),N157))</f>
        <v>#VALUE!</v>
      </c>
      <c r="O157" t="e">
        <f ca="1">IF((A1)=(2),"",IF((153)=(O4),IF(IF((INDEX(B1:XFD1,((A3)+(1))+(0)))=("store"),(INDEX(B1:XFD1,((A3)+(1))+(1)))=("O"),"false"),B3,O157),O157))</f>
        <v>#VALUE!</v>
      </c>
      <c r="P157" t="e">
        <f ca="1">IF((A1)=(2),"",IF((153)=(P4),IF(IF((INDEX(B1:XFD1,((A3)+(1))+(0)))=("store"),(INDEX(B1:XFD1,((A3)+(1))+(1)))=("P"),"false"),B3,P157),P157))</f>
        <v>#VALUE!</v>
      </c>
      <c r="Q157" t="e">
        <f ca="1">IF((A1)=(2),"",IF((153)=(Q4),IF(IF((INDEX(B1:XFD1,((A3)+(1))+(0)))=("store"),(INDEX(B1:XFD1,((A3)+(1))+(1)))=("Q"),"false"),B3,Q157),Q157))</f>
        <v>#VALUE!</v>
      </c>
      <c r="R157" t="e">
        <f ca="1">IF((A1)=(2),"",IF((153)=(R4),IF(IF((INDEX(B1:XFD1,((A3)+(1))+(0)))=("store"),(INDEX(B1:XFD1,((A3)+(1))+(1)))=("R"),"false"),B3,R157),R157))</f>
        <v>#VALUE!</v>
      </c>
      <c r="S157" t="e">
        <f ca="1">IF((A1)=(2),"",IF((153)=(S4),IF(IF((INDEX(B1:XFD1,((A3)+(1))+(0)))=("store"),(INDEX(B1:XFD1,((A3)+(1))+(1)))=("S"),"false"),B3,S157),S157))</f>
        <v>#VALUE!</v>
      </c>
      <c r="T157" t="e">
        <f ca="1">IF((A1)=(2),"",IF((153)=(T4),IF(IF((INDEX(B1:XFD1,((A3)+(1))+(0)))=("store"),(INDEX(B1:XFD1,((A3)+(1))+(1)))=("T"),"false"),B3,T157),T157))</f>
        <v>#VALUE!</v>
      </c>
      <c r="U157" t="e">
        <f ca="1">IF((A1)=(2),"",IF((153)=(U4),IF(IF((INDEX(B1:XFD1,((A3)+(1))+(0)))=("store"),(INDEX(B1:XFD1,((A3)+(1))+(1)))=("U"),"false"),B3,U157),U157))</f>
        <v>#VALUE!</v>
      </c>
      <c r="V157" t="e">
        <f ca="1">IF((A1)=(2),"",IF((153)=(V4),IF(IF((INDEX(B1:XFD1,((A3)+(1))+(0)))=("store"),(INDEX(B1:XFD1,((A3)+(1))+(1)))=("V"),"false"),B3,V157),V157))</f>
        <v>#VALUE!</v>
      </c>
      <c r="W157" t="e">
        <f ca="1">IF((A1)=(2),"",IF((153)=(W4),IF(IF((INDEX(B1:XFD1,((A3)+(1))+(0)))=("store"),(INDEX(B1:XFD1,((A3)+(1))+(1)))=("W"),"false"),B3,W157),W157))</f>
        <v>#VALUE!</v>
      </c>
      <c r="X157" t="e">
        <f ca="1">IF((A1)=(2),"",IF((153)=(X4),IF(IF((INDEX(B1:XFD1,((A3)+(1))+(0)))=("store"),(INDEX(B1:XFD1,((A3)+(1))+(1)))=("X"),"false"),B3,X157),X157))</f>
        <v>#VALUE!</v>
      </c>
      <c r="Y157" t="e">
        <f ca="1">IF((A1)=(2),"",IF((153)=(Y4),IF(IF((INDEX(B1:XFD1,((A3)+(1))+(0)))=("store"),(INDEX(B1:XFD1,((A3)+(1))+(1)))=("Y"),"false"),B3,Y157),Y157))</f>
        <v>#VALUE!</v>
      </c>
      <c r="Z157" t="e">
        <f ca="1">IF((A1)=(2),"",IF((153)=(Z4),IF(IF((INDEX(B1:XFD1,((A3)+(1))+(0)))=("store"),(INDEX(B1:XFD1,((A3)+(1))+(1)))=("Z"),"false"),B3,Z157),Z157))</f>
        <v>#VALUE!</v>
      </c>
      <c r="AA157" t="e">
        <f ca="1">IF((A1)=(2),"",IF((153)=(AA4),IF(IF((INDEX(B1:XFD1,((A3)+(1))+(0)))=("store"),(INDEX(B1:XFD1,((A3)+(1))+(1)))=("AA"),"false"),B3,AA157),AA157))</f>
        <v>#VALUE!</v>
      </c>
      <c r="AB157" t="e">
        <f ca="1">IF((A1)=(2),"",IF((153)=(AB4),IF(IF((INDEX(B1:XFD1,((A3)+(1))+(0)))=("store"),(INDEX(B1:XFD1,((A3)+(1))+(1)))=("AB"),"false"),B3,AB157),AB157))</f>
        <v>#VALUE!</v>
      </c>
      <c r="AC157" t="e">
        <f ca="1">IF((A1)=(2),"",IF((153)=(AC4),IF(IF((INDEX(B1:XFD1,((A3)+(1))+(0)))=("store"),(INDEX(B1:XFD1,((A3)+(1))+(1)))=("AC"),"false"),B3,AC157),AC157))</f>
        <v>#VALUE!</v>
      </c>
      <c r="AD157" t="e">
        <f ca="1">IF((A1)=(2),"",IF((153)=(AD4),IF(IF((INDEX(B1:XFD1,((A3)+(1))+(0)))=("store"),(INDEX(B1:XFD1,((A3)+(1))+(1)))=("AD"),"false"),B3,AD157),AD157))</f>
        <v>#VALUE!</v>
      </c>
    </row>
    <row r="158" spans="1:30" x14ac:dyDescent="0.25">
      <c r="A158" t="e">
        <f ca="1">IF((A1)=(2),"",IF((154)=(A4),IF(("call")=(INDEX(B1:XFD1,((A3)+(1))+(0))),(B3)*(2),IF(("goto")=(INDEX(B1:XFD1,((A3)+(1))+(0))),(INDEX(B1:XFD1,((A3)+(1))+(1)))*(2),IF(("gotoiftrue")=(INDEX(B1:XFD1,((A3)+(1))+(0))),IF(B3,(INDEX(B1:XFD1,((A3)+(1))+(1)))*(2),(A158)+(2)),(A158)+(2)))),A158))</f>
        <v>#VALUE!</v>
      </c>
      <c r="B158" t="e">
        <f ca="1">IF((A1)=(2),"",IF((154)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158)+(1)),IF(("add")=(INDEX(B1:XFD1,((A3)+(1))+(0))),(INDEX(B5:B405,(B4)+(1)))+(B158),IF(("equals")=(INDEX(B1:XFD1,((A3)+(1))+(0))),(INDEX(B5:B405,(B4)+(1)))=(B158),IF(("leq")=(INDEX(B1:XFD1,((A3)+(1))+(0))),(INDEX(B5:B405,(B4)+(1)))&lt;=(B158),IF(("greater")=(INDEX(B1:XFD1,((A3)+(1))+(0))),(INDEX(B5:B405,(B4)+(1)))&gt;(B158),IF(("mod")=(INDEX(B1:XFD1,((A3)+(1))+(0))),MOD(INDEX(B5:B405,(B4)+(1)),B158),B158))))))))),B158))</f>
        <v>#VALUE!</v>
      </c>
      <c r="C158" t="e">
        <f ca="1">IF((A1)=(2),1,IF(AND((INDEX(B1:XFD1,((A3)+(1))+(0)))=("writeheap"),(INDEX(B5:B405,(B4)+(1)))=(153)),INDEX(B5:B405,(B4)+(2)),IF((A1)=(2),"",IF((154)=(C4),C158,C158))))</f>
        <v>#VALUE!</v>
      </c>
      <c r="F158" t="e">
        <f ca="1">IF((A1)=(2),"",IF((154)=(F4),IF(IF((INDEX(B1:XFD1,((A3)+(1))+(0)))=("store"),(INDEX(B1:XFD1,((A3)+(1))+(1)))=("F"),"false"),B3,F158),F158))</f>
        <v>#VALUE!</v>
      </c>
      <c r="G158" t="e">
        <f ca="1">IF((A1)=(2),"",IF((154)=(G4),IF(IF((INDEX(B1:XFD1,((A3)+(1))+(0)))=("store"),(INDEX(B1:XFD1,((A3)+(1))+(1)))=("G"),"false"),B3,G158),G158))</f>
        <v>#VALUE!</v>
      </c>
      <c r="H158" t="e">
        <f ca="1">IF((A1)=(2),"",IF((154)=(H4),IF(IF((INDEX(B1:XFD1,((A3)+(1))+(0)))=("store"),(INDEX(B1:XFD1,((A3)+(1))+(1)))=("H"),"false"),B3,H158),H158))</f>
        <v>#VALUE!</v>
      </c>
      <c r="I158" t="e">
        <f ca="1">IF((A1)=(2),"",IF((154)=(I4),IF(IF((INDEX(B1:XFD1,((A3)+(1))+(0)))=("store"),(INDEX(B1:XFD1,((A3)+(1))+(1)))=("I"),"false"),B3,I158),I158))</f>
        <v>#VALUE!</v>
      </c>
      <c r="J158" t="e">
        <f ca="1">IF((A1)=(2),"",IF((154)=(J4),IF(IF((INDEX(B1:XFD1,((A3)+(1))+(0)))=("store"),(INDEX(B1:XFD1,((A3)+(1))+(1)))=("J"),"false"),B3,J158),J158))</f>
        <v>#VALUE!</v>
      </c>
      <c r="K158" t="e">
        <f ca="1">IF((A1)=(2),"",IF((154)=(K4),IF(IF((INDEX(B1:XFD1,((A3)+(1))+(0)))=("store"),(INDEX(B1:XFD1,((A3)+(1))+(1)))=("K"),"false"),B3,K158),K158))</f>
        <v>#VALUE!</v>
      </c>
      <c r="L158" t="e">
        <f ca="1">IF((A1)=(2),"",IF((154)=(L4),IF(IF((INDEX(B1:XFD1,((A3)+(1))+(0)))=("store"),(INDEX(B1:XFD1,((A3)+(1))+(1)))=("L"),"false"),B3,L158),L158))</f>
        <v>#VALUE!</v>
      </c>
      <c r="M158" t="e">
        <f ca="1">IF((A1)=(2),"",IF((154)=(M4),IF(IF((INDEX(B1:XFD1,((A3)+(1))+(0)))=("store"),(INDEX(B1:XFD1,((A3)+(1))+(1)))=("M"),"false"),B3,M158),M158))</f>
        <v>#VALUE!</v>
      </c>
      <c r="N158" t="e">
        <f ca="1">IF((A1)=(2),"",IF((154)=(N4),IF(IF((INDEX(B1:XFD1,((A3)+(1))+(0)))=("store"),(INDEX(B1:XFD1,((A3)+(1))+(1)))=("N"),"false"),B3,N158),N158))</f>
        <v>#VALUE!</v>
      </c>
      <c r="O158" t="e">
        <f ca="1">IF((A1)=(2),"",IF((154)=(O4),IF(IF((INDEX(B1:XFD1,((A3)+(1))+(0)))=("store"),(INDEX(B1:XFD1,((A3)+(1))+(1)))=("O"),"false"),B3,O158),O158))</f>
        <v>#VALUE!</v>
      </c>
      <c r="P158" t="e">
        <f ca="1">IF((A1)=(2),"",IF((154)=(P4),IF(IF((INDEX(B1:XFD1,((A3)+(1))+(0)))=("store"),(INDEX(B1:XFD1,((A3)+(1))+(1)))=("P"),"false"),B3,P158),P158))</f>
        <v>#VALUE!</v>
      </c>
      <c r="Q158" t="e">
        <f ca="1">IF((A1)=(2),"",IF((154)=(Q4),IF(IF((INDEX(B1:XFD1,((A3)+(1))+(0)))=("store"),(INDEX(B1:XFD1,((A3)+(1))+(1)))=("Q"),"false"),B3,Q158),Q158))</f>
        <v>#VALUE!</v>
      </c>
      <c r="R158" t="e">
        <f ca="1">IF((A1)=(2),"",IF((154)=(R4),IF(IF((INDEX(B1:XFD1,((A3)+(1))+(0)))=("store"),(INDEX(B1:XFD1,((A3)+(1))+(1)))=("R"),"false"),B3,R158),R158))</f>
        <v>#VALUE!</v>
      </c>
      <c r="S158" t="e">
        <f ca="1">IF((A1)=(2),"",IF((154)=(S4),IF(IF((INDEX(B1:XFD1,((A3)+(1))+(0)))=("store"),(INDEX(B1:XFD1,((A3)+(1))+(1)))=("S"),"false"),B3,S158),S158))</f>
        <v>#VALUE!</v>
      </c>
      <c r="T158" t="e">
        <f ca="1">IF((A1)=(2),"",IF((154)=(T4),IF(IF((INDEX(B1:XFD1,((A3)+(1))+(0)))=("store"),(INDEX(B1:XFD1,((A3)+(1))+(1)))=("T"),"false"),B3,T158),T158))</f>
        <v>#VALUE!</v>
      </c>
      <c r="U158" t="e">
        <f ca="1">IF((A1)=(2),"",IF((154)=(U4),IF(IF((INDEX(B1:XFD1,((A3)+(1))+(0)))=("store"),(INDEX(B1:XFD1,((A3)+(1))+(1)))=("U"),"false"),B3,U158),U158))</f>
        <v>#VALUE!</v>
      </c>
      <c r="V158" t="e">
        <f ca="1">IF((A1)=(2),"",IF((154)=(V4),IF(IF((INDEX(B1:XFD1,((A3)+(1))+(0)))=("store"),(INDEX(B1:XFD1,((A3)+(1))+(1)))=("V"),"false"),B3,V158),V158))</f>
        <v>#VALUE!</v>
      </c>
      <c r="W158" t="e">
        <f ca="1">IF((A1)=(2),"",IF((154)=(W4),IF(IF((INDEX(B1:XFD1,((A3)+(1))+(0)))=("store"),(INDEX(B1:XFD1,((A3)+(1))+(1)))=("W"),"false"),B3,W158),W158))</f>
        <v>#VALUE!</v>
      </c>
      <c r="X158" t="e">
        <f ca="1">IF((A1)=(2),"",IF((154)=(X4),IF(IF((INDEX(B1:XFD1,((A3)+(1))+(0)))=("store"),(INDEX(B1:XFD1,((A3)+(1))+(1)))=("X"),"false"),B3,X158),X158))</f>
        <v>#VALUE!</v>
      </c>
      <c r="Y158" t="e">
        <f ca="1">IF((A1)=(2),"",IF((154)=(Y4),IF(IF((INDEX(B1:XFD1,((A3)+(1))+(0)))=("store"),(INDEX(B1:XFD1,((A3)+(1))+(1)))=("Y"),"false"),B3,Y158),Y158))</f>
        <v>#VALUE!</v>
      </c>
      <c r="Z158" t="e">
        <f ca="1">IF((A1)=(2),"",IF((154)=(Z4),IF(IF((INDEX(B1:XFD1,((A3)+(1))+(0)))=("store"),(INDEX(B1:XFD1,((A3)+(1))+(1)))=("Z"),"false"),B3,Z158),Z158))</f>
        <v>#VALUE!</v>
      </c>
      <c r="AA158" t="e">
        <f ca="1">IF((A1)=(2),"",IF((154)=(AA4),IF(IF((INDEX(B1:XFD1,((A3)+(1))+(0)))=("store"),(INDEX(B1:XFD1,((A3)+(1))+(1)))=("AA"),"false"),B3,AA158),AA158))</f>
        <v>#VALUE!</v>
      </c>
      <c r="AB158" t="e">
        <f ca="1">IF((A1)=(2),"",IF((154)=(AB4),IF(IF((INDEX(B1:XFD1,((A3)+(1))+(0)))=("store"),(INDEX(B1:XFD1,((A3)+(1))+(1)))=("AB"),"false"),B3,AB158),AB158))</f>
        <v>#VALUE!</v>
      </c>
      <c r="AC158" t="e">
        <f ca="1">IF((A1)=(2),"",IF((154)=(AC4),IF(IF((INDEX(B1:XFD1,((A3)+(1))+(0)))=("store"),(INDEX(B1:XFD1,((A3)+(1))+(1)))=("AC"),"false"),B3,AC158),AC158))</f>
        <v>#VALUE!</v>
      </c>
      <c r="AD158" t="e">
        <f ca="1">IF((A1)=(2),"",IF((154)=(AD4),IF(IF((INDEX(B1:XFD1,((A3)+(1))+(0)))=("store"),(INDEX(B1:XFD1,((A3)+(1))+(1)))=("AD"),"false"),B3,AD158),AD158))</f>
        <v>#VALUE!</v>
      </c>
    </row>
    <row r="159" spans="1:30" x14ac:dyDescent="0.25">
      <c r="A159" t="e">
        <f ca="1">IF((A1)=(2),"",IF((155)=(A4),IF(("call")=(INDEX(B1:XFD1,((A3)+(1))+(0))),(B3)*(2),IF(("goto")=(INDEX(B1:XFD1,((A3)+(1))+(0))),(INDEX(B1:XFD1,((A3)+(1))+(1)))*(2),IF(("gotoiftrue")=(INDEX(B1:XFD1,((A3)+(1))+(0))),IF(B3,(INDEX(B1:XFD1,((A3)+(1))+(1)))*(2),(A159)+(2)),(A159)+(2)))),A159))</f>
        <v>#VALUE!</v>
      </c>
      <c r="B159" t="e">
        <f ca="1">IF((A1)=(2),"",IF((155)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159)+(1)),IF(("add")=(INDEX(B1:XFD1,((A3)+(1))+(0))),(INDEX(B5:B405,(B4)+(1)))+(B159),IF(("equals")=(INDEX(B1:XFD1,((A3)+(1))+(0))),(INDEX(B5:B405,(B4)+(1)))=(B159),IF(("leq")=(INDEX(B1:XFD1,((A3)+(1))+(0))),(INDEX(B5:B405,(B4)+(1)))&lt;=(B159),IF(("greater")=(INDEX(B1:XFD1,((A3)+(1))+(0))),(INDEX(B5:B405,(B4)+(1)))&gt;(B159),IF(("mod")=(INDEX(B1:XFD1,((A3)+(1))+(0))),MOD(INDEX(B5:B405,(B4)+(1)),B159),B159))))))))),B159))</f>
        <v>#VALUE!</v>
      </c>
      <c r="C159" t="e">
        <f ca="1">IF((A1)=(2),1,IF(AND((INDEX(B1:XFD1,((A3)+(1))+(0)))=("writeheap"),(INDEX(B5:B405,(B4)+(1)))=(154)),INDEX(B5:B405,(B4)+(2)),IF((A1)=(2),"",IF((155)=(C4),C159,C159))))</f>
        <v>#VALUE!</v>
      </c>
      <c r="F159" t="e">
        <f ca="1">IF((A1)=(2),"",IF((155)=(F4),IF(IF((INDEX(B1:XFD1,((A3)+(1))+(0)))=("store"),(INDEX(B1:XFD1,((A3)+(1))+(1)))=("F"),"false"),B3,F159),F159))</f>
        <v>#VALUE!</v>
      </c>
      <c r="G159" t="e">
        <f ca="1">IF((A1)=(2),"",IF((155)=(G4),IF(IF((INDEX(B1:XFD1,((A3)+(1))+(0)))=("store"),(INDEX(B1:XFD1,((A3)+(1))+(1)))=("G"),"false"),B3,G159),G159))</f>
        <v>#VALUE!</v>
      </c>
      <c r="H159" t="e">
        <f ca="1">IF((A1)=(2),"",IF((155)=(H4),IF(IF((INDEX(B1:XFD1,((A3)+(1))+(0)))=("store"),(INDEX(B1:XFD1,((A3)+(1))+(1)))=("H"),"false"),B3,H159),H159))</f>
        <v>#VALUE!</v>
      </c>
      <c r="I159" t="e">
        <f ca="1">IF((A1)=(2),"",IF((155)=(I4),IF(IF((INDEX(B1:XFD1,((A3)+(1))+(0)))=("store"),(INDEX(B1:XFD1,((A3)+(1))+(1)))=("I"),"false"),B3,I159),I159))</f>
        <v>#VALUE!</v>
      </c>
      <c r="J159" t="e">
        <f ca="1">IF((A1)=(2),"",IF((155)=(J4),IF(IF((INDEX(B1:XFD1,((A3)+(1))+(0)))=("store"),(INDEX(B1:XFD1,((A3)+(1))+(1)))=("J"),"false"),B3,J159),J159))</f>
        <v>#VALUE!</v>
      </c>
      <c r="K159" t="e">
        <f ca="1">IF((A1)=(2),"",IF((155)=(K4),IF(IF((INDEX(B1:XFD1,((A3)+(1))+(0)))=("store"),(INDEX(B1:XFD1,((A3)+(1))+(1)))=("K"),"false"),B3,K159),K159))</f>
        <v>#VALUE!</v>
      </c>
      <c r="L159" t="e">
        <f ca="1">IF((A1)=(2),"",IF((155)=(L4),IF(IF((INDEX(B1:XFD1,((A3)+(1))+(0)))=("store"),(INDEX(B1:XFD1,((A3)+(1))+(1)))=("L"),"false"),B3,L159),L159))</f>
        <v>#VALUE!</v>
      </c>
      <c r="M159" t="e">
        <f ca="1">IF((A1)=(2),"",IF((155)=(M4),IF(IF((INDEX(B1:XFD1,((A3)+(1))+(0)))=("store"),(INDEX(B1:XFD1,((A3)+(1))+(1)))=("M"),"false"),B3,M159),M159))</f>
        <v>#VALUE!</v>
      </c>
      <c r="N159" t="e">
        <f ca="1">IF((A1)=(2),"",IF((155)=(N4),IF(IF((INDEX(B1:XFD1,((A3)+(1))+(0)))=("store"),(INDEX(B1:XFD1,((A3)+(1))+(1)))=("N"),"false"),B3,N159),N159))</f>
        <v>#VALUE!</v>
      </c>
      <c r="O159" t="e">
        <f ca="1">IF((A1)=(2),"",IF((155)=(O4),IF(IF((INDEX(B1:XFD1,((A3)+(1))+(0)))=("store"),(INDEX(B1:XFD1,((A3)+(1))+(1)))=("O"),"false"),B3,O159),O159))</f>
        <v>#VALUE!</v>
      </c>
      <c r="P159" t="e">
        <f ca="1">IF((A1)=(2),"",IF((155)=(P4),IF(IF((INDEX(B1:XFD1,((A3)+(1))+(0)))=("store"),(INDEX(B1:XFD1,((A3)+(1))+(1)))=("P"),"false"),B3,P159),P159))</f>
        <v>#VALUE!</v>
      </c>
      <c r="Q159" t="e">
        <f ca="1">IF((A1)=(2),"",IF((155)=(Q4),IF(IF((INDEX(B1:XFD1,((A3)+(1))+(0)))=("store"),(INDEX(B1:XFD1,((A3)+(1))+(1)))=("Q"),"false"),B3,Q159),Q159))</f>
        <v>#VALUE!</v>
      </c>
      <c r="R159" t="e">
        <f ca="1">IF((A1)=(2),"",IF((155)=(R4),IF(IF((INDEX(B1:XFD1,((A3)+(1))+(0)))=("store"),(INDEX(B1:XFD1,((A3)+(1))+(1)))=("R"),"false"),B3,R159),R159))</f>
        <v>#VALUE!</v>
      </c>
      <c r="S159" t="e">
        <f ca="1">IF((A1)=(2),"",IF((155)=(S4),IF(IF((INDEX(B1:XFD1,((A3)+(1))+(0)))=("store"),(INDEX(B1:XFD1,((A3)+(1))+(1)))=("S"),"false"),B3,S159),S159))</f>
        <v>#VALUE!</v>
      </c>
      <c r="T159" t="e">
        <f ca="1">IF((A1)=(2),"",IF((155)=(T4),IF(IF((INDEX(B1:XFD1,((A3)+(1))+(0)))=("store"),(INDEX(B1:XFD1,((A3)+(1))+(1)))=("T"),"false"),B3,T159),T159))</f>
        <v>#VALUE!</v>
      </c>
      <c r="U159" t="e">
        <f ca="1">IF((A1)=(2),"",IF((155)=(U4),IF(IF((INDEX(B1:XFD1,((A3)+(1))+(0)))=("store"),(INDEX(B1:XFD1,((A3)+(1))+(1)))=("U"),"false"),B3,U159),U159))</f>
        <v>#VALUE!</v>
      </c>
      <c r="V159" t="e">
        <f ca="1">IF((A1)=(2),"",IF((155)=(V4),IF(IF((INDEX(B1:XFD1,((A3)+(1))+(0)))=("store"),(INDEX(B1:XFD1,((A3)+(1))+(1)))=("V"),"false"),B3,V159),V159))</f>
        <v>#VALUE!</v>
      </c>
      <c r="W159" t="e">
        <f ca="1">IF((A1)=(2),"",IF((155)=(W4),IF(IF((INDEX(B1:XFD1,((A3)+(1))+(0)))=("store"),(INDEX(B1:XFD1,((A3)+(1))+(1)))=("W"),"false"),B3,W159),W159))</f>
        <v>#VALUE!</v>
      </c>
      <c r="X159" t="e">
        <f ca="1">IF((A1)=(2),"",IF((155)=(X4),IF(IF((INDEX(B1:XFD1,((A3)+(1))+(0)))=("store"),(INDEX(B1:XFD1,((A3)+(1))+(1)))=("X"),"false"),B3,X159),X159))</f>
        <v>#VALUE!</v>
      </c>
      <c r="Y159" t="e">
        <f ca="1">IF((A1)=(2),"",IF((155)=(Y4),IF(IF((INDEX(B1:XFD1,((A3)+(1))+(0)))=("store"),(INDEX(B1:XFD1,((A3)+(1))+(1)))=("Y"),"false"),B3,Y159),Y159))</f>
        <v>#VALUE!</v>
      </c>
      <c r="Z159" t="e">
        <f ca="1">IF((A1)=(2),"",IF((155)=(Z4),IF(IF((INDEX(B1:XFD1,((A3)+(1))+(0)))=("store"),(INDEX(B1:XFD1,((A3)+(1))+(1)))=("Z"),"false"),B3,Z159),Z159))</f>
        <v>#VALUE!</v>
      </c>
      <c r="AA159" t="e">
        <f ca="1">IF((A1)=(2),"",IF((155)=(AA4),IF(IF((INDEX(B1:XFD1,((A3)+(1))+(0)))=("store"),(INDEX(B1:XFD1,((A3)+(1))+(1)))=("AA"),"false"),B3,AA159),AA159))</f>
        <v>#VALUE!</v>
      </c>
      <c r="AB159" t="e">
        <f ca="1">IF((A1)=(2),"",IF((155)=(AB4),IF(IF((INDEX(B1:XFD1,((A3)+(1))+(0)))=("store"),(INDEX(B1:XFD1,((A3)+(1))+(1)))=("AB"),"false"),B3,AB159),AB159))</f>
        <v>#VALUE!</v>
      </c>
      <c r="AC159" t="e">
        <f ca="1">IF((A1)=(2),"",IF((155)=(AC4),IF(IF((INDEX(B1:XFD1,((A3)+(1))+(0)))=("store"),(INDEX(B1:XFD1,((A3)+(1))+(1)))=("AC"),"false"),B3,AC159),AC159))</f>
        <v>#VALUE!</v>
      </c>
      <c r="AD159" t="e">
        <f ca="1">IF((A1)=(2),"",IF((155)=(AD4),IF(IF((INDEX(B1:XFD1,((A3)+(1))+(0)))=("store"),(INDEX(B1:XFD1,((A3)+(1))+(1)))=("AD"),"false"),B3,AD159),AD159))</f>
        <v>#VALUE!</v>
      </c>
    </row>
    <row r="160" spans="1:30" x14ac:dyDescent="0.25">
      <c r="A160" t="e">
        <f ca="1">IF((A1)=(2),"",IF((156)=(A4),IF(("call")=(INDEX(B1:XFD1,((A3)+(1))+(0))),(B3)*(2),IF(("goto")=(INDEX(B1:XFD1,((A3)+(1))+(0))),(INDEX(B1:XFD1,((A3)+(1))+(1)))*(2),IF(("gotoiftrue")=(INDEX(B1:XFD1,((A3)+(1))+(0))),IF(B3,(INDEX(B1:XFD1,((A3)+(1))+(1)))*(2),(A160)+(2)),(A160)+(2)))),A160))</f>
        <v>#VALUE!</v>
      </c>
      <c r="B160" t="e">
        <f ca="1">IF((A1)=(2),"",IF((156)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160)+(1)),IF(("add")=(INDEX(B1:XFD1,((A3)+(1))+(0))),(INDEX(B5:B405,(B4)+(1)))+(B160),IF(("equals")=(INDEX(B1:XFD1,((A3)+(1))+(0))),(INDEX(B5:B405,(B4)+(1)))=(B160),IF(("leq")=(INDEX(B1:XFD1,((A3)+(1))+(0))),(INDEX(B5:B405,(B4)+(1)))&lt;=(B160),IF(("greater")=(INDEX(B1:XFD1,((A3)+(1))+(0))),(INDEX(B5:B405,(B4)+(1)))&gt;(B160),IF(("mod")=(INDEX(B1:XFD1,((A3)+(1))+(0))),MOD(INDEX(B5:B405,(B4)+(1)),B160),B160))))))))),B160))</f>
        <v>#VALUE!</v>
      </c>
      <c r="C160" t="e">
        <f ca="1">IF((A1)=(2),1,IF(AND((INDEX(B1:XFD1,((A3)+(1))+(0)))=("writeheap"),(INDEX(B5:B405,(B4)+(1)))=(155)),INDEX(B5:B405,(B4)+(2)),IF((A1)=(2),"",IF((156)=(C4),C160,C160))))</f>
        <v>#VALUE!</v>
      </c>
      <c r="F160" t="e">
        <f ca="1">IF((A1)=(2),"",IF((156)=(F4),IF(IF((INDEX(B1:XFD1,((A3)+(1))+(0)))=("store"),(INDEX(B1:XFD1,((A3)+(1))+(1)))=("F"),"false"),B3,F160),F160))</f>
        <v>#VALUE!</v>
      </c>
      <c r="G160" t="e">
        <f ca="1">IF((A1)=(2),"",IF((156)=(G4),IF(IF((INDEX(B1:XFD1,((A3)+(1))+(0)))=("store"),(INDEX(B1:XFD1,((A3)+(1))+(1)))=("G"),"false"),B3,G160),G160))</f>
        <v>#VALUE!</v>
      </c>
      <c r="H160" t="e">
        <f ca="1">IF((A1)=(2),"",IF((156)=(H4),IF(IF((INDEX(B1:XFD1,((A3)+(1))+(0)))=("store"),(INDEX(B1:XFD1,((A3)+(1))+(1)))=("H"),"false"),B3,H160),H160))</f>
        <v>#VALUE!</v>
      </c>
      <c r="I160" t="e">
        <f ca="1">IF((A1)=(2),"",IF((156)=(I4),IF(IF((INDEX(B1:XFD1,((A3)+(1))+(0)))=("store"),(INDEX(B1:XFD1,((A3)+(1))+(1)))=("I"),"false"),B3,I160),I160))</f>
        <v>#VALUE!</v>
      </c>
      <c r="J160" t="e">
        <f ca="1">IF((A1)=(2),"",IF((156)=(J4),IF(IF((INDEX(B1:XFD1,((A3)+(1))+(0)))=("store"),(INDEX(B1:XFD1,((A3)+(1))+(1)))=("J"),"false"),B3,J160),J160))</f>
        <v>#VALUE!</v>
      </c>
      <c r="K160" t="e">
        <f ca="1">IF((A1)=(2),"",IF((156)=(K4),IF(IF((INDEX(B1:XFD1,((A3)+(1))+(0)))=("store"),(INDEX(B1:XFD1,((A3)+(1))+(1)))=("K"),"false"),B3,K160),K160))</f>
        <v>#VALUE!</v>
      </c>
      <c r="L160" t="e">
        <f ca="1">IF((A1)=(2),"",IF((156)=(L4),IF(IF((INDEX(B1:XFD1,((A3)+(1))+(0)))=("store"),(INDEX(B1:XFD1,((A3)+(1))+(1)))=("L"),"false"),B3,L160),L160))</f>
        <v>#VALUE!</v>
      </c>
      <c r="M160" t="e">
        <f ca="1">IF((A1)=(2),"",IF((156)=(M4),IF(IF((INDEX(B1:XFD1,((A3)+(1))+(0)))=("store"),(INDEX(B1:XFD1,((A3)+(1))+(1)))=("M"),"false"),B3,M160),M160))</f>
        <v>#VALUE!</v>
      </c>
      <c r="N160" t="e">
        <f ca="1">IF((A1)=(2),"",IF((156)=(N4),IF(IF((INDEX(B1:XFD1,((A3)+(1))+(0)))=("store"),(INDEX(B1:XFD1,((A3)+(1))+(1)))=("N"),"false"),B3,N160),N160))</f>
        <v>#VALUE!</v>
      </c>
      <c r="O160" t="e">
        <f ca="1">IF((A1)=(2),"",IF((156)=(O4),IF(IF((INDEX(B1:XFD1,((A3)+(1))+(0)))=("store"),(INDEX(B1:XFD1,((A3)+(1))+(1)))=("O"),"false"),B3,O160),O160))</f>
        <v>#VALUE!</v>
      </c>
      <c r="P160" t="e">
        <f ca="1">IF((A1)=(2),"",IF((156)=(P4),IF(IF((INDEX(B1:XFD1,((A3)+(1))+(0)))=("store"),(INDEX(B1:XFD1,((A3)+(1))+(1)))=("P"),"false"),B3,P160),P160))</f>
        <v>#VALUE!</v>
      </c>
      <c r="Q160" t="e">
        <f ca="1">IF((A1)=(2),"",IF((156)=(Q4),IF(IF((INDEX(B1:XFD1,((A3)+(1))+(0)))=("store"),(INDEX(B1:XFD1,((A3)+(1))+(1)))=("Q"),"false"),B3,Q160),Q160))</f>
        <v>#VALUE!</v>
      </c>
      <c r="R160" t="e">
        <f ca="1">IF((A1)=(2),"",IF((156)=(R4),IF(IF((INDEX(B1:XFD1,((A3)+(1))+(0)))=("store"),(INDEX(B1:XFD1,((A3)+(1))+(1)))=("R"),"false"),B3,R160),R160))</f>
        <v>#VALUE!</v>
      </c>
      <c r="S160" t="e">
        <f ca="1">IF((A1)=(2),"",IF((156)=(S4),IF(IF((INDEX(B1:XFD1,((A3)+(1))+(0)))=("store"),(INDEX(B1:XFD1,((A3)+(1))+(1)))=("S"),"false"),B3,S160),S160))</f>
        <v>#VALUE!</v>
      </c>
      <c r="T160" t="e">
        <f ca="1">IF((A1)=(2),"",IF((156)=(T4),IF(IF((INDEX(B1:XFD1,((A3)+(1))+(0)))=("store"),(INDEX(B1:XFD1,((A3)+(1))+(1)))=("T"),"false"),B3,T160),T160))</f>
        <v>#VALUE!</v>
      </c>
      <c r="U160" t="e">
        <f ca="1">IF((A1)=(2),"",IF((156)=(U4),IF(IF((INDEX(B1:XFD1,((A3)+(1))+(0)))=("store"),(INDEX(B1:XFD1,((A3)+(1))+(1)))=("U"),"false"),B3,U160),U160))</f>
        <v>#VALUE!</v>
      </c>
      <c r="V160" t="e">
        <f ca="1">IF((A1)=(2),"",IF((156)=(V4),IF(IF((INDEX(B1:XFD1,((A3)+(1))+(0)))=("store"),(INDEX(B1:XFD1,((A3)+(1))+(1)))=("V"),"false"),B3,V160),V160))</f>
        <v>#VALUE!</v>
      </c>
      <c r="W160" t="e">
        <f ca="1">IF((A1)=(2),"",IF((156)=(W4),IF(IF((INDEX(B1:XFD1,((A3)+(1))+(0)))=("store"),(INDEX(B1:XFD1,((A3)+(1))+(1)))=("W"),"false"),B3,W160),W160))</f>
        <v>#VALUE!</v>
      </c>
      <c r="X160" t="e">
        <f ca="1">IF((A1)=(2),"",IF((156)=(X4),IF(IF((INDEX(B1:XFD1,((A3)+(1))+(0)))=("store"),(INDEX(B1:XFD1,((A3)+(1))+(1)))=("X"),"false"),B3,X160),X160))</f>
        <v>#VALUE!</v>
      </c>
      <c r="Y160" t="e">
        <f ca="1">IF((A1)=(2),"",IF((156)=(Y4),IF(IF((INDEX(B1:XFD1,((A3)+(1))+(0)))=("store"),(INDEX(B1:XFD1,((A3)+(1))+(1)))=("Y"),"false"),B3,Y160),Y160))</f>
        <v>#VALUE!</v>
      </c>
      <c r="Z160" t="e">
        <f ca="1">IF((A1)=(2),"",IF((156)=(Z4),IF(IF((INDEX(B1:XFD1,((A3)+(1))+(0)))=("store"),(INDEX(B1:XFD1,((A3)+(1))+(1)))=("Z"),"false"),B3,Z160),Z160))</f>
        <v>#VALUE!</v>
      </c>
      <c r="AA160" t="e">
        <f ca="1">IF((A1)=(2),"",IF((156)=(AA4),IF(IF((INDEX(B1:XFD1,((A3)+(1))+(0)))=("store"),(INDEX(B1:XFD1,((A3)+(1))+(1)))=("AA"),"false"),B3,AA160),AA160))</f>
        <v>#VALUE!</v>
      </c>
      <c r="AB160" t="e">
        <f ca="1">IF((A1)=(2),"",IF((156)=(AB4),IF(IF((INDEX(B1:XFD1,((A3)+(1))+(0)))=("store"),(INDEX(B1:XFD1,((A3)+(1))+(1)))=("AB"),"false"),B3,AB160),AB160))</f>
        <v>#VALUE!</v>
      </c>
      <c r="AC160" t="e">
        <f ca="1">IF((A1)=(2),"",IF((156)=(AC4),IF(IF((INDEX(B1:XFD1,((A3)+(1))+(0)))=("store"),(INDEX(B1:XFD1,((A3)+(1))+(1)))=("AC"),"false"),B3,AC160),AC160))</f>
        <v>#VALUE!</v>
      </c>
      <c r="AD160" t="e">
        <f ca="1">IF((A1)=(2),"",IF((156)=(AD4),IF(IF((INDEX(B1:XFD1,((A3)+(1))+(0)))=("store"),(INDEX(B1:XFD1,((A3)+(1))+(1)))=("AD"),"false"),B3,AD160),AD160))</f>
        <v>#VALUE!</v>
      </c>
    </row>
    <row r="161" spans="1:30" x14ac:dyDescent="0.25">
      <c r="A161" t="e">
        <f ca="1">IF((A1)=(2),"",IF((157)=(A4),IF(("call")=(INDEX(B1:XFD1,((A3)+(1))+(0))),(B3)*(2),IF(("goto")=(INDEX(B1:XFD1,((A3)+(1))+(0))),(INDEX(B1:XFD1,((A3)+(1))+(1)))*(2),IF(("gotoiftrue")=(INDEX(B1:XFD1,((A3)+(1))+(0))),IF(B3,(INDEX(B1:XFD1,((A3)+(1))+(1)))*(2),(A161)+(2)),(A161)+(2)))),A161))</f>
        <v>#VALUE!</v>
      </c>
      <c r="B161" t="e">
        <f ca="1">IF((A1)=(2),"",IF((157)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161)+(1)),IF(("add")=(INDEX(B1:XFD1,((A3)+(1))+(0))),(INDEX(B5:B405,(B4)+(1)))+(B161),IF(("equals")=(INDEX(B1:XFD1,((A3)+(1))+(0))),(INDEX(B5:B405,(B4)+(1)))=(B161),IF(("leq")=(INDEX(B1:XFD1,((A3)+(1))+(0))),(INDEX(B5:B405,(B4)+(1)))&lt;=(B161),IF(("greater")=(INDEX(B1:XFD1,((A3)+(1))+(0))),(INDEX(B5:B405,(B4)+(1)))&gt;(B161),IF(("mod")=(INDEX(B1:XFD1,((A3)+(1))+(0))),MOD(INDEX(B5:B405,(B4)+(1)),B161),B161))))))))),B161))</f>
        <v>#VALUE!</v>
      </c>
      <c r="C161" t="e">
        <f ca="1">IF((A1)=(2),1,IF(AND((INDEX(B1:XFD1,((A3)+(1))+(0)))=("writeheap"),(INDEX(B5:B405,(B4)+(1)))=(156)),INDEX(B5:B405,(B4)+(2)),IF((A1)=(2),"",IF((157)=(C4),C161,C161))))</f>
        <v>#VALUE!</v>
      </c>
      <c r="F161" t="e">
        <f ca="1">IF((A1)=(2),"",IF((157)=(F4),IF(IF((INDEX(B1:XFD1,((A3)+(1))+(0)))=("store"),(INDEX(B1:XFD1,((A3)+(1))+(1)))=("F"),"false"),B3,F161),F161))</f>
        <v>#VALUE!</v>
      </c>
      <c r="G161" t="e">
        <f ca="1">IF((A1)=(2),"",IF((157)=(G4),IF(IF((INDEX(B1:XFD1,((A3)+(1))+(0)))=("store"),(INDEX(B1:XFD1,((A3)+(1))+(1)))=("G"),"false"),B3,G161),G161))</f>
        <v>#VALUE!</v>
      </c>
      <c r="H161" t="e">
        <f ca="1">IF((A1)=(2),"",IF((157)=(H4),IF(IF((INDEX(B1:XFD1,((A3)+(1))+(0)))=("store"),(INDEX(B1:XFD1,((A3)+(1))+(1)))=("H"),"false"),B3,H161),H161))</f>
        <v>#VALUE!</v>
      </c>
      <c r="I161" t="e">
        <f ca="1">IF((A1)=(2),"",IF((157)=(I4),IF(IF((INDEX(B1:XFD1,((A3)+(1))+(0)))=("store"),(INDEX(B1:XFD1,((A3)+(1))+(1)))=("I"),"false"),B3,I161),I161))</f>
        <v>#VALUE!</v>
      </c>
      <c r="J161" t="e">
        <f ca="1">IF((A1)=(2),"",IF((157)=(J4),IF(IF((INDEX(B1:XFD1,((A3)+(1))+(0)))=("store"),(INDEX(B1:XFD1,((A3)+(1))+(1)))=("J"),"false"),B3,J161),J161))</f>
        <v>#VALUE!</v>
      </c>
      <c r="K161" t="e">
        <f ca="1">IF((A1)=(2),"",IF((157)=(K4),IF(IF((INDEX(B1:XFD1,((A3)+(1))+(0)))=("store"),(INDEX(B1:XFD1,((A3)+(1))+(1)))=("K"),"false"),B3,K161),K161))</f>
        <v>#VALUE!</v>
      </c>
      <c r="L161" t="e">
        <f ca="1">IF((A1)=(2),"",IF((157)=(L4),IF(IF((INDEX(B1:XFD1,((A3)+(1))+(0)))=("store"),(INDEX(B1:XFD1,((A3)+(1))+(1)))=("L"),"false"),B3,L161),L161))</f>
        <v>#VALUE!</v>
      </c>
      <c r="M161" t="e">
        <f ca="1">IF((A1)=(2),"",IF((157)=(M4),IF(IF((INDEX(B1:XFD1,((A3)+(1))+(0)))=("store"),(INDEX(B1:XFD1,((A3)+(1))+(1)))=("M"),"false"),B3,M161),M161))</f>
        <v>#VALUE!</v>
      </c>
      <c r="N161" t="e">
        <f ca="1">IF((A1)=(2),"",IF((157)=(N4),IF(IF((INDEX(B1:XFD1,((A3)+(1))+(0)))=("store"),(INDEX(B1:XFD1,((A3)+(1))+(1)))=("N"),"false"),B3,N161),N161))</f>
        <v>#VALUE!</v>
      </c>
      <c r="O161" t="e">
        <f ca="1">IF((A1)=(2),"",IF((157)=(O4),IF(IF((INDEX(B1:XFD1,((A3)+(1))+(0)))=("store"),(INDEX(B1:XFD1,((A3)+(1))+(1)))=("O"),"false"),B3,O161),O161))</f>
        <v>#VALUE!</v>
      </c>
      <c r="P161" t="e">
        <f ca="1">IF((A1)=(2),"",IF((157)=(P4),IF(IF((INDEX(B1:XFD1,((A3)+(1))+(0)))=("store"),(INDEX(B1:XFD1,((A3)+(1))+(1)))=("P"),"false"),B3,P161),P161))</f>
        <v>#VALUE!</v>
      </c>
      <c r="Q161" t="e">
        <f ca="1">IF((A1)=(2),"",IF((157)=(Q4),IF(IF((INDEX(B1:XFD1,((A3)+(1))+(0)))=("store"),(INDEX(B1:XFD1,((A3)+(1))+(1)))=("Q"),"false"),B3,Q161),Q161))</f>
        <v>#VALUE!</v>
      </c>
      <c r="R161" t="e">
        <f ca="1">IF((A1)=(2),"",IF((157)=(R4),IF(IF((INDEX(B1:XFD1,((A3)+(1))+(0)))=("store"),(INDEX(B1:XFD1,((A3)+(1))+(1)))=("R"),"false"),B3,R161),R161))</f>
        <v>#VALUE!</v>
      </c>
      <c r="S161" t="e">
        <f ca="1">IF((A1)=(2),"",IF((157)=(S4),IF(IF((INDEX(B1:XFD1,((A3)+(1))+(0)))=("store"),(INDEX(B1:XFD1,((A3)+(1))+(1)))=("S"),"false"),B3,S161),S161))</f>
        <v>#VALUE!</v>
      </c>
      <c r="T161" t="e">
        <f ca="1">IF((A1)=(2),"",IF((157)=(T4),IF(IF((INDEX(B1:XFD1,((A3)+(1))+(0)))=("store"),(INDEX(B1:XFD1,((A3)+(1))+(1)))=("T"),"false"),B3,T161),T161))</f>
        <v>#VALUE!</v>
      </c>
      <c r="U161" t="e">
        <f ca="1">IF((A1)=(2),"",IF((157)=(U4),IF(IF((INDEX(B1:XFD1,((A3)+(1))+(0)))=("store"),(INDEX(B1:XFD1,((A3)+(1))+(1)))=("U"),"false"),B3,U161),U161))</f>
        <v>#VALUE!</v>
      </c>
      <c r="V161" t="e">
        <f ca="1">IF((A1)=(2),"",IF((157)=(V4),IF(IF((INDEX(B1:XFD1,((A3)+(1))+(0)))=("store"),(INDEX(B1:XFD1,((A3)+(1))+(1)))=("V"),"false"),B3,V161),V161))</f>
        <v>#VALUE!</v>
      </c>
      <c r="W161" t="e">
        <f ca="1">IF((A1)=(2),"",IF((157)=(W4),IF(IF((INDEX(B1:XFD1,((A3)+(1))+(0)))=("store"),(INDEX(B1:XFD1,((A3)+(1))+(1)))=("W"),"false"),B3,W161),W161))</f>
        <v>#VALUE!</v>
      </c>
      <c r="X161" t="e">
        <f ca="1">IF((A1)=(2),"",IF((157)=(X4),IF(IF((INDEX(B1:XFD1,((A3)+(1))+(0)))=("store"),(INDEX(B1:XFD1,((A3)+(1))+(1)))=("X"),"false"),B3,X161),X161))</f>
        <v>#VALUE!</v>
      </c>
      <c r="Y161" t="e">
        <f ca="1">IF((A1)=(2),"",IF((157)=(Y4),IF(IF((INDEX(B1:XFD1,((A3)+(1))+(0)))=("store"),(INDEX(B1:XFD1,((A3)+(1))+(1)))=("Y"),"false"),B3,Y161),Y161))</f>
        <v>#VALUE!</v>
      </c>
      <c r="Z161" t="e">
        <f ca="1">IF((A1)=(2),"",IF((157)=(Z4),IF(IF((INDEX(B1:XFD1,((A3)+(1))+(0)))=("store"),(INDEX(B1:XFD1,((A3)+(1))+(1)))=("Z"),"false"),B3,Z161),Z161))</f>
        <v>#VALUE!</v>
      </c>
      <c r="AA161" t="e">
        <f ca="1">IF((A1)=(2),"",IF((157)=(AA4),IF(IF((INDEX(B1:XFD1,((A3)+(1))+(0)))=("store"),(INDEX(B1:XFD1,((A3)+(1))+(1)))=("AA"),"false"),B3,AA161),AA161))</f>
        <v>#VALUE!</v>
      </c>
      <c r="AB161" t="e">
        <f ca="1">IF((A1)=(2),"",IF((157)=(AB4),IF(IF((INDEX(B1:XFD1,((A3)+(1))+(0)))=("store"),(INDEX(B1:XFD1,((A3)+(1))+(1)))=("AB"),"false"),B3,AB161),AB161))</f>
        <v>#VALUE!</v>
      </c>
      <c r="AC161" t="e">
        <f ca="1">IF((A1)=(2),"",IF((157)=(AC4),IF(IF((INDEX(B1:XFD1,((A3)+(1))+(0)))=("store"),(INDEX(B1:XFD1,((A3)+(1))+(1)))=("AC"),"false"),B3,AC161),AC161))</f>
        <v>#VALUE!</v>
      </c>
      <c r="AD161" t="e">
        <f ca="1">IF((A1)=(2),"",IF((157)=(AD4),IF(IF((INDEX(B1:XFD1,((A3)+(1))+(0)))=("store"),(INDEX(B1:XFD1,((A3)+(1))+(1)))=("AD"),"false"),B3,AD161),AD161))</f>
        <v>#VALUE!</v>
      </c>
    </row>
    <row r="162" spans="1:30" x14ac:dyDescent="0.25">
      <c r="A162" t="e">
        <f ca="1">IF((A1)=(2),"",IF((158)=(A4),IF(("call")=(INDEX(B1:XFD1,((A3)+(1))+(0))),(B3)*(2),IF(("goto")=(INDEX(B1:XFD1,((A3)+(1))+(0))),(INDEX(B1:XFD1,((A3)+(1))+(1)))*(2),IF(("gotoiftrue")=(INDEX(B1:XFD1,((A3)+(1))+(0))),IF(B3,(INDEX(B1:XFD1,((A3)+(1))+(1)))*(2),(A162)+(2)),(A162)+(2)))),A162))</f>
        <v>#VALUE!</v>
      </c>
      <c r="B162" t="e">
        <f ca="1">IF((A1)=(2),"",IF((158)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162)+(1)),IF(("add")=(INDEX(B1:XFD1,((A3)+(1))+(0))),(INDEX(B5:B405,(B4)+(1)))+(B162),IF(("equals")=(INDEX(B1:XFD1,((A3)+(1))+(0))),(INDEX(B5:B405,(B4)+(1)))=(B162),IF(("leq")=(INDEX(B1:XFD1,((A3)+(1))+(0))),(INDEX(B5:B405,(B4)+(1)))&lt;=(B162),IF(("greater")=(INDEX(B1:XFD1,((A3)+(1))+(0))),(INDEX(B5:B405,(B4)+(1)))&gt;(B162),IF(("mod")=(INDEX(B1:XFD1,((A3)+(1))+(0))),MOD(INDEX(B5:B405,(B4)+(1)),B162),B162))))))))),B162))</f>
        <v>#VALUE!</v>
      </c>
      <c r="C162" t="e">
        <f ca="1">IF((A1)=(2),1,IF(AND((INDEX(B1:XFD1,((A3)+(1))+(0)))=("writeheap"),(INDEX(B5:B405,(B4)+(1)))=(157)),INDEX(B5:B405,(B4)+(2)),IF((A1)=(2),"",IF((158)=(C4),C162,C162))))</f>
        <v>#VALUE!</v>
      </c>
      <c r="F162" t="e">
        <f ca="1">IF((A1)=(2),"",IF((158)=(F4),IF(IF((INDEX(B1:XFD1,((A3)+(1))+(0)))=("store"),(INDEX(B1:XFD1,((A3)+(1))+(1)))=("F"),"false"),B3,F162),F162))</f>
        <v>#VALUE!</v>
      </c>
      <c r="G162" t="e">
        <f ca="1">IF((A1)=(2),"",IF((158)=(G4),IF(IF((INDEX(B1:XFD1,((A3)+(1))+(0)))=("store"),(INDEX(B1:XFD1,((A3)+(1))+(1)))=("G"),"false"),B3,G162),G162))</f>
        <v>#VALUE!</v>
      </c>
      <c r="H162" t="e">
        <f ca="1">IF((A1)=(2),"",IF((158)=(H4),IF(IF((INDEX(B1:XFD1,((A3)+(1))+(0)))=("store"),(INDEX(B1:XFD1,((A3)+(1))+(1)))=("H"),"false"),B3,H162),H162))</f>
        <v>#VALUE!</v>
      </c>
      <c r="I162" t="e">
        <f ca="1">IF((A1)=(2),"",IF((158)=(I4),IF(IF((INDEX(B1:XFD1,((A3)+(1))+(0)))=("store"),(INDEX(B1:XFD1,((A3)+(1))+(1)))=("I"),"false"),B3,I162),I162))</f>
        <v>#VALUE!</v>
      </c>
      <c r="J162" t="e">
        <f ca="1">IF((A1)=(2),"",IF((158)=(J4),IF(IF((INDEX(B1:XFD1,((A3)+(1))+(0)))=("store"),(INDEX(B1:XFD1,((A3)+(1))+(1)))=("J"),"false"),B3,J162),J162))</f>
        <v>#VALUE!</v>
      </c>
      <c r="K162" t="e">
        <f ca="1">IF((A1)=(2),"",IF((158)=(K4),IF(IF((INDEX(B1:XFD1,((A3)+(1))+(0)))=("store"),(INDEX(B1:XFD1,((A3)+(1))+(1)))=("K"),"false"),B3,K162),K162))</f>
        <v>#VALUE!</v>
      </c>
      <c r="L162" t="e">
        <f ca="1">IF((A1)=(2),"",IF((158)=(L4),IF(IF((INDEX(B1:XFD1,((A3)+(1))+(0)))=("store"),(INDEX(B1:XFD1,((A3)+(1))+(1)))=("L"),"false"),B3,L162),L162))</f>
        <v>#VALUE!</v>
      </c>
      <c r="M162" t="e">
        <f ca="1">IF((A1)=(2),"",IF((158)=(M4),IF(IF((INDEX(B1:XFD1,((A3)+(1))+(0)))=("store"),(INDEX(B1:XFD1,((A3)+(1))+(1)))=("M"),"false"),B3,M162),M162))</f>
        <v>#VALUE!</v>
      </c>
      <c r="N162" t="e">
        <f ca="1">IF((A1)=(2),"",IF((158)=(N4),IF(IF((INDEX(B1:XFD1,((A3)+(1))+(0)))=("store"),(INDEX(B1:XFD1,((A3)+(1))+(1)))=("N"),"false"),B3,N162),N162))</f>
        <v>#VALUE!</v>
      </c>
      <c r="O162" t="e">
        <f ca="1">IF((A1)=(2),"",IF((158)=(O4),IF(IF((INDEX(B1:XFD1,((A3)+(1))+(0)))=("store"),(INDEX(B1:XFD1,((A3)+(1))+(1)))=("O"),"false"),B3,O162),O162))</f>
        <v>#VALUE!</v>
      </c>
      <c r="P162" t="e">
        <f ca="1">IF((A1)=(2),"",IF((158)=(P4),IF(IF((INDEX(B1:XFD1,((A3)+(1))+(0)))=("store"),(INDEX(B1:XFD1,((A3)+(1))+(1)))=("P"),"false"),B3,P162),P162))</f>
        <v>#VALUE!</v>
      </c>
      <c r="Q162" t="e">
        <f ca="1">IF((A1)=(2),"",IF((158)=(Q4),IF(IF((INDEX(B1:XFD1,((A3)+(1))+(0)))=("store"),(INDEX(B1:XFD1,((A3)+(1))+(1)))=("Q"),"false"),B3,Q162),Q162))</f>
        <v>#VALUE!</v>
      </c>
      <c r="R162" t="e">
        <f ca="1">IF((A1)=(2),"",IF((158)=(R4),IF(IF((INDEX(B1:XFD1,((A3)+(1))+(0)))=("store"),(INDEX(B1:XFD1,((A3)+(1))+(1)))=("R"),"false"),B3,R162),R162))</f>
        <v>#VALUE!</v>
      </c>
      <c r="S162" t="e">
        <f ca="1">IF((A1)=(2),"",IF((158)=(S4),IF(IF((INDEX(B1:XFD1,((A3)+(1))+(0)))=("store"),(INDEX(B1:XFD1,((A3)+(1))+(1)))=("S"),"false"),B3,S162),S162))</f>
        <v>#VALUE!</v>
      </c>
      <c r="T162" t="e">
        <f ca="1">IF((A1)=(2),"",IF((158)=(T4),IF(IF((INDEX(B1:XFD1,((A3)+(1))+(0)))=("store"),(INDEX(B1:XFD1,((A3)+(1))+(1)))=("T"),"false"),B3,T162),T162))</f>
        <v>#VALUE!</v>
      </c>
      <c r="U162" t="e">
        <f ca="1">IF((A1)=(2),"",IF((158)=(U4),IF(IF((INDEX(B1:XFD1,((A3)+(1))+(0)))=("store"),(INDEX(B1:XFD1,((A3)+(1))+(1)))=("U"),"false"),B3,U162),U162))</f>
        <v>#VALUE!</v>
      </c>
      <c r="V162" t="e">
        <f ca="1">IF((A1)=(2),"",IF((158)=(V4),IF(IF((INDEX(B1:XFD1,((A3)+(1))+(0)))=("store"),(INDEX(B1:XFD1,((A3)+(1))+(1)))=("V"),"false"),B3,V162),V162))</f>
        <v>#VALUE!</v>
      </c>
      <c r="W162" t="e">
        <f ca="1">IF((A1)=(2),"",IF((158)=(W4),IF(IF((INDEX(B1:XFD1,((A3)+(1))+(0)))=("store"),(INDEX(B1:XFD1,((A3)+(1))+(1)))=("W"),"false"),B3,W162),W162))</f>
        <v>#VALUE!</v>
      </c>
      <c r="X162" t="e">
        <f ca="1">IF((A1)=(2),"",IF((158)=(X4),IF(IF((INDEX(B1:XFD1,((A3)+(1))+(0)))=("store"),(INDEX(B1:XFD1,((A3)+(1))+(1)))=("X"),"false"),B3,X162),X162))</f>
        <v>#VALUE!</v>
      </c>
      <c r="Y162" t="e">
        <f ca="1">IF((A1)=(2),"",IF((158)=(Y4),IF(IF((INDEX(B1:XFD1,((A3)+(1))+(0)))=("store"),(INDEX(B1:XFD1,((A3)+(1))+(1)))=("Y"),"false"),B3,Y162),Y162))</f>
        <v>#VALUE!</v>
      </c>
      <c r="Z162" t="e">
        <f ca="1">IF((A1)=(2),"",IF((158)=(Z4),IF(IF((INDEX(B1:XFD1,((A3)+(1))+(0)))=("store"),(INDEX(B1:XFD1,((A3)+(1))+(1)))=("Z"),"false"),B3,Z162),Z162))</f>
        <v>#VALUE!</v>
      </c>
      <c r="AA162" t="e">
        <f ca="1">IF((A1)=(2),"",IF((158)=(AA4),IF(IF((INDEX(B1:XFD1,((A3)+(1))+(0)))=("store"),(INDEX(B1:XFD1,((A3)+(1))+(1)))=("AA"),"false"),B3,AA162),AA162))</f>
        <v>#VALUE!</v>
      </c>
      <c r="AB162" t="e">
        <f ca="1">IF((A1)=(2),"",IF((158)=(AB4),IF(IF((INDEX(B1:XFD1,((A3)+(1))+(0)))=("store"),(INDEX(B1:XFD1,((A3)+(1))+(1)))=("AB"),"false"),B3,AB162),AB162))</f>
        <v>#VALUE!</v>
      </c>
      <c r="AC162" t="e">
        <f ca="1">IF((A1)=(2),"",IF((158)=(AC4),IF(IF((INDEX(B1:XFD1,((A3)+(1))+(0)))=("store"),(INDEX(B1:XFD1,((A3)+(1))+(1)))=("AC"),"false"),B3,AC162),AC162))</f>
        <v>#VALUE!</v>
      </c>
      <c r="AD162" t="e">
        <f ca="1">IF((A1)=(2),"",IF((158)=(AD4),IF(IF((INDEX(B1:XFD1,((A3)+(1))+(0)))=("store"),(INDEX(B1:XFD1,((A3)+(1))+(1)))=("AD"),"false"),B3,AD162),AD162))</f>
        <v>#VALUE!</v>
      </c>
    </row>
    <row r="163" spans="1:30" x14ac:dyDescent="0.25">
      <c r="A163" t="e">
        <f ca="1">IF((A1)=(2),"",IF((159)=(A4),IF(("call")=(INDEX(B1:XFD1,((A3)+(1))+(0))),(B3)*(2),IF(("goto")=(INDEX(B1:XFD1,((A3)+(1))+(0))),(INDEX(B1:XFD1,((A3)+(1))+(1)))*(2),IF(("gotoiftrue")=(INDEX(B1:XFD1,((A3)+(1))+(0))),IF(B3,(INDEX(B1:XFD1,((A3)+(1))+(1)))*(2),(A163)+(2)),(A163)+(2)))),A163))</f>
        <v>#VALUE!</v>
      </c>
      <c r="B163" t="e">
        <f ca="1">IF((A1)=(2),"",IF((159)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163)+(1)),IF(("add")=(INDEX(B1:XFD1,((A3)+(1))+(0))),(INDEX(B5:B405,(B4)+(1)))+(B163),IF(("equals")=(INDEX(B1:XFD1,((A3)+(1))+(0))),(INDEX(B5:B405,(B4)+(1)))=(B163),IF(("leq")=(INDEX(B1:XFD1,((A3)+(1))+(0))),(INDEX(B5:B405,(B4)+(1)))&lt;=(B163),IF(("greater")=(INDEX(B1:XFD1,((A3)+(1))+(0))),(INDEX(B5:B405,(B4)+(1)))&gt;(B163),IF(("mod")=(INDEX(B1:XFD1,((A3)+(1))+(0))),MOD(INDEX(B5:B405,(B4)+(1)),B163),B163))))))))),B163))</f>
        <v>#VALUE!</v>
      </c>
      <c r="C163" t="e">
        <f ca="1">IF((A1)=(2),1,IF(AND((INDEX(B1:XFD1,((A3)+(1))+(0)))=("writeheap"),(INDEX(B5:B405,(B4)+(1)))=(158)),INDEX(B5:B405,(B4)+(2)),IF((A1)=(2),"",IF((159)=(C4),C163,C163))))</f>
        <v>#VALUE!</v>
      </c>
      <c r="F163" t="e">
        <f ca="1">IF((A1)=(2),"",IF((159)=(F4),IF(IF((INDEX(B1:XFD1,((A3)+(1))+(0)))=("store"),(INDEX(B1:XFD1,((A3)+(1))+(1)))=("F"),"false"),B3,F163),F163))</f>
        <v>#VALUE!</v>
      </c>
      <c r="G163" t="e">
        <f ca="1">IF((A1)=(2),"",IF((159)=(G4),IF(IF((INDEX(B1:XFD1,((A3)+(1))+(0)))=("store"),(INDEX(B1:XFD1,((A3)+(1))+(1)))=("G"),"false"),B3,G163),G163))</f>
        <v>#VALUE!</v>
      </c>
      <c r="H163" t="e">
        <f ca="1">IF((A1)=(2),"",IF((159)=(H4),IF(IF((INDEX(B1:XFD1,((A3)+(1))+(0)))=("store"),(INDEX(B1:XFD1,((A3)+(1))+(1)))=("H"),"false"),B3,H163),H163))</f>
        <v>#VALUE!</v>
      </c>
      <c r="I163" t="e">
        <f ca="1">IF((A1)=(2),"",IF((159)=(I4),IF(IF((INDEX(B1:XFD1,((A3)+(1))+(0)))=("store"),(INDEX(B1:XFD1,((A3)+(1))+(1)))=("I"),"false"),B3,I163),I163))</f>
        <v>#VALUE!</v>
      </c>
      <c r="J163" t="e">
        <f ca="1">IF((A1)=(2),"",IF((159)=(J4),IF(IF((INDEX(B1:XFD1,((A3)+(1))+(0)))=("store"),(INDEX(B1:XFD1,((A3)+(1))+(1)))=("J"),"false"),B3,J163),J163))</f>
        <v>#VALUE!</v>
      </c>
      <c r="K163" t="e">
        <f ca="1">IF((A1)=(2),"",IF((159)=(K4),IF(IF((INDEX(B1:XFD1,((A3)+(1))+(0)))=("store"),(INDEX(B1:XFD1,((A3)+(1))+(1)))=("K"),"false"),B3,K163),K163))</f>
        <v>#VALUE!</v>
      </c>
      <c r="L163" t="e">
        <f ca="1">IF((A1)=(2),"",IF((159)=(L4),IF(IF((INDEX(B1:XFD1,((A3)+(1))+(0)))=("store"),(INDEX(B1:XFD1,((A3)+(1))+(1)))=("L"),"false"),B3,L163),L163))</f>
        <v>#VALUE!</v>
      </c>
      <c r="M163" t="e">
        <f ca="1">IF((A1)=(2),"",IF((159)=(M4),IF(IF((INDEX(B1:XFD1,((A3)+(1))+(0)))=("store"),(INDEX(B1:XFD1,((A3)+(1))+(1)))=("M"),"false"),B3,M163),M163))</f>
        <v>#VALUE!</v>
      </c>
      <c r="N163" t="e">
        <f ca="1">IF((A1)=(2),"",IF((159)=(N4),IF(IF((INDEX(B1:XFD1,((A3)+(1))+(0)))=("store"),(INDEX(B1:XFD1,((A3)+(1))+(1)))=("N"),"false"),B3,N163),N163))</f>
        <v>#VALUE!</v>
      </c>
      <c r="O163" t="e">
        <f ca="1">IF((A1)=(2),"",IF((159)=(O4),IF(IF((INDEX(B1:XFD1,((A3)+(1))+(0)))=("store"),(INDEX(B1:XFD1,((A3)+(1))+(1)))=("O"),"false"),B3,O163),O163))</f>
        <v>#VALUE!</v>
      </c>
      <c r="P163" t="e">
        <f ca="1">IF((A1)=(2),"",IF((159)=(P4),IF(IF((INDEX(B1:XFD1,((A3)+(1))+(0)))=("store"),(INDEX(B1:XFD1,((A3)+(1))+(1)))=("P"),"false"),B3,P163),P163))</f>
        <v>#VALUE!</v>
      </c>
      <c r="Q163" t="e">
        <f ca="1">IF((A1)=(2),"",IF((159)=(Q4),IF(IF((INDEX(B1:XFD1,((A3)+(1))+(0)))=("store"),(INDEX(B1:XFD1,((A3)+(1))+(1)))=("Q"),"false"),B3,Q163),Q163))</f>
        <v>#VALUE!</v>
      </c>
      <c r="R163" t="e">
        <f ca="1">IF((A1)=(2),"",IF((159)=(R4),IF(IF((INDEX(B1:XFD1,((A3)+(1))+(0)))=("store"),(INDEX(B1:XFD1,((A3)+(1))+(1)))=("R"),"false"),B3,R163),R163))</f>
        <v>#VALUE!</v>
      </c>
      <c r="S163" t="e">
        <f ca="1">IF((A1)=(2),"",IF((159)=(S4),IF(IF((INDEX(B1:XFD1,((A3)+(1))+(0)))=("store"),(INDEX(B1:XFD1,((A3)+(1))+(1)))=("S"),"false"),B3,S163),S163))</f>
        <v>#VALUE!</v>
      </c>
      <c r="T163" t="e">
        <f ca="1">IF((A1)=(2),"",IF((159)=(T4),IF(IF((INDEX(B1:XFD1,((A3)+(1))+(0)))=("store"),(INDEX(B1:XFD1,((A3)+(1))+(1)))=("T"),"false"),B3,T163),T163))</f>
        <v>#VALUE!</v>
      </c>
      <c r="U163" t="e">
        <f ca="1">IF((A1)=(2),"",IF((159)=(U4),IF(IF((INDEX(B1:XFD1,((A3)+(1))+(0)))=("store"),(INDEX(B1:XFD1,((A3)+(1))+(1)))=("U"),"false"),B3,U163),U163))</f>
        <v>#VALUE!</v>
      </c>
      <c r="V163" t="e">
        <f ca="1">IF((A1)=(2),"",IF((159)=(V4),IF(IF((INDEX(B1:XFD1,((A3)+(1))+(0)))=("store"),(INDEX(B1:XFD1,((A3)+(1))+(1)))=("V"),"false"),B3,V163),V163))</f>
        <v>#VALUE!</v>
      </c>
      <c r="W163" t="e">
        <f ca="1">IF((A1)=(2),"",IF((159)=(W4),IF(IF((INDEX(B1:XFD1,((A3)+(1))+(0)))=("store"),(INDEX(B1:XFD1,((A3)+(1))+(1)))=("W"),"false"),B3,W163),W163))</f>
        <v>#VALUE!</v>
      </c>
      <c r="X163" t="e">
        <f ca="1">IF((A1)=(2),"",IF((159)=(X4),IF(IF((INDEX(B1:XFD1,((A3)+(1))+(0)))=("store"),(INDEX(B1:XFD1,((A3)+(1))+(1)))=("X"),"false"),B3,X163),X163))</f>
        <v>#VALUE!</v>
      </c>
      <c r="Y163" t="e">
        <f ca="1">IF((A1)=(2),"",IF((159)=(Y4),IF(IF((INDEX(B1:XFD1,((A3)+(1))+(0)))=("store"),(INDEX(B1:XFD1,((A3)+(1))+(1)))=("Y"),"false"),B3,Y163),Y163))</f>
        <v>#VALUE!</v>
      </c>
      <c r="Z163" t="e">
        <f ca="1">IF((A1)=(2),"",IF((159)=(Z4),IF(IF((INDEX(B1:XFD1,((A3)+(1))+(0)))=("store"),(INDEX(B1:XFD1,((A3)+(1))+(1)))=("Z"),"false"),B3,Z163),Z163))</f>
        <v>#VALUE!</v>
      </c>
      <c r="AA163" t="e">
        <f ca="1">IF((A1)=(2),"",IF((159)=(AA4),IF(IF((INDEX(B1:XFD1,((A3)+(1))+(0)))=("store"),(INDEX(B1:XFD1,((A3)+(1))+(1)))=("AA"),"false"),B3,AA163),AA163))</f>
        <v>#VALUE!</v>
      </c>
      <c r="AB163" t="e">
        <f ca="1">IF((A1)=(2),"",IF((159)=(AB4),IF(IF((INDEX(B1:XFD1,((A3)+(1))+(0)))=("store"),(INDEX(B1:XFD1,((A3)+(1))+(1)))=("AB"),"false"),B3,AB163),AB163))</f>
        <v>#VALUE!</v>
      </c>
      <c r="AC163" t="e">
        <f ca="1">IF((A1)=(2),"",IF((159)=(AC4),IF(IF((INDEX(B1:XFD1,((A3)+(1))+(0)))=("store"),(INDEX(B1:XFD1,((A3)+(1))+(1)))=("AC"),"false"),B3,AC163),AC163))</f>
        <v>#VALUE!</v>
      </c>
      <c r="AD163" t="e">
        <f ca="1">IF((A1)=(2),"",IF((159)=(AD4),IF(IF((INDEX(B1:XFD1,((A3)+(1))+(0)))=("store"),(INDEX(B1:XFD1,((A3)+(1))+(1)))=("AD"),"false"),B3,AD163),AD163))</f>
        <v>#VALUE!</v>
      </c>
    </row>
    <row r="164" spans="1:30" x14ac:dyDescent="0.25">
      <c r="A164" t="e">
        <f ca="1">IF((A1)=(2),"",IF((160)=(A4),IF(("call")=(INDEX(B1:XFD1,((A3)+(1))+(0))),(B3)*(2),IF(("goto")=(INDEX(B1:XFD1,((A3)+(1))+(0))),(INDEX(B1:XFD1,((A3)+(1))+(1)))*(2),IF(("gotoiftrue")=(INDEX(B1:XFD1,((A3)+(1))+(0))),IF(B3,(INDEX(B1:XFD1,((A3)+(1))+(1)))*(2),(A164)+(2)),(A164)+(2)))),A164))</f>
        <v>#VALUE!</v>
      </c>
      <c r="B164" t="e">
        <f ca="1">IF((A1)=(2),"",IF((160)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164)+(1)),IF(("add")=(INDEX(B1:XFD1,((A3)+(1))+(0))),(INDEX(B5:B405,(B4)+(1)))+(B164),IF(("equals")=(INDEX(B1:XFD1,((A3)+(1))+(0))),(INDEX(B5:B405,(B4)+(1)))=(B164),IF(("leq")=(INDEX(B1:XFD1,((A3)+(1))+(0))),(INDEX(B5:B405,(B4)+(1)))&lt;=(B164),IF(("greater")=(INDEX(B1:XFD1,((A3)+(1))+(0))),(INDEX(B5:B405,(B4)+(1)))&gt;(B164),IF(("mod")=(INDEX(B1:XFD1,((A3)+(1))+(0))),MOD(INDEX(B5:B405,(B4)+(1)),B164),B164))))))))),B164))</f>
        <v>#VALUE!</v>
      </c>
      <c r="C164" t="e">
        <f ca="1">IF((A1)=(2),1,IF(AND((INDEX(B1:XFD1,((A3)+(1))+(0)))=("writeheap"),(INDEX(B5:B405,(B4)+(1)))=(159)),INDEX(B5:B405,(B4)+(2)),IF((A1)=(2),"",IF((160)=(C4),C164,C164))))</f>
        <v>#VALUE!</v>
      </c>
      <c r="F164" t="e">
        <f ca="1">IF((A1)=(2),"",IF((160)=(F4),IF(IF((INDEX(B1:XFD1,((A3)+(1))+(0)))=("store"),(INDEX(B1:XFD1,((A3)+(1))+(1)))=("F"),"false"),B3,F164),F164))</f>
        <v>#VALUE!</v>
      </c>
      <c r="G164" t="e">
        <f ca="1">IF((A1)=(2),"",IF((160)=(G4),IF(IF((INDEX(B1:XFD1,((A3)+(1))+(0)))=("store"),(INDEX(B1:XFD1,((A3)+(1))+(1)))=("G"),"false"),B3,G164),G164))</f>
        <v>#VALUE!</v>
      </c>
      <c r="H164" t="e">
        <f ca="1">IF((A1)=(2),"",IF((160)=(H4),IF(IF((INDEX(B1:XFD1,((A3)+(1))+(0)))=("store"),(INDEX(B1:XFD1,((A3)+(1))+(1)))=("H"),"false"),B3,H164),H164))</f>
        <v>#VALUE!</v>
      </c>
      <c r="I164" t="e">
        <f ca="1">IF((A1)=(2),"",IF((160)=(I4),IF(IF((INDEX(B1:XFD1,((A3)+(1))+(0)))=("store"),(INDEX(B1:XFD1,((A3)+(1))+(1)))=("I"),"false"),B3,I164),I164))</f>
        <v>#VALUE!</v>
      </c>
      <c r="J164" t="e">
        <f ca="1">IF((A1)=(2),"",IF((160)=(J4),IF(IF((INDEX(B1:XFD1,((A3)+(1))+(0)))=("store"),(INDEX(B1:XFD1,((A3)+(1))+(1)))=("J"),"false"),B3,J164),J164))</f>
        <v>#VALUE!</v>
      </c>
      <c r="K164" t="e">
        <f ca="1">IF((A1)=(2),"",IF((160)=(K4),IF(IF((INDEX(B1:XFD1,((A3)+(1))+(0)))=("store"),(INDEX(B1:XFD1,((A3)+(1))+(1)))=("K"),"false"),B3,K164),K164))</f>
        <v>#VALUE!</v>
      </c>
      <c r="L164" t="e">
        <f ca="1">IF((A1)=(2),"",IF((160)=(L4),IF(IF((INDEX(B1:XFD1,((A3)+(1))+(0)))=("store"),(INDEX(B1:XFD1,((A3)+(1))+(1)))=("L"),"false"),B3,L164),L164))</f>
        <v>#VALUE!</v>
      </c>
      <c r="M164" t="e">
        <f ca="1">IF((A1)=(2),"",IF((160)=(M4),IF(IF((INDEX(B1:XFD1,((A3)+(1))+(0)))=("store"),(INDEX(B1:XFD1,((A3)+(1))+(1)))=("M"),"false"),B3,M164),M164))</f>
        <v>#VALUE!</v>
      </c>
      <c r="N164" t="e">
        <f ca="1">IF((A1)=(2),"",IF((160)=(N4),IF(IF((INDEX(B1:XFD1,((A3)+(1))+(0)))=("store"),(INDEX(B1:XFD1,((A3)+(1))+(1)))=("N"),"false"),B3,N164),N164))</f>
        <v>#VALUE!</v>
      </c>
      <c r="O164" t="e">
        <f ca="1">IF((A1)=(2),"",IF((160)=(O4),IF(IF((INDEX(B1:XFD1,((A3)+(1))+(0)))=("store"),(INDEX(B1:XFD1,((A3)+(1))+(1)))=("O"),"false"),B3,O164),O164))</f>
        <v>#VALUE!</v>
      </c>
      <c r="P164" t="e">
        <f ca="1">IF((A1)=(2),"",IF((160)=(P4),IF(IF((INDEX(B1:XFD1,((A3)+(1))+(0)))=("store"),(INDEX(B1:XFD1,((A3)+(1))+(1)))=("P"),"false"),B3,P164),P164))</f>
        <v>#VALUE!</v>
      </c>
      <c r="Q164" t="e">
        <f ca="1">IF((A1)=(2),"",IF((160)=(Q4),IF(IF((INDEX(B1:XFD1,((A3)+(1))+(0)))=("store"),(INDEX(B1:XFD1,((A3)+(1))+(1)))=("Q"),"false"),B3,Q164),Q164))</f>
        <v>#VALUE!</v>
      </c>
      <c r="R164" t="e">
        <f ca="1">IF((A1)=(2),"",IF((160)=(R4),IF(IF((INDEX(B1:XFD1,((A3)+(1))+(0)))=("store"),(INDEX(B1:XFD1,((A3)+(1))+(1)))=("R"),"false"),B3,R164),R164))</f>
        <v>#VALUE!</v>
      </c>
      <c r="S164" t="e">
        <f ca="1">IF((A1)=(2),"",IF((160)=(S4),IF(IF((INDEX(B1:XFD1,((A3)+(1))+(0)))=("store"),(INDEX(B1:XFD1,((A3)+(1))+(1)))=("S"),"false"),B3,S164),S164))</f>
        <v>#VALUE!</v>
      </c>
      <c r="T164" t="e">
        <f ca="1">IF((A1)=(2),"",IF((160)=(T4),IF(IF((INDEX(B1:XFD1,((A3)+(1))+(0)))=("store"),(INDEX(B1:XFD1,((A3)+(1))+(1)))=("T"),"false"),B3,T164),T164))</f>
        <v>#VALUE!</v>
      </c>
      <c r="U164" t="e">
        <f ca="1">IF((A1)=(2),"",IF((160)=(U4),IF(IF((INDEX(B1:XFD1,((A3)+(1))+(0)))=("store"),(INDEX(B1:XFD1,((A3)+(1))+(1)))=("U"),"false"),B3,U164),U164))</f>
        <v>#VALUE!</v>
      </c>
      <c r="V164" t="e">
        <f ca="1">IF((A1)=(2),"",IF((160)=(V4),IF(IF((INDEX(B1:XFD1,((A3)+(1))+(0)))=("store"),(INDEX(B1:XFD1,((A3)+(1))+(1)))=("V"),"false"),B3,V164),V164))</f>
        <v>#VALUE!</v>
      </c>
      <c r="W164" t="e">
        <f ca="1">IF((A1)=(2),"",IF((160)=(W4),IF(IF((INDEX(B1:XFD1,((A3)+(1))+(0)))=("store"),(INDEX(B1:XFD1,((A3)+(1))+(1)))=("W"),"false"),B3,W164),W164))</f>
        <v>#VALUE!</v>
      </c>
      <c r="X164" t="e">
        <f ca="1">IF((A1)=(2),"",IF((160)=(X4),IF(IF((INDEX(B1:XFD1,((A3)+(1))+(0)))=("store"),(INDEX(B1:XFD1,((A3)+(1))+(1)))=("X"),"false"),B3,X164),X164))</f>
        <v>#VALUE!</v>
      </c>
      <c r="Y164" t="e">
        <f ca="1">IF((A1)=(2),"",IF((160)=(Y4),IF(IF((INDEX(B1:XFD1,((A3)+(1))+(0)))=("store"),(INDEX(B1:XFD1,((A3)+(1))+(1)))=("Y"),"false"),B3,Y164),Y164))</f>
        <v>#VALUE!</v>
      </c>
      <c r="Z164" t="e">
        <f ca="1">IF((A1)=(2),"",IF((160)=(Z4),IF(IF((INDEX(B1:XFD1,((A3)+(1))+(0)))=("store"),(INDEX(B1:XFD1,((A3)+(1))+(1)))=("Z"),"false"),B3,Z164),Z164))</f>
        <v>#VALUE!</v>
      </c>
      <c r="AA164" t="e">
        <f ca="1">IF((A1)=(2),"",IF((160)=(AA4),IF(IF((INDEX(B1:XFD1,((A3)+(1))+(0)))=("store"),(INDEX(B1:XFD1,((A3)+(1))+(1)))=("AA"),"false"),B3,AA164),AA164))</f>
        <v>#VALUE!</v>
      </c>
      <c r="AB164" t="e">
        <f ca="1">IF((A1)=(2),"",IF((160)=(AB4),IF(IF((INDEX(B1:XFD1,((A3)+(1))+(0)))=("store"),(INDEX(B1:XFD1,((A3)+(1))+(1)))=("AB"),"false"),B3,AB164),AB164))</f>
        <v>#VALUE!</v>
      </c>
      <c r="AC164" t="e">
        <f ca="1">IF((A1)=(2),"",IF((160)=(AC4),IF(IF((INDEX(B1:XFD1,((A3)+(1))+(0)))=("store"),(INDEX(B1:XFD1,((A3)+(1))+(1)))=("AC"),"false"),B3,AC164),AC164))</f>
        <v>#VALUE!</v>
      </c>
      <c r="AD164" t="e">
        <f ca="1">IF((A1)=(2),"",IF((160)=(AD4),IF(IF((INDEX(B1:XFD1,((A3)+(1))+(0)))=("store"),(INDEX(B1:XFD1,((A3)+(1))+(1)))=("AD"),"false"),B3,AD164),AD164))</f>
        <v>#VALUE!</v>
      </c>
    </row>
    <row r="165" spans="1:30" x14ac:dyDescent="0.25">
      <c r="A165" t="e">
        <f ca="1">IF((A1)=(2),"",IF((161)=(A4),IF(("call")=(INDEX(B1:XFD1,((A3)+(1))+(0))),(B3)*(2),IF(("goto")=(INDEX(B1:XFD1,((A3)+(1))+(0))),(INDEX(B1:XFD1,((A3)+(1))+(1)))*(2),IF(("gotoiftrue")=(INDEX(B1:XFD1,((A3)+(1))+(0))),IF(B3,(INDEX(B1:XFD1,((A3)+(1))+(1)))*(2),(A165)+(2)),(A165)+(2)))),A165))</f>
        <v>#VALUE!</v>
      </c>
      <c r="B165" t="e">
        <f ca="1">IF((A1)=(2),"",IF((161)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165)+(1)),IF(("add")=(INDEX(B1:XFD1,((A3)+(1))+(0))),(INDEX(B5:B405,(B4)+(1)))+(B165),IF(("equals")=(INDEX(B1:XFD1,((A3)+(1))+(0))),(INDEX(B5:B405,(B4)+(1)))=(B165),IF(("leq")=(INDEX(B1:XFD1,((A3)+(1))+(0))),(INDEX(B5:B405,(B4)+(1)))&lt;=(B165),IF(("greater")=(INDEX(B1:XFD1,((A3)+(1))+(0))),(INDEX(B5:B405,(B4)+(1)))&gt;(B165),IF(("mod")=(INDEX(B1:XFD1,((A3)+(1))+(0))),MOD(INDEX(B5:B405,(B4)+(1)),B165),B165))))))))),B165))</f>
        <v>#VALUE!</v>
      </c>
      <c r="C165" t="e">
        <f ca="1">IF((A1)=(2),1,IF(AND((INDEX(B1:XFD1,((A3)+(1))+(0)))=("writeheap"),(INDEX(B5:B405,(B4)+(1)))=(160)),INDEX(B5:B405,(B4)+(2)),IF((A1)=(2),"",IF((161)=(C4),C165,C165))))</f>
        <v>#VALUE!</v>
      </c>
      <c r="F165" t="e">
        <f ca="1">IF((A1)=(2),"",IF((161)=(F4),IF(IF((INDEX(B1:XFD1,((A3)+(1))+(0)))=("store"),(INDEX(B1:XFD1,((A3)+(1))+(1)))=("F"),"false"),B3,F165),F165))</f>
        <v>#VALUE!</v>
      </c>
      <c r="G165" t="e">
        <f ca="1">IF((A1)=(2),"",IF((161)=(G4),IF(IF((INDEX(B1:XFD1,((A3)+(1))+(0)))=("store"),(INDEX(B1:XFD1,((A3)+(1))+(1)))=("G"),"false"),B3,G165),G165))</f>
        <v>#VALUE!</v>
      </c>
      <c r="H165" t="e">
        <f ca="1">IF((A1)=(2),"",IF((161)=(H4),IF(IF((INDEX(B1:XFD1,((A3)+(1))+(0)))=("store"),(INDEX(B1:XFD1,((A3)+(1))+(1)))=("H"),"false"),B3,H165),H165))</f>
        <v>#VALUE!</v>
      </c>
      <c r="I165" t="e">
        <f ca="1">IF((A1)=(2),"",IF((161)=(I4),IF(IF((INDEX(B1:XFD1,((A3)+(1))+(0)))=("store"),(INDEX(B1:XFD1,((A3)+(1))+(1)))=("I"),"false"),B3,I165),I165))</f>
        <v>#VALUE!</v>
      </c>
      <c r="J165" t="e">
        <f ca="1">IF((A1)=(2),"",IF((161)=(J4),IF(IF((INDEX(B1:XFD1,((A3)+(1))+(0)))=("store"),(INDEX(B1:XFD1,((A3)+(1))+(1)))=("J"),"false"),B3,J165),J165))</f>
        <v>#VALUE!</v>
      </c>
      <c r="K165" t="e">
        <f ca="1">IF((A1)=(2),"",IF((161)=(K4),IF(IF((INDEX(B1:XFD1,((A3)+(1))+(0)))=("store"),(INDEX(B1:XFD1,((A3)+(1))+(1)))=("K"),"false"),B3,K165),K165))</f>
        <v>#VALUE!</v>
      </c>
      <c r="L165" t="e">
        <f ca="1">IF((A1)=(2),"",IF((161)=(L4),IF(IF((INDEX(B1:XFD1,((A3)+(1))+(0)))=("store"),(INDEX(B1:XFD1,((A3)+(1))+(1)))=("L"),"false"),B3,L165),L165))</f>
        <v>#VALUE!</v>
      </c>
      <c r="M165" t="e">
        <f ca="1">IF((A1)=(2),"",IF((161)=(M4),IF(IF((INDEX(B1:XFD1,((A3)+(1))+(0)))=("store"),(INDEX(B1:XFD1,((A3)+(1))+(1)))=("M"),"false"),B3,M165),M165))</f>
        <v>#VALUE!</v>
      </c>
      <c r="N165" t="e">
        <f ca="1">IF((A1)=(2),"",IF((161)=(N4),IF(IF((INDEX(B1:XFD1,((A3)+(1))+(0)))=("store"),(INDEX(B1:XFD1,((A3)+(1))+(1)))=("N"),"false"),B3,N165),N165))</f>
        <v>#VALUE!</v>
      </c>
      <c r="O165" t="e">
        <f ca="1">IF((A1)=(2),"",IF((161)=(O4),IF(IF((INDEX(B1:XFD1,((A3)+(1))+(0)))=("store"),(INDEX(B1:XFD1,((A3)+(1))+(1)))=("O"),"false"),B3,O165),O165))</f>
        <v>#VALUE!</v>
      </c>
      <c r="P165" t="e">
        <f ca="1">IF((A1)=(2),"",IF((161)=(P4),IF(IF((INDEX(B1:XFD1,((A3)+(1))+(0)))=("store"),(INDEX(B1:XFD1,((A3)+(1))+(1)))=("P"),"false"),B3,P165),P165))</f>
        <v>#VALUE!</v>
      </c>
      <c r="Q165" t="e">
        <f ca="1">IF((A1)=(2),"",IF((161)=(Q4),IF(IF((INDEX(B1:XFD1,((A3)+(1))+(0)))=("store"),(INDEX(B1:XFD1,((A3)+(1))+(1)))=("Q"),"false"),B3,Q165),Q165))</f>
        <v>#VALUE!</v>
      </c>
      <c r="R165" t="e">
        <f ca="1">IF((A1)=(2),"",IF((161)=(R4),IF(IF((INDEX(B1:XFD1,((A3)+(1))+(0)))=("store"),(INDEX(B1:XFD1,((A3)+(1))+(1)))=("R"),"false"),B3,R165),R165))</f>
        <v>#VALUE!</v>
      </c>
      <c r="S165" t="e">
        <f ca="1">IF((A1)=(2),"",IF((161)=(S4),IF(IF((INDEX(B1:XFD1,((A3)+(1))+(0)))=("store"),(INDEX(B1:XFD1,((A3)+(1))+(1)))=("S"),"false"),B3,S165),S165))</f>
        <v>#VALUE!</v>
      </c>
      <c r="T165" t="e">
        <f ca="1">IF((A1)=(2),"",IF((161)=(T4),IF(IF((INDEX(B1:XFD1,((A3)+(1))+(0)))=("store"),(INDEX(B1:XFD1,((A3)+(1))+(1)))=("T"),"false"),B3,T165),T165))</f>
        <v>#VALUE!</v>
      </c>
      <c r="U165" t="e">
        <f ca="1">IF((A1)=(2),"",IF((161)=(U4),IF(IF((INDEX(B1:XFD1,((A3)+(1))+(0)))=("store"),(INDEX(B1:XFD1,((A3)+(1))+(1)))=("U"),"false"),B3,U165),U165))</f>
        <v>#VALUE!</v>
      </c>
      <c r="V165" t="e">
        <f ca="1">IF((A1)=(2),"",IF((161)=(V4),IF(IF((INDEX(B1:XFD1,((A3)+(1))+(0)))=("store"),(INDEX(B1:XFD1,((A3)+(1))+(1)))=("V"),"false"),B3,V165),V165))</f>
        <v>#VALUE!</v>
      </c>
      <c r="W165" t="e">
        <f ca="1">IF((A1)=(2),"",IF((161)=(W4),IF(IF((INDEX(B1:XFD1,((A3)+(1))+(0)))=("store"),(INDEX(B1:XFD1,((A3)+(1))+(1)))=("W"),"false"),B3,W165),W165))</f>
        <v>#VALUE!</v>
      </c>
      <c r="X165" t="e">
        <f ca="1">IF((A1)=(2),"",IF((161)=(X4),IF(IF((INDEX(B1:XFD1,((A3)+(1))+(0)))=("store"),(INDEX(B1:XFD1,((A3)+(1))+(1)))=("X"),"false"),B3,X165),X165))</f>
        <v>#VALUE!</v>
      </c>
      <c r="Y165" t="e">
        <f ca="1">IF((A1)=(2),"",IF((161)=(Y4),IF(IF((INDEX(B1:XFD1,((A3)+(1))+(0)))=("store"),(INDEX(B1:XFD1,((A3)+(1))+(1)))=("Y"),"false"),B3,Y165),Y165))</f>
        <v>#VALUE!</v>
      </c>
      <c r="Z165" t="e">
        <f ca="1">IF((A1)=(2),"",IF((161)=(Z4),IF(IF((INDEX(B1:XFD1,((A3)+(1))+(0)))=("store"),(INDEX(B1:XFD1,((A3)+(1))+(1)))=("Z"),"false"),B3,Z165),Z165))</f>
        <v>#VALUE!</v>
      </c>
      <c r="AA165" t="e">
        <f ca="1">IF((A1)=(2),"",IF((161)=(AA4),IF(IF((INDEX(B1:XFD1,((A3)+(1))+(0)))=("store"),(INDEX(B1:XFD1,((A3)+(1))+(1)))=("AA"),"false"),B3,AA165),AA165))</f>
        <v>#VALUE!</v>
      </c>
      <c r="AB165" t="e">
        <f ca="1">IF((A1)=(2),"",IF((161)=(AB4),IF(IF((INDEX(B1:XFD1,((A3)+(1))+(0)))=("store"),(INDEX(B1:XFD1,((A3)+(1))+(1)))=("AB"),"false"),B3,AB165),AB165))</f>
        <v>#VALUE!</v>
      </c>
      <c r="AC165" t="e">
        <f ca="1">IF((A1)=(2),"",IF((161)=(AC4),IF(IF((INDEX(B1:XFD1,((A3)+(1))+(0)))=("store"),(INDEX(B1:XFD1,((A3)+(1))+(1)))=("AC"),"false"),B3,AC165),AC165))</f>
        <v>#VALUE!</v>
      </c>
      <c r="AD165" t="e">
        <f ca="1">IF((A1)=(2),"",IF((161)=(AD4),IF(IF((INDEX(B1:XFD1,((A3)+(1))+(0)))=("store"),(INDEX(B1:XFD1,((A3)+(1))+(1)))=("AD"),"false"),B3,AD165),AD165))</f>
        <v>#VALUE!</v>
      </c>
    </row>
    <row r="166" spans="1:30" x14ac:dyDescent="0.25">
      <c r="A166" t="e">
        <f ca="1">IF((A1)=(2),"",IF((162)=(A4),IF(("call")=(INDEX(B1:XFD1,((A3)+(1))+(0))),(B3)*(2),IF(("goto")=(INDEX(B1:XFD1,((A3)+(1))+(0))),(INDEX(B1:XFD1,((A3)+(1))+(1)))*(2),IF(("gotoiftrue")=(INDEX(B1:XFD1,((A3)+(1))+(0))),IF(B3,(INDEX(B1:XFD1,((A3)+(1))+(1)))*(2),(A166)+(2)),(A166)+(2)))),A166))</f>
        <v>#VALUE!</v>
      </c>
      <c r="B166" t="e">
        <f ca="1">IF((A1)=(2),"",IF((162)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166)+(1)),IF(("add")=(INDEX(B1:XFD1,((A3)+(1))+(0))),(INDEX(B5:B405,(B4)+(1)))+(B166),IF(("equals")=(INDEX(B1:XFD1,((A3)+(1))+(0))),(INDEX(B5:B405,(B4)+(1)))=(B166),IF(("leq")=(INDEX(B1:XFD1,((A3)+(1))+(0))),(INDEX(B5:B405,(B4)+(1)))&lt;=(B166),IF(("greater")=(INDEX(B1:XFD1,((A3)+(1))+(0))),(INDEX(B5:B405,(B4)+(1)))&gt;(B166),IF(("mod")=(INDEX(B1:XFD1,((A3)+(1))+(0))),MOD(INDEX(B5:B405,(B4)+(1)),B166),B166))))))))),B166))</f>
        <v>#VALUE!</v>
      </c>
      <c r="C166" t="e">
        <f ca="1">IF((A1)=(2),1,IF(AND((INDEX(B1:XFD1,((A3)+(1))+(0)))=("writeheap"),(INDEX(B5:B405,(B4)+(1)))=(161)),INDEX(B5:B405,(B4)+(2)),IF((A1)=(2),"",IF((162)=(C4),C166,C166))))</f>
        <v>#VALUE!</v>
      </c>
      <c r="F166" t="e">
        <f ca="1">IF((A1)=(2),"",IF((162)=(F4),IF(IF((INDEX(B1:XFD1,((A3)+(1))+(0)))=("store"),(INDEX(B1:XFD1,((A3)+(1))+(1)))=("F"),"false"),B3,F166),F166))</f>
        <v>#VALUE!</v>
      </c>
      <c r="G166" t="e">
        <f ca="1">IF((A1)=(2),"",IF((162)=(G4),IF(IF((INDEX(B1:XFD1,((A3)+(1))+(0)))=("store"),(INDEX(B1:XFD1,((A3)+(1))+(1)))=("G"),"false"),B3,G166),G166))</f>
        <v>#VALUE!</v>
      </c>
      <c r="H166" t="e">
        <f ca="1">IF((A1)=(2),"",IF((162)=(H4),IF(IF((INDEX(B1:XFD1,((A3)+(1))+(0)))=("store"),(INDEX(B1:XFD1,((A3)+(1))+(1)))=("H"),"false"),B3,H166),H166))</f>
        <v>#VALUE!</v>
      </c>
      <c r="I166" t="e">
        <f ca="1">IF((A1)=(2),"",IF((162)=(I4),IF(IF((INDEX(B1:XFD1,((A3)+(1))+(0)))=("store"),(INDEX(B1:XFD1,((A3)+(1))+(1)))=("I"),"false"),B3,I166),I166))</f>
        <v>#VALUE!</v>
      </c>
      <c r="J166" t="e">
        <f ca="1">IF((A1)=(2),"",IF((162)=(J4),IF(IF((INDEX(B1:XFD1,((A3)+(1))+(0)))=("store"),(INDEX(B1:XFD1,((A3)+(1))+(1)))=("J"),"false"),B3,J166),J166))</f>
        <v>#VALUE!</v>
      </c>
      <c r="K166" t="e">
        <f ca="1">IF((A1)=(2),"",IF((162)=(K4),IF(IF((INDEX(B1:XFD1,((A3)+(1))+(0)))=("store"),(INDEX(B1:XFD1,((A3)+(1))+(1)))=("K"),"false"),B3,K166),K166))</f>
        <v>#VALUE!</v>
      </c>
      <c r="L166" t="e">
        <f ca="1">IF((A1)=(2),"",IF((162)=(L4),IF(IF((INDEX(B1:XFD1,((A3)+(1))+(0)))=("store"),(INDEX(B1:XFD1,((A3)+(1))+(1)))=("L"),"false"),B3,L166),L166))</f>
        <v>#VALUE!</v>
      </c>
      <c r="M166" t="e">
        <f ca="1">IF((A1)=(2),"",IF((162)=(M4),IF(IF((INDEX(B1:XFD1,((A3)+(1))+(0)))=("store"),(INDEX(B1:XFD1,((A3)+(1))+(1)))=("M"),"false"),B3,M166),M166))</f>
        <v>#VALUE!</v>
      </c>
      <c r="N166" t="e">
        <f ca="1">IF((A1)=(2),"",IF((162)=(N4),IF(IF((INDEX(B1:XFD1,((A3)+(1))+(0)))=("store"),(INDEX(B1:XFD1,((A3)+(1))+(1)))=("N"),"false"),B3,N166),N166))</f>
        <v>#VALUE!</v>
      </c>
      <c r="O166" t="e">
        <f ca="1">IF((A1)=(2),"",IF((162)=(O4),IF(IF((INDEX(B1:XFD1,((A3)+(1))+(0)))=("store"),(INDEX(B1:XFD1,((A3)+(1))+(1)))=("O"),"false"),B3,O166),O166))</f>
        <v>#VALUE!</v>
      </c>
      <c r="P166" t="e">
        <f ca="1">IF((A1)=(2),"",IF((162)=(P4),IF(IF((INDEX(B1:XFD1,((A3)+(1))+(0)))=("store"),(INDEX(B1:XFD1,((A3)+(1))+(1)))=("P"),"false"),B3,P166),P166))</f>
        <v>#VALUE!</v>
      </c>
      <c r="Q166" t="e">
        <f ca="1">IF((A1)=(2),"",IF((162)=(Q4),IF(IF((INDEX(B1:XFD1,((A3)+(1))+(0)))=("store"),(INDEX(B1:XFD1,((A3)+(1))+(1)))=("Q"),"false"),B3,Q166),Q166))</f>
        <v>#VALUE!</v>
      </c>
      <c r="R166" t="e">
        <f ca="1">IF((A1)=(2),"",IF((162)=(R4),IF(IF((INDEX(B1:XFD1,((A3)+(1))+(0)))=("store"),(INDEX(B1:XFD1,((A3)+(1))+(1)))=("R"),"false"),B3,R166),R166))</f>
        <v>#VALUE!</v>
      </c>
      <c r="S166" t="e">
        <f ca="1">IF((A1)=(2),"",IF((162)=(S4),IF(IF((INDEX(B1:XFD1,((A3)+(1))+(0)))=("store"),(INDEX(B1:XFD1,((A3)+(1))+(1)))=("S"),"false"),B3,S166),S166))</f>
        <v>#VALUE!</v>
      </c>
      <c r="T166" t="e">
        <f ca="1">IF((A1)=(2),"",IF((162)=(T4),IF(IF((INDEX(B1:XFD1,((A3)+(1))+(0)))=("store"),(INDEX(B1:XFD1,((A3)+(1))+(1)))=("T"),"false"),B3,T166),T166))</f>
        <v>#VALUE!</v>
      </c>
      <c r="U166" t="e">
        <f ca="1">IF((A1)=(2),"",IF((162)=(U4),IF(IF((INDEX(B1:XFD1,((A3)+(1))+(0)))=("store"),(INDEX(B1:XFD1,((A3)+(1))+(1)))=("U"),"false"),B3,U166),U166))</f>
        <v>#VALUE!</v>
      </c>
      <c r="V166" t="e">
        <f ca="1">IF((A1)=(2),"",IF((162)=(V4),IF(IF((INDEX(B1:XFD1,((A3)+(1))+(0)))=("store"),(INDEX(B1:XFD1,((A3)+(1))+(1)))=("V"),"false"),B3,V166),V166))</f>
        <v>#VALUE!</v>
      </c>
      <c r="W166" t="e">
        <f ca="1">IF((A1)=(2),"",IF((162)=(W4),IF(IF((INDEX(B1:XFD1,((A3)+(1))+(0)))=("store"),(INDEX(B1:XFD1,((A3)+(1))+(1)))=("W"),"false"),B3,W166),W166))</f>
        <v>#VALUE!</v>
      </c>
      <c r="X166" t="e">
        <f ca="1">IF((A1)=(2),"",IF((162)=(X4),IF(IF((INDEX(B1:XFD1,((A3)+(1))+(0)))=("store"),(INDEX(B1:XFD1,((A3)+(1))+(1)))=("X"),"false"),B3,X166),X166))</f>
        <v>#VALUE!</v>
      </c>
      <c r="Y166" t="e">
        <f ca="1">IF((A1)=(2),"",IF((162)=(Y4),IF(IF((INDEX(B1:XFD1,((A3)+(1))+(0)))=("store"),(INDEX(B1:XFD1,((A3)+(1))+(1)))=("Y"),"false"),B3,Y166),Y166))</f>
        <v>#VALUE!</v>
      </c>
      <c r="Z166" t="e">
        <f ca="1">IF((A1)=(2),"",IF((162)=(Z4),IF(IF((INDEX(B1:XFD1,((A3)+(1))+(0)))=("store"),(INDEX(B1:XFD1,((A3)+(1))+(1)))=("Z"),"false"),B3,Z166),Z166))</f>
        <v>#VALUE!</v>
      </c>
      <c r="AA166" t="e">
        <f ca="1">IF((A1)=(2),"",IF((162)=(AA4),IF(IF((INDEX(B1:XFD1,((A3)+(1))+(0)))=("store"),(INDEX(B1:XFD1,((A3)+(1))+(1)))=("AA"),"false"),B3,AA166),AA166))</f>
        <v>#VALUE!</v>
      </c>
      <c r="AB166" t="e">
        <f ca="1">IF((A1)=(2),"",IF((162)=(AB4),IF(IF((INDEX(B1:XFD1,((A3)+(1))+(0)))=("store"),(INDEX(B1:XFD1,((A3)+(1))+(1)))=("AB"),"false"),B3,AB166),AB166))</f>
        <v>#VALUE!</v>
      </c>
      <c r="AC166" t="e">
        <f ca="1">IF((A1)=(2),"",IF((162)=(AC4),IF(IF((INDEX(B1:XFD1,((A3)+(1))+(0)))=("store"),(INDEX(B1:XFD1,((A3)+(1))+(1)))=("AC"),"false"),B3,AC166),AC166))</f>
        <v>#VALUE!</v>
      </c>
      <c r="AD166" t="e">
        <f ca="1">IF((A1)=(2),"",IF((162)=(AD4),IF(IF((INDEX(B1:XFD1,((A3)+(1))+(0)))=("store"),(INDEX(B1:XFD1,((A3)+(1))+(1)))=("AD"),"false"),B3,AD166),AD166))</f>
        <v>#VALUE!</v>
      </c>
    </row>
    <row r="167" spans="1:30" x14ac:dyDescent="0.25">
      <c r="A167" t="e">
        <f ca="1">IF((A1)=(2),"",IF((163)=(A4),IF(("call")=(INDEX(B1:XFD1,((A3)+(1))+(0))),(B3)*(2),IF(("goto")=(INDEX(B1:XFD1,((A3)+(1))+(0))),(INDEX(B1:XFD1,((A3)+(1))+(1)))*(2),IF(("gotoiftrue")=(INDEX(B1:XFD1,((A3)+(1))+(0))),IF(B3,(INDEX(B1:XFD1,((A3)+(1))+(1)))*(2),(A167)+(2)),(A167)+(2)))),A167))</f>
        <v>#VALUE!</v>
      </c>
      <c r="B167" t="e">
        <f ca="1">IF((A1)=(2),"",IF((163)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167)+(1)),IF(("add")=(INDEX(B1:XFD1,((A3)+(1))+(0))),(INDEX(B5:B405,(B4)+(1)))+(B167),IF(("equals")=(INDEX(B1:XFD1,((A3)+(1))+(0))),(INDEX(B5:B405,(B4)+(1)))=(B167),IF(("leq")=(INDEX(B1:XFD1,((A3)+(1))+(0))),(INDEX(B5:B405,(B4)+(1)))&lt;=(B167),IF(("greater")=(INDEX(B1:XFD1,((A3)+(1))+(0))),(INDEX(B5:B405,(B4)+(1)))&gt;(B167),IF(("mod")=(INDEX(B1:XFD1,((A3)+(1))+(0))),MOD(INDEX(B5:B405,(B4)+(1)),B167),B167))))))))),B167))</f>
        <v>#VALUE!</v>
      </c>
      <c r="C167" t="e">
        <f ca="1">IF((A1)=(2),1,IF(AND((INDEX(B1:XFD1,((A3)+(1))+(0)))=("writeheap"),(INDEX(B5:B405,(B4)+(1)))=(162)),INDEX(B5:B405,(B4)+(2)),IF((A1)=(2),"",IF((163)=(C4),C167,C167))))</f>
        <v>#VALUE!</v>
      </c>
      <c r="F167" t="e">
        <f ca="1">IF((A1)=(2),"",IF((163)=(F4),IF(IF((INDEX(B1:XFD1,((A3)+(1))+(0)))=("store"),(INDEX(B1:XFD1,((A3)+(1))+(1)))=("F"),"false"),B3,F167),F167))</f>
        <v>#VALUE!</v>
      </c>
      <c r="G167" t="e">
        <f ca="1">IF((A1)=(2),"",IF((163)=(G4),IF(IF((INDEX(B1:XFD1,((A3)+(1))+(0)))=("store"),(INDEX(B1:XFD1,((A3)+(1))+(1)))=("G"),"false"),B3,G167),G167))</f>
        <v>#VALUE!</v>
      </c>
      <c r="H167" t="e">
        <f ca="1">IF((A1)=(2),"",IF((163)=(H4),IF(IF((INDEX(B1:XFD1,((A3)+(1))+(0)))=("store"),(INDEX(B1:XFD1,((A3)+(1))+(1)))=("H"),"false"),B3,H167),H167))</f>
        <v>#VALUE!</v>
      </c>
      <c r="I167" t="e">
        <f ca="1">IF((A1)=(2),"",IF((163)=(I4),IF(IF((INDEX(B1:XFD1,((A3)+(1))+(0)))=("store"),(INDEX(B1:XFD1,((A3)+(1))+(1)))=("I"),"false"),B3,I167),I167))</f>
        <v>#VALUE!</v>
      </c>
      <c r="J167" t="e">
        <f ca="1">IF((A1)=(2),"",IF((163)=(J4),IF(IF((INDEX(B1:XFD1,((A3)+(1))+(0)))=("store"),(INDEX(B1:XFD1,((A3)+(1))+(1)))=("J"),"false"),B3,J167),J167))</f>
        <v>#VALUE!</v>
      </c>
      <c r="K167" t="e">
        <f ca="1">IF((A1)=(2),"",IF((163)=(K4),IF(IF((INDEX(B1:XFD1,((A3)+(1))+(0)))=("store"),(INDEX(B1:XFD1,((A3)+(1))+(1)))=("K"),"false"),B3,K167),K167))</f>
        <v>#VALUE!</v>
      </c>
      <c r="L167" t="e">
        <f ca="1">IF((A1)=(2),"",IF((163)=(L4),IF(IF((INDEX(B1:XFD1,((A3)+(1))+(0)))=("store"),(INDEX(B1:XFD1,((A3)+(1))+(1)))=("L"),"false"),B3,L167),L167))</f>
        <v>#VALUE!</v>
      </c>
      <c r="M167" t="e">
        <f ca="1">IF((A1)=(2),"",IF((163)=(M4),IF(IF((INDEX(B1:XFD1,((A3)+(1))+(0)))=("store"),(INDEX(B1:XFD1,((A3)+(1))+(1)))=("M"),"false"),B3,M167),M167))</f>
        <v>#VALUE!</v>
      </c>
      <c r="N167" t="e">
        <f ca="1">IF((A1)=(2),"",IF((163)=(N4),IF(IF((INDEX(B1:XFD1,((A3)+(1))+(0)))=("store"),(INDEX(B1:XFD1,((A3)+(1))+(1)))=("N"),"false"),B3,N167),N167))</f>
        <v>#VALUE!</v>
      </c>
      <c r="O167" t="e">
        <f ca="1">IF((A1)=(2),"",IF((163)=(O4),IF(IF((INDEX(B1:XFD1,((A3)+(1))+(0)))=("store"),(INDEX(B1:XFD1,((A3)+(1))+(1)))=("O"),"false"),B3,O167),O167))</f>
        <v>#VALUE!</v>
      </c>
      <c r="P167" t="e">
        <f ca="1">IF((A1)=(2),"",IF((163)=(P4),IF(IF((INDEX(B1:XFD1,((A3)+(1))+(0)))=("store"),(INDEX(B1:XFD1,((A3)+(1))+(1)))=("P"),"false"),B3,P167),P167))</f>
        <v>#VALUE!</v>
      </c>
      <c r="Q167" t="e">
        <f ca="1">IF((A1)=(2),"",IF((163)=(Q4),IF(IF((INDEX(B1:XFD1,((A3)+(1))+(0)))=("store"),(INDEX(B1:XFD1,((A3)+(1))+(1)))=("Q"),"false"),B3,Q167),Q167))</f>
        <v>#VALUE!</v>
      </c>
      <c r="R167" t="e">
        <f ca="1">IF((A1)=(2),"",IF((163)=(R4),IF(IF((INDEX(B1:XFD1,((A3)+(1))+(0)))=("store"),(INDEX(B1:XFD1,((A3)+(1))+(1)))=("R"),"false"),B3,R167),R167))</f>
        <v>#VALUE!</v>
      </c>
      <c r="S167" t="e">
        <f ca="1">IF((A1)=(2),"",IF((163)=(S4),IF(IF((INDEX(B1:XFD1,((A3)+(1))+(0)))=("store"),(INDEX(B1:XFD1,((A3)+(1))+(1)))=("S"),"false"),B3,S167),S167))</f>
        <v>#VALUE!</v>
      </c>
      <c r="T167" t="e">
        <f ca="1">IF((A1)=(2),"",IF((163)=(T4),IF(IF((INDEX(B1:XFD1,((A3)+(1))+(0)))=("store"),(INDEX(B1:XFD1,((A3)+(1))+(1)))=("T"),"false"),B3,T167),T167))</f>
        <v>#VALUE!</v>
      </c>
      <c r="U167" t="e">
        <f ca="1">IF((A1)=(2),"",IF((163)=(U4),IF(IF((INDEX(B1:XFD1,((A3)+(1))+(0)))=("store"),(INDEX(B1:XFD1,((A3)+(1))+(1)))=("U"),"false"),B3,U167),U167))</f>
        <v>#VALUE!</v>
      </c>
      <c r="V167" t="e">
        <f ca="1">IF((A1)=(2),"",IF((163)=(V4),IF(IF((INDEX(B1:XFD1,((A3)+(1))+(0)))=("store"),(INDEX(B1:XFD1,((A3)+(1))+(1)))=("V"),"false"),B3,V167),V167))</f>
        <v>#VALUE!</v>
      </c>
      <c r="W167" t="e">
        <f ca="1">IF((A1)=(2),"",IF((163)=(W4),IF(IF((INDEX(B1:XFD1,((A3)+(1))+(0)))=("store"),(INDEX(B1:XFD1,((A3)+(1))+(1)))=("W"),"false"),B3,W167),W167))</f>
        <v>#VALUE!</v>
      </c>
      <c r="X167" t="e">
        <f ca="1">IF((A1)=(2),"",IF((163)=(X4),IF(IF((INDEX(B1:XFD1,((A3)+(1))+(0)))=("store"),(INDEX(B1:XFD1,((A3)+(1))+(1)))=("X"),"false"),B3,X167),X167))</f>
        <v>#VALUE!</v>
      </c>
      <c r="Y167" t="e">
        <f ca="1">IF((A1)=(2),"",IF((163)=(Y4),IF(IF((INDEX(B1:XFD1,((A3)+(1))+(0)))=("store"),(INDEX(B1:XFD1,((A3)+(1))+(1)))=("Y"),"false"),B3,Y167),Y167))</f>
        <v>#VALUE!</v>
      </c>
      <c r="Z167" t="e">
        <f ca="1">IF((A1)=(2),"",IF((163)=(Z4),IF(IF((INDEX(B1:XFD1,((A3)+(1))+(0)))=("store"),(INDEX(B1:XFD1,((A3)+(1))+(1)))=("Z"),"false"),B3,Z167),Z167))</f>
        <v>#VALUE!</v>
      </c>
      <c r="AA167" t="e">
        <f ca="1">IF((A1)=(2),"",IF((163)=(AA4),IF(IF((INDEX(B1:XFD1,((A3)+(1))+(0)))=("store"),(INDEX(B1:XFD1,((A3)+(1))+(1)))=("AA"),"false"),B3,AA167),AA167))</f>
        <v>#VALUE!</v>
      </c>
      <c r="AB167" t="e">
        <f ca="1">IF((A1)=(2),"",IF((163)=(AB4),IF(IF((INDEX(B1:XFD1,((A3)+(1))+(0)))=("store"),(INDEX(B1:XFD1,((A3)+(1))+(1)))=("AB"),"false"),B3,AB167),AB167))</f>
        <v>#VALUE!</v>
      </c>
      <c r="AC167" t="e">
        <f ca="1">IF((A1)=(2),"",IF((163)=(AC4),IF(IF((INDEX(B1:XFD1,((A3)+(1))+(0)))=("store"),(INDEX(B1:XFD1,((A3)+(1))+(1)))=("AC"),"false"),B3,AC167),AC167))</f>
        <v>#VALUE!</v>
      </c>
      <c r="AD167" t="e">
        <f ca="1">IF((A1)=(2),"",IF((163)=(AD4),IF(IF((INDEX(B1:XFD1,((A3)+(1))+(0)))=("store"),(INDEX(B1:XFD1,((A3)+(1))+(1)))=("AD"),"false"),B3,AD167),AD167))</f>
        <v>#VALUE!</v>
      </c>
    </row>
    <row r="168" spans="1:30" x14ac:dyDescent="0.25">
      <c r="A168" t="e">
        <f ca="1">IF((A1)=(2),"",IF((164)=(A4),IF(("call")=(INDEX(B1:XFD1,((A3)+(1))+(0))),(B3)*(2),IF(("goto")=(INDEX(B1:XFD1,((A3)+(1))+(0))),(INDEX(B1:XFD1,((A3)+(1))+(1)))*(2),IF(("gotoiftrue")=(INDEX(B1:XFD1,((A3)+(1))+(0))),IF(B3,(INDEX(B1:XFD1,((A3)+(1))+(1)))*(2),(A168)+(2)),(A168)+(2)))),A168))</f>
        <v>#VALUE!</v>
      </c>
      <c r="B168" t="e">
        <f ca="1">IF((A1)=(2),"",IF((164)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168)+(1)),IF(("add")=(INDEX(B1:XFD1,((A3)+(1))+(0))),(INDEX(B5:B405,(B4)+(1)))+(B168),IF(("equals")=(INDEX(B1:XFD1,((A3)+(1))+(0))),(INDEX(B5:B405,(B4)+(1)))=(B168),IF(("leq")=(INDEX(B1:XFD1,((A3)+(1))+(0))),(INDEX(B5:B405,(B4)+(1)))&lt;=(B168),IF(("greater")=(INDEX(B1:XFD1,((A3)+(1))+(0))),(INDEX(B5:B405,(B4)+(1)))&gt;(B168),IF(("mod")=(INDEX(B1:XFD1,((A3)+(1))+(0))),MOD(INDEX(B5:B405,(B4)+(1)),B168),B168))))))))),B168))</f>
        <v>#VALUE!</v>
      </c>
      <c r="C168" t="e">
        <f ca="1">IF((A1)=(2),1,IF(AND((INDEX(B1:XFD1,((A3)+(1))+(0)))=("writeheap"),(INDEX(B5:B405,(B4)+(1)))=(163)),INDEX(B5:B405,(B4)+(2)),IF((A1)=(2),"",IF((164)=(C4),C168,C168))))</f>
        <v>#VALUE!</v>
      </c>
      <c r="F168" t="e">
        <f ca="1">IF((A1)=(2),"",IF((164)=(F4),IF(IF((INDEX(B1:XFD1,((A3)+(1))+(0)))=("store"),(INDEX(B1:XFD1,((A3)+(1))+(1)))=("F"),"false"),B3,F168),F168))</f>
        <v>#VALUE!</v>
      </c>
      <c r="G168" t="e">
        <f ca="1">IF((A1)=(2),"",IF((164)=(G4),IF(IF((INDEX(B1:XFD1,((A3)+(1))+(0)))=("store"),(INDEX(B1:XFD1,((A3)+(1))+(1)))=("G"),"false"),B3,G168),G168))</f>
        <v>#VALUE!</v>
      </c>
      <c r="H168" t="e">
        <f ca="1">IF((A1)=(2),"",IF((164)=(H4),IF(IF((INDEX(B1:XFD1,((A3)+(1))+(0)))=("store"),(INDEX(B1:XFD1,((A3)+(1))+(1)))=("H"),"false"),B3,H168),H168))</f>
        <v>#VALUE!</v>
      </c>
      <c r="I168" t="e">
        <f ca="1">IF((A1)=(2),"",IF((164)=(I4),IF(IF((INDEX(B1:XFD1,((A3)+(1))+(0)))=("store"),(INDEX(B1:XFD1,((A3)+(1))+(1)))=("I"),"false"),B3,I168),I168))</f>
        <v>#VALUE!</v>
      </c>
      <c r="J168" t="e">
        <f ca="1">IF((A1)=(2),"",IF((164)=(J4),IF(IF((INDEX(B1:XFD1,((A3)+(1))+(0)))=("store"),(INDEX(B1:XFD1,((A3)+(1))+(1)))=("J"),"false"),B3,J168),J168))</f>
        <v>#VALUE!</v>
      </c>
      <c r="K168" t="e">
        <f ca="1">IF((A1)=(2),"",IF((164)=(K4),IF(IF((INDEX(B1:XFD1,((A3)+(1))+(0)))=("store"),(INDEX(B1:XFD1,((A3)+(1))+(1)))=("K"),"false"),B3,K168),K168))</f>
        <v>#VALUE!</v>
      </c>
      <c r="L168" t="e">
        <f ca="1">IF((A1)=(2),"",IF((164)=(L4),IF(IF((INDEX(B1:XFD1,((A3)+(1))+(0)))=("store"),(INDEX(B1:XFD1,((A3)+(1))+(1)))=("L"),"false"),B3,L168),L168))</f>
        <v>#VALUE!</v>
      </c>
      <c r="M168" t="e">
        <f ca="1">IF((A1)=(2),"",IF((164)=(M4),IF(IF((INDEX(B1:XFD1,((A3)+(1))+(0)))=("store"),(INDEX(B1:XFD1,((A3)+(1))+(1)))=("M"),"false"),B3,M168),M168))</f>
        <v>#VALUE!</v>
      </c>
      <c r="N168" t="e">
        <f ca="1">IF((A1)=(2),"",IF((164)=(N4),IF(IF((INDEX(B1:XFD1,((A3)+(1))+(0)))=("store"),(INDEX(B1:XFD1,((A3)+(1))+(1)))=("N"),"false"),B3,N168),N168))</f>
        <v>#VALUE!</v>
      </c>
      <c r="O168" t="e">
        <f ca="1">IF((A1)=(2),"",IF((164)=(O4),IF(IF((INDEX(B1:XFD1,((A3)+(1))+(0)))=("store"),(INDEX(B1:XFD1,((A3)+(1))+(1)))=("O"),"false"),B3,O168),O168))</f>
        <v>#VALUE!</v>
      </c>
      <c r="P168" t="e">
        <f ca="1">IF((A1)=(2),"",IF((164)=(P4),IF(IF((INDEX(B1:XFD1,((A3)+(1))+(0)))=("store"),(INDEX(B1:XFD1,((A3)+(1))+(1)))=("P"),"false"),B3,P168),P168))</f>
        <v>#VALUE!</v>
      </c>
      <c r="Q168" t="e">
        <f ca="1">IF((A1)=(2),"",IF((164)=(Q4),IF(IF((INDEX(B1:XFD1,((A3)+(1))+(0)))=("store"),(INDEX(B1:XFD1,((A3)+(1))+(1)))=("Q"),"false"),B3,Q168),Q168))</f>
        <v>#VALUE!</v>
      </c>
      <c r="R168" t="e">
        <f ca="1">IF((A1)=(2),"",IF((164)=(R4),IF(IF((INDEX(B1:XFD1,((A3)+(1))+(0)))=("store"),(INDEX(B1:XFD1,((A3)+(1))+(1)))=("R"),"false"),B3,R168),R168))</f>
        <v>#VALUE!</v>
      </c>
      <c r="S168" t="e">
        <f ca="1">IF((A1)=(2),"",IF((164)=(S4),IF(IF((INDEX(B1:XFD1,((A3)+(1))+(0)))=("store"),(INDEX(B1:XFD1,((A3)+(1))+(1)))=("S"),"false"),B3,S168),S168))</f>
        <v>#VALUE!</v>
      </c>
      <c r="T168" t="e">
        <f ca="1">IF((A1)=(2),"",IF((164)=(T4),IF(IF((INDEX(B1:XFD1,((A3)+(1))+(0)))=("store"),(INDEX(B1:XFD1,((A3)+(1))+(1)))=("T"),"false"),B3,T168),T168))</f>
        <v>#VALUE!</v>
      </c>
      <c r="U168" t="e">
        <f ca="1">IF((A1)=(2),"",IF((164)=(U4),IF(IF((INDEX(B1:XFD1,((A3)+(1))+(0)))=("store"),(INDEX(B1:XFD1,((A3)+(1))+(1)))=("U"),"false"),B3,U168),U168))</f>
        <v>#VALUE!</v>
      </c>
      <c r="V168" t="e">
        <f ca="1">IF((A1)=(2),"",IF((164)=(V4),IF(IF((INDEX(B1:XFD1,((A3)+(1))+(0)))=("store"),(INDEX(B1:XFD1,((A3)+(1))+(1)))=("V"),"false"),B3,V168),V168))</f>
        <v>#VALUE!</v>
      </c>
      <c r="W168" t="e">
        <f ca="1">IF((A1)=(2),"",IF((164)=(W4),IF(IF((INDEX(B1:XFD1,((A3)+(1))+(0)))=("store"),(INDEX(B1:XFD1,((A3)+(1))+(1)))=("W"),"false"),B3,W168),W168))</f>
        <v>#VALUE!</v>
      </c>
      <c r="X168" t="e">
        <f ca="1">IF((A1)=(2),"",IF((164)=(X4),IF(IF((INDEX(B1:XFD1,((A3)+(1))+(0)))=("store"),(INDEX(B1:XFD1,((A3)+(1))+(1)))=("X"),"false"),B3,X168),X168))</f>
        <v>#VALUE!</v>
      </c>
      <c r="Y168" t="e">
        <f ca="1">IF((A1)=(2),"",IF((164)=(Y4),IF(IF((INDEX(B1:XFD1,((A3)+(1))+(0)))=("store"),(INDEX(B1:XFD1,((A3)+(1))+(1)))=("Y"),"false"),B3,Y168),Y168))</f>
        <v>#VALUE!</v>
      </c>
      <c r="Z168" t="e">
        <f ca="1">IF((A1)=(2),"",IF((164)=(Z4),IF(IF((INDEX(B1:XFD1,((A3)+(1))+(0)))=("store"),(INDEX(B1:XFD1,((A3)+(1))+(1)))=("Z"),"false"),B3,Z168),Z168))</f>
        <v>#VALUE!</v>
      </c>
      <c r="AA168" t="e">
        <f ca="1">IF((A1)=(2),"",IF((164)=(AA4),IF(IF((INDEX(B1:XFD1,((A3)+(1))+(0)))=("store"),(INDEX(B1:XFD1,((A3)+(1))+(1)))=("AA"),"false"),B3,AA168),AA168))</f>
        <v>#VALUE!</v>
      </c>
      <c r="AB168" t="e">
        <f ca="1">IF((A1)=(2),"",IF((164)=(AB4),IF(IF((INDEX(B1:XFD1,((A3)+(1))+(0)))=("store"),(INDEX(B1:XFD1,((A3)+(1))+(1)))=("AB"),"false"),B3,AB168),AB168))</f>
        <v>#VALUE!</v>
      </c>
      <c r="AC168" t="e">
        <f ca="1">IF((A1)=(2),"",IF((164)=(AC4),IF(IF((INDEX(B1:XFD1,((A3)+(1))+(0)))=("store"),(INDEX(B1:XFD1,((A3)+(1))+(1)))=("AC"),"false"),B3,AC168),AC168))</f>
        <v>#VALUE!</v>
      </c>
      <c r="AD168" t="e">
        <f ca="1">IF((A1)=(2),"",IF((164)=(AD4),IF(IF((INDEX(B1:XFD1,((A3)+(1))+(0)))=("store"),(INDEX(B1:XFD1,((A3)+(1))+(1)))=("AD"),"false"),B3,AD168),AD168))</f>
        <v>#VALUE!</v>
      </c>
    </row>
    <row r="169" spans="1:30" x14ac:dyDescent="0.25">
      <c r="A169" t="e">
        <f ca="1">IF((A1)=(2),"",IF((165)=(A4),IF(("call")=(INDEX(B1:XFD1,((A3)+(1))+(0))),(B3)*(2),IF(("goto")=(INDEX(B1:XFD1,((A3)+(1))+(0))),(INDEX(B1:XFD1,((A3)+(1))+(1)))*(2),IF(("gotoiftrue")=(INDEX(B1:XFD1,((A3)+(1))+(0))),IF(B3,(INDEX(B1:XFD1,((A3)+(1))+(1)))*(2),(A169)+(2)),(A169)+(2)))),A169))</f>
        <v>#VALUE!</v>
      </c>
      <c r="B169" t="e">
        <f ca="1">IF((A1)=(2),"",IF((165)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169)+(1)),IF(("add")=(INDEX(B1:XFD1,((A3)+(1))+(0))),(INDEX(B5:B405,(B4)+(1)))+(B169),IF(("equals")=(INDEX(B1:XFD1,((A3)+(1))+(0))),(INDEX(B5:B405,(B4)+(1)))=(B169),IF(("leq")=(INDEX(B1:XFD1,((A3)+(1))+(0))),(INDEX(B5:B405,(B4)+(1)))&lt;=(B169),IF(("greater")=(INDEX(B1:XFD1,((A3)+(1))+(0))),(INDEX(B5:B405,(B4)+(1)))&gt;(B169),IF(("mod")=(INDEX(B1:XFD1,((A3)+(1))+(0))),MOD(INDEX(B5:B405,(B4)+(1)),B169),B169))))))))),B169))</f>
        <v>#VALUE!</v>
      </c>
      <c r="C169" t="e">
        <f ca="1">IF((A1)=(2),1,IF(AND((INDEX(B1:XFD1,((A3)+(1))+(0)))=("writeheap"),(INDEX(B5:B405,(B4)+(1)))=(164)),INDEX(B5:B405,(B4)+(2)),IF((A1)=(2),"",IF((165)=(C4),C169,C169))))</f>
        <v>#VALUE!</v>
      </c>
      <c r="F169" t="e">
        <f ca="1">IF((A1)=(2),"",IF((165)=(F4),IF(IF((INDEX(B1:XFD1,((A3)+(1))+(0)))=("store"),(INDEX(B1:XFD1,((A3)+(1))+(1)))=("F"),"false"),B3,F169),F169))</f>
        <v>#VALUE!</v>
      </c>
      <c r="G169" t="e">
        <f ca="1">IF((A1)=(2),"",IF((165)=(G4),IF(IF((INDEX(B1:XFD1,((A3)+(1))+(0)))=("store"),(INDEX(B1:XFD1,((A3)+(1))+(1)))=("G"),"false"),B3,G169),G169))</f>
        <v>#VALUE!</v>
      </c>
      <c r="H169" t="e">
        <f ca="1">IF((A1)=(2),"",IF((165)=(H4),IF(IF((INDEX(B1:XFD1,((A3)+(1))+(0)))=("store"),(INDEX(B1:XFD1,((A3)+(1))+(1)))=("H"),"false"),B3,H169),H169))</f>
        <v>#VALUE!</v>
      </c>
      <c r="I169" t="e">
        <f ca="1">IF((A1)=(2),"",IF((165)=(I4),IF(IF((INDEX(B1:XFD1,((A3)+(1))+(0)))=("store"),(INDEX(B1:XFD1,((A3)+(1))+(1)))=("I"),"false"),B3,I169),I169))</f>
        <v>#VALUE!</v>
      </c>
      <c r="J169" t="e">
        <f ca="1">IF((A1)=(2),"",IF((165)=(J4),IF(IF((INDEX(B1:XFD1,((A3)+(1))+(0)))=("store"),(INDEX(B1:XFD1,((A3)+(1))+(1)))=("J"),"false"),B3,J169),J169))</f>
        <v>#VALUE!</v>
      </c>
      <c r="K169" t="e">
        <f ca="1">IF((A1)=(2),"",IF((165)=(K4),IF(IF((INDEX(B1:XFD1,((A3)+(1))+(0)))=("store"),(INDEX(B1:XFD1,((A3)+(1))+(1)))=("K"),"false"),B3,K169),K169))</f>
        <v>#VALUE!</v>
      </c>
      <c r="L169" t="e">
        <f ca="1">IF((A1)=(2),"",IF((165)=(L4),IF(IF((INDEX(B1:XFD1,((A3)+(1))+(0)))=("store"),(INDEX(B1:XFD1,((A3)+(1))+(1)))=("L"),"false"),B3,L169),L169))</f>
        <v>#VALUE!</v>
      </c>
      <c r="M169" t="e">
        <f ca="1">IF((A1)=(2),"",IF((165)=(M4),IF(IF((INDEX(B1:XFD1,((A3)+(1))+(0)))=("store"),(INDEX(B1:XFD1,((A3)+(1))+(1)))=("M"),"false"),B3,M169),M169))</f>
        <v>#VALUE!</v>
      </c>
      <c r="N169" t="e">
        <f ca="1">IF((A1)=(2),"",IF((165)=(N4),IF(IF((INDEX(B1:XFD1,((A3)+(1))+(0)))=("store"),(INDEX(B1:XFD1,((A3)+(1))+(1)))=("N"),"false"),B3,N169),N169))</f>
        <v>#VALUE!</v>
      </c>
      <c r="O169" t="e">
        <f ca="1">IF((A1)=(2),"",IF((165)=(O4),IF(IF((INDEX(B1:XFD1,((A3)+(1))+(0)))=("store"),(INDEX(B1:XFD1,((A3)+(1))+(1)))=("O"),"false"),B3,O169),O169))</f>
        <v>#VALUE!</v>
      </c>
      <c r="P169" t="e">
        <f ca="1">IF((A1)=(2),"",IF((165)=(P4),IF(IF((INDEX(B1:XFD1,((A3)+(1))+(0)))=("store"),(INDEX(B1:XFD1,((A3)+(1))+(1)))=("P"),"false"),B3,P169),P169))</f>
        <v>#VALUE!</v>
      </c>
      <c r="Q169" t="e">
        <f ca="1">IF((A1)=(2),"",IF((165)=(Q4),IF(IF((INDEX(B1:XFD1,((A3)+(1))+(0)))=("store"),(INDEX(B1:XFD1,((A3)+(1))+(1)))=("Q"),"false"),B3,Q169),Q169))</f>
        <v>#VALUE!</v>
      </c>
      <c r="R169" t="e">
        <f ca="1">IF((A1)=(2),"",IF((165)=(R4),IF(IF((INDEX(B1:XFD1,((A3)+(1))+(0)))=("store"),(INDEX(B1:XFD1,((A3)+(1))+(1)))=("R"),"false"),B3,R169),R169))</f>
        <v>#VALUE!</v>
      </c>
      <c r="S169" t="e">
        <f ca="1">IF((A1)=(2),"",IF((165)=(S4),IF(IF((INDEX(B1:XFD1,((A3)+(1))+(0)))=("store"),(INDEX(B1:XFD1,((A3)+(1))+(1)))=("S"),"false"),B3,S169),S169))</f>
        <v>#VALUE!</v>
      </c>
      <c r="T169" t="e">
        <f ca="1">IF((A1)=(2),"",IF((165)=(T4),IF(IF((INDEX(B1:XFD1,((A3)+(1))+(0)))=("store"),(INDEX(B1:XFD1,((A3)+(1))+(1)))=("T"),"false"),B3,T169),T169))</f>
        <v>#VALUE!</v>
      </c>
      <c r="U169" t="e">
        <f ca="1">IF((A1)=(2),"",IF((165)=(U4),IF(IF((INDEX(B1:XFD1,((A3)+(1))+(0)))=("store"),(INDEX(B1:XFD1,((A3)+(1))+(1)))=("U"),"false"),B3,U169),U169))</f>
        <v>#VALUE!</v>
      </c>
      <c r="V169" t="e">
        <f ca="1">IF((A1)=(2),"",IF((165)=(V4),IF(IF((INDEX(B1:XFD1,((A3)+(1))+(0)))=("store"),(INDEX(B1:XFD1,((A3)+(1))+(1)))=("V"),"false"),B3,V169),V169))</f>
        <v>#VALUE!</v>
      </c>
      <c r="W169" t="e">
        <f ca="1">IF((A1)=(2),"",IF((165)=(W4),IF(IF((INDEX(B1:XFD1,((A3)+(1))+(0)))=("store"),(INDEX(B1:XFD1,((A3)+(1))+(1)))=("W"),"false"),B3,W169),W169))</f>
        <v>#VALUE!</v>
      </c>
      <c r="X169" t="e">
        <f ca="1">IF((A1)=(2),"",IF((165)=(X4),IF(IF((INDEX(B1:XFD1,((A3)+(1))+(0)))=("store"),(INDEX(B1:XFD1,((A3)+(1))+(1)))=("X"),"false"),B3,X169),X169))</f>
        <v>#VALUE!</v>
      </c>
      <c r="Y169" t="e">
        <f ca="1">IF((A1)=(2),"",IF((165)=(Y4),IF(IF((INDEX(B1:XFD1,((A3)+(1))+(0)))=("store"),(INDEX(B1:XFD1,((A3)+(1))+(1)))=("Y"),"false"),B3,Y169),Y169))</f>
        <v>#VALUE!</v>
      </c>
      <c r="Z169" t="e">
        <f ca="1">IF((A1)=(2),"",IF((165)=(Z4),IF(IF((INDEX(B1:XFD1,((A3)+(1))+(0)))=("store"),(INDEX(B1:XFD1,((A3)+(1))+(1)))=("Z"),"false"),B3,Z169),Z169))</f>
        <v>#VALUE!</v>
      </c>
      <c r="AA169" t="e">
        <f ca="1">IF((A1)=(2),"",IF((165)=(AA4),IF(IF((INDEX(B1:XFD1,((A3)+(1))+(0)))=("store"),(INDEX(B1:XFD1,((A3)+(1))+(1)))=("AA"),"false"),B3,AA169),AA169))</f>
        <v>#VALUE!</v>
      </c>
      <c r="AB169" t="e">
        <f ca="1">IF((A1)=(2),"",IF((165)=(AB4),IF(IF((INDEX(B1:XFD1,((A3)+(1))+(0)))=("store"),(INDEX(B1:XFD1,((A3)+(1))+(1)))=("AB"),"false"),B3,AB169),AB169))</f>
        <v>#VALUE!</v>
      </c>
      <c r="AC169" t="e">
        <f ca="1">IF((A1)=(2),"",IF((165)=(AC4),IF(IF((INDEX(B1:XFD1,((A3)+(1))+(0)))=("store"),(INDEX(B1:XFD1,((A3)+(1))+(1)))=("AC"),"false"),B3,AC169),AC169))</f>
        <v>#VALUE!</v>
      </c>
      <c r="AD169" t="e">
        <f ca="1">IF((A1)=(2),"",IF((165)=(AD4),IF(IF((INDEX(B1:XFD1,((A3)+(1))+(0)))=("store"),(INDEX(B1:XFD1,((A3)+(1))+(1)))=("AD"),"false"),B3,AD169),AD169))</f>
        <v>#VALUE!</v>
      </c>
    </row>
    <row r="170" spans="1:30" x14ac:dyDescent="0.25">
      <c r="A170" t="e">
        <f ca="1">IF((A1)=(2),"",IF((166)=(A4),IF(("call")=(INDEX(B1:XFD1,((A3)+(1))+(0))),(B3)*(2),IF(("goto")=(INDEX(B1:XFD1,((A3)+(1))+(0))),(INDEX(B1:XFD1,((A3)+(1))+(1)))*(2),IF(("gotoiftrue")=(INDEX(B1:XFD1,((A3)+(1))+(0))),IF(B3,(INDEX(B1:XFD1,((A3)+(1))+(1)))*(2),(A170)+(2)),(A170)+(2)))),A170))</f>
        <v>#VALUE!</v>
      </c>
      <c r="B170" t="e">
        <f ca="1">IF((A1)=(2),"",IF((166)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170)+(1)),IF(("add")=(INDEX(B1:XFD1,((A3)+(1))+(0))),(INDEX(B5:B405,(B4)+(1)))+(B170),IF(("equals")=(INDEX(B1:XFD1,((A3)+(1))+(0))),(INDEX(B5:B405,(B4)+(1)))=(B170),IF(("leq")=(INDEX(B1:XFD1,((A3)+(1))+(0))),(INDEX(B5:B405,(B4)+(1)))&lt;=(B170),IF(("greater")=(INDEX(B1:XFD1,((A3)+(1))+(0))),(INDEX(B5:B405,(B4)+(1)))&gt;(B170),IF(("mod")=(INDEX(B1:XFD1,((A3)+(1))+(0))),MOD(INDEX(B5:B405,(B4)+(1)),B170),B170))))))))),B170))</f>
        <v>#VALUE!</v>
      </c>
      <c r="C170" t="e">
        <f ca="1">IF((A1)=(2),1,IF(AND((INDEX(B1:XFD1,((A3)+(1))+(0)))=("writeheap"),(INDEX(B5:B405,(B4)+(1)))=(165)),INDEX(B5:B405,(B4)+(2)),IF((A1)=(2),"",IF((166)=(C4),C170,C170))))</f>
        <v>#VALUE!</v>
      </c>
      <c r="F170" t="e">
        <f ca="1">IF((A1)=(2),"",IF((166)=(F4),IF(IF((INDEX(B1:XFD1,((A3)+(1))+(0)))=("store"),(INDEX(B1:XFD1,((A3)+(1))+(1)))=("F"),"false"),B3,F170),F170))</f>
        <v>#VALUE!</v>
      </c>
      <c r="G170" t="e">
        <f ca="1">IF((A1)=(2),"",IF((166)=(G4),IF(IF((INDEX(B1:XFD1,((A3)+(1))+(0)))=("store"),(INDEX(B1:XFD1,((A3)+(1))+(1)))=("G"),"false"),B3,G170),G170))</f>
        <v>#VALUE!</v>
      </c>
      <c r="H170" t="e">
        <f ca="1">IF((A1)=(2),"",IF((166)=(H4),IF(IF((INDEX(B1:XFD1,((A3)+(1))+(0)))=("store"),(INDEX(B1:XFD1,((A3)+(1))+(1)))=("H"),"false"),B3,H170),H170))</f>
        <v>#VALUE!</v>
      </c>
      <c r="I170" t="e">
        <f ca="1">IF((A1)=(2),"",IF((166)=(I4),IF(IF((INDEX(B1:XFD1,((A3)+(1))+(0)))=("store"),(INDEX(B1:XFD1,((A3)+(1))+(1)))=("I"),"false"),B3,I170),I170))</f>
        <v>#VALUE!</v>
      </c>
      <c r="J170" t="e">
        <f ca="1">IF((A1)=(2),"",IF((166)=(J4),IF(IF((INDEX(B1:XFD1,((A3)+(1))+(0)))=("store"),(INDEX(B1:XFD1,((A3)+(1))+(1)))=("J"),"false"),B3,J170),J170))</f>
        <v>#VALUE!</v>
      </c>
      <c r="K170" t="e">
        <f ca="1">IF((A1)=(2),"",IF((166)=(K4),IF(IF((INDEX(B1:XFD1,((A3)+(1))+(0)))=("store"),(INDEX(B1:XFD1,((A3)+(1))+(1)))=("K"),"false"),B3,K170),K170))</f>
        <v>#VALUE!</v>
      </c>
      <c r="L170" t="e">
        <f ca="1">IF((A1)=(2),"",IF((166)=(L4),IF(IF((INDEX(B1:XFD1,((A3)+(1))+(0)))=("store"),(INDEX(B1:XFD1,((A3)+(1))+(1)))=("L"),"false"),B3,L170),L170))</f>
        <v>#VALUE!</v>
      </c>
      <c r="M170" t="e">
        <f ca="1">IF((A1)=(2),"",IF((166)=(M4),IF(IF((INDEX(B1:XFD1,((A3)+(1))+(0)))=("store"),(INDEX(B1:XFD1,((A3)+(1))+(1)))=("M"),"false"),B3,M170),M170))</f>
        <v>#VALUE!</v>
      </c>
      <c r="N170" t="e">
        <f ca="1">IF((A1)=(2),"",IF((166)=(N4),IF(IF((INDEX(B1:XFD1,((A3)+(1))+(0)))=("store"),(INDEX(B1:XFD1,((A3)+(1))+(1)))=("N"),"false"),B3,N170),N170))</f>
        <v>#VALUE!</v>
      </c>
      <c r="O170" t="e">
        <f ca="1">IF((A1)=(2),"",IF((166)=(O4),IF(IF((INDEX(B1:XFD1,((A3)+(1))+(0)))=("store"),(INDEX(B1:XFD1,((A3)+(1))+(1)))=("O"),"false"),B3,O170),O170))</f>
        <v>#VALUE!</v>
      </c>
      <c r="P170" t="e">
        <f ca="1">IF((A1)=(2),"",IF((166)=(P4),IF(IF((INDEX(B1:XFD1,((A3)+(1))+(0)))=("store"),(INDEX(B1:XFD1,((A3)+(1))+(1)))=("P"),"false"),B3,P170),P170))</f>
        <v>#VALUE!</v>
      </c>
      <c r="Q170" t="e">
        <f ca="1">IF((A1)=(2),"",IF((166)=(Q4),IF(IF((INDEX(B1:XFD1,((A3)+(1))+(0)))=("store"),(INDEX(B1:XFD1,((A3)+(1))+(1)))=("Q"),"false"),B3,Q170),Q170))</f>
        <v>#VALUE!</v>
      </c>
      <c r="R170" t="e">
        <f ca="1">IF((A1)=(2),"",IF((166)=(R4),IF(IF((INDEX(B1:XFD1,((A3)+(1))+(0)))=("store"),(INDEX(B1:XFD1,((A3)+(1))+(1)))=("R"),"false"),B3,R170),R170))</f>
        <v>#VALUE!</v>
      </c>
      <c r="S170" t="e">
        <f ca="1">IF((A1)=(2),"",IF((166)=(S4),IF(IF((INDEX(B1:XFD1,((A3)+(1))+(0)))=("store"),(INDEX(B1:XFD1,((A3)+(1))+(1)))=("S"),"false"),B3,S170),S170))</f>
        <v>#VALUE!</v>
      </c>
      <c r="T170" t="e">
        <f ca="1">IF((A1)=(2),"",IF((166)=(T4),IF(IF((INDEX(B1:XFD1,((A3)+(1))+(0)))=("store"),(INDEX(B1:XFD1,((A3)+(1))+(1)))=("T"),"false"),B3,T170),T170))</f>
        <v>#VALUE!</v>
      </c>
      <c r="U170" t="e">
        <f ca="1">IF((A1)=(2),"",IF((166)=(U4),IF(IF((INDEX(B1:XFD1,((A3)+(1))+(0)))=("store"),(INDEX(B1:XFD1,((A3)+(1))+(1)))=("U"),"false"),B3,U170),U170))</f>
        <v>#VALUE!</v>
      </c>
      <c r="V170" t="e">
        <f ca="1">IF((A1)=(2),"",IF((166)=(V4),IF(IF((INDEX(B1:XFD1,((A3)+(1))+(0)))=("store"),(INDEX(B1:XFD1,((A3)+(1))+(1)))=("V"),"false"),B3,V170),V170))</f>
        <v>#VALUE!</v>
      </c>
      <c r="W170" t="e">
        <f ca="1">IF((A1)=(2),"",IF((166)=(W4),IF(IF((INDEX(B1:XFD1,((A3)+(1))+(0)))=("store"),(INDEX(B1:XFD1,((A3)+(1))+(1)))=("W"),"false"),B3,W170),W170))</f>
        <v>#VALUE!</v>
      </c>
      <c r="X170" t="e">
        <f ca="1">IF((A1)=(2),"",IF((166)=(X4),IF(IF((INDEX(B1:XFD1,((A3)+(1))+(0)))=("store"),(INDEX(B1:XFD1,((A3)+(1))+(1)))=("X"),"false"),B3,X170),X170))</f>
        <v>#VALUE!</v>
      </c>
      <c r="Y170" t="e">
        <f ca="1">IF((A1)=(2),"",IF((166)=(Y4),IF(IF((INDEX(B1:XFD1,((A3)+(1))+(0)))=("store"),(INDEX(B1:XFD1,((A3)+(1))+(1)))=("Y"),"false"),B3,Y170),Y170))</f>
        <v>#VALUE!</v>
      </c>
      <c r="Z170" t="e">
        <f ca="1">IF((A1)=(2),"",IF((166)=(Z4),IF(IF((INDEX(B1:XFD1,((A3)+(1))+(0)))=("store"),(INDEX(B1:XFD1,((A3)+(1))+(1)))=("Z"),"false"),B3,Z170),Z170))</f>
        <v>#VALUE!</v>
      </c>
      <c r="AA170" t="e">
        <f ca="1">IF((A1)=(2),"",IF((166)=(AA4),IF(IF((INDEX(B1:XFD1,((A3)+(1))+(0)))=("store"),(INDEX(B1:XFD1,((A3)+(1))+(1)))=("AA"),"false"),B3,AA170),AA170))</f>
        <v>#VALUE!</v>
      </c>
      <c r="AB170" t="e">
        <f ca="1">IF((A1)=(2),"",IF((166)=(AB4),IF(IF((INDEX(B1:XFD1,((A3)+(1))+(0)))=("store"),(INDEX(B1:XFD1,((A3)+(1))+(1)))=("AB"),"false"),B3,AB170),AB170))</f>
        <v>#VALUE!</v>
      </c>
      <c r="AC170" t="e">
        <f ca="1">IF((A1)=(2),"",IF((166)=(AC4),IF(IF((INDEX(B1:XFD1,((A3)+(1))+(0)))=("store"),(INDEX(B1:XFD1,((A3)+(1))+(1)))=("AC"),"false"),B3,AC170),AC170))</f>
        <v>#VALUE!</v>
      </c>
      <c r="AD170" t="e">
        <f ca="1">IF((A1)=(2),"",IF((166)=(AD4),IF(IF((INDEX(B1:XFD1,((A3)+(1))+(0)))=("store"),(INDEX(B1:XFD1,((A3)+(1))+(1)))=("AD"),"false"),B3,AD170),AD170))</f>
        <v>#VALUE!</v>
      </c>
    </row>
    <row r="171" spans="1:30" x14ac:dyDescent="0.25">
      <c r="A171" t="e">
        <f ca="1">IF((A1)=(2),"",IF((167)=(A4),IF(("call")=(INDEX(B1:XFD1,((A3)+(1))+(0))),(B3)*(2),IF(("goto")=(INDEX(B1:XFD1,((A3)+(1))+(0))),(INDEX(B1:XFD1,((A3)+(1))+(1)))*(2),IF(("gotoiftrue")=(INDEX(B1:XFD1,((A3)+(1))+(0))),IF(B3,(INDEX(B1:XFD1,((A3)+(1))+(1)))*(2),(A171)+(2)),(A171)+(2)))),A171))</f>
        <v>#VALUE!</v>
      </c>
      <c r="B171" t="e">
        <f ca="1">IF((A1)=(2),"",IF((167)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171)+(1)),IF(("add")=(INDEX(B1:XFD1,((A3)+(1))+(0))),(INDEX(B5:B405,(B4)+(1)))+(B171),IF(("equals")=(INDEX(B1:XFD1,((A3)+(1))+(0))),(INDEX(B5:B405,(B4)+(1)))=(B171),IF(("leq")=(INDEX(B1:XFD1,((A3)+(1))+(0))),(INDEX(B5:B405,(B4)+(1)))&lt;=(B171),IF(("greater")=(INDEX(B1:XFD1,((A3)+(1))+(0))),(INDEX(B5:B405,(B4)+(1)))&gt;(B171),IF(("mod")=(INDEX(B1:XFD1,((A3)+(1))+(0))),MOD(INDEX(B5:B405,(B4)+(1)),B171),B171))))))))),B171))</f>
        <v>#VALUE!</v>
      </c>
      <c r="C171" t="e">
        <f ca="1">IF((A1)=(2),1,IF(AND((INDEX(B1:XFD1,((A3)+(1))+(0)))=("writeheap"),(INDEX(B5:B405,(B4)+(1)))=(166)),INDEX(B5:B405,(B4)+(2)),IF((A1)=(2),"",IF((167)=(C4),C171,C171))))</f>
        <v>#VALUE!</v>
      </c>
      <c r="F171" t="e">
        <f ca="1">IF((A1)=(2),"",IF((167)=(F4),IF(IF((INDEX(B1:XFD1,((A3)+(1))+(0)))=("store"),(INDEX(B1:XFD1,((A3)+(1))+(1)))=("F"),"false"),B3,F171),F171))</f>
        <v>#VALUE!</v>
      </c>
      <c r="G171" t="e">
        <f ca="1">IF((A1)=(2),"",IF((167)=(G4),IF(IF((INDEX(B1:XFD1,((A3)+(1))+(0)))=("store"),(INDEX(B1:XFD1,((A3)+(1))+(1)))=("G"),"false"),B3,G171),G171))</f>
        <v>#VALUE!</v>
      </c>
      <c r="H171" t="e">
        <f ca="1">IF((A1)=(2),"",IF((167)=(H4),IF(IF((INDEX(B1:XFD1,((A3)+(1))+(0)))=("store"),(INDEX(B1:XFD1,((A3)+(1))+(1)))=("H"),"false"),B3,H171),H171))</f>
        <v>#VALUE!</v>
      </c>
      <c r="I171" t="e">
        <f ca="1">IF((A1)=(2),"",IF((167)=(I4),IF(IF((INDEX(B1:XFD1,((A3)+(1))+(0)))=("store"),(INDEX(B1:XFD1,((A3)+(1))+(1)))=("I"),"false"),B3,I171),I171))</f>
        <v>#VALUE!</v>
      </c>
      <c r="J171" t="e">
        <f ca="1">IF((A1)=(2),"",IF((167)=(J4),IF(IF((INDEX(B1:XFD1,((A3)+(1))+(0)))=("store"),(INDEX(B1:XFD1,((A3)+(1))+(1)))=("J"),"false"),B3,J171),J171))</f>
        <v>#VALUE!</v>
      </c>
      <c r="K171" t="e">
        <f ca="1">IF((A1)=(2),"",IF((167)=(K4),IF(IF((INDEX(B1:XFD1,((A3)+(1))+(0)))=("store"),(INDEX(B1:XFD1,((A3)+(1))+(1)))=("K"),"false"),B3,K171),K171))</f>
        <v>#VALUE!</v>
      </c>
      <c r="L171" t="e">
        <f ca="1">IF((A1)=(2),"",IF((167)=(L4),IF(IF((INDEX(B1:XFD1,((A3)+(1))+(0)))=("store"),(INDEX(B1:XFD1,((A3)+(1))+(1)))=("L"),"false"),B3,L171),L171))</f>
        <v>#VALUE!</v>
      </c>
      <c r="M171" t="e">
        <f ca="1">IF((A1)=(2),"",IF((167)=(M4),IF(IF((INDEX(B1:XFD1,((A3)+(1))+(0)))=("store"),(INDEX(B1:XFD1,((A3)+(1))+(1)))=("M"),"false"),B3,M171),M171))</f>
        <v>#VALUE!</v>
      </c>
      <c r="N171" t="e">
        <f ca="1">IF((A1)=(2),"",IF((167)=(N4),IF(IF((INDEX(B1:XFD1,((A3)+(1))+(0)))=("store"),(INDEX(B1:XFD1,((A3)+(1))+(1)))=("N"),"false"),B3,N171),N171))</f>
        <v>#VALUE!</v>
      </c>
      <c r="O171" t="e">
        <f ca="1">IF((A1)=(2),"",IF((167)=(O4),IF(IF((INDEX(B1:XFD1,((A3)+(1))+(0)))=("store"),(INDEX(B1:XFD1,((A3)+(1))+(1)))=("O"),"false"),B3,O171),O171))</f>
        <v>#VALUE!</v>
      </c>
      <c r="P171" t="e">
        <f ca="1">IF((A1)=(2),"",IF((167)=(P4),IF(IF((INDEX(B1:XFD1,((A3)+(1))+(0)))=("store"),(INDEX(B1:XFD1,((A3)+(1))+(1)))=("P"),"false"),B3,P171),P171))</f>
        <v>#VALUE!</v>
      </c>
      <c r="Q171" t="e">
        <f ca="1">IF((A1)=(2),"",IF((167)=(Q4),IF(IF((INDEX(B1:XFD1,((A3)+(1))+(0)))=("store"),(INDEX(B1:XFD1,((A3)+(1))+(1)))=("Q"),"false"),B3,Q171),Q171))</f>
        <v>#VALUE!</v>
      </c>
      <c r="R171" t="e">
        <f ca="1">IF((A1)=(2),"",IF((167)=(R4),IF(IF((INDEX(B1:XFD1,((A3)+(1))+(0)))=("store"),(INDEX(B1:XFD1,((A3)+(1))+(1)))=("R"),"false"),B3,R171),R171))</f>
        <v>#VALUE!</v>
      </c>
      <c r="S171" t="e">
        <f ca="1">IF((A1)=(2),"",IF((167)=(S4),IF(IF((INDEX(B1:XFD1,((A3)+(1))+(0)))=("store"),(INDEX(B1:XFD1,((A3)+(1))+(1)))=("S"),"false"),B3,S171),S171))</f>
        <v>#VALUE!</v>
      </c>
      <c r="T171" t="e">
        <f ca="1">IF((A1)=(2),"",IF((167)=(T4),IF(IF((INDEX(B1:XFD1,((A3)+(1))+(0)))=("store"),(INDEX(B1:XFD1,((A3)+(1))+(1)))=("T"),"false"),B3,T171),T171))</f>
        <v>#VALUE!</v>
      </c>
      <c r="U171" t="e">
        <f ca="1">IF((A1)=(2),"",IF((167)=(U4),IF(IF((INDEX(B1:XFD1,((A3)+(1))+(0)))=("store"),(INDEX(B1:XFD1,((A3)+(1))+(1)))=("U"),"false"),B3,U171),U171))</f>
        <v>#VALUE!</v>
      </c>
      <c r="V171" t="e">
        <f ca="1">IF((A1)=(2),"",IF((167)=(V4),IF(IF((INDEX(B1:XFD1,((A3)+(1))+(0)))=("store"),(INDEX(B1:XFD1,((A3)+(1))+(1)))=("V"),"false"),B3,V171),V171))</f>
        <v>#VALUE!</v>
      </c>
      <c r="W171" t="e">
        <f ca="1">IF((A1)=(2),"",IF((167)=(W4),IF(IF((INDEX(B1:XFD1,((A3)+(1))+(0)))=("store"),(INDEX(B1:XFD1,((A3)+(1))+(1)))=("W"),"false"),B3,W171),W171))</f>
        <v>#VALUE!</v>
      </c>
      <c r="X171" t="e">
        <f ca="1">IF((A1)=(2),"",IF((167)=(X4),IF(IF((INDEX(B1:XFD1,((A3)+(1))+(0)))=("store"),(INDEX(B1:XFD1,((A3)+(1))+(1)))=("X"),"false"),B3,X171),X171))</f>
        <v>#VALUE!</v>
      </c>
      <c r="Y171" t="e">
        <f ca="1">IF((A1)=(2),"",IF((167)=(Y4),IF(IF((INDEX(B1:XFD1,((A3)+(1))+(0)))=("store"),(INDEX(B1:XFD1,((A3)+(1))+(1)))=("Y"),"false"),B3,Y171),Y171))</f>
        <v>#VALUE!</v>
      </c>
      <c r="Z171" t="e">
        <f ca="1">IF((A1)=(2),"",IF((167)=(Z4),IF(IF((INDEX(B1:XFD1,((A3)+(1))+(0)))=("store"),(INDEX(B1:XFD1,((A3)+(1))+(1)))=("Z"),"false"),B3,Z171),Z171))</f>
        <v>#VALUE!</v>
      </c>
      <c r="AA171" t="e">
        <f ca="1">IF((A1)=(2),"",IF((167)=(AA4),IF(IF((INDEX(B1:XFD1,((A3)+(1))+(0)))=("store"),(INDEX(B1:XFD1,((A3)+(1))+(1)))=("AA"),"false"),B3,AA171),AA171))</f>
        <v>#VALUE!</v>
      </c>
      <c r="AB171" t="e">
        <f ca="1">IF((A1)=(2),"",IF((167)=(AB4),IF(IF((INDEX(B1:XFD1,((A3)+(1))+(0)))=("store"),(INDEX(B1:XFD1,((A3)+(1))+(1)))=("AB"),"false"),B3,AB171),AB171))</f>
        <v>#VALUE!</v>
      </c>
      <c r="AC171" t="e">
        <f ca="1">IF((A1)=(2),"",IF((167)=(AC4),IF(IF((INDEX(B1:XFD1,((A3)+(1))+(0)))=("store"),(INDEX(B1:XFD1,((A3)+(1))+(1)))=("AC"),"false"),B3,AC171),AC171))</f>
        <v>#VALUE!</v>
      </c>
      <c r="AD171" t="e">
        <f ca="1">IF((A1)=(2),"",IF((167)=(AD4),IF(IF((INDEX(B1:XFD1,((A3)+(1))+(0)))=("store"),(INDEX(B1:XFD1,((A3)+(1))+(1)))=("AD"),"false"),B3,AD171),AD171))</f>
        <v>#VALUE!</v>
      </c>
    </row>
    <row r="172" spans="1:30" x14ac:dyDescent="0.25">
      <c r="A172" t="e">
        <f ca="1">IF((A1)=(2),"",IF((168)=(A4),IF(("call")=(INDEX(B1:XFD1,((A3)+(1))+(0))),(B3)*(2),IF(("goto")=(INDEX(B1:XFD1,((A3)+(1))+(0))),(INDEX(B1:XFD1,((A3)+(1))+(1)))*(2),IF(("gotoiftrue")=(INDEX(B1:XFD1,((A3)+(1))+(0))),IF(B3,(INDEX(B1:XFD1,((A3)+(1))+(1)))*(2),(A172)+(2)),(A172)+(2)))),A172))</f>
        <v>#VALUE!</v>
      </c>
      <c r="B172" t="e">
        <f ca="1">IF((A1)=(2),"",IF((168)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172)+(1)),IF(("add")=(INDEX(B1:XFD1,((A3)+(1))+(0))),(INDEX(B5:B405,(B4)+(1)))+(B172),IF(("equals")=(INDEX(B1:XFD1,((A3)+(1))+(0))),(INDEX(B5:B405,(B4)+(1)))=(B172),IF(("leq")=(INDEX(B1:XFD1,((A3)+(1))+(0))),(INDEX(B5:B405,(B4)+(1)))&lt;=(B172),IF(("greater")=(INDEX(B1:XFD1,((A3)+(1))+(0))),(INDEX(B5:B405,(B4)+(1)))&gt;(B172),IF(("mod")=(INDEX(B1:XFD1,((A3)+(1))+(0))),MOD(INDEX(B5:B405,(B4)+(1)),B172),B172))))))))),B172))</f>
        <v>#VALUE!</v>
      </c>
      <c r="C172" t="e">
        <f ca="1">IF((A1)=(2),1,IF(AND((INDEX(B1:XFD1,((A3)+(1))+(0)))=("writeheap"),(INDEX(B5:B405,(B4)+(1)))=(167)),INDEX(B5:B405,(B4)+(2)),IF((A1)=(2),"",IF((168)=(C4),C172,C172))))</f>
        <v>#VALUE!</v>
      </c>
      <c r="F172" t="e">
        <f ca="1">IF((A1)=(2),"",IF((168)=(F4),IF(IF((INDEX(B1:XFD1,((A3)+(1))+(0)))=("store"),(INDEX(B1:XFD1,((A3)+(1))+(1)))=("F"),"false"),B3,F172),F172))</f>
        <v>#VALUE!</v>
      </c>
      <c r="G172" t="e">
        <f ca="1">IF((A1)=(2),"",IF((168)=(G4),IF(IF((INDEX(B1:XFD1,((A3)+(1))+(0)))=("store"),(INDEX(B1:XFD1,((A3)+(1))+(1)))=("G"),"false"),B3,G172),G172))</f>
        <v>#VALUE!</v>
      </c>
      <c r="H172" t="e">
        <f ca="1">IF((A1)=(2),"",IF((168)=(H4),IF(IF((INDEX(B1:XFD1,((A3)+(1))+(0)))=("store"),(INDEX(B1:XFD1,((A3)+(1))+(1)))=("H"),"false"),B3,H172),H172))</f>
        <v>#VALUE!</v>
      </c>
      <c r="I172" t="e">
        <f ca="1">IF((A1)=(2),"",IF((168)=(I4),IF(IF((INDEX(B1:XFD1,((A3)+(1))+(0)))=("store"),(INDEX(B1:XFD1,((A3)+(1))+(1)))=("I"),"false"),B3,I172),I172))</f>
        <v>#VALUE!</v>
      </c>
      <c r="J172" t="e">
        <f ca="1">IF((A1)=(2),"",IF((168)=(J4),IF(IF((INDEX(B1:XFD1,((A3)+(1))+(0)))=("store"),(INDEX(B1:XFD1,((A3)+(1))+(1)))=("J"),"false"),B3,J172),J172))</f>
        <v>#VALUE!</v>
      </c>
      <c r="K172" t="e">
        <f ca="1">IF((A1)=(2),"",IF((168)=(K4),IF(IF((INDEX(B1:XFD1,((A3)+(1))+(0)))=("store"),(INDEX(B1:XFD1,((A3)+(1))+(1)))=("K"),"false"),B3,K172),K172))</f>
        <v>#VALUE!</v>
      </c>
      <c r="L172" t="e">
        <f ca="1">IF((A1)=(2),"",IF((168)=(L4),IF(IF((INDEX(B1:XFD1,((A3)+(1))+(0)))=("store"),(INDEX(B1:XFD1,((A3)+(1))+(1)))=("L"),"false"),B3,L172),L172))</f>
        <v>#VALUE!</v>
      </c>
      <c r="M172" t="e">
        <f ca="1">IF((A1)=(2),"",IF((168)=(M4),IF(IF((INDEX(B1:XFD1,((A3)+(1))+(0)))=("store"),(INDEX(B1:XFD1,((A3)+(1))+(1)))=("M"),"false"),B3,M172),M172))</f>
        <v>#VALUE!</v>
      </c>
      <c r="N172" t="e">
        <f ca="1">IF((A1)=(2),"",IF((168)=(N4),IF(IF((INDEX(B1:XFD1,((A3)+(1))+(0)))=("store"),(INDEX(B1:XFD1,((A3)+(1))+(1)))=("N"),"false"),B3,N172),N172))</f>
        <v>#VALUE!</v>
      </c>
      <c r="O172" t="e">
        <f ca="1">IF((A1)=(2),"",IF((168)=(O4),IF(IF((INDEX(B1:XFD1,((A3)+(1))+(0)))=("store"),(INDEX(B1:XFD1,((A3)+(1))+(1)))=("O"),"false"),B3,O172),O172))</f>
        <v>#VALUE!</v>
      </c>
      <c r="P172" t="e">
        <f ca="1">IF((A1)=(2),"",IF((168)=(P4),IF(IF((INDEX(B1:XFD1,((A3)+(1))+(0)))=("store"),(INDEX(B1:XFD1,((A3)+(1))+(1)))=("P"),"false"),B3,P172),P172))</f>
        <v>#VALUE!</v>
      </c>
      <c r="Q172" t="e">
        <f ca="1">IF((A1)=(2),"",IF((168)=(Q4),IF(IF((INDEX(B1:XFD1,((A3)+(1))+(0)))=("store"),(INDEX(B1:XFD1,((A3)+(1))+(1)))=("Q"),"false"),B3,Q172),Q172))</f>
        <v>#VALUE!</v>
      </c>
      <c r="R172" t="e">
        <f ca="1">IF((A1)=(2),"",IF((168)=(R4),IF(IF((INDEX(B1:XFD1,((A3)+(1))+(0)))=("store"),(INDEX(B1:XFD1,((A3)+(1))+(1)))=("R"),"false"),B3,R172),R172))</f>
        <v>#VALUE!</v>
      </c>
      <c r="S172" t="e">
        <f ca="1">IF((A1)=(2),"",IF((168)=(S4),IF(IF((INDEX(B1:XFD1,((A3)+(1))+(0)))=("store"),(INDEX(B1:XFD1,((A3)+(1))+(1)))=("S"),"false"),B3,S172),S172))</f>
        <v>#VALUE!</v>
      </c>
      <c r="T172" t="e">
        <f ca="1">IF((A1)=(2),"",IF((168)=(T4),IF(IF((INDEX(B1:XFD1,((A3)+(1))+(0)))=("store"),(INDEX(B1:XFD1,((A3)+(1))+(1)))=("T"),"false"),B3,T172),T172))</f>
        <v>#VALUE!</v>
      </c>
      <c r="U172" t="e">
        <f ca="1">IF((A1)=(2),"",IF((168)=(U4),IF(IF((INDEX(B1:XFD1,((A3)+(1))+(0)))=("store"),(INDEX(B1:XFD1,((A3)+(1))+(1)))=("U"),"false"),B3,U172),U172))</f>
        <v>#VALUE!</v>
      </c>
      <c r="V172" t="e">
        <f ca="1">IF((A1)=(2),"",IF((168)=(V4),IF(IF((INDEX(B1:XFD1,((A3)+(1))+(0)))=("store"),(INDEX(B1:XFD1,((A3)+(1))+(1)))=("V"),"false"),B3,V172),V172))</f>
        <v>#VALUE!</v>
      </c>
      <c r="W172" t="e">
        <f ca="1">IF((A1)=(2),"",IF((168)=(W4),IF(IF((INDEX(B1:XFD1,((A3)+(1))+(0)))=("store"),(INDEX(B1:XFD1,((A3)+(1))+(1)))=("W"),"false"),B3,W172),W172))</f>
        <v>#VALUE!</v>
      </c>
      <c r="X172" t="e">
        <f ca="1">IF((A1)=(2),"",IF((168)=(X4),IF(IF((INDEX(B1:XFD1,((A3)+(1))+(0)))=("store"),(INDEX(B1:XFD1,((A3)+(1))+(1)))=("X"),"false"),B3,X172),X172))</f>
        <v>#VALUE!</v>
      </c>
      <c r="Y172" t="e">
        <f ca="1">IF((A1)=(2),"",IF((168)=(Y4),IF(IF((INDEX(B1:XFD1,((A3)+(1))+(0)))=("store"),(INDEX(B1:XFD1,((A3)+(1))+(1)))=("Y"),"false"),B3,Y172),Y172))</f>
        <v>#VALUE!</v>
      </c>
      <c r="Z172" t="e">
        <f ca="1">IF((A1)=(2),"",IF((168)=(Z4),IF(IF((INDEX(B1:XFD1,((A3)+(1))+(0)))=("store"),(INDEX(B1:XFD1,((A3)+(1))+(1)))=("Z"),"false"),B3,Z172),Z172))</f>
        <v>#VALUE!</v>
      </c>
      <c r="AA172" t="e">
        <f ca="1">IF((A1)=(2),"",IF((168)=(AA4),IF(IF((INDEX(B1:XFD1,((A3)+(1))+(0)))=("store"),(INDEX(B1:XFD1,((A3)+(1))+(1)))=("AA"),"false"),B3,AA172),AA172))</f>
        <v>#VALUE!</v>
      </c>
      <c r="AB172" t="e">
        <f ca="1">IF((A1)=(2),"",IF((168)=(AB4),IF(IF((INDEX(B1:XFD1,((A3)+(1))+(0)))=("store"),(INDEX(B1:XFD1,((A3)+(1))+(1)))=("AB"),"false"),B3,AB172),AB172))</f>
        <v>#VALUE!</v>
      </c>
      <c r="AC172" t="e">
        <f ca="1">IF((A1)=(2),"",IF((168)=(AC4),IF(IF((INDEX(B1:XFD1,((A3)+(1))+(0)))=("store"),(INDEX(B1:XFD1,((A3)+(1))+(1)))=("AC"),"false"),B3,AC172),AC172))</f>
        <v>#VALUE!</v>
      </c>
      <c r="AD172" t="e">
        <f ca="1">IF((A1)=(2),"",IF((168)=(AD4),IF(IF((INDEX(B1:XFD1,((A3)+(1))+(0)))=("store"),(INDEX(B1:XFD1,((A3)+(1))+(1)))=("AD"),"false"),B3,AD172),AD172))</f>
        <v>#VALUE!</v>
      </c>
    </row>
    <row r="173" spans="1:30" x14ac:dyDescent="0.25">
      <c r="A173" t="e">
        <f ca="1">IF((A1)=(2),"",IF((169)=(A4),IF(("call")=(INDEX(B1:XFD1,((A3)+(1))+(0))),(B3)*(2),IF(("goto")=(INDEX(B1:XFD1,((A3)+(1))+(0))),(INDEX(B1:XFD1,((A3)+(1))+(1)))*(2),IF(("gotoiftrue")=(INDEX(B1:XFD1,((A3)+(1))+(0))),IF(B3,(INDEX(B1:XFD1,((A3)+(1))+(1)))*(2),(A173)+(2)),(A173)+(2)))),A173))</f>
        <v>#VALUE!</v>
      </c>
      <c r="B173" t="e">
        <f ca="1">IF((A1)=(2),"",IF((169)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173)+(1)),IF(("add")=(INDEX(B1:XFD1,((A3)+(1))+(0))),(INDEX(B5:B405,(B4)+(1)))+(B173),IF(("equals")=(INDEX(B1:XFD1,((A3)+(1))+(0))),(INDEX(B5:B405,(B4)+(1)))=(B173),IF(("leq")=(INDEX(B1:XFD1,((A3)+(1))+(0))),(INDEX(B5:B405,(B4)+(1)))&lt;=(B173),IF(("greater")=(INDEX(B1:XFD1,((A3)+(1))+(0))),(INDEX(B5:B405,(B4)+(1)))&gt;(B173),IF(("mod")=(INDEX(B1:XFD1,((A3)+(1))+(0))),MOD(INDEX(B5:B405,(B4)+(1)),B173),B173))))))))),B173))</f>
        <v>#VALUE!</v>
      </c>
      <c r="C173" t="e">
        <f ca="1">IF((A1)=(2),1,IF(AND((INDEX(B1:XFD1,((A3)+(1))+(0)))=("writeheap"),(INDEX(B5:B405,(B4)+(1)))=(168)),INDEX(B5:B405,(B4)+(2)),IF((A1)=(2),"",IF((169)=(C4),C173,C173))))</f>
        <v>#VALUE!</v>
      </c>
      <c r="F173" t="e">
        <f ca="1">IF((A1)=(2),"",IF((169)=(F4),IF(IF((INDEX(B1:XFD1,((A3)+(1))+(0)))=("store"),(INDEX(B1:XFD1,((A3)+(1))+(1)))=("F"),"false"),B3,F173),F173))</f>
        <v>#VALUE!</v>
      </c>
      <c r="G173" t="e">
        <f ca="1">IF((A1)=(2),"",IF((169)=(G4),IF(IF((INDEX(B1:XFD1,((A3)+(1))+(0)))=("store"),(INDEX(B1:XFD1,((A3)+(1))+(1)))=("G"),"false"),B3,G173),G173))</f>
        <v>#VALUE!</v>
      </c>
      <c r="H173" t="e">
        <f ca="1">IF((A1)=(2),"",IF((169)=(H4),IF(IF((INDEX(B1:XFD1,((A3)+(1))+(0)))=("store"),(INDEX(B1:XFD1,((A3)+(1))+(1)))=("H"),"false"),B3,H173),H173))</f>
        <v>#VALUE!</v>
      </c>
      <c r="I173" t="e">
        <f ca="1">IF((A1)=(2),"",IF((169)=(I4),IF(IF((INDEX(B1:XFD1,((A3)+(1))+(0)))=("store"),(INDEX(B1:XFD1,((A3)+(1))+(1)))=("I"),"false"),B3,I173),I173))</f>
        <v>#VALUE!</v>
      </c>
      <c r="J173" t="e">
        <f ca="1">IF((A1)=(2),"",IF((169)=(J4),IF(IF((INDEX(B1:XFD1,((A3)+(1))+(0)))=("store"),(INDEX(B1:XFD1,((A3)+(1))+(1)))=("J"),"false"),B3,J173),J173))</f>
        <v>#VALUE!</v>
      </c>
      <c r="K173" t="e">
        <f ca="1">IF((A1)=(2),"",IF((169)=(K4),IF(IF((INDEX(B1:XFD1,((A3)+(1))+(0)))=("store"),(INDEX(B1:XFD1,((A3)+(1))+(1)))=("K"),"false"),B3,K173),K173))</f>
        <v>#VALUE!</v>
      </c>
      <c r="L173" t="e">
        <f ca="1">IF((A1)=(2),"",IF((169)=(L4),IF(IF((INDEX(B1:XFD1,((A3)+(1))+(0)))=("store"),(INDEX(B1:XFD1,((A3)+(1))+(1)))=("L"),"false"),B3,L173),L173))</f>
        <v>#VALUE!</v>
      </c>
      <c r="M173" t="e">
        <f ca="1">IF((A1)=(2),"",IF((169)=(M4),IF(IF((INDEX(B1:XFD1,((A3)+(1))+(0)))=("store"),(INDEX(B1:XFD1,((A3)+(1))+(1)))=("M"),"false"),B3,M173),M173))</f>
        <v>#VALUE!</v>
      </c>
      <c r="N173" t="e">
        <f ca="1">IF((A1)=(2),"",IF((169)=(N4),IF(IF((INDEX(B1:XFD1,((A3)+(1))+(0)))=("store"),(INDEX(B1:XFD1,((A3)+(1))+(1)))=("N"),"false"),B3,N173),N173))</f>
        <v>#VALUE!</v>
      </c>
      <c r="O173" t="e">
        <f ca="1">IF((A1)=(2),"",IF((169)=(O4),IF(IF((INDEX(B1:XFD1,((A3)+(1))+(0)))=("store"),(INDEX(B1:XFD1,((A3)+(1))+(1)))=("O"),"false"),B3,O173),O173))</f>
        <v>#VALUE!</v>
      </c>
      <c r="P173" t="e">
        <f ca="1">IF((A1)=(2),"",IF((169)=(P4),IF(IF((INDEX(B1:XFD1,((A3)+(1))+(0)))=("store"),(INDEX(B1:XFD1,((A3)+(1))+(1)))=("P"),"false"),B3,P173),P173))</f>
        <v>#VALUE!</v>
      </c>
      <c r="Q173" t="e">
        <f ca="1">IF((A1)=(2),"",IF((169)=(Q4),IF(IF((INDEX(B1:XFD1,((A3)+(1))+(0)))=("store"),(INDEX(B1:XFD1,((A3)+(1))+(1)))=("Q"),"false"),B3,Q173),Q173))</f>
        <v>#VALUE!</v>
      </c>
      <c r="R173" t="e">
        <f ca="1">IF((A1)=(2),"",IF((169)=(R4),IF(IF((INDEX(B1:XFD1,((A3)+(1))+(0)))=("store"),(INDEX(B1:XFD1,((A3)+(1))+(1)))=("R"),"false"),B3,R173),R173))</f>
        <v>#VALUE!</v>
      </c>
      <c r="S173" t="e">
        <f ca="1">IF((A1)=(2),"",IF((169)=(S4),IF(IF((INDEX(B1:XFD1,((A3)+(1))+(0)))=("store"),(INDEX(B1:XFD1,((A3)+(1))+(1)))=("S"),"false"),B3,S173),S173))</f>
        <v>#VALUE!</v>
      </c>
      <c r="T173" t="e">
        <f ca="1">IF((A1)=(2),"",IF((169)=(T4),IF(IF((INDEX(B1:XFD1,((A3)+(1))+(0)))=("store"),(INDEX(B1:XFD1,((A3)+(1))+(1)))=("T"),"false"),B3,T173),T173))</f>
        <v>#VALUE!</v>
      </c>
      <c r="U173" t="e">
        <f ca="1">IF((A1)=(2),"",IF((169)=(U4),IF(IF((INDEX(B1:XFD1,((A3)+(1))+(0)))=("store"),(INDEX(B1:XFD1,((A3)+(1))+(1)))=("U"),"false"),B3,U173),U173))</f>
        <v>#VALUE!</v>
      </c>
      <c r="V173" t="e">
        <f ca="1">IF((A1)=(2),"",IF((169)=(V4),IF(IF((INDEX(B1:XFD1,((A3)+(1))+(0)))=("store"),(INDEX(B1:XFD1,((A3)+(1))+(1)))=("V"),"false"),B3,V173),V173))</f>
        <v>#VALUE!</v>
      </c>
      <c r="W173" t="e">
        <f ca="1">IF((A1)=(2),"",IF((169)=(W4),IF(IF((INDEX(B1:XFD1,((A3)+(1))+(0)))=("store"),(INDEX(B1:XFD1,((A3)+(1))+(1)))=("W"),"false"),B3,W173),W173))</f>
        <v>#VALUE!</v>
      </c>
      <c r="X173" t="e">
        <f ca="1">IF((A1)=(2),"",IF((169)=(X4),IF(IF((INDEX(B1:XFD1,((A3)+(1))+(0)))=("store"),(INDEX(B1:XFD1,((A3)+(1))+(1)))=("X"),"false"),B3,X173),X173))</f>
        <v>#VALUE!</v>
      </c>
      <c r="Y173" t="e">
        <f ca="1">IF((A1)=(2),"",IF((169)=(Y4),IF(IF((INDEX(B1:XFD1,((A3)+(1))+(0)))=("store"),(INDEX(B1:XFD1,((A3)+(1))+(1)))=("Y"),"false"),B3,Y173),Y173))</f>
        <v>#VALUE!</v>
      </c>
      <c r="Z173" t="e">
        <f ca="1">IF((A1)=(2),"",IF((169)=(Z4),IF(IF((INDEX(B1:XFD1,((A3)+(1))+(0)))=("store"),(INDEX(B1:XFD1,((A3)+(1))+(1)))=("Z"),"false"),B3,Z173),Z173))</f>
        <v>#VALUE!</v>
      </c>
      <c r="AA173" t="e">
        <f ca="1">IF((A1)=(2),"",IF((169)=(AA4),IF(IF((INDEX(B1:XFD1,((A3)+(1))+(0)))=("store"),(INDEX(B1:XFD1,((A3)+(1))+(1)))=("AA"),"false"),B3,AA173),AA173))</f>
        <v>#VALUE!</v>
      </c>
      <c r="AB173" t="e">
        <f ca="1">IF((A1)=(2),"",IF((169)=(AB4),IF(IF((INDEX(B1:XFD1,((A3)+(1))+(0)))=("store"),(INDEX(B1:XFD1,((A3)+(1))+(1)))=("AB"),"false"),B3,AB173),AB173))</f>
        <v>#VALUE!</v>
      </c>
      <c r="AC173" t="e">
        <f ca="1">IF((A1)=(2),"",IF((169)=(AC4),IF(IF((INDEX(B1:XFD1,((A3)+(1))+(0)))=("store"),(INDEX(B1:XFD1,((A3)+(1))+(1)))=("AC"),"false"),B3,AC173),AC173))</f>
        <v>#VALUE!</v>
      </c>
      <c r="AD173" t="e">
        <f ca="1">IF((A1)=(2),"",IF((169)=(AD4),IF(IF((INDEX(B1:XFD1,((A3)+(1))+(0)))=("store"),(INDEX(B1:XFD1,((A3)+(1))+(1)))=("AD"),"false"),B3,AD173),AD173))</f>
        <v>#VALUE!</v>
      </c>
    </row>
    <row r="174" spans="1:30" x14ac:dyDescent="0.25">
      <c r="A174" t="e">
        <f ca="1">IF((A1)=(2),"",IF((170)=(A4),IF(("call")=(INDEX(B1:XFD1,((A3)+(1))+(0))),(B3)*(2),IF(("goto")=(INDEX(B1:XFD1,((A3)+(1))+(0))),(INDEX(B1:XFD1,((A3)+(1))+(1)))*(2),IF(("gotoiftrue")=(INDEX(B1:XFD1,((A3)+(1))+(0))),IF(B3,(INDEX(B1:XFD1,((A3)+(1))+(1)))*(2),(A174)+(2)),(A174)+(2)))),A174))</f>
        <v>#VALUE!</v>
      </c>
      <c r="B174" t="e">
        <f ca="1">IF((A1)=(2),"",IF((170)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174)+(1)),IF(("add")=(INDEX(B1:XFD1,((A3)+(1))+(0))),(INDEX(B5:B405,(B4)+(1)))+(B174),IF(("equals")=(INDEX(B1:XFD1,((A3)+(1))+(0))),(INDEX(B5:B405,(B4)+(1)))=(B174),IF(("leq")=(INDEX(B1:XFD1,((A3)+(1))+(0))),(INDEX(B5:B405,(B4)+(1)))&lt;=(B174),IF(("greater")=(INDEX(B1:XFD1,((A3)+(1))+(0))),(INDEX(B5:B405,(B4)+(1)))&gt;(B174),IF(("mod")=(INDEX(B1:XFD1,((A3)+(1))+(0))),MOD(INDEX(B5:B405,(B4)+(1)),B174),B174))))))))),B174))</f>
        <v>#VALUE!</v>
      </c>
      <c r="C174" t="e">
        <f ca="1">IF((A1)=(2),1,IF(AND((INDEX(B1:XFD1,((A3)+(1))+(0)))=("writeheap"),(INDEX(B5:B405,(B4)+(1)))=(169)),INDEX(B5:B405,(B4)+(2)),IF((A1)=(2),"",IF((170)=(C4),C174,C174))))</f>
        <v>#VALUE!</v>
      </c>
      <c r="F174" t="e">
        <f ca="1">IF((A1)=(2),"",IF((170)=(F4),IF(IF((INDEX(B1:XFD1,((A3)+(1))+(0)))=("store"),(INDEX(B1:XFD1,((A3)+(1))+(1)))=("F"),"false"),B3,F174),F174))</f>
        <v>#VALUE!</v>
      </c>
      <c r="G174" t="e">
        <f ca="1">IF((A1)=(2),"",IF((170)=(G4),IF(IF((INDEX(B1:XFD1,((A3)+(1))+(0)))=("store"),(INDEX(B1:XFD1,((A3)+(1))+(1)))=("G"),"false"),B3,G174),G174))</f>
        <v>#VALUE!</v>
      </c>
      <c r="H174" t="e">
        <f ca="1">IF((A1)=(2),"",IF((170)=(H4),IF(IF((INDEX(B1:XFD1,((A3)+(1))+(0)))=("store"),(INDEX(B1:XFD1,((A3)+(1))+(1)))=("H"),"false"),B3,H174),H174))</f>
        <v>#VALUE!</v>
      </c>
      <c r="I174" t="e">
        <f ca="1">IF((A1)=(2),"",IF((170)=(I4),IF(IF((INDEX(B1:XFD1,((A3)+(1))+(0)))=("store"),(INDEX(B1:XFD1,((A3)+(1))+(1)))=("I"),"false"),B3,I174),I174))</f>
        <v>#VALUE!</v>
      </c>
      <c r="J174" t="e">
        <f ca="1">IF((A1)=(2),"",IF((170)=(J4),IF(IF((INDEX(B1:XFD1,((A3)+(1))+(0)))=("store"),(INDEX(B1:XFD1,((A3)+(1))+(1)))=("J"),"false"),B3,J174),J174))</f>
        <v>#VALUE!</v>
      </c>
      <c r="K174" t="e">
        <f ca="1">IF((A1)=(2),"",IF((170)=(K4),IF(IF((INDEX(B1:XFD1,((A3)+(1))+(0)))=("store"),(INDEX(B1:XFD1,((A3)+(1))+(1)))=("K"),"false"),B3,K174),K174))</f>
        <v>#VALUE!</v>
      </c>
      <c r="L174" t="e">
        <f ca="1">IF((A1)=(2),"",IF((170)=(L4),IF(IF((INDEX(B1:XFD1,((A3)+(1))+(0)))=("store"),(INDEX(B1:XFD1,((A3)+(1))+(1)))=("L"),"false"),B3,L174),L174))</f>
        <v>#VALUE!</v>
      </c>
      <c r="M174" t="e">
        <f ca="1">IF((A1)=(2),"",IF((170)=(M4),IF(IF((INDEX(B1:XFD1,((A3)+(1))+(0)))=("store"),(INDEX(B1:XFD1,((A3)+(1))+(1)))=("M"),"false"),B3,M174),M174))</f>
        <v>#VALUE!</v>
      </c>
      <c r="N174" t="e">
        <f ca="1">IF((A1)=(2),"",IF((170)=(N4),IF(IF((INDEX(B1:XFD1,((A3)+(1))+(0)))=("store"),(INDEX(B1:XFD1,((A3)+(1))+(1)))=("N"),"false"),B3,N174),N174))</f>
        <v>#VALUE!</v>
      </c>
      <c r="O174" t="e">
        <f ca="1">IF((A1)=(2),"",IF((170)=(O4),IF(IF((INDEX(B1:XFD1,((A3)+(1))+(0)))=("store"),(INDEX(B1:XFD1,((A3)+(1))+(1)))=("O"),"false"),B3,O174),O174))</f>
        <v>#VALUE!</v>
      </c>
      <c r="P174" t="e">
        <f ca="1">IF((A1)=(2),"",IF((170)=(P4),IF(IF((INDEX(B1:XFD1,((A3)+(1))+(0)))=("store"),(INDEX(B1:XFD1,((A3)+(1))+(1)))=("P"),"false"),B3,P174),P174))</f>
        <v>#VALUE!</v>
      </c>
      <c r="Q174" t="e">
        <f ca="1">IF((A1)=(2),"",IF((170)=(Q4),IF(IF((INDEX(B1:XFD1,((A3)+(1))+(0)))=("store"),(INDEX(B1:XFD1,((A3)+(1))+(1)))=("Q"),"false"),B3,Q174),Q174))</f>
        <v>#VALUE!</v>
      </c>
      <c r="R174" t="e">
        <f ca="1">IF((A1)=(2),"",IF((170)=(R4),IF(IF((INDEX(B1:XFD1,((A3)+(1))+(0)))=("store"),(INDEX(B1:XFD1,((A3)+(1))+(1)))=("R"),"false"),B3,R174),R174))</f>
        <v>#VALUE!</v>
      </c>
      <c r="S174" t="e">
        <f ca="1">IF((A1)=(2),"",IF((170)=(S4),IF(IF((INDEX(B1:XFD1,((A3)+(1))+(0)))=("store"),(INDEX(B1:XFD1,((A3)+(1))+(1)))=("S"),"false"),B3,S174),S174))</f>
        <v>#VALUE!</v>
      </c>
      <c r="T174" t="e">
        <f ca="1">IF((A1)=(2),"",IF((170)=(T4),IF(IF((INDEX(B1:XFD1,((A3)+(1))+(0)))=("store"),(INDEX(B1:XFD1,((A3)+(1))+(1)))=("T"),"false"),B3,T174),T174))</f>
        <v>#VALUE!</v>
      </c>
      <c r="U174" t="e">
        <f ca="1">IF((A1)=(2),"",IF((170)=(U4),IF(IF((INDEX(B1:XFD1,((A3)+(1))+(0)))=("store"),(INDEX(B1:XFD1,((A3)+(1))+(1)))=("U"),"false"),B3,U174),U174))</f>
        <v>#VALUE!</v>
      </c>
      <c r="V174" t="e">
        <f ca="1">IF((A1)=(2),"",IF((170)=(V4),IF(IF((INDEX(B1:XFD1,((A3)+(1))+(0)))=("store"),(INDEX(B1:XFD1,((A3)+(1))+(1)))=("V"),"false"),B3,V174),V174))</f>
        <v>#VALUE!</v>
      </c>
      <c r="W174" t="e">
        <f ca="1">IF((A1)=(2),"",IF((170)=(W4),IF(IF((INDEX(B1:XFD1,((A3)+(1))+(0)))=("store"),(INDEX(B1:XFD1,((A3)+(1))+(1)))=("W"),"false"),B3,W174),W174))</f>
        <v>#VALUE!</v>
      </c>
      <c r="X174" t="e">
        <f ca="1">IF((A1)=(2),"",IF((170)=(X4),IF(IF((INDEX(B1:XFD1,((A3)+(1))+(0)))=("store"),(INDEX(B1:XFD1,((A3)+(1))+(1)))=("X"),"false"),B3,X174),X174))</f>
        <v>#VALUE!</v>
      </c>
      <c r="Y174" t="e">
        <f ca="1">IF((A1)=(2),"",IF((170)=(Y4),IF(IF((INDEX(B1:XFD1,((A3)+(1))+(0)))=("store"),(INDEX(B1:XFD1,((A3)+(1))+(1)))=("Y"),"false"),B3,Y174),Y174))</f>
        <v>#VALUE!</v>
      </c>
      <c r="Z174" t="e">
        <f ca="1">IF((A1)=(2),"",IF((170)=(Z4),IF(IF((INDEX(B1:XFD1,((A3)+(1))+(0)))=("store"),(INDEX(B1:XFD1,((A3)+(1))+(1)))=("Z"),"false"),B3,Z174),Z174))</f>
        <v>#VALUE!</v>
      </c>
      <c r="AA174" t="e">
        <f ca="1">IF((A1)=(2),"",IF((170)=(AA4),IF(IF((INDEX(B1:XFD1,((A3)+(1))+(0)))=("store"),(INDEX(B1:XFD1,((A3)+(1))+(1)))=("AA"),"false"),B3,AA174),AA174))</f>
        <v>#VALUE!</v>
      </c>
      <c r="AB174" t="e">
        <f ca="1">IF((A1)=(2),"",IF((170)=(AB4),IF(IF((INDEX(B1:XFD1,((A3)+(1))+(0)))=("store"),(INDEX(B1:XFD1,((A3)+(1))+(1)))=("AB"),"false"),B3,AB174),AB174))</f>
        <v>#VALUE!</v>
      </c>
      <c r="AC174" t="e">
        <f ca="1">IF((A1)=(2),"",IF((170)=(AC4),IF(IF((INDEX(B1:XFD1,((A3)+(1))+(0)))=("store"),(INDEX(B1:XFD1,((A3)+(1))+(1)))=("AC"),"false"),B3,AC174),AC174))</f>
        <v>#VALUE!</v>
      </c>
      <c r="AD174" t="e">
        <f ca="1">IF((A1)=(2),"",IF((170)=(AD4),IF(IF((INDEX(B1:XFD1,((A3)+(1))+(0)))=("store"),(INDEX(B1:XFD1,((A3)+(1))+(1)))=("AD"),"false"),B3,AD174),AD174))</f>
        <v>#VALUE!</v>
      </c>
    </row>
    <row r="175" spans="1:30" x14ac:dyDescent="0.25">
      <c r="A175" t="e">
        <f ca="1">IF((A1)=(2),"",IF((171)=(A4),IF(("call")=(INDEX(B1:XFD1,((A3)+(1))+(0))),(B3)*(2),IF(("goto")=(INDEX(B1:XFD1,((A3)+(1))+(0))),(INDEX(B1:XFD1,((A3)+(1))+(1)))*(2),IF(("gotoiftrue")=(INDEX(B1:XFD1,((A3)+(1))+(0))),IF(B3,(INDEX(B1:XFD1,((A3)+(1))+(1)))*(2),(A175)+(2)),(A175)+(2)))),A175))</f>
        <v>#VALUE!</v>
      </c>
      <c r="B175" t="e">
        <f ca="1">IF((A1)=(2),"",IF((171)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175)+(1)),IF(("add")=(INDEX(B1:XFD1,((A3)+(1))+(0))),(INDEX(B5:B405,(B4)+(1)))+(B175),IF(("equals")=(INDEX(B1:XFD1,((A3)+(1))+(0))),(INDEX(B5:B405,(B4)+(1)))=(B175),IF(("leq")=(INDEX(B1:XFD1,((A3)+(1))+(0))),(INDEX(B5:B405,(B4)+(1)))&lt;=(B175),IF(("greater")=(INDEX(B1:XFD1,((A3)+(1))+(0))),(INDEX(B5:B405,(B4)+(1)))&gt;(B175),IF(("mod")=(INDEX(B1:XFD1,((A3)+(1))+(0))),MOD(INDEX(B5:B405,(B4)+(1)),B175),B175))))))))),B175))</f>
        <v>#VALUE!</v>
      </c>
      <c r="C175" t="e">
        <f ca="1">IF((A1)=(2),1,IF(AND((INDEX(B1:XFD1,((A3)+(1))+(0)))=("writeheap"),(INDEX(B5:B405,(B4)+(1)))=(170)),INDEX(B5:B405,(B4)+(2)),IF((A1)=(2),"",IF((171)=(C4),C175,C175))))</f>
        <v>#VALUE!</v>
      </c>
      <c r="F175" t="e">
        <f ca="1">IF((A1)=(2),"",IF((171)=(F4),IF(IF((INDEX(B1:XFD1,((A3)+(1))+(0)))=("store"),(INDEX(B1:XFD1,((A3)+(1))+(1)))=("F"),"false"),B3,F175),F175))</f>
        <v>#VALUE!</v>
      </c>
      <c r="G175" t="e">
        <f ca="1">IF((A1)=(2),"",IF((171)=(G4),IF(IF((INDEX(B1:XFD1,((A3)+(1))+(0)))=("store"),(INDEX(B1:XFD1,((A3)+(1))+(1)))=("G"),"false"),B3,G175),G175))</f>
        <v>#VALUE!</v>
      </c>
      <c r="H175" t="e">
        <f ca="1">IF((A1)=(2),"",IF((171)=(H4),IF(IF((INDEX(B1:XFD1,((A3)+(1))+(0)))=("store"),(INDEX(B1:XFD1,((A3)+(1))+(1)))=("H"),"false"),B3,H175),H175))</f>
        <v>#VALUE!</v>
      </c>
      <c r="I175" t="e">
        <f ca="1">IF((A1)=(2),"",IF((171)=(I4),IF(IF((INDEX(B1:XFD1,((A3)+(1))+(0)))=("store"),(INDEX(B1:XFD1,((A3)+(1))+(1)))=("I"),"false"),B3,I175),I175))</f>
        <v>#VALUE!</v>
      </c>
      <c r="J175" t="e">
        <f ca="1">IF((A1)=(2),"",IF((171)=(J4),IF(IF((INDEX(B1:XFD1,((A3)+(1))+(0)))=("store"),(INDEX(B1:XFD1,((A3)+(1))+(1)))=("J"),"false"),B3,J175),J175))</f>
        <v>#VALUE!</v>
      </c>
      <c r="K175" t="e">
        <f ca="1">IF((A1)=(2),"",IF((171)=(K4),IF(IF((INDEX(B1:XFD1,((A3)+(1))+(0)))=("store"),(INDEX(B1:XFD1,((A3)+(1))+(1)))=("K"),"false"),B3,K175),K175))</f>
        <v>#VALUE!</v>
      </c>
      <c r="L175" t="e">
        <f ca="1">IF((A1)=(2),"",IF((171)=(L4),IF(IF((INDEX(B1:XFD1,((A3)+(1))+(0)))=("store"),(INDEX(B1:XFD1,((A3)+(1))+(1)))=("L"),"false"),B3,L175),L175))</f>
        <v>#VALUE!</v>
      </c>
      <c r="M175" t="e">
        <f ca="1">IF((A1)=(2),"",IF((171)=(M4),IF(IF((INDEX(B1:XFD1,((A3)+(1))+(0)))=("store"),(INDEX(B1:XFD1,((A3)+(1))+(1)))=("M"),"false"),B3,M175),M175))</f>
        <v>#VALUE!</v>
      </c>
      <c r="N175" t="e">
        <f ca="1">IF((A1)=(2),"",IF((171)=(N4),IF(IF((INDEX(B1:XFD1,((A3)+(1))+(0)))=("store"),(INDEX(B1:XFD1,((A3)+(1))+(1)))=("N"),"false"),B3,N175),N175))</f>
        <v>#VALUE!</v>
      </c>
      <c r="O175" t="e">
        <f ca="1">IF((A1)=(2),"",IF((171)=(O4),IF(IF((INDEX(B1:XFD1,((A3)+(1))+(0)))=("store"),(INDEX(B1:XFD1,((A3)+(1))+(1)))=("O"),"false"),B3,O175),O175))</f>
        <v>#VALUE!</v>
      </c>
      <c r="P175" t="e">
        <f ca="1">IF((A1)=(2),"",IF((171)=(P4),IF(IF((INDEX(B1:XFD1,((A3)+(1))+(0)))=("store"),(INDEX(B1:XFD1,((A3)+(1))+(1)))=("P"),"false"),B3,P175),P175))</f>
        <v>#VALUE!</v>
      </c>
      <c r="Q175" t="e">
        <f ca="1">IF((A1)=(2),"",IF((171)=(Q4),IF(IF((INDEX(B1:XFD1,((A3)+(1))+(0)))=("store"),(INDEX(B1:XFD1,((A3)+(1))+(1)))=("Q"),"false"),B3,Q175),Q175))</f>
        <v>#VALUE!</v>
      </c>
      <c r="R175" t="e">
        <f ca="1">IF((A1)=(2),"",IF((171)=(R4),IF(IF((INDEX(B1:XFD1,((A3)+(1))+(0)))=("store"),(INDEX(B1:XFD1,((A3)+(1))+(1)))=("R"),"false"),B3,R175),R175))</f>
        <v>#VALUE!</v>
      </c>
      <c r="S175" t="e">
        <f ca="1">IF((A1)=(2),"",IF((171)=(S4),IF(IF((INDEX(B1:XFD1,((A3)+(1))+(0)))=("store"),(INDEX(B1:XFD1,((A3)+(1))+(1)))=("S"),"false"),B3,S175),S175))</f>
        <v>#VALUE!</v>
      </c>
      <c r="T175" t="e">
        <f ca="1">IF((A1)=(2),"",IF((171)=(T4),IF(IF((INDEX(B1:XFD1,((A3)+(1))+(0)))=("store"),(INDEX(B1:XFD1,((A3)+(1))+(1)))=("T"),"false"),B3,T175),T175))</f>
        <v>#VALUE!</v>
      </c>
      <c r="U175" t="e">
        <f ca="1">IF((A1)=(2),"",IF((171)=(U4),IF(IF((INDEX(B1:XFD1,((A3)+(1))+(0)))=("store"),(INDEX(B1:XFD1,((A3)+(1))+(1)))=("U"),"false"),B3,U175),U175))</f>
        <v>#VALUE!</v>
      </c>
      <c r="V175" t="e">
        <f ca="1">IF((A1)=(2),"",IF((171)=(V4),IF(IF((INDEX(B1:XFD1,((A3)+(1))+(0)))=("store"),(INDEX(B1:XFD1,((A3)+(1))+(1)))=("V"),"false"),B3,V175),V175))</f>
        <v>#VALUE!</v>
      </c>
      <c r="W175" t="e">
        <f ca="1">IF((A1)=(2),"",IF((171)=(W4),IF(IF((INDEX(B1:XFD1,((A3)+(1))+(0)))=("store"),(INDEX(B1:XFD1,((A3)+(1))+(1)))=("W"),"false"),B3,W175),W175))</f>
        <v>#VALUE!</v>
      </c>
      <c r="X175" t="e">
        <f ca="1">IF((A1)=(2),"",IF((171)=(X4),IF(IF((INDEX(B1:XFD1,((A3)+(1))+(0)))=("store"),(INDEX(B1:XFD1,((A3)+(1))+(1)))=("X"),"false"),B3,X175),X175))</f>
        <v>#VALUE!</v>
      </c>
      <c r="Y175" t="e">
        <f ca="1">IF((A1)=(2),"",IF((171)=(Y4),IF(IF((INDEX(B1:XFD1,((A3)+(1))+(0)))=("store"),(INDEX(B1:XFD1,((A3)+(1))+(1)))=("Y"),"false"),B3,Y175),Y175))</f>
        <v>#VALUE!</v>
      </c>
      <c r="Z175" t="e">
        <f ca="1">IF((A1)=(2),"",IF((171)=(Z4),IF(IF((INDEX(B1:XFD1,((A3)+(1))+(0)))=("store"),(INDEX(B1:XFD1,((A3)+(1))+(1)))=("Z"),"false"),B3,Z175),Z175))</f>
        <v>#VALUE!</v>
      </c>
      <c r="AA175" t="e">
        <f ca="1">IF((A1)=(2),"",IF((171)=(AA4),IF(IF((INDEX(B1:XFD1,((A3)+(1))+(0)))=("store"),(INDEX(B1:XFD1,((A3)+(1))+(1)))=("AA"),"false"),B3,AA175),AA175))</f>
        <v>#VALUE!</v>
      </c>
      <c r="AB175" t="e">
        <f ca="1">IF((A1)=(2),"",IF((171)=(AB4),IF(IF((INDEX(B1:XFD1,((A3)+(1))+(0)))=("store"),(INDEX(B1:XFD1,((A3)+(1))+(1)))=("AB"),"false"),B3,AB175),AB175))</f>
        <v>#VALUE!</v>
      </c>
      <c r="AC175" t="e">
        <f ca="1">IF((A1)=(2),"",IF((171)=(AC4),IF(IF((INDEX(B1:XFD1,((A3)+(1))+(0)))=("store"),(INDEX(B1:XFD1,((A3)+(1))+(1)))=("AC"),"false"),B3,AC175),AC175))</f>
        <v>#VALUE!</v>
      </c>
      <c r="AD175" t="e">
        <f ca="1">IF((A1)=(2),"",IF((171)=(AD4),IF(IF((INDEX(B1:XFD1,((A3)+(1))+(0)))=("store"),(INDEX(B1:XFD1,((A3)+(1))+(1)))=("AD"),"false"),B3,AD175),AD175))</f>
        <v>#VALUE!</v>
      </c>
    </row>
    <row r="176" spans="1:30" x14ac:dyDescent="0.25">
      <c r="A176" t="e">
        <f ca="1">IF((A1)=(2),"",IF((172)=(A4),IF(("call")=(INDEX(B1:XFD1,((A3)+(1))+(0))),(B3)*(2),IF(("goto")=(INDEX(B1:XFD1,((A3)+(1))+(0))),(INDEX(B1:XFD1,((A3)+(1))+(1)))*(2),IF(("gotoiftrue")=(INDEX(B1:XFD1,((A3)+(1))+(0))),IF(B3,(INDEX(B1:XFD1,((A3)+(1))+(1)))*(2),(A176)+(2)),(A176)+(2)))),A176))</f>
        <v>#VALUE!</v>
      </c>
      <c r="B176" t="e">
        <f ca="1">IF((A1)=(2),"",IF((172)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176)+(1)),IF(("add")=(INDEX(B1:XFD1,((A3)+(1))+(0))),(INDEX(B5:B405,(B4)+(1)))+(B176),IF(("equals")=(INDEX(B1:XFD1,((A3)+(1))+(0))),(INDEX(B5:B405,(B4)+(1)))=(B176),IF(("leq")=(INDEX(B1:XFD1,((A3)+(1))+(0))),(INDEX(B5:B405,(B4)+(1)))&lt;=(B176),IF(("greater")=(INDEX(B1:XFD1,((A3)+(1))+(0))),(INDEX(B5:B405,(B4)+(1)))&gt;(B176),IF(("mod")=(INDEX(B1:XFD1,((A3)+(1))+(0))),MOD(INDEX(B5:B405,(B4)+(1)),B176),B176))))))))),B176))</f>
        <v>#VALUE!</v>
      </c>
      <c r="C176" t="e">
        <f ca="1">IF((A1)=(2),1,IF(AND((INDEX(B1:XFD1,((A3)+(1))+(0)))=("writeheap"),(INDEX(B5:B405,(B4)+(1)))=(171)),INDEX(B5:B405,(B4)+(2)),IF((A1)=(2),"",IF((172)=(C4),C176,C176))))</f>
        <v>#VALUE!</v>
      </c>
      <c r="F176" t="e">
        <f ca="1">IF((A1)=(2),"",IF((172)=(F4),IF(IF((INDEX(B1:XFD1,((A3)+(1))+(0)))=("store"),(INDEX(B1:XFD1,((A3)+(1))+(1)))=("F"),"false"),B3,F176),F176))</f>
        <v>#VALUE!</v>
      </c>
      <c r="G176" t="e">
        <f ca="1">IF((A1)=(2),"",IF((172)=(G4),IF(IF((INDEX(B1:XFD1,((A3)+(1))+(0)))=("store"),(INDEX(B1:XFD1,((A3)+(1))+(1)))=("G"),"false"),B3,G176),G176))</f>
        <v>#VALUE!</v>
      </c>
      <c r="H176" t="e">
        <f ca="1">IF((A1)=(2),"",IF((172)=(H4),IF(IF((INDEX(B1:XFD1,((A3)+(1))+(0)))=("store"),(INDEX(B1:XFD1,((A3)+(1))+(1)))=("H"),"false"),B3,H176),H176))</f>
        <v>#VALUE!</v>
      </c>
      <c r="I176" t="e">
        <f ca="1">IF((A1)=(2),"",IF((172)=(I4),IF(IF((INDEX(B1:XFD1,((A3)+(1))+(0)))=("store"),(INDEX(B1:XFD1,((A3)+(1))+(1)))=("I"),"false"),B3,I176),I176))</f>
        <v>#VALUE!</v>
      </c>
      <c r="J176" t="e">
        <f ca="1">IF((A1)=(2),"",IF((172)=(J4),IF(IF((INDEX(B1:XFD1,((A3)+(1))+(0)))=("store"),(INDEX(B1:XFD1,((A3)+(1))+(1)))=("J"),"false"),B3,J176),J176))</f>
        <v>#VALUE!</v>
      </c>
      <c r="K176" t="e">
        <f ca="1">IF((A1)=(2),"",IF((172)=(K4),IF(IF((INDEX(B1:XFD1,((A3)+(1))+(0)))=("store"),(INDEX(B1:XFD1,((A3)+(1))+(1)))=("K"),"false"),B3,K176),K176))</f>
        <v>#VALUE!</v>
      </c>
      <c r="L176" t="e">
        <f ca="1">IF((A1)=(2),"",IF((172)=(L4),IF(IF((INDEX(B1:XFD1,((A3)+(1))+(0)))=("store"),(INDEX(B1:XFD1,((A3)+(1))+(1)))=("L"),"false"),B3,L176),L176))</f>
        <v>#VALUE!</v>
      </c>
      <c r="M176" t="e">
        <f ca="1">IF((A1)=(2),"",IF((172)=(M4),IF(IF((INDEX(B1:XFD1,((A3)+(1))+(0)))=("store"),(INDEX(B1:XFD1,((A3)+(1))+(1)))=("M"),"false"),B3,M176),M176))</f>
        <v>#VALUE!</v>
      </c>
      <c r="N176" t="e">
        <f ca="1">IF((A1)=(2),"",IF((172)=(N4),IF(IF((INDEX(B1:XFD1,((A3)+(1))+(0)))=("store"),(INDEX(B1:XFD1,((A3)+(1))+(1)))=("N"),"false"),B3,N176),N176))</f>
        <v>#VALUE!</v>
      </c>
      <c r="O176" t="e">
        <f ca="1">IF((A1)=(2),"",IF((172)=(O4),IF(IF((INDEX(B1:XFD1,((A3)+(1))+(0)))=("store"),(INDEX(B1:XFD1,((A3)+(1))+(1)))=("O"),"false"),B3,O176),O176))</f>
        <v>#VALUE!</v>
      </c>
      <c r="P176" t="e">
        <f ca="1">IF((A1)=(2),"",IF((172)=(P4),IF(IF((INDEX(B1:XFD1,((A3)+(1))+(0)))=("store"),(INDEX(B1:XFD1,((A3)+(1))+(1)))=("P"),"false"),B3,P176),P176))</f>
        <v>#VALUE!</v>
      </c>
      <c r="Q176" t="e">
        <f ca="1">IF((A1)=(2),"",IF((172)=(Q4),IF(IF((INDEX(B1:XFD1,((A3)+(1))+(0)))=("store"),(INDEX(B1:XFD1,((A3)+(1))+(1)))=("Q"),"false"),B3,Q176),Q176))</f>
        <v>#VALUE!</v>
      </c>
      <c r="R176" t="e">
        <f ca="1">IF((A1)=(2),"",IF((172)=(R4),IF(IF((INDEX(B1:XFD1,((A3)+(1))+(0)))=("store"),(INDEX(B1:XFD1,((A3)+(1))+(1)))=("R"),"false"),B3,R176),R176))</f>
        <v>#VALUE!</v>
      </c>
      <c r="S176" t="e">
        <f ca="1">IF((A1)=(2),"",IF((172)=(S4),IF(IF((INDEX(B1:XFD1,((A3)+(1))+(0)))=("store"),(INDEX(B1:XFD1,((A3)+(1))+(1)))=("S"),"false"),B3,S176),S176))</f>
        <v>#VALUE!</v>
      </c>
      <c r="T176" t="e">
        <f ca="1">IF((A1)=(2),"",IF((172)=(T4),IF(IF((INDEX(B1:XFD1,((A3)+(1))+(0)))=("store"),(INDEX(B1:XFD1,((A3)+(1))+(1)))=("T"),"false"),B3,T176),T176))</f>
        <v>#VALUE!</v>
      </c>
      <c r="U176" t="e">
        <f ca="1">IF((A1)=(2),"",IF((172)=(U4),IF(IF((INDEX(B1:XFD1,((A3)+(1))+(0)))=("store"),(INDEX(B1:XFD1,((A3)+(1))+(1)))=("U"),"false"),B3,U176),U176))</f>
        <v>#VALUE!</v>
      </c>
      <c r="V176" t="e">
        <f ca="1">IF((A1)=(2),"",IF((172)=(V4),IF(IF((INDEX(B1:XFD1,((A3)+(1))+(0)))=("store"),(INDEX(B1:XFD1,((A3)+(1))+(1)))=("V"),"false"),B3,V176),V176))</f>
        <v>#VALUE!</v>
      </c>
      <c r="W176" t="e">
        <f ca="1">IF((A1)=(2),"",IF((172)=(W4),IF(IF((INDEX(B1:XFD1,((A3)+(1))+(0)))=("store"),(INDEX(B1:XFD1,((A3)+(1))+(1)))=("W"),"false"),B3,W176),W176))</f>
        <v>#VALUE!</v>
      </c>
      <c r="X176" t="e">
        <f ca="1">IF((A1)=(2),"",IF((172)=(X4),IF(IF((INDEX(B1:XFD1,((A3)+(1))+(0)))=("store"),(INDEX(B1:XFD1,((A3)+(1))+(1)))=("X"),"false"),B3,X176),X176))</f>
        <v>#VALUE!</v>
      </c>
      <c r="Y176" t="e">
        <f ca="1">IF((A1)=(2),"",IF((172)=(Y4),IF(IF((INDEX(B1:XFD1,((A3)+(1))+(0)))=("store"),(INDEX(B1:XFD1,((A3)+(1))+(1)))=("Y"),"false"),B3,Y176),Y176))</f>
        <v>#VALUE!</v>
      </c>
      <c r="Z176" t="e">
        <f ca="1">IF((A1)=(2),"",IF((172)=(Z4),IF(IF((INDEX(B1:XFD1,((A3)+(1))+(0)))=("store"),(INDEX(B1:XFD1,((A3)+(1))+(1)))=("Z"),"false"),B3,Z176),Z176))</f>
        <v>#VALUE!</v>
      </c>
      <c r="AA176" t="e">
        <f ca="1">IF((A1)=(2),"",IF((172)=(AA4),IF(IF((INDEX(B1:XFD1,((A3)+(1))+(0)))=("store"),(INDEX(B1:XFD1,((A3)+(1))+(1)))=("AA"),"false"),B3,AA176),AA176))</f>
        <v>#VALUE!</v>
      </c>
      <c r="AB176" t="e">
        <f ca="1">IF((A1)=(2),"",IF((172)=(AB4),IF(IF((INDEX(B1:XFD1,((A3)+(1))+(0)))=("store"),(INDEX(B1:XFD1,((A3)+(1))+(1)))=("AB"),"false"),B3,AB176),AB176))</f>
        <v>#VALUE!</v>
      </c>
      <c r="AC176" t="e">
        <f ca="1">IF((A1)=(2),"",IF((172)=(AC4),IF(IF((INDEX(B1:XFD1,((A3)+(1))+(0)))=("store"),(INDEX(B1:XFD1,((A3)+(1))+(1)))=("AC"),"false"),B3,AC176),AC176))</f>
        <v>#VALUE!</v>
      </c>
      <c r="AD176" t="e">
        <f ca="1">IF((A1)=(2),"",IF((172)=(AD4),IF(IF((INDEX(B1:XFD1,((A3)+(1))+(0)))=("store"),(INDEX(B1:XFD1,((A3)+(1))+(1)))=("AD"),"false"),B3,AD176),AD176))</f>
        <v>#VALUE!</v>
      </c>
    </row>
    <row r="177" spans="1:30" x14ac:dyDescent="0.25">
      <c r="A177" t="e">
        <f ca="1">IF((A1)=(2),"",IF((173)=(A4),IF(("call")=(INDEX(B1:XFD1,((A3)+(1))+(0))),(B3)*(2),IF(("goto")=(INDEX(B1:XFD1,((A3)+(1))+(0))),(INDEX(B1:XFD1,((A3)+(1))+(1)))*(2),IF(("gotoiftrue")=(INDEX(B1:XFD1,((A3)+(1))+(0))),IF(B3,(INDEX(B1:XFD1,((A3)+(1))+(1)))*(2),(A177)+(2)),(A177)+(2)))),A177))</f>
        <v>#VALUE!</v>
      </c>
      <c r="B177" t="e">
        <f ca="1">IF((A1)=(2),"",IF((173)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177)+(1)),IF(("add")=(INDEX(B1:XFD1,((A3)+(1))+(0))),(INDEX(B5:B405,(B4)+(1)))+(B177),IF(("equals")=(INDEX(B1:XFD1,((A3)+(1))+(0))),(INDEX(B5:B405,(B4)+(1)))=(B177),IF(("leq")=(INDEX(B1:XFD1,((A3)+(1))+(0))),(INDEX(B5:B405,(B4)+(1)))&lt;=(B177),IF(("greater")=(INDEX(B1:XFD1,((A3)+(1))+(0))),(INDEX(B5:B405,(B4)+(1)))&gt;(B177),IF(("mod")=(INDEX(B1:XFD1,((A3)+(1))+(0))),MOD(INDEX(B5:B405,(B4)+(1)),B177),B177))))))))),B177))</f>
        <v>#VALUE!</v>
      </c>
      <c r="C177" t="e">
        <f ca="1">IF((A1)=(2),1,IF(AND((INDEX(B1:XFD1,((A3)+(1))+(0)))=("writeheap"),(INDEX(B5:B405,(B4)+(1)))=(172)),INDEX(B5:B405,(B4)+(2)),IF((A1)=(2),"",IF((173)=(C4),C177,C177))))</f>
        <v>#VALUE!</v>
      </c>
      <c r="F177" t="e">
        <f ca="1">IF((A1)=(2),"",IF((173)=(F4),IF(IF((INDEX(B1:XFD1,((A3)+(1))+(0)))=("store"),(INDEX(B1:XFD1,((A3)+(1))+(1)))=("F"),"false"),B3,F177),F177))</f>
        <v>#VALUE!</v>
      </c>
      <c r="G177" t="e">
        <f ca="1">IF((A1)=(2),"",IF((173)=(G4),IF(IF((INDEX(B1:XFD1,((A3)+(1))+(0)))=("store"),(INDEX(B1:XFD1,((A3)+(1))+(1)))=("G"),"false"),B3,G177),G177))</f>
        <v>#VALUE!</v>
      </c>
      <c r="H177" t="e">
        <f ca="1">IF((A1)=(2),"",IF((173)=(H4),IF(IF((INDEX(B1:XFD1,((A3)+(1))+(0)))=("store"),(INDEX(B1:XFD1,((A3)+(1))+(1)))=("H"),"false"),B3,H177),H177))</f>
        <v>#VALUE!</v>
      </c>
      <c r="I177" t="e">
        <f ca="1">IF((A1)=(2),"",IF((173)=(I4),IF(IF((INDEX(B1:XFD1,((A3)+(1))+(0)))=("store"),(INDEX(B1:XFD1,((A3)+(1))+(1)))=("I"),"false"),B3,I177),I177))</f>
        <v>#VALUE!</v>
      </c>
      <c r="J177" t="e">
        <f ca="1">IF((A1)=(2),"",IF((173)=(J4),IF(IF((INDEX(B1:XFD1,((A3)+(1))+(0)))=("store"),(INDEX(B1:XFD1,((A3)+(1))+(1)))=("J"),"false"),B3,J177),J177))</f>
        <v>#VALUE!</v>
      </c>
      <c r="K177" t="e">
        <f ca="1">IF((A1)=(2),"",IF((173)=(K4),IF(IF((INDEX(B1:XFD1,((A3)+(1))+(0)))=("store"),(INDEX(B1:XFD1,((A3)+(1))+(1)))=("K"),"false"),B3,K177),K177))</f>
        <v>#VALUE!</v>
      </c>
      <c r="L177" t="e">
        <f ca="1">IF((A1)=(2),"",IF((173)=(L4),IF(IF((INDEX(B1:XFD1,((A3)+(1))+(0)))=("store"),(INDEX(B1:XFD1,((A3)+(1))+(1)))=("L"),"false"),B3,L177),L177))</f>
        <v>#VALUE!</v>
      </c>
      <c r="M177" t="e">
        <f ca="1">IF((A1)=(2),"",IF((173)=(M4),IF(IF((INDEX(B1:XFD1,((A3)+(1))+(0)))=("store"),(INDEX(B1:XFD1,((A3)+(1))+(1)))=("M"),"false"),B3,M177),M177))</f>
        <v>#VALUE!</v>
      </c>
      <c r="N177" t="e">
        <f ca="1">IF((A1)=(2),"",IF((173)=(N4),IF(IF((INDEX(B1:XFD1,((A3)+(1))+(0)))=("store"),(INDEX(B1:XFD1,((A3)+(1))+(1)))=("N"),"false"),B3,N177),N177))</f>
        <v>#VALUE!</v>
      </c>
      <c r="O177" t="e">
        <f ca="1">IF((A1)=(2),"",IF((173)=(O4),IF(IF((INDEX(B1:XFD1,((A3)+(1))+(0)))=("store"),(INDEX(B1:XFD1,((A3)+(1))+(1)))=("O"),"false"),B3,O177),O177))</f>
        <v>#VALUE!</v>
      </c>
      <c r="P177" t="e">
        <f ca="1">IF((A1)=(2),"",IF((173)=(P4),IF(IF((INDEX(B1:XFD1,((A3)+(1))+(0)))=("store"),(INDEX(B1:XFD1,((A3)+(1))+(1)))=("P"),"false"),B3,P177),P177))</f>
        <v>#VALUE!</v>
      </c>
      <c r="Q177" t="e">
        <f ca="1">IF((A1)=(2),"",IF((173)=(Q4),IF(IF((INDEX(B1:XFD1,((A3)+(1))+(0)))=("store"),(INDEX(B1:XFD1,((A3)+(1))+(1)))=("Q"),"false"),B3,Q177),Q177))</f>
        <v>#VALUE!</v>
      </c>
      <c r="R177" t="e">
        <f ca="1">IF((A1)=(2),"",IF((173)=(R4),IF(IF((INDEX(B1:XFD1,((A3)+(1))+(0)))=("store"),(INDEX(B1:XFD1,((A3)+(1))+(1)))=("R"),"false"),B3,R177),R177))</f>
        <v>#VALUE!</v>
      </c>
      <c r="S177" t="e">
        <f ca="1">IF((A1)=(2),"",IF((173)=(S4),IF(IF((INDEX(B1:XFD1,((A3)+(1))+(0)))=("store"),(INDEX(B1:XFD1,((A3)+(1))+(1)))=("S"),"false"),B3,S177),S177))</f>
        <v>#VALUE!</v>
      </c>
      <c r="T177" t="e">
        <f ca="1">IF((A1)=(2),"",IF((173)=(T4),IF(IF((INDEX(B1:XFD1,((A3)+(1))+(0)))=("store"),(INDEX(B1:XFD1,((A3)+(1))+(1)))=("T"),"false"),B3,T177),T177))</f>
        <v>#VALUE!</v>
      </c>
      <c r="U177" t="e">
        <f ca="1">IF((A1)=(2),"",IF((173)=(U4),IF(IF((INDEX(B1:XFD1,((A3)+(1))+(0)))=("store"),(INDEX(B1:XFD1,((A3)+(1))+(1)))=("U"),"false"),B3,U177),U177))</f>
        <v>#VALUE!</v>
      </c>
      <c r="V177" t="e">
        <f ca="1">IF((A1)=(2),"",IF((173)=(V4),IF(IF((INDEX(B1:XFD1,((A3)+(1))+(0)))=("store"),(INDEX(B1:XFD1,((A3)+(1))+(1)))=("V"),"false"),B3,V177),V177))</f>
        <v>#VALUE!</v>
      </c>
      <c r="W177" t="e">
        <f ca="1">IF((A1)=(2),"",IF((173)=(W4),IF(IF((INDEX(B1:XFD1,((A3)+(1))+(0)))=("store"),(INDEX(B1:XFD1,((A3)+(1))+(1)))=("W"),"false"),B3,W177),W177))</f>
        <v>#VALUE!</v>
      </c>
      <c r="X177" t="e">
        <f ca="1">IF((A1)=(2),"",IF((173)=(X4),IF(IF((INDEX(B1:XFD1,((A3)+(1))+(0)))=("store"),(INDEX(B1:XFD1,((A3)+(1))+(1)))=("X"),"false"),B3,X177),X177))</f>
        <v>#VALUE!</v>
      </c>
      <c r="Y177" t="e">
        <f ca="1">IF((A1)=(2),"",IF((173)=(Y4),IF(IF((INDEX(B1:XFD1,((A3)+(1))+(0)))=("store"),(INDEX(B1:XFD1,((A3)+(1))+(1)))=("Y"),"false"),B3,Y177),Y177))</f>
        <v>#VALUE!</v>
      </c>
      <c r="Z177" t="e">
        <f ca="1">IF((A1)=(2),"",IF((173)=(Z4),IF(IF((INDEX(B1:XFD1,((A3)+(1))+(0)))=("store"),(INDEX(B1:XFD1,((A3)+(1))+(1)))=("Z"),"false"),B3,Z177),Z177))</f>
        <v>#VALUE!</v>
      </c>
      <c r="AA177" t="e">
        <f ca="1">IF((A1)=(2),"",IF((173)=(AA4),IF(IF((INDEX(B1:XFD1,((A3)+(1))+(0)))=("store"),(INDEX(B1:XFD1,((A3)+(1))+(1)))=("AA"),"false"),B3,AA177),AA177))</f>
        <v>#VALUE!</v>
      </c>
      <c r="AB177" t="e">
        <f ca="1">IF((A1)=(2),"",IF((173)=(AB4),IF(IF((INDEX(B1:XFD1,((A3)+(1))+(0)))=("store"),(INDEX(B1:XFD1,((A3)+(1))+(1)))=("AB"),"false"),B3,AB177),AB177))</f>
        <v>#VALUE!</v>
      </c>
      <c r="AC177" t="e">
        <f ca="1">IF((A1)=(2),"",IF((173)=(AC4),IF(IF((INDEX(B1:XFD1,((A3)+(1))+(0)))=("store"),(INDEX(B1:XFD1,((A3)+(1))+(1)))=("AC"),"false"),B3,AC177),AC177))</f>
        <v>#VALUE!</v>
      </c>
      <c r="AD177" t="e">
        <f ca="1">IF((A1)=(2),"",IF((173)=(AD4),IF(IF((INDEX(B1:XFD1,((A3)+(1))+(0)))=("store"),(INDEX(B1:XFD1,((A3)+(1))+(1)))=("AD"),"false"),B3,AD177),AD177))</f>
        <v>#VALUE!</v>
      </c>
    </row>
    <row r="178" spans="1:30" x14ac:dyDescent="0.25">
      <c r="A178" t="e">
        <f ca="1">IF((A1)=(2),"",IF((174)=(A4),IF(("call")=(INDEX(B1:XFD1,((A3)+(1))+(0))),(B3)*(2),IF(("goto")=(INDEX(B1:XFD1,((A3)+(1))+(0))),(INDEX(B1:XFD1,((A3)+(1))+(1)))*(2),IF(("gotoiftrue")=(INDEX(B1:XFD1,((A3)+(1))+(0))),IF(B3,(INDEX(B1:XFD1,((A3)+(1))+(1)))*(2),(A178)+(2)),(A178)+(2)))),A178))</f>
        <v>#VALUE!</v>
      </c>
      <c r="B178" t="e">
        <f ca="1">IF((A1)=(2),"",IF((174)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178)+(1)),IF(("add")=(INDEX(B1:XFD1,((A3)+(1))+(0))),(INDEX(B5:B405,(B4)+(1)))+(B178),IF(("equals")=(INDEX(B1:XFD1,((A3)+(1))+(0))),(INDEX(B5:B405,(B4)+(1)))=(B178),IF(("leq")=(INDEX(B1:XFD1,((A3)+(1))+(0))),(INDEX(B5:B405,(B4)+(1)))&lt;=(B178),IF(("greater")=(INDEX(B1:XFD1,((A3)+(1))+(0))),(INDEX(B5:B405,(B4)+(1)))&gt;(B178),IF(("mod")=(INDEX(B1:XFD1,((A3)+(1))+(0))),MOD(INDEX(B5:B405,(B4)+(1)),B178),B178))))))))),B178))</f>
        <v>#VALUE!</v>
      </c>
      <c r="C178" t="e">
        <f ca="1">IF((A1)=(2),1,IF(AND((INDEX(B1:XFD1,((A3)+(1))+(0)))=("writeheap"),(INDEX(B5:B405,(B4)+(1)))=(173)),INDEX(B5:B405,(B4)+(2)),IF((A1)=(2),"",IF((174)=(C4),C178,C178))))</f>
        <v>#VALUE!</v>
      </c>
      <c r="F178" t="e">
        <f ca="1">IF((A1)=(2),"",IF((174)=(F4),IF(IF((INDEX(B1:XFD1,((A3)+(1))+(0)))=("store"),(INDEX(B1:XFD1,((A3)+(1))+(1)))=("F"),"false"),B3,F178),F178))</f>
        <v>#VALUE!</v>
      </c>
      <c r="G178" t="e">
        <f ca="1">IF((A1)=(2),"",IF((174)=(G4),IF(IF((INDEX(B1:XFD1,((A3)+(1))+(0)))=("store"),(INDEX(B1:XFD1,((A3)+(1))+(1)))=("G"),"false"),B3,G178),G178))</f>
        <v>#VALUE!</v>
      </c>
      <c r="H178" t="e">
        <f ca="1">IF((A1)=(2),"",IF((174)=(H4),IF(IF((INDEX(B1:XFD1,((A3)+(1))+(0)))=("store"),(INDEX(B1:XFD1,((A3)+(1))+(1)))=("H"),"false"),B3,H178),H178))</f>
        <v>#VALUE!</v>
      </c>
      <c r="I178" t="e">
        <f ca="1">IF((A1)=(2),"",IF((174)=(I4),IF(IF((INDEX(B1:XFD1,((A3)+(1))+(0)))=("store"),(INDEX(B1:XFD1,((A3)+(1))+(1)))=("I"),"false"),B3,I178),I178))</f>
        <v>#VALUE!</v>
      </c>
      <c r="J178" t="e">
        <f ca="1">IF((A1)=(2),"",IF((174)=(J4),IF(IF((INDEX(B1:XFD1,((A3)+(1))+(0)))=("store"),(INDEX(B1:XFD1,((A3)+(1))+(1)))=("J"),"false"),B3,J178),J178))</f>
        <v>#VALUE!</v>
      </c>
      <c r="K178" t="e">
        <f ca="1">IF((A1)=(2),"",IF((174)=(K4),IF(IF((INDEX(B1:XFD1,((A3)+(1))+(0)))=("store"),(INDEX(B1:XFD1,((A3)+(1))+(1)))=("K"),"false"),B3,K178),K178))</f>
        <v>#VALUE!</v>
      </c>
      <c r="L178" t="e">
        <f ca="1">IF((A1)=(2),"",IF((174)=(L4),IF(IF((INDEX(B1:XFD1,((A3)+(1))+(0)))=("store"),(INDEX(B1:XFD1,((A3)+(1))+(1)))=("L"),"false"),B3,L178),L178))</f>
        <v>#VALUE!</v>
      </c>
      <c r="M178" t="e">
        <f ca="1">IF((A1)=(2),"",IF((174)=(M4),IF(IF((INDEX(B1:XFD1,((A3)+(1))+(0)))=("store"),(INDEX(B1:XFD1,((A3)+(1))+(1)))=("M"),"false"),B3,M178),M178))</f>
        <v>#VALUE!</v>
      </c>
      <c r="N178" t="e">
        <f ca="1">IF((A1)=(2),"",IF((174)=(N4),IF(IF((INDEX(B1:XFD1,((A3)+(1))+(0)))=("store"),(INDEX(B1:XFD1,((A3)+(1))+(1)))=("N"),"false"),B3,N178),N178))</f>
        <v>#VALUE!</v>
      </c>
      <c r="O178" t="e">
        <f ca="1">IF((A1)=(2),"",IF((174)=(O4),IF(IF((INDEX(B1:XFD1,((A3)+(1))+(0)))=("store"),(INDEX(B1:XFD1,((A3)+(1))+(1)))=("O"),"false"),B3,O178),O178))</f>
        <v>#VALUE!</v>
      </c>
      <c r="P178" t="e">
        <f ca="1">IF((A1)=(2),"",IF((174)=(P4),IF(IF((INDEX(B1:XFD1,((A3)+(1))+(0)))=("store"),(INDEX(B1:XFD1,((A3)+(1))+(1)))=("P"),"false"),B3,P178),P178))</f>
        <v>#VALUE!</v>
      </c>
      <c r="Q178" t="e">
        <f ca="1">IF((A1)=(2),"",IF((174)=(Q4),IF(IF((INDEX(B1:XFD1,((A3)+(1))+(0)))=("store"),(INDEX(B1:XFD1,((A3)+(1))+(1)))=("Q"),"false"),B3,Q178),Q178))</f>
        <v>#VALUE!</v>
      </c>
      <c r="R178" t="e">
        <f ca="1">IF((A1)=(2),"",IF((174)=(R4),IF(IF((INDEX(B1:XFD1,((A3)+(1))+(0)))=("store"),(INDEX(B1:XFD1,((A3)+(1))+(1)))=("R"),"false"),B3,R178),R178))</f>
        <v>#VALUE!</v>
      </c>
      <c r="S178" t="e">
        <f ca="1">IF((A1)=(2),"",IF((174)=(S4),IF(IF((INDEX(B1:XFD1,((A3)+(1))+(0)))=("store"),(INDEX(B1:XFD1,((A3)+(1))+(1)))=("S"),"false"),B3,S178),S178))</f>
        <v>#VALUE!</v>
      </c>
      <c r="T178" t="e">
        <f ca="1">IF((A1)=(2),"",IF((174)=(T4),IF(IF((INDEX(B1:XFD1,((A3)+(1))+(0)))=("store"),(INDEX(B1:XFD1,((A3)+(1))+(1)))=("T"),"false"),B3,T178),T178))</f>
        <v>#VALUE!</v>
      </c>
      <c r="U178" t="e">
        <f ca="1">IF((A1)=(2),"",IF((174)=(U4),IF(IF((INDEX(B1:XFD1,((A3)+(1))+(0)))=("store"),(INDEX(B1:XFD1,((A3)+(1))+(1)))=("U"),"false"),B3,U178),U178))</f>
        <v>#VALUE!</v>
      </c>
      <c r="V178" t="e">
        <f ca="1">IF((A1)=(2),"",IF((174)=(V4),IF(IF((INDEX(B1:XFD1,((A3)+(1))+(0)))=("store"),(INDEX(B1:XFD1,((A3)+(1))+(1)))=("V"),"false"),B3,V178),V178))</f>
        <v>#VALUE!</v>
      </c>
      <c r="W178" t="e">
        <f ca="1">IF((A1)=(2),"",IF((174)=(W4),IF(IF((INDEX(B1:XFD1,((A3)+(1))+(0)))=("store"),(INDEX(B1:XFD1,((A3)+(1))+(1)))=("W"),"false"),B3,W178),W178))</f>
        <v>#VALUE!</v>
      </c>
      <c r="X178" t="e">
        <f ca="1">IF((A1)=(2),"",IF((174)=(X4),IF(IF((INDEX(B1:XFD1,((A3)+(1))+(0)))=("store"),(INDEX(B1:XFD1,((A3)+(1))+(1)))=("X"),"false"),B3,X178),X178))</f>
        <v>#VALUE!</v>
      </c>
      <c r="Y178" t="e">
        <f ca="1">IF((A1)=(2),"",IF((174)=(Y4),IF(IF((INDEX(B1:XFD1,((A3)+(1))+(0)))=("store"),(INDEX(B1:XFD1,((A3)+(1))+(1)))=("Y"),"false"),B3,Y178),Y178))</f>
        <v>#VALUE!</v>
      </c>
      <c r="Z178" t="e">
        <f ca="1">IF((A1)=(2),"",IF((174)=(Z4),IF(IF((INDEX(B1:XFD1,((A3)+(1))+(0)))=("store"),(INDEX(B1:XFD1,((A3)+(1))+(1)))=("Z"),"false"),B3,Z178),Z178))</f>
        <v>#VALUE!</v>
      </c>
      <c r="AA178" t="e">
        <f ca="1">IF((A1)=(2),"",IF((174)=(AA4),IF(IF((INDEX(B1:XFD1,((A3)+(1))+(0)))=("store"),(INDEX(B1:XFD1,((A3)+(1))+(1)))=("AA"),"false"),B3,AA178),AA178))</f>
        <v>#VALUE!</v>
      </c>
      <c r="AB178" t="e">
        <f ca="1">IF((A1)=(2),"",IF((174)=(AB4),IF(IF((INDEX(B1:XFD1,((A3)+(1))+(0)))=("store"),(INDEX(B1:XFD1,((A3)+(1))+(1)))=("AB"),"false"),B3,AB178),AB178))</f>
        <v>#VALUE!</v>
      </c>
      <c r="AC178" t="e">
        <f ca="1">IF((A1)=(2),"",IF((174)=(AC4),IF(IF((INDEX(B1:XFD1,((A3)+(1))+(0)))=("store"),(INDEX(B1:XFD1,((A3)+(1))+(1)))=("AC"),"false"),B3,AC178),AC178))</f>
        <v>#VALUE!</v>
      </c>
      <c r="AD178" t="e">
        <f ca="1">IF((A1)=(2),"",IF((174)=(AD4),IF(IF((INDEX(B1:XFD1,((A3)+(1))+(0)))=("store"),(INDEX(B1:XFD1,((A3)+(1))+(1)))=("AD"),"false"),B3,AD178),AD178))</f>
        <v>#VALUE!</v>
      </c>
    </row>
    <row r="179" spans="1:30" x14ac:dyDescent="0.25">
      <c r="A179" t="e">
        <f ca="1">IF((A1)=(2),"",IF((175)=(A4),IF(("call")=(INDEX(B1:XFD1,((A3)+(1))+(0))),(B3)*(2),IF(("goto")=(INDEX(B1:XFD1,((A3)+(1))+(0))),(INDEX(B1:XFD1,((A3)+(1))+(1)))*(2),IF(("gotoiftrue")=(INDEX(B1:XFD1,((A3)+(1))+(0))),IF(B3,(INDEX(B1:XFD1,((A3)+(1))+(1)))*(2),(A179)+(2)),(A179)+(2)))),A179))</f>
        <v>#VALUE!</v>
      </c>
      <c r="B179" t="e">
        <f ca="1">IF((A1)=(2),"",IF((175)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179)+(1)),IF(("add")=(INDEX(B1:XFD1,((A3)+(1))+(0))),(INDEX(B5:B405,(B4)+(1)))+(B179),IF(("equals")=(INDEX(B1:XFD1,((A3)+(1))+(0))),(INDEX(B5:B405,(B4)+(1)))=(B179),IF(("leq")=(INDEX(B1:XFD1,((A3)+(1))+(0))),(INDEX(B5:B405,(B4)+(1)))&lt;=(B179),IF(("greater")=(INDEX(B1:XFD1,((A3)+(1))+(0))),(INDEX(B5:B405,(B4)+(1)))&gt;(B179),IF(("mod")=(INDEX(B1:XFD1,((A3)+(1))+(0))),MOD(INDEX(B5:B405,(B4)+(1)),B179),B179))))))))),B179))</f>
        <v>#VALUE!</v>
      </c>
      <c r="C179" t="e">
        <f ca="1">IF((A1)=(2),1,IF(AND((INDEX(B1:XFD1,((A3)+(1))+(0)))=("writeheap"),(INDEX(B5:B405,(B4)+(1)))=(174)),INDEX(B5:B405,(B4)+(2)),IF((A1)=(2),"",IF((175)=(C4),C179,C179))))</f>
        <v>#VALUE!</v>
      </c>
      <c r="F179" t="e">
        <f ca="1">IF((A1)=(2),"",IF((175)=(F4),IF(IF((INDEX(B1:XFD1,((A3)+(1))+(0)))=("store"),(INDEX(B1:XFD1,((A3)+(1))+(1)))=("F"),"false"),B3,F179),F179))</f>
        <v>#VALUE!</v>
      </c>
      <c r="G179" t="e">
        <f ca="1">IF((A1)=(2),"",IF((175)=(G4),IF(IF((INDEX(B1:XFD1,((A3)+(1))+(0)))=("store"),(INDEX(B1:XFD1,((A3)+(1))+(1)))=("G"),"false"),B3,G179),G179))</f>
        <v>#VALUE!</v>
      </c>
      <c r="H179" t="e">
        <f ca="1">IF((A1)=(2),"",IF((175)=(H4),IF(IF((INDEX(B1:XFD1,((A3)+(1))+(0)))=("store"),(INDEX(B1:XFD1,((A3)+(1))+(1)))=("H"),"false"),B3,H179),H179))</f>
        <v>#VALUE!</v>
      </c>
      <c r="I179" t="e">
        <f ca="1">IF((A1)=(2),"",IF((175)=(I4),IF(IF((INDEX(B1:XFD1,((A3)+(1))+(0)))=("store"),(INDEX(B1:XFD1,((A3)+(1))+(1)))=("I"),"false"),B3,I179),I179))</f>
        <v>#VALUE!</v>
      </c>
      <c r="J179" t="e">
        <f ca="1">IF((A1)=(2),"",IF((175)=(J4),IF(IF((INDEX(B1:XFD1,((A3)+(1))+(0)))=("store"),(INDEX(B1:XFD1,((A3)+(1))+(1)))=("J"),"false"),B3,J179),J179))</f>
        <v>#VALUE!</v>
      </c>
      <c r="K179" t="e">
        <f ca="1">IF((A1)=(2),"",IF((175)=(K4),IF(IF((INDEX(B1:XFD1,((A3)+(1))+(0)))=("store"),(INDEX(B1:XFD1,((A3)+(1))+(1)))=("K"),"false"),B3,K179),K179))</f>
        <v>#VALUE!</v>
      </c>
      <c r="L179" t="e">
        <f ca="1">IF((A1)=(2),"",IF((175)=(L4),IF(IF((INDEX(B1:XFD1,((A3)+(1))+(0)))=("store"),(INDEX(B1:XFD1,((A3)+(1))+(1)))=("L"),"false"),B3,L179),L179))</f>
        <v>#VALUE!</v>
      </c>
      <c r="M179" t="e">
        <f ca="1">IF((A1)=(2),"",IF((175)=(M4),IF(IF((INDEX(B1:XFD1,((A3)+(1))+(0)))=("store"),(INDEX(B1:XFD1,((A3)+(1))+(1)))=("M"),"false"),B3,M179),M179))</f>
        <v>#VALUE!</v>
      </c>
      <c r="N179" t="e">
        <f ca="1">IF((A1)=(2),"",IF((175)=(N4),IF(IF((INDEX(B1:XFD1,((A3)+(1))+(0)))=("store"),(INDEX(B1:XFD1,((A3)+(1))+(1)))=("N"),"false"),B3,N179),N179))</f>
        <v>#VALUE!</v>
      </c>
      <c r="O179" t="e">
        <f ca="1">IF((A1)=(2),"",IF((175)=(O4),IF(IF((INDEX(B1:XFD1,((A3)+(1))+(0)))=("store"),(INDEX(B1:XFD1,((A3)+(1))+(1)))=("O"),"false"),B3,O179),O179))</f>
        <v>#VALUE!</v>
      </c>
      <c r="P179" t="e">
        <f ca="1">IF((A1)=(2),"",IF((175)=(P4),IF(IF((INDEX(B1:XFD1,((A3)+(1))+(0)))=("store"),(INDEX(B1:XFD1,((A3)+(1))+(1)))=("P"),"false"),B3,P179),P179))</f>
        <v>#VALUE!</v>
      </c>
      <c r="Q179" t="e">
        <f ca="1">IF((A1)=(2),"",IF((175)=(Q4),IF(IF((INDEX(B1:XFD1,((A3)+(1))+(0)))=("store"),(INDEX(B1:XFD1,((A3)+(1))+(1)))=("Q"),"false"),B3,Q179),Q179))</f>
        <v>#VALUE!</v>
      </c>
      <c r="R179" t="e">
        <f ca="1">IF((A1)=(2),"",IF((175)=(R4),IF(IF((INDEX(B1:XFD1,((A3)+(1))+(0)))=("store"),(INDEX(B1:XFD1,((A3)+(1))+(1)))=("R"),"false"),B3,R179),R179))</f>
        <v>#VALUE!</v>
      </c>
      <c r="S179" t="e">
        <f ca="1">IF((A1)=(2),"",IF((175)=(S4),IF(IF((INDEX(B1:XFD1,((A3)+(1))+(0)))=("store"),(INDEX(B1:XFD1,((A3)+(1))+(1)))=("S"),"false"),B3,S179),S179))</f>
        <v>#VALUE!</v>
      </c>
      <c r="T179" t="e">
        <f ca="1">IF((A1)=(2),"",IF((175)=(T4),IF(IF((INDEX(B1:XFD1,((A3)+(1))+(0)))=("store"),(INDEX(B1:XFD1,((A3)+(1))+(1)))=("T"),"false"),B3,T179),T179))</f>
        <v>#VALUE!</v>
      </c>
      <c r="U179" t="e">
        <f ca="1">IF((A1)=(2),"",IF((175)=(U4),IF(IF((INDEX(B1:XFD1,((A3)+(1))+(0)))=("store"),(INDEX(B1:XFD1,((A3)+(1))+(1)))=("U"),"false"),B3,U179),U179))</f>
        <v>#VALUE!</v>
      </c>
      <c r="V179" t="e">
        <f ca="1">IF((A1)=(2),"",IF((175)=(V4),IF(IF((INDEX(B1:XFD1,((A3)+(1))+(0)))=("store"),(INDEX(B1:XFD1,((A3)+(1))+(1)))=("V"),"false"),B3,V179),V179))</f>
        <v>#VALUE!</v>
      </c>
      <c r="W179" t="e">
        <f ca="1">IF((A1)=(2),"",IF((175)=(W4),IF(IF((INDEX(B1:XFD1,((A3)+(1))+(0)))=("store"),(INDEX(B1:XFD1,((A3)+(1))+(1)))=("W"),"false"),B3,W179),W179))</f>
        <v>#VALUE!</v>
      </c>
      <c r="X179" t="e">
        <f ca="1">IF((A1)=(2),"",IF((175)=(X4),IF(IF((INDEX(B1:XFD1,((A3)+(1))+(0)))=("store"),(INDEX(B1:XFD1,((A3)+(1))+(1)))=("X"),"false"),B3,X179),X179))</f>
        <v>#VALUE!</v>
      </c>
      <c r="Y179" t="e">
        <f ca="1">IF((A1)=(2),"",IF((175)=(Y4),IF(IF((INDEX(B1:XFD1,((A3)+(1))+(0)))=("store"),(INDEX(B1:XFD1,((A3)+(1))+(1)))=("Y"),"false"),B3,Y179),Y179))</f>
        <v>#VALUE!</v>
      </c>
      <c r="Z179" t="e">
        <f ca="1">IF((A1)=(2),"",IF((175)=(Z4),IF(IF((INDEX(B1:XFD1,((A3)+(1))+(0)))=("store"),(INDEX(B1:XFD1,((A3)+(1))+(1)))=("Z"),"false"),B3,Z179),Z179))</f>
        <v>#VALUE!</v>
      </c>
      <c r="AA179" t="e">
        <f ca="1">IF((A1)=(2),"",IF((175)=(AA4),IF(IF((INDEX(B1:XFD1,((A3)+(1))+(0)))=("store"),(INDEX(B1:XFD1,((A3)+(1))+(1)))=("AA"),"false"),B3,AA179),AA179))</f>
        <v>#VALUE!</v>
      </c>
      <c r="AB179" t="e">
        <f ca="1">IF((A1)=(2),"",IF((175)=(AB4),IF(IF((INDEX(B1:XFD1,((A3)+(1))+(0)))=("store"),(INDEX(B1:XFD1,((A3)+(1))+(1)))=("AB"),"false"),B3,AB179),AB179))</f>
        <v>#VALUE!</v>
      </c>
      <c r="AC179" t="e">
        <f ca="1">IF((A1)=(2),"",IF((175)=(AC4),IF(IF((INDEX(B1:XFD1,((A3)+(1))+(0)))=("store"),(INDEX(B1:XFD1,((A3)+(1))+(1)))=("AC"),"false"),B3,AC179),AC179))</f>
        <v>#VALUE!</v>
      </c>
      <c r="AD179" t="e">
        <f ca="1">IF((A1)=(2),"",IF((175)=(AD4),IF(IF((INDEX(B1:XFD1,((A3)+(1))+(0)))=("store"),(INDEX(B1:XFD1,((A3)+(1))+(1)))=("AD"),"false"),B3,AD179),AD179))</f>
        <v>#VALUE!</v>
      </c>
    </row>
    <row r="180" spans="1:30" x14ac:dyDescent="0.25">
      <c r="A180" t="e">
        <f ca="1">IF((A1)=(2),"",IF((176)=(A4),IF(("call")=(INDEX(B1:XFD1,((A3)+(1))+(0))),(B3)*(2),IF(("goto")=(INDEX(B1:XFD1,((A3)+(1))+(0))),(INDEX(B1:XFD1,((A3)+(1))+(1)))*(2),IF(("gotoiftrue")=(INDEX(B1:XFD1,((A3)+(1))+(0))),IF(B3,(INDEX(B1:XFD1,((A3)+(1))+(1)))*(2),(A180)+(2)),(A180)+(2)))),A180))</f>
        <v>#VALUE!</v>
      </c>
      <c r="B180" t="e">
        <f ca="1">IF((A1)=(2),"",IF((176)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180)+(1)),IF(("add")=(INDEX(B1:XFD1,((A3)+(1))+(0))),(INDEX(B5:B405,(B4)+(1)))+(B180),IF(("equals")=(INDEX(B1:XFD1,((A3)+(1))+(0))),(INDEX(B5:B405,(B4)+(1)))=(B180),IF(("leq")=(INDEX(B1:XFD1,((A3)+(1))+(0))),(INDEX(B5:B405,(B4)+(1)))&lt;=(B180),IF(("greater")=(INDEX(B1:XFD1,((A3)+(1))+(0))),(INDEX(B5:B405,(B4)+(1)))&gt;(B180),IF(("mod")=(INDEX(B1:XFD1,((A3)+(1))+(0))),MOD(INDEX(B5:B405,(B4)+(1)),B180),B180))))))))),B180))</f>
        <v>#VALUE!</v>
      </c>
      <c r="C180" t="e">
        <f ca="1">IF((A1)=(2),1,IF(AND((INDEX(B1:XFD1,((A3)+(1))+(0)))=("writeheap"),(INDEX(B5:B405,(B4)+(1)))=(175)),INDEX(B5:B405,(B4)+(2)),IF((A1)=(2),"",IF((176)=(C4),C180,C180))))</f>
        <v>#VALUE!</v>
      </c>
      <c r="F180" t="e">
        <f ca="1">IF((A1)=(2),"",IF((176)=(F4),IF(IF((INDEX(B1:XFD1,((A3)+(1))+(0)))=("store"),(INDEX(B1:XFD1,((A3)+(1))+(1)))=("F"),"false"),B3,F180),F180))</f>
        <v>#VALUE!</v>
      </c>
      <c r="G180" t="e">
        <f ca="1">IF((A1)=(2),"",IF((176)=(G4),IF(IF((INDEX(B1:XFD1,((A3)+(1))+(0)))=("store"),(INDEX(B1:XFD1,((A3)+(1))+(1)))=("G"),"false"),B3,G180),G180))</f>
        <v>#VALUE!</v>
      </c>
      <c r="H180" t="e">
        <f ca="1">IF((A1)=(2),"",IF((176)=(H4),IF(IF((INDEX(B1:XFD1,((A3)+(1))+(0)))=("store"),(INDEX(B1:XFD1,((A3)+(1))+(1)))=("H"),"false"),B3,H180),H180))</f>
        <v>#VALUE!</v>
      </c>
      <c r="I180" t="e">
        <f ca="1">IF((A1)=(2),"",IF((176)=(I4),IF(IF((INDEX(B1:XFD1,((A3)+(1))+(0)))=("store"),(INDEX(B1:XFD1,((A3)+(1))+(1)))=("I"),"false"),B3,I180),I180))</f>
        <v>#VALUE!</v>
      </c>
      <c r="J180" t="e">
        <f ca="1">IF((A1)=(2),"",IF((176)=(J4),IF(IF((INDEX(B1:XFD1,((A3)+(1))+(0)))=("store"),(INDEX(B1:XFD1,((A3)+(1))+(1)))=("J"),"false"),B3,J180),J180))</f>
        <v>#VALUE!</v>
      </c>
      <c r="K180" t="e">
        <f ca="1">IF((A1)=(2),"",IF((176)=(K4),IF(IF((INDEX(B1:XFD1,((A3)+(1))+(0)))=("store"),(INDEX(B1:XFD1,((A3)+(1))+(1)))=("K"),"false"),B3,K180),K180))</f>
        <v>#VALUE!</v>
      </c>
      <c r="L180" t="e">
        <f ca="1">IF((A1)=(2),"",IF((176)=(L4),IF(IF((INDEX(B1:XFD1,((A3)+(1))+(0)))=("store"),(INDEX(B1:XFD1,((A3)+(1))+(1)))=("L"),"false"),B3,L180),L180))</f>
        <v>#VALUE!</v>
      </c>
      <c r="M180" t="e">
        <f ca="1">IF((A1)=(2),"",IF((176)=(M4),IF(IF((INDEX(B1:XFD1,((A3)+(1))+(0)))=("store"),(INDEX(B1:XFD1,((A3)+(1))+(1)))=("M"),"false"),B3,M180),M180))</f>
        <v>#VALUE!</v>
      </c>
      <c r="N180" t="e">
        <f ca="1">IF((A1)=(2),"",IF((176)=(N4),IF(IF((INDEX(B1:XFD1,((A3)+(1))+(0)))=("store"),(INDEX(B1:XFD1,((A3)+(1))+(1)))=("N"),"false"),B3,N180),N180))</f>
        <v>#VALUE!</v>
      </c>
      <c r="O180" t="e">
        <f ca="1">IF((A1)=(2),"",IF((176)=(O4),IF(IF((INDEX(B1:XFD1,((A3)+(1))+(0)))=("store"),(INDEX(B1:XFD1,((A3)+(1))+(1)))=("O"),"false"),B3,O180),O180))</f>
        <v>#VALUE!</v>
      </c>
      <c r="P180" t="e">
        <f ca="1">IF((A1)=(2),"",IF((176)=(P4),IF(IF((INDEX(B1:XFD1,((A3)+(1))+(0)))=("store"),(INDEX(B1:XFD1,((A3)+(1))+(1)))=("P"),"false"),B3,P180),P180))</f>
        <v>#VALUE!</v>
      </c>
      <c r="Q180" t="e">
        <f ca="1">IF((A1)=(2),"",IF((176)=(Q4),IF(IF((INDEX(B1:XFD1,((A3)+(1))+(0)))=("store"),(INDEX(B1:XFD1,((A3)+(1))+(1)))=("Q"),"false"),B3,Q180),Q180))</f>
        <v>#VALUE!</v>
      </c>
      <c r="R180" t="e">
        <f ca="1">IF((A1)=(2),"",IF((176)=(R4),IF(IF((INDEX(B1:XFD1,((A3)+(1))+(0)))=("store"),(INDEX(B1:XFD1,((A3)+(1))+(1)))=("R"),"false"),B3,R180),R180))</f>
        <v>#VALUE!</v>
      </c>
      <c r="S180" t="e">
        <f ca="1">IF((A1)=(2),"",IF((176)=(S4),IF(IF((INDEX(B1:XFD1,((A3)+(1))+(0)))=("store"),(INDEX(B1:XFD1,((A3)+(1))+(1)))=("S"),"false"),B3,S180),S180))</f>
        <v>#VALUE!</v>
      </c>
      <c r="T180" t="e">
        <f ca="1">IF((A1)=(2),"",IF((176)=(T4),IF(IF((INDEX(B1:XFD1,((A3)+(1))+(0)))=("store"),(INDEX(B1:XFD1,((A3)+(1))+(1)))=("T"),"false"),B3,T180),T180))</f>
        <v>#VALUE!</v>
      </c>
      <c r="U180" t="e">
        <f ca="1">IF((A1)=(2),"",IF((176)=(U4),IF(IF((INDEX(B1:XFD1,((A3)+(1))+(0)))=("store"),(INDEX(B1:XFD1,((A3)+(1))+(1)))=("U"),"false"),B3,U180),U180))</f>
        <v>#VALUE!</v>
      </c>
      <c r="V180" t="e">
        <f ca="1">IF((A1)=(2),"",IF((176)=(V4),IF(IF((INDEX(B1:XFD1,((A3)+(1))+(0)))=("store"),(INDEX(B1:XFD1,((A3)+(1))+(1)))=("V"),"false"),B3,V180),V180))</f>
        <v>#VALUE!</v>
      </c>
      <c r="W180" t="e">
        <f ca="1">IF((A1)=(2),"",IF((176)=(W4),IF(IF((INDEX(B1:XFD1,((A3)+(1))+(0)))=("store"),(INDEX(B1:XFD1,((A3)+(1))+(1)))=("W"),"false"),B3,W180),W180))</f>
        <v>#VALUE!</v>
      </c>
      <c r="X180" t="e">
        <f ca="1">IF((A1)=(2),"",IF((176)=(X4),IF(IF((INDEX(B1:XFD1,((A3)+(1))+(0)))=("store"),(INDEX(B1:XFD1,((A3)+(1))+(1)))=("X"),"false"),B3,X180),X180))</f>
        <v>#VALUE!</v>
      </c>
      <c r="Y180" t="e">
        <f ca="1">IF((A1)=(2),"",IF((176)=(Y4),IF(IF((INDEX(B1:XFD1,((A3)+(1))+(0)))=("store"),(INDEX(B1:XFD1,((A3)+(1))+(1)))=("Y"),"false"),B3,Y180),Y180))</f>
        <v>#VALUE!</v>
      </c>
      <c r="Z180" t="e">
        <f ca="1">IF((A1)=(2),"",IF((176)=(Z4),IF(IF((INDEX(B1:XFD1,((A3)+(1))+(0)))=("store"),(INDEX(B1:XFD1,((A3)+(1))+(1)))=("Z"),"false"),B3,Z180),Z180))</f>
        <v>#VALUE!</v>
      </c>
      <c r="AA180" t="e">
        <f ca="1">IF((A1)=(2),"",IF((176)=(AA4),IF(IF((INDEX(B1:XFD1,((A3)+(1))+(0)))=("store"),(INDEX(B1:XFD1,((A3)+(1))+(1)))=("AA"),"false"),B3,AA180),AA180))</f>
        <v>#VALUE!</v>
      </c>
      <c r="AB180" t="e">
        <f ca="1">IF((A1)=(2),"",IF((176)=(AB4),IF(IF((INDEX(B1:XFD1,((A3)+(1))+(0)))=("store"),(INDEX(B1:XFD1,((A3)+(1))+(1)))=("AB"),"false"),B3,AB180),AB180))</f>
        <v>#VALUE!</v>
      </c>
      <c r="AC180" t="e">
        <f ca="1">IF((A1)=(2),"",IF((176)=(AC4),IF(IF((INDEX(B1:XFD1,((A3)+(1))+(0)))=("store"),(INDEX(B1:XFD1,((A3)+(1))+(1)))=("AC"),"false"),B3,AC180),AC180))</f>
        <v>#VALUE!</v>
      </c>
      <c r="AD180" t="e">
        <f ca="1">IF((A1)=(2),"",IF((176)=(AD4),IF(IF((INDEX(B1:XFD1,((A3)+(1))+(0)))=("store"),(INDEX(B1:XFD1,((A3)+(1))+(1)))=("AD"),"false"),B3,AD180),AD180))</f>
        <v>#VALUE!</v>
      </c>
    </row>
    <row r="181" spans="1:30" x14ac:dyDescent="0.25">
      <c r="A181" t="e">
        <f ca="1">IF((A1)=(2),"",IF((177)=(A4),IF(("call")=(INDEX(B1:XFD1,((A3)+(1))+(0))),(B3)*(2),IF(("goto")=(INDEX(B1:XFD1,((A3)+(1))+(0))),(INDEX(B1:XFD1,((A3)+(1))+(1)))*(2),IF(("gotoiftrue")=(INDEX(B1:XFD1,((A3)+(1))+(0))),IF(B3,(INDEX(B1:XFD1,((A3)+(1))+(1)))*(2),(A181)+(2)),(A181)+(2)))),A181))</f>
        <v>#VALUE!</v>
      </c>
      <c r="B181" t="e">
        <f ca="1">IF((A1)=(2),"",IF((177)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181)+(1)),IF(("add")=(INDEX(B1:XFD1,((A3)+(1))+(0))),(INDEX(B5:B405,(B4)+(1)))+(B181),IF(("equals")=(INDEX(B1:XFD1,((A3)+(1))+(0))),(INDEX(B5:B405,(B4)+(1)))=(B181),IF(("leq")=(INDEX(B1:XFD1,((A3)+(1))+(0))),(INDEX(B5:B405,(B4)+(1)))&lt;=(B181),IF(("greater")=(INDEX(B1:XFD1,((A3)+(1))+(0))),(INDEX(B5:B405,(B4)+(1)))&gt;(B181),IF(("mod")=(INDEX(B1:XFD1,((A3)+(1))+(0))),MOD(INDEX(B5:B405,(B4)+(1)),B181),B181))))))))),B181))</f>
        <v>#VALUE!</v>
      </c>
      <c r="C181" t="e">
        <f ca="1">IF((A1)=(2),1,IF(AND((INDEX(B1:XFD1,((A3)+(1))+(0)))=("writeheap"),(INDEX(B5:B405,(B4)+(1)))=(176)),INDEX(B5:B405,(B4)+(2)),IF((A1)=(2),"",IF((177)=(C4),C181,C181))))</f>
        <v>#VALUE!</v>
      </c>
      <c r="F181" t="e">
        <f ca="1">IF((A1)=(2),"",IF((177)=(F4),IF(IF((INDEX(B1:XFD1,((A3)+(1))+(0)))=("store"),(INDEX(B1:XFD1,((A3)+(1))+(1)))=("F"),"false"),B3,F181),F181))</f>
        <v>#VALUE!</v>
      </c>
      <c r="G181" t="e">
        <f ca="1">IF((A1)=(2),"",IF((177)=(G4),IF(IF((INDEX(B1:XFD1,((A3)+(1))+(0)))=("store"),(INDEX(B1:XFD1,((A3)+(1))+(1)))=("G"),"false"),B3,G181),G181))</f>
        <v>#VALUE!</v>
      </c>
      <c r="H181" t="e">
        <f ca="1">IF((A1)=(2),"",IF((177)=(H4),IF(IF((INDEX(B1:XFD1,((A3)+(1))+(0)))=("store"),(INDEX(B1:XFD1,((A3)+(1))+(1)))=("H"),"false"),B3,H181),H181))</f>
        <v>#VALUE!</v>
      </c>
      <c r="I181" t="e">
        <f ca="1">IF((A1)=(2),"",IF((177)=(I4),IF(IF((INDEX(B1:XFD1,((A3)+(1))+(0)))=("store"),(INDEX(B1:XFD1,((A3)+(1))+(1)))=("I"),"false"),B3,I181),I181))</f>
        <v>#VALUE!</v>
      </c>
      <c r="J181" t="e">
        <f ca="1">IF((A1)=(2),"",IF((177)=(J4),IF(IF((INDEX(B1:XFD1,((A3)+(1))+(0)))=("store"),(INDEX(B1:XFD1,((A3)+(1))+(1)))=("J"),"false"),B3,J181),J181))</f>
        <v>#VALUE!</v>
      </c>
      <c r="K181" t="e">
        <f ca="1">IF((A1)=(2),"",IF((177)=(K4),IF(IF((INDEX(B1:XFD1,((A3)+(1))+(0)))=("store"),(INDEX(B1:XFD1,((A3)+(1))+(1)))=("K"),"false"),B3,K181),K181))</f>
        <v>#VALUE!</v>
      </c>
      <c r="L181" t="e">
        <f ca="1">IF((A1)=(2),"",IF((177)=(L4),IF(IF((INDEX(B1:XFD1,((A3)+(1))+(0)))=("store"),(INDEX(B1:XFD1,((A3)+(1))+(1)))=("L"),"false"),B3,L181),L181))</f>
        <v>#VALUE!</v>
      </c>
      <c r="M181" t="e">
        <f ca="1">IF((A1)=(2),"",IF((177)=(M4),IF(IF((INDEX(B1:XFD1,((A3)+(1))+(0)))=("store"),(INDEX(B1:XFD1,((A3)+(1))+(1)))=("M"),"false"),B3,M181),M181))</f>
        <v>#VALUE!</v>
      </c>
      <c r="N181" t="e">
        <f ca="1">IF((A1)=(2),"",IF((177)=(N4),IF(IF((INDEX(B1:XFD1,((A3)+(1))+(0)))=("store"),(INDEX(B1:XFD1,((A3)+(1))+(1)))=("N"),"false"),B3,N181),N181))</f>
        <v>#VALUE!</v>
      </c>
      <c r="O181" t="e">
        <f ca="1">IF((A1)=(2),"",IF((177)=(O4),IF(IF((INDEX(B1:XFD1,((A3)+(1))+(0)))=("store"),(INDEX(B1:XFD1,((A3)+(1))+(1)))=("O"),"false"),B3,O181),O181))</f>
        <v>#VALUE!</v>
      </c>
      <c r="P181" t="e">
        <f ca="1">IF((A1)=(2),"",IF((177)=(P4),IF(IF((INDEX(B1:XFD1,((A3)+(1))+(0)))=("store"),(INDEX(B1:XFD1,((A3)+(1))+(1)))=("P"),"false"),B3,P181),P181))</f>
        <v>#VALUE!</v>
      </c>
      <c r="Q181" t="e">
        <f ca="1">IF((A1)=(2),"",IF((177)=(Q4),IF(IF((INDEX(B1:XFD1,((A3)+(1))+(0)))=("store"),(INDEX(B1:XFD1,((A3)+(1))+(1)))=("Q"),"false"),B3,Q181),Q181))</f>
        <v>#VALUE!</v>
      </c>
      <c r="R181" t="e">
        <f ca="1">IF((A1)=(2),"",IF((177)=(R4),IF(IF((INDEX(B1:XFD1,((A3)+(1))+(0)))=("store"),(INDEX(B1:XFD1,((A3)+(1))+(1)))=("R"),"false"),B3,R181),R181))</f>
        <v>#VALUE!</v>
      </c>
      <c r="S181" t="e">
        <f ca="1">IF((A1)=(2),"",IF((177)=(S4),IF(IF((INDEX(B1:XFD1,((A3)+(1))+(0)))=("store"),(INDEX(B1:XFD1,((A3)+(1))+(1)))=("S"),"false"),B3,S181),S181))</f>
        <v>#VALUE!</v>
      </c>
      <c r="T181" t="e">
        <f ca="1">IF((A1)=(2),"",IF((177)=(T4),IF(IF((INDEX(B1:XFD1,((A3)+(1))+(0)))=("store"),(INDEX(B1:XFD1,((A3)+(1))+(1)))=("T"),"false"),B3,T181),T181))</f>
        <v>#VALUE!</v>
      </c>
      <c r="U181" t="e">
        <f ca="1">IF((A1)=(2),"",IF((177)=(U4),IF(IF((INDEX(B1:XFD1,((A3)+(1))+(0)))=("store"),(INDEX(B1:XFD1,((A3)+(1))+(1)))=("U"),"false"),B3,U181),U181))</f>
        <v>#VALUE!</v>
      </c>
      <c r="V181" t="e">
        <f ca="1">IF((A1)=(2),"",IF((177)=(V4),IF(IF((INDEX(B1:XFD1,((A3)+(1))+(0)))=("store"),(INDEX(B1:XFD1,((A3)+(1))+(1)))=("V"),"false"),B3,V181),V181))</f>
        <v>#VALUE!</v>
      </c>
      <c r="W181" t="e">
        <f ca="1">IF((A1)=(2),"",IF((177)=(W4),IF(IF((INDEX(B1:XFD1,((A3)+(1))+(0)))=("store"),(INDEX(B1:XFD1,((A3)+(1))+(1)))=("W"),"false"),B3,W181),W181))</f>
        <v>#VALUE!</v>
      </c>
      <c r="X181" t="e">
        <f ca="1">IF((A1)=(2),"",IF((177)=(X4),IF(IF((INDEX(B1:XFD1,((A3)+(1))+(0)))=("store"),(INDEX(B1:XFD1,((A3)+(1))+(1)))=("X"),"false"),B3,X181),X181))</f>
        <v>#VALUE!</v>
      </c>
      <c r="Y181" t="e">
        <f ca="1">IF((A1)=(2),"",IF((177)=(Y4),IF(IF((INDEX(B1:XFD1,((A3)+(1))+(0)))=("store"),(INDEX(B1:XFD1,((A3)+(1))+(1)))=("Y"),"false"),B3,Y181),Y181))</f>
        <v>#VALUE!</v>
      </c>
      <c r="Z181" t="e">
        <f ca="1">IF((A1)=(2),"",IF((177)=(Z4),IF(IF((INDEX(B1:XFD1,((A3)+(1))+(0)))=("store"),(INDEX(B1:XFD1,((A3)+(1))+(1)))=("Z"),"false"),B3,Z181),Z181))</f>
        <v>#VALUE!</v>
      </c>
      <c r="AA181" t="e">
        <f ca="1">IF((A1)=(2),"",IF((177)=(AA4),IF(IF((INDEX(B1:XFD1,((A3)+(1))+(0)))=("store"),(INDEX(B1:XFD1,((A3)+(1))+(1)))=("AA"),"false"),B3,AA181),AA181))</f>
        <v>#VALUE!</v>
      </c>
      <c r="AB181" t="e">
        <f ca="1">IF((A1)=(2),"",IF((177)=(AB4),IF(IF((INDEX(B1:XFD1,((A3)+(1))+(0)))=("store"),(INDEX(B1:XFD1,((A3)+(1))+(1)))=("AB"),"false"),B3,AB181),AB181))</f>
        <v>#VALUE!</v>
      </c>
      <c r="AC181" t="e">
        <f ca="1">IF((A1)=(2),"",IF((177)=(AC4),IF(IF((INDEX(B1:XFD1,((A3)+(1))+(0)))=("store"),(INDEX(B1:XFD1,((A3)+(1))+(1)))=("AC"),"false"),B3,AC181),AC181))</f>
        <v>#VALUE!</v>
      </c>
      <c r="AD181" t="e">
        <f ca="1">IF((A1)=(2),"",IF((177)=(AD4),IF(IF((INDEX(B1:XFD1,((A3)+(1))+(0)))=("store"),(INDEX(B1:XFD1,((A3)+(1))+(1)))=("AD"),"false"),B3,AD181),AD181))</f>
        <v>#VALUE!</v>
      </c>
    </row>
    <row r="182" spans="1:30" x14ac:dyDescent="0.25">
      <c r="A182" t="e">
        <f ca="1">IF((A1)=(2),"",IF((178)=(A4),IF(("call")=(INDEX(B1:XFD1,((A3)+(1))+(0))),(B3)*(2),IF(("goto")=(INDEX(B1:XFD1,((A3)+(1))+(0))),(INDEX(B1:XFD1,((A3)+(1))+(1)))*(2),IF(("gotoiftrue")=(INDEX(B1:XFD1,((A3)+(1))+(0))),IF(B3,(INDEX(B1:XFD1,((A3)+(1))+(1)))*(2),(A182)+(2)),(A182)+(2)))),A182))</f>
        <v>#VALUE!</v>
      </c>
      <c r="B182" t="e">
        <f ca="1">IF((A1)=(2),"",IF((178)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182)+(1)),IF(("add")=(INDEX(B1:XFD1,((A3)+(1))+(0))),(INDEX(B5:B405,(B4)+(1)))+(B182),IF(("equals")=(INDEX(B1:XFD1,((A3)+(1))+(0))),(INDEX(B5:B405,(B4)+(1)))=(B182),IF(("leq")=(INDEX(B1:XFD1,((A3)+(1))+(0))),(INDEX(B5:B405,(B4)+(1)))&lt;=(B182),IF(("greater")=(INDEX(B1:XFD1,((A3)+(1))+(0))),(INDEX(B5:B405,(B4)+(1)))&gt;(B182),IF(("mod")=(INDEX(B1:XFD1,((A3)+(1))+(0))),MOD(INDEX(B5:B405,(B4)+(1)),B182),B182))))))))),B182))</f>
        <v>#VALUE!</v>
      </c>
      <c r="C182" t="e">
        <f ca="1">IF((A1)=(2),1,IF(AND((INDEX(B1:XFD1,((A3)+(1))+(0)))=("writeheap"),(INDEX(B5:B405,(B4)+(1)))=(177)),INDEX(B5:B405,(B4)+(2)),IF((A1)=(2),"",IF((178)=(C4),C182,C182))))</f>
        <v>#VALUE!</v>
      </c>
      <c r="F182" t="e">
        <f ca="1">IF((A1)=(2),"",IF((178)=(F4),IF(IF((INDEX(B1:XFD1,((A3)+(1))+(0)))=("store"),(INDEX(B1:XFD1,((A3)+(1))+(1)))=("F"),"false"),B3,F182),F182))</f>
        <v>#VALUE!</v>
      </c>
      <c r="G182" t="e">
        <f ca="1">IF((A1)=(2),"",IF((178)=(G4),IF(IF((INDEX(B1:XFD1,((A3)+(1))+(0)))=("store"),(INDEX(B1:XFD1,((A3)+(1))+(1)))=("G"),"false"),B3,G182),G182))</f>
        <v>#VALUE!</v>
      </c>
      <c r="H182" t="e">
        <f ca="1">IF((A1)=(2),"",IF((178)=(H4),IF(IF((INDEX(B1:XFD1,((A3)+(1))+(0)))=("store"),(INDEX(B1:XFD1,((A3)+(1))+(1)))=("H"),"false"),B3,H182),H182))</f>
        <v>#VALUE!</v>
      </c>
      <c r="I182" t="e">
        <f ca="1">IF((A1)=(2),"",IF((178)=(I4),IF(IF((INDEX(B1:XFD1,((A3)+(1))+(0)))=("store"),(INDEX(B1:XFD1,((A3)+(1))+(1)))=("I"),"false"),B3,I182),I182))</f>
        <v>#VALUE!</v>
      </c>
      <c r="J182" t="e">
        <f ca="1">IF((A1)=(2),"",IF((178)=(J4),IF(IF((INDEX(B1:XFD1,((A3)+(1))+(0)))=("store"),(INDEX(B1:XFD1,((A3)+(1))+(1)))=("J"),"false"),B3,J182),J182))</f>
        <v>#VALUE!</v>
      </c>
      <c r="K182" t="e">
        <f ca="1">IF((A1)=(2),"",IF((178)=(K4),IF(IF((INDEX(B1:XFD1,((A3)+(1))+(0)))=("store"),(INDEX(B1:XFD1,((A3)+(1))+(1)))=("K"),"false"),B3,K182),K182))</f>
        <v>#VALUE!</v>
      </c>
      <c r="L182" t="e">
        <f ca="1">IF((A1)=(2),"",IF((178)=(L4),IF(IF((INDEX(B1:XFD1,((A3)+(1))+(0)))=("store"),(INDEX(B1:XFD1,((A3)+(1))+(1)))=("L"),"false"),B3,L182),L182))</f>
        <v>#VALUE!</v>
      </c>
      <c r="M182" t="e">
        <f ca="1">IF((A1)=(2),"",IF((178)=(M4),IF(IF((INDEX(B1:XFD1,((A3)+(1))+(0)))=("store"),(INDEX(B1:XFD1,((A3)+(1))+(1)))=("M"),"false"),B3,M182),M182))</f>
        <v>#VALUE!</v>
      </c>
      <c r="N182" t="e">
        <f ca="1">IF((A1)=(2),"",IF((178)=(N4),IF(IF((INDEX(B1:XFD1,((A3)+(1))+(0)))=("store"),(INDEX(B1:XFD1,((A3)+(1))+(1)))=("N"),"false"),B3,N182),N182))</f>
        <v>#VALUE!</v>
      </c>
      <c r="O182" t="e">
        <f ca="1">IF((A1)=(2),"",IF((178)=(O4),IF(IF((INDEX(B1:XFD1,((A3)+(1))+(0)))=("store"),(INDEX(B1:XFD1,((A3)+(1))+(1)))=("O"),"false"),B3,O182),O182))</f>
        <v>#VALUE!</v>
      </c>
      <c r="P182" t="e">
        <f ca="1">IF((A1)=(2),"",IF((178)=(P4),IF(IF((INDEX(B1:XFD1,((A3)+(1))+(0)))=("store"),(INDEX(B1:XFD1,((A3)+(1))+(1)))=("P"),"false"),B3,P182),P182))</f>
        <v>#VALUE!</v>
      </c>
      <c r="Q182" t="e">
        <f ca="1">IF((A1)=(2),"",IF((178)=(Q4),IF(IF((INDEX(B1:XFD1,((A3)+(1))+(0)))=("store"),(INDEX(B1:XFD1,((A3)+(1))+(1)))=("Q"),"false"),B3,Q182),Q182))</f>
        <v>#VALUE!</v>
      </c>
      <c r="R182" t="e">
        <f ca="1">IF((A1)=(2),"",IF((178)=(R4),IF(IF((INDEX(B1:XFD1,((A3)+(1))+(0)))=("store"),(INDEX(B1:XFD1,((A3)+(1))+(1)))=("R"),"false"),B3,R182),R182))</f>
        <v>#VALUE!</v>
      </c>
      <c r="S182" t="e">
        <f ca="1">IF((A1)=(2),"",IF((178)=(S4),IF(IF((INDEX(B1:XFD1,((A3)+(1))+(0)))=("store"),(INDEX(B1:XFD1,((A3)+(1))+(1)))=("S"),"false"),B3,S182),S182))</f>
        <v>#VALUE!</v>
      </c>
      <c r="T182" t="e">
        <f ca="1">IF((A1)=(2),"",IF((178)=(T4),IF(IF((INDEX(B1:XFD1,((A3)+(1))+(0)))=("store"),(INDEX(B1:XFD1,((A3)+(1))+(1)))=("T"),"false"),B3,T182),T182))</f>
        <v>#VALUE!</v>
      </c>
      <c r="U182" t="e">
        <f ca="1">IF((A1)=(2),"",IF((178)=(U4),IF(IF((INDEX(B1:XFD1,((A3)+(1))+(0)))=("store"),(INDEX(B1:XFD1,((A3)+(1))+(1)))=("U"),"false"),B3,U182),U182))</f>
        <v>#VALUE!</v>
      </c>
      <c r="V182" t="e">
        <f ca="1">IF((A1)=(2),"",IF((178)=(V4),IF(IF((INDEX(B1:XFD1,((A3)+(1))+(0)))=("store"),(INDEX(B1:XFD1,((A3)+(1))+(1)))=("V"),"false"),B3,V182),V182))</f>
        <v>#VALUE!</v>
      </c>
      <c r="W182" t="e">
        <f ca="1">IF((A1)=(2),"",IF((178)=(W4),IF(IF((INDEX(B1:XFD1,((A3)+(1))+(0)))=("store"),(INDEX(B1:XFD1,((A3)+(1))+(1)))=("W"),"false"),B3,W182),W182))</f>
        <v>#VALUE!</v>
      </c>
      <c r="X182" t="e">
        <f ca="1">IF((A1)=(2),"",IF((178)=(X4),IF(IF((INDEX(B1:XFD1,((A3)+(1))+(0)))=("store"),(INDEX(B1:XFD1,((A3)+(1))+(1)))=("X"),"false"),B3,X182),X182))</f>
        <v>#VALUE!</v>
      </c>
      <c r="Y182" t="e">
        <f ca="1">IF((A1)=(2),"",IF((178)=(Y4),IF(IF((INDEX(B1:XFD1,((A3)+(1))+(0)))=("store"),(INDEX(B1:XFD1,((A3)+(1))+(1)))=("Y"),"false"),B3,Y182),Y182))</f>
        <v>#VALUE!</v>
      </c>
      <c r="Z182" t="e">
        <f ca="1">IF((A1)=(2),"",IF((178)=(Z4),IF(IF((INDEX(B1:XFD1,((A3)+(1))+(0)))=("store"),(INDEX(B1:XFD1,((A3)+(1))+(1)))=("Z"),"false"),B3,Z182),Z182))</f>
        <v>#VALUE!</v>
      </c>
      <c r="AA182" t="e">
        <f ca="1">IF((A1)=(2),"",IF((178)=(AA4),IF(IF((INDEX(B1:XFD1,((A3)+(1))+(0)))=("store"),(INDEX(B1:XFD1,((A3)+(1))+(1)))=("AA"),"false"),B3,AA182),AA182))</f>
        <v>#VALUE!</v>
      </c>
      <c r="AB182" t="e">
        <f ca="1">IF((A1)=(2),"",IF((178)=(AB4),IF(IF((INDEX(B1:XFD1,((A3)+(1))+(0)))=("store"),(INDEX(B1:XFD1,((A3)+(1))+(1)))=("AB"),"false"),B3,AB182),AB182))</f>
        <v>#VALUE!</v>
      </c>
      <c r="AC182" t="e">
        <f ca="1">IF((A1)=(2),"",IF((178)=(AC4),IF(IF((INDEX(B1:XFD1,((A3)+(1))+(0)))=("store"),(INDEX(B1:XFD1,((A3)+(1))+(1)))=("AC"),"false"),B3,AC182),AC182))</f>
        <v>#VALUE!</v>
      </c>
      <c r="AD182" t="e">
        <f ca="1">IF((A1)=(2),"",IF((178)=(AD4),IF(IF((INDEX(B1:XFD1,((A3)+(1))+(0)))=("store"),(INDEX(B1:XFD1,((A3)+(1))+(1)))=("AD"),"false"),B3,AD182),AD182))</f>
        <v>#VALUE!</v>
      </c>
    </row>
    <row r="183" spans="1:30" x14ac:dyDescent="0.25">
      <c r="A183" t="e">
        <f ca="1">IF((A1)=(2),"",IF((179)=(A4),IF(("call")=(INDEX(B1:XFD1,((A3)+(1))+(0))),(B3)*(2),IF(("goto")=(INDEX(B1:XFD1,((A3)+(1))+(0))),(INDEX(B1:XFD1,((A3)+(1))+(1)))*(2),IF(("gotoiftrue")=(INDEX(B1:XFD1,((A3)+(1))+(0))),IF(B3,(INDEX(B1:XFD1,((A3)+(1))+(1)))*(2),(A183)+(2)),(A183)+(2)))),A183))</f>
        <v>#VALUE!</v>
      </c>
      <c r="B183" t="e">
        <f ca="1">IF((A1)=(2),"",IF((179)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183)+(1)),IF(("add")=(INDEX(B1:XFD1,((A3)+(1))+(0))),(INDEX(B5:B405,(B4)+(1)))+(B183),IF(("equals")=(INDEX(B1:XFD1,((A3)+(1))+(0))),(INDEX(B5:B405,(B4)+(1)))=(B183),IF(("leq")=(INDEX(B1:XFD1,((A3)+(1))+(0))),(INDEX(B5:B405,(B4)+(1)))&lt;=(B183),IF(("greater")=(INDEX(B1:XFD1,((A3)+(1))+(0))),(INDEX(B5:B405,(B4)+(1)))&gt;(B183),IF(("mod")=(INDEX(B1:XFD1,((A3)+(1))+(0))),MOD(INDEX(B5:B405,(B4)+(1)),B183),B183))))))))),B183))</f>
        <v>#VALUE!</v>
      </c>
      <c r="C183" t="e">
        <f ca="1">IF((A1)=(2),1,IF(AND((INDEX(B1:XFD1,((A3)+(1))+(0)))=("writeheap"),(INDEX(B5:B405,(B4)+(1)))=(178)),INDEX(B5:B405,(B4)+(2)),IF((A1)=(2),"",IF((179)=(C4),C183,C183))))</f>
        <v>#VALUE!</v>
      </c>
      <c r="F183" t="e">
        <f ca="1">IF((A1)=(2),"",IF((179)=(F4),IF(IF((INDEX(B1:XFD1,((A3)+(1))+(0)))=("store"),(INDEX(B1:XFD1,((A3)+(1))+(1)))=("F"),"false"),B3,F183),F183))</f>
        <v>#VALUE!</v>
      </c>
      <c r="G183" t="e">
        <f ca="1">IF((A1)=(2),"",IF((179)=(G4),IF(IF((INDEX(B1:XFD1,((A3)+(1))+(0)))=("store"),(INDEX(B1:XFD1,((A3)+(1))+(1)))=("G"),"false"),B3,G183),G183))</f>
        <v>#VALUE!</v>
      </c>
      <c r="H183" t="e">
        <f ca="1">IF((A1)=(2),"",IF((179)=(H4),IF(IF((INDEX(B1:XFD1,((A3)+(1))+(0)))=("store"),(INDEX(B1:XFD1,((A3)+(1))+(1)))=("H"),"false"),B3,H183),H183))</f>
        <v>#VALUE!</v>
      </c>
      <c r="I183" t="e">
        <f ca="1">IF((A1)=(2),"",IF((179)=(I4),IF(IF((INDEX(B1:XFD1,((A3)+(1))+(0)))=("store"),(INDEX(B1:XFD1,((A3)+(1))+(1)))=("I"),"false"),B3,I183),I183))</f>
        <v>#VALUE!</v>
      </c>
      <c r="J183" t="e">
        <f ca="1">IF((A1)=(2),"",IF((179)=(J4),IF(IF((INDEX(B1:XFD1,((A3)+(1))+(0)))=("store"),(INDEX(B1:XFD1,((A3)+(1))+(1)))=("J"),"false"),B3,J183),J183))</f>
        <v>#VALUE!</v>
      </c>
      <c r="K183" t="e">
        <f ca="1">IF((A1)=(2),"",IF((179)=(K4),IF(IF((INDEX(B1:XFD1,((A3)+(1))+(0)))=("store"),(INDEX(B1:XFD1,((A3)+(1))+(1)))=("K"),"false"),B3,K183),K183))</f>
        <v>#VALUE!</v>
      </c>
      <c r="L183" t="e">
        <f ca="1">IF((A1)=(2),"",IF((179)=(L4),IF(IF((INDEX(B1:XFD1,((A3)+(1))+(0)))=("store"),(INDEX(B1:XFD1,((A3)+(1))+(1)))=("L"),"false"),B3,L183),L183))</f>
        <v>#VALUE!</v>
      </c>
      <c r="M183" t="e">
        <f ca="1">IF((A1)=(2),"",IF((179)=(M4),IF(IF((INDEX(B1:XFD1,((A3)+(1))+(0)))=("store"),(INDEX(B1:XFD1,((A3)+(1))+(1)))=("M"),"false"),B3,M183),M183))</f>
        <v>#VALUE!</v>
      </c>
      <c r="N183" t="e">
        <f ca="1">IF((A1)=(2),"",IF((179)=(N4),IF(IF((INDEX(B1:XFD1,((A3)+(1))+(0)))=("store"),(INDEX(B1:XFD1,((A3)+(1))+(1)))=("N"),"false"),B3,N183),N183))</f>
        <v>#VALUE!</v>
      </c>
      <c r="O183" t="e">
        <f ca="1">IF((A1)=(2),"",IF((179)=(O4),IF(IF((INDEX(B1:XFD1,((A3)+(1))+(0)))=("store"),(INDEX(B1:XFD1,((A3)+(1))+(1)))=("O"),"false"),B3,O183),O183))</f>
        <v>#VALUE!</v>
      </c>
      <c r="P183" t="e">
        <f ca="1">IF((A1)=(2),"",IF((179)=(P4),IF(IF((INDEX(B1:XFD1,((A3)+(1))+(0)))=("store"),(INDEX(B1:XFD1,((A3)+(1))+(1)))=("P"),"false"),B3,P183),P183))</f>
        <v>#VALUE!</v>
      </c>
      <c r="Q183" t="e">
        <f ca="1">IF((A1)=(2),"",IF((179)=(Q4),IF(IF((INDEX(B1:XFD1,((A3)+(1))+(0)))=("store"),(INDEX(B1:XFD1,((A3)+(1))+(1)))=("Q"),"false"),B3,Q183),Q183))</f>
        <v>#VALUE!</v>
      </c>
      <c r="R183" t="e">
        <f ca="1">IF((A1)=(2),"",IF((179)=(R4),IF(IF((INDEX(B1:XFD1,((A3)+(1))+(0)))=("store"),(INDEX(B1:XFD1,((A3)+(1))+(1)))=("R"),"false"),B3,R183),R183))</f>
        <v>#VALUE!</v>
      </c>
      <c r="S183" t="e">
        <f ca="1">IF((A1)=(2),"",IF((179)=(S4),IF(IF((INDEX(B1:XFD1,((A3)+(1))+(0)))=("store"),(INDEX(B1:XFD1,((A3)+(1))+(1)))=("S"),"false"),B3,S183),S183))</f>
        <v>#VALUE!</v>
      </c>
      <c r="T183" t="e">
        <f ca="1">IF((A1)=(2),"",IF((179)=(T4),IF(IF((INDEX(B1:XFD1,((A3)+(1))+(0)))=("store"),(INDEX(B1:XFD1,((A3)+(1))+(1)))=("T"),"false"),B3,T183),T183))</f>
        <v>#VALUE!</v>
      </c>
      <c r="U183" t="e">
        <f ca="1">IF((A1)=(2),"",IF((179)=(U4),IF(IF((INDEX(B1:XFD1,((A3)+(1))+(0)))=("store"),(INDEX(B1:XFD1,((A3)+(1))+(1)))=("U"),"false"),B3,U183),U183))</f>
        <v>#VALUE!</v>
      </c>
      <c r="V183" t="e">
        <f ca="1">IF((A1)=(2),"",IF((179)=(V4),IF(IF((INDEX(B1:XFD1,((A3)+(1))+(0)))=("store"),(INDEX(B1:XFD1,((A3)+(1))+(1)))=("V"),"false"),B3,V183),V183))</f>
        <v>#VALUE!</v>
      </c>
      <c r="W183" t="e">
        <f ca="1">IF((A1)=(2),"",IF((179)=(W4),IF(IF((INDEX(B1:XFD1,((A3)+(1))+(0)))=("store"),(INDEX(B1:XFD1,((A3)+(1))+(1)))=("W"),"false"),B3,W183),W183))</f>
        <v>#VALUE!</v>
      </c>
      <c r="X183" t="e">
        <f ca="1">IF((A1)=(2),"",IF((179)=(X4),IF(IF((INDEX(B1:XFD1,((A3)+(1))+(0)))=("store"),(INDEX(B1:XFD1,((A3)+(1))+(1)))=("X"),"false"),B3,X183),X183))</f>
        <v>#VALUE!</v>
      </c>
      <c r="Y183" t="e">
        <f ca="1">IF((A1)=(2),"",IF((179)=(Y4),IF(IF((INDEX(B1:XFD1,((A3)+(1))+(0)))=("store"),(INDEX(B1:XFD1,((A3)+(1))+(1)))=("Y"),"false"),B3,Y183),Y183))</f>
        <v>#VALUE!</v>
      </c>
      <c r="Z183" t="e">
        <f ca="1">IF((A1)=(2),"",IF((179)=(Z4),IF(IF((INDEX(B1:XFD1,((A3)+(1))+(0)))=("store"),(INDEX(B1:XFD1,((A3)+(1))+(1)))=("Z"),"false"),B3,Z183),Z183))</f>
        <v>#VALUE!</v>
      </c>
      <c r="AA183" t="e">
        <f ca="1">IF((A1)=(2),"",IF((179)=(AA4),IF(IF((INDEX(B1:XFD1,((A3)+(1))+(0)))=("store"),(INDEX(B1:XFD1,((A3)+(1))+(1)))=("AA"),"false"),B3,AA183),AA183))</f>
        <v>#VALUE!</v>
      </c>
      <c r="AB183" t="e">
        <f ca="1">IF((A1)=(2),"",IF((179)=(AB4),IF(IF((INDEX(B1:XFD1,((A3)+(1))+(0)))=("store"),(INDEX(B1:XFD1,((A3)+(1))+(1)))=("AB"),"false"),B3,AB183),AB183))</f>
        <v>#VALUE!</v>
      </c>
      <c r="AC183" t="e">
        <f ca="1">IF((A1)=(2),"",IF((179)=(AC4),IF(IF((INDEX(B1:XFD1,((A3)+(1))+(0)))=("store"),(INDEX(B1:XFD1,((A3)+(1))+(1)))=("AC"),"false"),B3,AC183),AC183))</f>
        <v>#VALUE!</v>
      </c>
      <c r="AD183" t="e">
        <f ca="1">IF((A1)=(2),"",IF((179)=(AD4),IF(IF((INDEX(B1:XFD1,((A3)+(1))+(0)))=("store"),(INDEX(B1:XFD1,((A3)+(1))+(1)))=("AD"),"false"),B3,AD183),AD183))</f>
        <v>#VALUE!</v>
      </c>
    </row>
    <row r="184" spans="1:30" x14ac:dyDescent="0.25">
      <c r="A184" t="e">
        <f ca="1">IF((A1)=(2),"",IF((180)=(A4),IF(("call")=(INDEX(B1:XFD1,((A3)+(1))+(0))),(B3)*(2),IF(("goto")=(INDEX(B1:XFD1,((A3)+(1))+(0))),(INDEX(B1:XFD1,((A3)+(1))+(1)))*(2),IF(("gotoiftrue")=(INDEX(B1:XFD1,((A3)+(1))+(0))),IF(B3,(INDEX(B1:XFD1,((A3)+(1))+(1)))*(2),(A184)+(2)),(A184)+(2)))),A184))</f>
        <v>#VALUE!</v>
      </c>
      <c r="B184" t="e">
        <f ca="1">IF((A1)=(2),"",IF((180)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184)+(1)),IF(("add")=(INDEX(B1:XFD1,((A3)+(1))+(0))),(INDEX(B5:B405,(B4)+(1)))+(B184),IF(("equals")=(INDEX(B1:XFD1,((A3)+(1))+(0))),(INDEX(B5:B405,(B4)+(1)))=(B184),IF(("leq")=(INDEX(B1:XFD1,((A3)+(1))+(0))),(INDEX(B5:B405,(B4)+(1)))&lt;=(B184),IF(("greater")=(INDEX(B1:XFD1,((A3)+(1))+(0))),(INDEX(B5:B405,(B4)+(1)))&gt;(B184),IF(("mod")=(INDEX(B1:XFD1,((A3)+(1))+(0))),MOD(INDEX(B5:B405,(B4)+(1)),B184),B184))))))))),B184))</f>
        <v>#VALUE!</v>
      </c>
      <c r="C184" t="e">
        <f ca="1">IF((A1)=(2),1,IF(AND((INDEX(B1:XFD1,((A3)+(1))+(0)))=("writeheap"),(INDEX(B5:B405,(B4)+(1)))=(179)),INDEX(B5:B405,(B4)+(2)),IF((A1)=(2),"",IF((180)=(C4),C184,C184))))</f>
        <v>#VALUE!</v>
      </c>
      <c r="F184" t="e">
        <f ca="1">IF((A1)=(2),"",IF((180)=(F4),IF(IF((INDEX(B1:XFD1,((A3)+(1))+(0)))=("store"),(INDEX(B1:XFD1,((A3)+(1))+(1)))=("F"),"false"),B3,F184),F184))</f>
        <v>#VALUE!</v>
      </c>
      <c r="G184" t="e">
        <f ca="1">IF((A1)=(2),"",IF((180)=(G4),IF(IF((INDEX(B1:XFD1,((A3)+(1))+(0)))=("store"),(INDEX(B1:XFD1,((A3)+(1))+(1)))=("G"),"false"),B3,G184),G184))</f>
        <v>#VALUE!</v>
      </c>
      <c r="H184" t="e">
        <f ca="1">IF((A1)=(2),"",IF((180)=(H4),IF(IF((INDEX(B1:XFD1,((A3)+(1))+(0)))=("store"),(INDEX(B1:XFD1,((A3)+(1))+(1)))=("H"),"false"),B3,H184),H184))</f>
        <v>#VALUE!</v>
      </c>
      <c r="I184" t="e">
        <f ca="1">IF((A1)=(2),"",IF((180)=(I4),IF(IF((INDEX(B1:XFD1,((A3)+(1))+(0)))=("store"),(INDEX(B1:XFD1,((A3)+(1))+(1)))=("I"),"false"),B3,I184),I184))</f>
        <v>#VALUE!</v>
      </c>
      <c r="J184" t="e">
        <f ca="1">IF((A1)=(2),"",IF((180)=(J4),IF(IF((INDEX(B1:XFD1,((A3)+(1))+(0)))=("store"),(INDEX(B1:XFD1,((A3)+(1))+(1)))=("J"),"false"),B3,J184),J184))</f>
        <v>#VALUE!</v>
      </c>
      <c r="K184" t="e">
        <f ca="1">IF((A1)=(2),"",IF((180)=(K4),IF(IF((INDEX(B1:XFD1,((A3)+(1))+(0)))=("store"),(INDEX(B1:XFD1,((A3)+(1))+(1)))=("K"),"false"),B3,K184),K184))</f>
        <v>#VALUE!</v>
      </c>
      <c r="L184" t="e">
        <f ca="1">IF((A1)=(2),"",IF((180)=(L4),IF(IF((INDEX(B1:XFD1,((A3)+(1))+(0)))=("store"),(INDEX(B1:XFD1,((A3)+(1))+(1)))=("L"),"false"),B3,L184),L184))</f>
        <v>#VALUE!</v>
      </c>
      <c r="M184" t="e">
        <f ca="1">IF((A1)=(2),"",IF((180)=(M4),IF(IF((INDEX(B1:XFD1,((A3)+(1))+(0)))=("store"),(INDEX(B1:XFD1,((A3)+(1))+(1)))=("M"),"false"),B3,M184),M184))</f>
        <v>#VALUE!</v>
      </c>
      <c r="N184" t="e">
        <f ca="1">IF((A1)=(2),"",IF((180)=(N4),IF(IF((INDEX(B1:XFD1,((A3)+(1))+(0)))=("store"),(INDEX(B1:XFD1,((A3)+(1))+(1)))=("N"),"false"),B3,N184),N184))</f>
        <v>#VALUE!</v>
      </c>
      <c r="O184" t="e">
        <f ca="1">IF((A1)=(2),"",IF((180)=(O4),IF(IF((INDEX(B1:XFD1,((A3)+(1))+(0)))=("store"),(INDEX(B1:XFD1,((A3)+(1))+(1)))=("O"),"false"),B3,O184),O184))</f>
        <v>#VALUE!</v>
      </c>
      <c r="P184" t="e">
        <f ca="1">IF((A1)=(2),"",IF((180)=(P4),IF(IF((INDEX(B1:XFD1,((A3)+(1))+(0)))=("store"),(INDEX(B1:XFD1,((A3)+(1))+(1)))=("P"),"false"),B3,P184),P184))</f>
        <v>#VALUE!</v>
      </c>
      <c r="Q184" t="e">
        <f ca="1">IF((A1)=(2),"",IF((180)=(Q4),IF(IF((INDEX(B1:XFD1,((A3)+(1))+(0)))=("store"),(INDEX(B1:XFD1,((A3)+(1))+(1)))=("Q"),"false"),B3,Q184),Q184))</f>
        <v>#VALUE!</v>
      </c>
      <c r="R184" t="e">
        <f ca="1">IF((A1)=(2),"",IF((180)=(R4),IF(IF((INDEX(B1:XFD1,((A3)+(1))+(0)))=("store"),(INDEX(B1:XFD1,((A3)+(1))+(1)))=("R"),"false"),B3,R184),R184))</f>
        <v>#VALUE!</v>
      </c>
      <c r="S184" t="e">
        <f ca="1">IF((A1)=(2),"",IF((180)=(S4),IF(IF((INDEX(B1:XFD1,((A3)+(1))+(0)))=("store"),(INDEX(B1:XFD1,((A3)+(1))+(1)))=("S"),"false"),B3,S184),S184))</f>
        <v>#VALUE!</v>
      </c>
      <c r="T184" t="e">
        <f ca="1">IF((A1)=(2),"",IF((180)=(T4),IF(IF((INDEX(B1:XFD1,((A3)+(1))+(0)))=("store"),(INDEX(B1:XFD1,((A3)+(1))+(1)))=("T"),"false"),B3,T184),T184))</f>
        <v>#VALUE!</v>
      </c>
      <c r="U184" t="e">
        <f ca="1">IF((A1)=(2),"",IF((180)=(U4),IF(IF((INDEX(B1:XFD1,((A3)+(1))+(0)))=("store"),(INDEX(B1:XFD1,((A3)+(1))+(1)))=("U"),"false"),B3,U184),U184))</f>
        <v>#VALUE!</v>
      </c>
      <c r="V184" t="e">
        <f ca="1">IF((A1)=(2),"",IF((180)=(V4),IF(IF((INDEX(B1:XFD1,((A3)+(1))+(0)))=("store"),(INDEX(B1:XFD1,((A3)+(1))+(1)))=("V"),"false"),B3,V184),V184))</f>
        <v>#VALUE!</v>
      </c>
      <c r="W184" t="e">
        <f ca="1">IF((A1)=(2),"",IF((180)=(W4),IF(IF((INDEX(B1:XFD1,((A3)+(1))+(0)))=("store"),(INDEX(B1:XFD1,((A3)+(1))+(1)))=("W"),"false"),B3,W184),W184))</f>
        <v>#VALUE!</v>
      </c>
      <c r="X184" t="e">
        <f ca="1">IF((A1)=(2),"",IF((180)=(X4),IF(IF((INDEX(B1:XFD1,((A3)+(1))+(0)))=("store"),(INDEX(B1:XFD1,((A3)+(1))+(1)))=("X"),"false"),B3,X184),X184))</f>
        <v>#VALUE!</v>
      </c>
      <c r="Y184" t="e">
        <f ca="1">IF((A1)=(2),"",IF((180)=(Y4),IF(IF((INDEX(B1:XFD1,((A3)+(1))+(0)))=("store"),(INDEX(B1:XFD1,((A3)+(1))+(1)))=("Y"),"false"),B3,Y184),Y184))</f>
        <v>#VALUE!</v>
      </c>
      <c r="Z184" t="e">
        <f ca="1">IF((A1)=(2),"",IF((180)=(Z4),IF(IF((INDEX(B1:XFD1,((A3)+(1))+(0)))=("store"),(INDEX(B1:XFD1,((A3)+(1))+(1)))=("Z"),"false"),B3,Z184),Z184))</f>
        <v>#VALUE!</v>
      </c>
      <c r="AA184" t="e">
        <f ca="1">IF((A1)=(2),"",IF((180)=(AA4),IF(IF((INDEX(B1:XFD1,((A3)+(1))+(0)))=("store"),(INDEX(B1:XFD1,((A3)+(1))+(1)))=("AA"),"false"),B3,AA184),AA184))</f>
        <v>#VALUE!</v>
      </c>
      <c r="AB184" t="e">
        <f ca="1">IF((A1)=(2),"",IF((180)=(AB4),IF(IF((INDEX(B1:XFD1,((A3)+(1))+(0)))=("store"),(INDEX(B1:XFD1,((A3)+(1))+(1)))=("AB"),"false"),B3,AB184),AB184))</f>
        <v>#VALUE!</v>
      </c>
      <c r="AC184" t="e">
        <f ca="1">IF((A1)=(2),"",IF((180)=(AC4),IF(IF((INDEX(B1:XFD1,((A3)+(1))+(0)))=("store"),(INDEX(B1:XFD1,((A3)+(1))+(1)))=("AC"),"false"),B3,AC184),AC184))</f>
        <v>#VALUE!</v>
      </c>
      <c r="AD184" t="e">
        <f ca="1">IF((A1)=(2),"",IF((180)=(AD4),IF(IF((INDEX(B1:XFD1,((A3)+(1))+(0)))=("store"),(INDEX(B1:XFD1,((A3)+(1))+(1)))=("AD"),"false"),B3,AD184),AD184))</f>
        <v>#VALUE!</v>
      </c>
    </row>
    <row r="185" spans="1:30" x14ac:dyDescent="0.25">
      <c r="A185" t="e">
        <f ca="1">IF((A1)=(2),"",IF((181)=(A4),IF(("call")=(INDEX(B1:XFD1,((A3)+(1))+(0))),(B3)*(2),IF(("goto")=(INDEX(B1:XFD1,((A3)+(1))+(0))),(INDEX(B1:XFD1,((A3)+(1))+(1)))*(2),IF(("gotoiftrue")=(INDEX(B1:XFD1,((A3)+(1))+(0))),IF(B3,(INDEX(B1:XFD1,((A3)+(1))+(1)))*(2),(A185)+(2)),(A185)+(2)))),A185))</f>
        <v>#VALUE!</v>
      </c>
      <c r="B185" t="e">
        <f ca="1">IF((A1)=(2),"",IF((181)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185)+(1)),IF(("add")=(INDEX(B1:XFD1,((A3)+(1))+(0))),(INDEX(B5:B405,(B4)+(1)))+(B185),IF(("equals")=(INDEX(B1:XFD1,((A3)+(1))+(0))),(INDEX(B5:B405,(B4)+(1)))=(B185),IF(("leq")=(INDEX(B1:XFD1,((A3)+(1))+(0))),(INDEX(B5:B405,(B4)+(1)))&lt;=(B185),IF(("greater")=(INDEX(B1:XFD1,((A3)+(1))+(0))),(INDEX(B5:B405,(B4)+(1)))&gt;(B185),IF(("mod")=(INDEX(B1:XFD1,((A3)+(1))+(0))),MOD(INDEX(B5:B405,(B4)+(1)),B185),B185))))))))),B185))</f>
        <v>#VALUE!</v>
      </c>
      <c r="C185" t="e">
        <f ca="1">IF((A1)=(2),1,IF(AND((INDEX(B1:XFD1,((A3)+(1))+(0)))=("writeheap"),(INDEX(B5:B405,(B4)+(1)))=(180)),INDEX(B5:B405,(B4)+(2)),IF((A1)=(2),"",IF((181)=(C4),C185,C185))))</f>
        <v>#VALUE!</v>
      </c>
      <c r="F185" t="e">
        <f ca="1">IF((A1)=(2),"",IF((181)=(F4),IF(IF((INDEX(B1:XFD1,((A3)+(1))+(0)))=("store"),(INDEX(B1:XFD1,((A3)+(1))+(1)))=("F"),"false"),B3,F185),F185))</f>
        <v>#VALUE!</v>
      </c>
      <c r="G185" t="e">
        <f ca="1">IF((A1)=(2),"",IF((181)=(G4),IF(IF((INDEX(B1:XFD1,((A3)+(1))+(0)))=("store"),(INDEX(B1:XFD1,((A3)+(1))+(1)))=("G"),"false"),B3,G185),G185))</f>
        <v>#VALUE!</v>
      </c>
      <c r="H185" t="e">
        <f ca="1">IF((A1)=(2),"",IF((181)=(H4),IF(IF((INDEX(B1:XFD1,((A3)+(1))+(0)))=("store"),(INDEX(B1:XFD1,((A3)+(1))+(1)))=("H"),"false"),B3,H185),H185))</f>
        <v>#VALUE!</v>
      </c>
      <c r="I185" t="e">
        <f ca="1">IF((A1)=(2),"",IF((181)=(I4),IF(IF((INDEX(B1:XFD1,((A3)+(1))+(0)))=("store"),(INDEX(B1:XFD1,((A3)+(1))+(1)))=("I"),"false"),B3,I185),I185))</f>
        <v>#VALUE!</v>
      </c>
      <c r="J185" t="e">
        <f ca="1">IF((A1)=(2),"",IF((181)=(J4),IF(IF((INDEX(B1:XFD1,((A3)+(1))+(0)))=("store"),(INDEX(B1:XFD1,((A3)+(1))+(1)))=("J"),"false"),B3,J185),J185))</f>
        <v>#VALUE!</v>
      </c>
      <c r="K185" t="e">
        <f ca="1">IF((A1)=(2),"",IF((181)=(K4),IF(IF((INDEX(B1:XFD1,((A3)+(1))+(0)))=("store"),(INDEX(B1:XFD1,((A3)+(1))+(1)))=("K"),"false"),B3,K185),K185))</f>
        <v>#VALUE!</v>
      </c>
      <c r="L185" t="e">
        <f ca="1">IF((A1)=(2),"",IF((181)=(L4),IF(IF((INDEX(B1:XFD1,((A3)+(1))+(0)))=("store"),(INDEX(B1:XFD1,((A3)+(1))+(1)))=("L"),"false"),B3,L185),L185))</f>
        <v>#VALUE!</v>
      </c>
      <c r="M185" t="e">
        <f ca="1">IF((A1)=(2),"",IF((181)=(M4),IF(IF((INDEX(B1:XFD1,((A3)+(1))+(0)))=("store"),(INDEX(B1:XFD1,((A3)+(1))+(1)))=("M"),"false"),B3,M185),M185))</f>
        <v>#VALUE!</v>
      </c>
      <c r="N185" t="e">
        <f ca="1">IF((A1)=(2),"",IF((181)=(N4),IF(IF((INDEX(B1:XFD1,((A3)+(1))+(0)))=("store"),(INDEX(B1:XFD1,((A3)+(1))+(1)))=("N"),"false"),B3,N185),N185))</f>
        <v>#VALUE!</v>
      </c>
      <c r="O185" t="e">
        <f ca="1">IF((A1)=(2),"",IF((181)=(O4),IF(IF((INDEX(B1:XFD1,((A3)+(1))+(0)))=("store"),(INDEX(B1:XFD1,((A3)+(1))+(1)))=("O"),"false"),B3,O185),O185))</f>
        <v>#VALUE!</v>
      </c>
      <c r="P185" t="e">
        <f ca="1">IF((A1)=(2),"",IF((181)=(P4),IF(IF((INDEX(B1:XFD1,((A3)+(1))+(0)))=("store"),(INDEX(B1:XFD1,((A3)+(1))+(1)))=("P"),"false"),B3,P185),P185))</f>
        <v>#VALUE!</v>
      </c>
      <c r="Q185" t="e">
        <f ca="1">IF((A1)=(2),"",IF((181)=(Q4),IF(IF((INDEX(B1:XFD1,((A3)+(1))+(0)))=("store"),(INDEX(B1:XFD1,((A3)+(1))+(1)))=("Q"),"false"),B3,Q185),Q185))</f>
        <v>#VALUE!</v>
      </c>
      <c r="R185" t="e">
        <f ca="1">IF((A1)=(2),"",IF((181)=(R4),IF(IF((INDEX(B1:XFD1,((A3)+(1))+(0)))=("store"),(INDEX(B1:XFD1,((A3)+(1))+(1)))=("R"),"false"),B3,R185),R185))</f>
        <v>#VALUE!</v>
      </c>
      <c r="S185" t="e">
        <f ca="1">IF((A1)=(2),"",IF((181)=(S4),IF(IF((INDEX(B1:XFD1,((A3)+(1))+(0)))=("store"),(INDEX(B1:XFD1,((A3)+(1))+(1)))=("S"),"false"),B3,S185),S185))</f>
        <v>#VALUE!</v>
      </c>
      <c r="T185" t="e">
        <f ca="1">IF((A1)=(2),"",IF((181)=(T4),IF(IF((INDEX(B1:XFD1,((A3)+(1))+(0)))=("store"),(INDEX(B1:XFD1,((A3)+(1))+(1)))=("T"),"false"),B3,T185),T185))</f>
        <v>#VALUE!</v>
      </c>
      <c r="U185" t="e">
        <f ca="1">IF((A1)=(2),"",IF((181)=(U4),IF(IF((INDEX(B1:XFD1,((A3)+(1))+(0)))=("store"),(INDEX(B1:XFD1,((A3)+(1))+(1)))=("U"),"false"),B3,U185),U185))</f>
        <v>#VALUE!</v>
      </c>
      <c r="V185" t="e">
        <f ca="1">IF((A1)=(2),"",IF((181)=(V4),IF(IF((INDEX(B1:XFD1,((A3)+(1))+(0)))=("store"),(INDEX(B1:XFD1,((A3)+(1))+(1)))=("V"),"false"),B3,V185),V185))</f>
        <v>#VALUE!</v>
      </c>
      <c r="W185" t="e">
        <f ca="1">IF((A1)=(2),"",IF((181)=(W4),IF(IF((INDEX(B1:XFD1,((A3)+(1))+(0)))=("store"),(INDEX(B1:XFD1,((A3)+(1))+(1)))=("W"),"false"),B3,W185),W185))</f>
        <v>#VALUE!</v>
      </c>
      <c r="X185" t="e">
        <f ca="1">IF((A1)=(2),"",IF((181)=(X4),IF(IF((INDEX(B1:XFD1,((A3)+(1))+(0)))=("store"),(INDEX(B1:XFD1,((A3)+(1))+(1)))=("X"),"false"),B3,X185),X185))</f>
        <v>#VALUE!</v>
      </c>
      <c r="Y185" t="e">
        <f ca="1">IF((A1)=(2),"",IF((181)=(Y4),IF(IF((INDEX(B1:XFD1,((A3)+(1))+(0)))=("store"),(INDEX(B1:XFD1,((A3)+(1))+(1)))=("Y"),"false"),B3,Y185),Y185))</f>
        <v>#VALUE!</v>
      </c>
      <c r="Z185" t="e">
        <f ca="1">IF((A1)=(2),"",IF((181)=(Z4),IF(IF((INDEX(B1:XFD1,((A3)+(1))+(0)))=("store"),(INDEX(B1:XFD1,((A3)+(1))+(1)))=("Z"),"false"),B3,Z185),Z185))</f>
        <v>#VALUE!</v>
      </c>
      <c r="AA185" t="e">
        <f ca="1">IF((A1)=(2),"",IF((181)=(AA4),IF(IF((INDEX(B1:XFD1,((A3)+(1))+(0)))=("store"),(INDEX(B1:XFD1,((A3)+(1))+(1)))=("AA"),"false"),B3,AA185),AA185))</f>
        <v>#VALUE!</v>
      </c>
      <c r="AB185" t="e">
        <f ca="1">IF((A1)=(2),"",IF((181)=(AB4),IF(IF((INDEX(B1:XFD1,((A3)+(1))+(0)))=("store"),(INDEX(B1:XFD1,((A3)+(1))+(1)))=("AB"),"false"),B3,AB185),AB185))</f>
        <v>#VALUE!</v>
      </c>
      <c r="AC185" t="e">
        <f ca="1">IF((A1)=(2),"",IF((181)=(AC4),IF(IF((INDEX(B1:XFD1,((A3)+(1))+(0)))=("store"),(INDEX(B1:XFD1,((A3)+(1))+(1)))=("AC"),"false"),B3,AC185),AC185))</f>
        <v>#VALUE!</v>
      </c>
      <c r="AD185" t="e">
        <f ca="1">IF((A1)=(2),"",IF((181)=(AD4),IF(IF((INDEX(B1:XFD1,((A3)+(1))+(0)))=("store"),(INDEX(B1:XFD1,((A3)+(1))+(1)))=("AD"),"false"),B3,AD185),AD185))</f>
        <v>#VALUE!</v>
      </c>
    </row>
    <row r="186" spans="1:30" x14ac:dyDescent="0.25">
      <c r="A186" t="e">
        <f ca="1">IF((A1)=(2),"",IF((182)=(A4),IF(("call")=(INDEX(B1:XFD1,((A3)+(1))+(0))),(B3)*(2),IF(("goto")=(INDEX(B1:XFD1,((A3)+(1))+(0))),(INDEX(B1:XFD1,((A3)+(1))+(1)))*(2),IF(("gotoiftrue")=(INDEX(B1:XFD1,((A3)+(1))+(0))),IF(B3,(INDEX(B1:XFD1,((A3)+(1))+(1)))*(2),(A186)+(2)),(A186)+(2)))),A186))</f>
        <v>#VALUE!</v>
      </c>
      <c r="B186" t="e">
        <f ca="1">IF((A1)=(2),"",IF((182)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186)+(1)),IF(("add")=(INDEX(B1:XFD1,((A3)+(1))+(0))),(INDEX(B5:B405,(B4)+(1)))+(B186),IF(("equals")=(INDEX(B1:XFD1,((A3)+(1))+(0))),(INDEX(B5:B405,(B4)+(1)))=(B186),IF(("leq")=(INDEX(B1:XFD1,((A3)+(1))+(0))),(INDEX(B5:B405,(B4)+(1)))&lt;=(B186),IF(("greater")=(INDEX(B1:XFD1,((A3)+(1))+(0))),(INDEX(B5:B405,(B4)+(1)))&gt;(B186),IF(("mod")=(INDEX(B1:XFD1,((A3)+(1))+(0))),MOD(INDEX(B5:B405,(B4)+(1)),B186),B186))))))))),B186))</f>
        <v>#VALUE!</v>
      </c>
      <c r="C186" t="e">
        <f ca="1">IF((A1)=(2),1,IF(AND((INDEX(B1:XFD1,((A3)+(1))+(0)))=("writeheap"),(INDEX(B5:B405,(B4)+(1)))=(181)),INDEX(B5:B405,(B4)+(2)),IF((A1)=(2),"",IF((182)=(C4),C186,C186))))</f>
        <v>#VALUE!</v>
      </c>
      <c r="F186" t="e">
        <f ca="1">IF((A1)=(2),"",IF((182)=(F4),IF(IF((INDEX(B1:XFD1,((A3)+(1))+(0)))=("store"),(INDEX(B1:XFD1,((A3)+(1))+(1)))=("F"),"false"),B3,F186),F186))</f>
        <v>#VALUE!</v>
      </c>
      <c r="G186" t="e">
        <f ca="1">IF((A1)=(2),"",IF((182)=(G4),IF(IF((INDEX(B1:XFD1,((A3)+(1))+(0)))=("store"),(INDEX(B1:XFD1,((A3)+(1))+(1)))=("G"),"false"),B3,G186),G186))</f>
        <v>#VALUE!</v>
      </c>
      <c r="H186" t="e">
        <f ca="1">IF((A1)=(2),"",IF((182)=(H4),IF(IF((INDEX(B1:XFD1,((A3)+(1))+(0)))=("store"),(INDEX(B1:XFD1,((A3)+(1))+(1)))=("H"),"false"),B3,H186),H186))</f>
        <v>#VALUE!</v>
      </c>
      <c r="I186" t="e">
        <f ca="1">IF((A1)=(2),"",IF((182)=(I4),IF(IF((INDEX(B1:XFD1,((A3)+(1))+(0)))=("store"),(INDEX(B1:XFD1,((A3)+(1))+(1)))=("I"),"false"),B3,I186),I186))</f>
        <v>#VALUE!</v>
      </c>
      <c r="J186" t="e">
        <f ca="1">IF((A1)=(2),"",IF((182)=(J4),IF(IF((INDEX(B1:XFD1,((A3)+(1))+(0)))=("store"),(INDEX(B1:XFD1,((A3)+(1))+(1)))=("J"),"false"),B3,J186),J186))</f>
        <v>#VALUE!</v>
      </c>
      <c r="K186" t="e">
        <f ca="1">IF((A1)=(2),"",IF((182)=(K4),IF(IF((INDEX(B1:XFD1,((A3)+(1))+(0)))=("store"),(INDEX(B1:XFD1,((A3)+(1))+(1)))=("K"),"false"),B3,K186),K186))</f>
        <v>#VALUE!</v>
      </c>
      <c r="L186" t="e">
        <f ca="1">IF((A1)=(2),"",IF((182)=(L4),IF(IF((INDEX(B1:XFD1,((A3)+(1))+(0)))=("store"),(INDEX(B1:XFD1,((A3)+(1))+(1)))=("L"),"false"),B3,L186),L186))</f>
        <v>#VALUE!</v>
      </c>
      <c r="M186" t="e">
        <f ca="1">IF((A1)=(2),"",IF((182)=(M4),IF(IF((INDEX(B1:XFD1,((A3)+(1))+(0)))=("store"),(INDEX(B1:XFD1,((A3)+(1))+(1)))=("M"),"false"),B3,M186),M186))</f>
        <v>#VALUE!</v>
      </c>
      <c r="N186" t="e">
        <f ca="1">IF((A1)=(2),"",IF((182)=(N4),IF(IF((INDEX(B1:XFD1,((A3)+(1))+(0)))=("store"),(INDEX(B1:XFD1,((A3)+(1))+(1)))=("N"),"false"),B3,N186),N186))</f>
        <v>#VALUE!</v>
      </c>
      <c r="O186" t="e">
        <f ca="1">IF((A1)=(2),"",IF((182)=(O4),IF(IF((INDEX(B1:XFD1,((A3)+(1))+(0)))=("store"),(INDEX(B1:XFD1,((A3)+(1))+(1)))=("O"),"false"),B3,O186),O186))</f>
        <v>#VALUE!</v>
      </c>
      <c r="P186" t="e">
        <f ca="1">IF((A1)=(2),"",IF((182)=(P4),IF(IF((INDEX(B1:XFD1,((A3)+(1))+(0)))=("store"),(INDEX(B1:XFD1,((A3)+(1))+(1)))=("P"),"false"),B3,P186),P186))</f>
        <v>#VALUE!</v>
      </c>
      <c r="Q186" t="e">
        <f ca="1">IF((A1)=(2),"",IF((182)=(Q4),IF(IF((INDEX(B1:XFD1,((A3)+(1))+(0)))=("store"),(INDEX(B1:XFD1,((A3)+(1))+(1)))=("Q"),"false"),B3,Q186),Q186))</f>
        <v>#VALUE!</v>
      </c>
      <c r="R186" t="e">
        <f ca="1">IF((A1)=(2),"",IF((182)=(R4),IF(IF((INDEX(B1:XFD1,((A3)+(1))+(0)))=("store"),(INDEX(B1:XFD1,((A3)+(1))+(1)))=("R"),"false"),B3,R186),R186))</f>
        <v>#VALUE!</v>
      </c>
      <c r="S186" t="e">
        <f ca="1">IF((A1)=(2),"",IF((182)=(S4),IF(IF((INDEX(B1:XFD1,((A3)+(1))+(0)))=("store"),(INDEX(B1:XFD1,((A3)+(1))+(1)))=("S"),"false"),B3,S186),S186))</f>
        <v>#VALUE!</v>
      </c>
      <c r="T186" t="e">
        <f ca="1">IF((A1)=(2),"",IF((182)=(T4),IF(IF((INDEX(B1:XFD1,((A3)+(1))+(0)))=("store"),(INDEX(B1:XFD1,((A3)+(1))+(1)))=("T"),"false"),B3,T186),T186))</f>
        <v>#VALUE!</v>
      </c>
      <c r="U186" t="e">
        <f ca="1">IF((A1)=(2),"",IF((182)=(U4),IF(IF((INDEX(B1:XFD1,((A3)+(1))+(0)))=("store"),(INDEX(B1:XFD1,((A3)+(1))+(1)))=("U"),"false"),B3,U186),U186))</f>
        <v>#VALUE!</v>
      </c>
      <c r="V186" t="e">
        <f ca="1">IF((A1)=(2),"",IF((182)=(V4),IF(IF((INDEX(B1:XFD1,((A3)+(1))+(0)))=("store"),(INDEX(B1:XFD1,((A3)+(1))+(1)))=("V"),"false"),B3,V186),V186))</f>
        <v>#VALUE!</v>
      </c>
      <c r="W186" t="e">
        <f ca="1">IF((A1)=(2),"",IF((182)=(W4),IF(IF((INDEX(B1:XFD1,((A3)+(1))+(0)))=("store"),(INDEX(B1:XFD1,((A3)+(1))+(1)))=("W"),"false"),B3,W186),W186))</f>
        <v>#VALUE!</v>
      </c>
      <c r="X186" t="e">
        <f ca="1">IF((A1)=(2),"",IF((182)=(X4),IF(IF((INDEX(B1:XFD1,((A3)+(1))+(0)))=("store"),(INDEX(B1:XFD1,((A3)+(1))+(1)))=("X"),"false"),B3,X186),X186))</f>
        <v>#VALUE!</v>
      </c>
      <c r="Y186" t="e">
        <f ca="1">IF((A1)=(2),"",IF((182)=(Y4),IF(IF((INDEX(B1:XFD1,((A3)+(1))+(0)))=("store"),(INDEX(B1:XFD1,((A3)+(1))+(1)))=("Y"),"false"),B3,Y186),Y186))</f>
        <v>#VALUE!</v>
      </c>
      <c r="Z186" t="e">
        <f ca="1">IF((A1)=(2),"",IF((182)=(Z4),IF(IF((INDEX(B1:XFD1,((A3)+(1))+(0)))=("store"),(INDEX(B1:XFD1,((A3)+(1))+(1)))=("Z"),"false"),B3,Z186),Z186))</f>
        <v>#VALUE!</v>
      </c>
      <c r="AA186" t="e">
        <f ca="1">IF((A1)=(2),"",IF((182)=(AA4),IF(IF((INDEX(B1:XFD1,((A3)+(1))+(0)))=("store"),(INDEX(B1:XFD1,((A3)+(1))+(1)))=("AA"),"false"),B3,AA186),AA186))</f>
        <v>#VALUE!</v>
      </c>
      <c r="AB186" t="e">
        <f ca="1">IF((A1)=(2),"",IF((182)=(AB4),IF(IF((INDEX(B1:XFD1,((A3)+(1))+(0)))=("store"),(INDEX(B1:XFD1,((A3)+(1))+(1)))=("AB"),"false"),B3,AB186),AB186))</f>
        <v>#VALUE!</v>
      </c>
      <c r="AC186" t="e">
        <f ca="1">IF((A1)=(2),"",IF((182)=(AC4),IF(IF((INDEX(B1:XFD1,((A3)+(1))+(0)))=("store"),(INDEX(B1:XFD1,((A3)+(1))+(1)))=("AC"),"false"),B3,AC186),AC186))</f>
        <v>#VALUE!</v>
      </c>
      <c r="AD186" t="e">
        <f ca="1">IF((A1)=(2),"",IF((182)=(AD4),IF(IF((INDEX(B1:XFD1,((A3)+(1))+(0)))=("store"),(INDEX(B1:XFD1,((A3)+(1))+(1)))=("AD"),"false"),B3,AD186),AD186))</f>
        <v>#VALUE!</v>
      </c>
    </row>
    <row r="187" spans="1:30" x14ac:dyDescent="0.25">
      <c r="A187" t="e">
        <f ca="1">IF((A1)=(2),"",IF((183)=(A4),IF(("call")=(INDEX(B1:XFD1,((A3)+(1))+(0))),(B3)*(2),IF(("goto")=(INDEX(B1:XFD1,((A3)+(1))+(0))),(INDEX(B1:XFD1,((A3)+(1))+(1)))*(2),IF(("gotoiftrue")=(INDEX(B1:XFD1,((A3)+(1))+(0))),IF(B3,(INDEX(B1:XFD1,((A3)+(1))+(1)))*(2),(A187)+(2)),(A187)+(2)))),A187))</f>
        <v>#VALUE!</v>
      </c>
      <c r="B187" t="e">
        <f ca="1">IF((A1)=(2),"",IF((183)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187)+(1)),IF(("add")=(INDEX(B1:XFD1,((A3)+(1))+(0))),(INDEX(B5:B405,(B4)+(1)))+(B187),IF(("equals")=(INDEX(B1:XFD1,((A3)+(1))+(0))),(INDEX(B5:B405,(B4)+(1)))=(B187),IF(("leq")=(INDEX(B1:XFD1,((A3)+(1))+(0))),(INDEX(B5:B405,(B4)+(1)))&lt;=(B187),IF(("greater")=(INDEX(B1:XFD1,((A3)+(1))+(0))),(INDEX(B5:B405,(B4)+(1)))&gt;(B187),IF(("mod")=(INDEX(B1:XFD1,((A3)+(1))+(0))),MOD(INDEX(B5:B405,(B4)+(1)),B187),B187))))))))),B187))</f>
        <v>#VALUE!</v>
      </c>
      <c r="C187" t="e">
        <f ca="1">IF((A1)=(2),1,IF(AND((INDEX(B1:XFD1,((A3)+(1))+(0)))=("writeheap"),(INDEX(B5:B405,(B4)+(1)))=(182)),INDEX(B5:B405,(B4)+(2)),IF((A1)=(2),"",IF((183)=(C4),C187,C187))))</f>
        <v>#VALUE!</v>
      </c>
      <c r="F187" t="e">
        <f ca="1">IF((A1)=(2),"",IF((183)=(F4),IF(IF((INDEX(B1:XFD1,((A3)+(1))+(0)))=("store"),(INDEX(B1:XFD1,((A3)+(1))+(1)))=("F"),"false"),B3,F187),F187))</f>
        <v>#VALUE!</v>
      </c>
      <c r="G187" t="e">
        <f ca="1">IF((A1)=(2),"",IF((183)=(G4),IF(IF((INDEX(B1:XFD1,((A3)+(1))+(0)))=("store"),(INDEX(B1:XFD1,((A3)+(1))+(1)))=("G"),"false"),B3,G187),G187))</f>
        <v>#VALUE!</v>
      </c>
      <c r="H187" t="e">
        <f ca="1">IF((A1)=(2),"",IF((183)=(H4),IF(IF((INDEX(B1:XFD1,((A3)+(1))+(0)))=("store"),(INDEX(B1:XFD1,((A3)+(1))+(1)))=("H"),"false"),B3,H187),H187))</f>
        <v>#VALUE!</v>
      </c>
      <c r="I187" t="e">
        <f ca="1">IF((A1)=(2),"",IF((183)=(I4),IF(IF((INDEX(B1:XFD1,((A3)+(1))+(0)))=("store"),(INDEX(B1:XFD1,((A3)+(1))+(1)))=("I"),"false"),B3,I187),I187))</f>
        <v>#VALUE!</v>
      </c>
      <c r="J187" t="e">
        <f ca="1">IF((A1)=(2),"",IF((183)=(J4),IF(IF((INDEX(B1:XFD1,((A3)+(1))+(0)))=("store"),(INDEX(B1:XFD1,((A3)+(1))+(1)))=("J"),"false"),B3,J187),J187))</f>
        <v>#VALUE!</v>
      </c>
      <c r="K187" t="e">
        <f ca="1">IF((A1)=(2),"",IF((183)=(K4),IF(IF((INDEX(B1:XFD1,((A3)+(1))+(0)))=("store"),(INDEX(B1:XFD1,((A3)+(1))+(1)))=("K"),"false"),B3,K187),K187))</f>
        <v>#VALUE!</v>
      </c>
      <c r="L187" t="e">
        <f ca="1">IF((A1)=(2),"",IF((183)=(L4),IF(IF((INDEX(B1:XFD1,((A3)+(1))+(0)))=("store"),(INDEX(B1:XFD1,((A3)+(1))+(1)))=("L"),"false"),B3,L187),L187))</f>
        <v>#VALUE!</v>
      </c>
      <c r="M187" t="e">
        <f ca="1">IF((A1)=(2),"",IF((183)=(M4),IF(IF((INDEX(B1:XFD1,((A3)+(1))+(0)))=("store"),(INDEX(B1:XFD1,((A3)+(1))+(1)))=("M"),"false"),B3,M187),M187))</f>
        <v>#VALUE!</v>
      </c>
      <c r="N187" t="e">
        <f ca="1">IF((A1)=(2),"",IF((183)=(N4),IF(IF((INDEX(B1:XFD1,((A3)+(1))+(0)))=("store"),(INDEX(B1:XFD1,((A3)+(1))+(1)))=("N"),"false"),B3,N187),N187))</f>
        <v>#VALUE!</v>
      </c>
      <c r="O187" t="e">
        <f ca="1">IF((A1)=(2),"",IF((183)=(O4),IF(IF((INDEX(B1:XFD1,((A3)+(1))+(0)))=("store"),(INDEX(B1:XFD1,((A3)+(1))+(1)))=("O"),"false"),B3,O187),O187))</f>
        <v>#VALUE!</v>
      </c>
      <c r="P187" t="e">
        <f ca="1">IF((A1)=(2),"",IF((183)=(P4),IF(IF((INDEX(B1:XFD1,((A3)+(1))+(0)))=("store"),(INDEX(B1:XFD1,((A3)+(1))+(1)))=("P"),"false"),B3,P187),P187))</f>
        <v>#VALUE!</v>
      </c>
      <c r="Q187" t="e">
        <f ca="1">IF((A1)=(2),"",IF((183)=(Q4),IF(IF((INDEX(B1:XFD1,((A3)+(1))+(0)))=("store"),(INDEX(B1:XFD1,((A3)+(1))+(1)))=("Q"),"false"),B3,Q187),Q187))</f>
        <v>#VALUE!</v>
      </c>
      <c r="R187" t="e">
        <f ca="1">IF((A1)=(2),"",IF((183)=(R4),IF(IF((INDEX(B1:XFD1,((A3)+(1))+(0)))=("store"),(INDEX(B1:XFD1,((A3)+(1))+(1)))=("R"),"false"),B3,R187),R187))</f>
        <v>#VALUE!</v>
      </c>
      <c r="S187" t="e">
        <f ca="1">IF((A1)=(2),"",IF((183)=(S4),IF(IF((INDEX(B1:XFD1,((A3)+(1))+(0)))=("store"),(INDEX(B1:XFD1,((A3)+(1))+(1)))=("S"),"false"),B3,S187),S187))</f>
        <v>#VALUE!</v>
      </c>
      <c r="T187" t="e">
        <f ca="1">IF((A1)=(2),"",IF((183)=(T4),IF(IF((INDEX(B1:XFD1,((A3)+(1))+(0)))=("store"),(INDEX(B1:XFD1,((A3)+(1))+(1)))=("T"),"false"),B3,T187),T187))</f>
        <v>#VALUE!</v>
      </c>
      <c r="U187" t="e">
        <f ca="1">IF((A1)=(2),"",IF((183)=(U4),IF(IF((INDEX(B1:XFD1,((A3)+(1))+(0)))=("store"),(INDEX(B1:XFD1,((A3)+(1))+(1)))=("U"),"false"),B3,U187),U187))</f>
        <v>#VALUE!</v>
      </c>
      <c r="V187" t="e">
        <f ca="1">IF((A1)=(2),"",IF((183)=(V4),IF(IF((INDEX(B1:XFD1,((A3)+(1))+(0)))=("store"),(INDEX(B1:XFD1,((A3)+(1))+(1)))=("V"),"false"),B3,V187),V187))</f>
        <v>#VALUE!</v>
      </c>
      <c r="W187" t="e">
        <f ca="1">IF((A1)=(2),"",IF((183)=(W4),IF(IF((INDEX(B1:XFD1,((A3)+(1))+(0)))=("store"),(INDEX(B1:XFD1,((A3)+(1))+(1)))=("W"),"false"),B3,W187),W187))</f>
        <v>#VALUE!</v>
      </c>
      <c r="X187" t="e">
        <f ca="1">IF((A1)=(2),"",IF((183)=(X4),IF(IF((INDEX(B1:XFD1,((A3)+(1))+(0)))=("store"),(INDEX(B1:XFD1,((A3)+(1))+(1)))=("X"),"false"),B3,X187),X187))</f>
        <v>#VALUE!</v>
      </c>
      <c r="Y187" t="e">
        <f ca="1">IF((A1)=(2),"",IF((183)=(Y4),IF(IF((INDEX(B1:XFD1,((A3)+(1))+(0)))=("store"),(INDEX(B1:XFD1,((A3)+(1))+(1)))=("Y"),"false"),B3,Y187),Y187))</f>
        <v>#VALUE!</v>
      </c>
      <c r="Z187" t="e">
        <f ca="1">IF((A1)=(2),"",IF((183)=(Z4),IF(IF((INDEX(B1:XFD1,((A3)+(1))+(0)))=("store"),(INDEX(B1:XFD1,((A3)+(1))+(1)))=("Z"),"false"),B3,Z187),Z187))</f>
        <v>#VALUE!</v>
      </c>
      <c r="AA187" t="e">
        <f ca="1">IF((A1)=(2),"",IF((183)=(AA4),IF(IF((INDEX(B1:XFD1,((A3)+(1))+(0)))=("store"),(INDEX(B1:XFD1,((A3)+(1))+(1)))=("AA"),"false"),B3,AA187),AA187))</f>
        <v>#VALUE!</v>
      </c>
      <c r="AB187" t="e">
        <f ca="1">IF((A1)=(2),"",IF((183)=(AB4),IF(IF((INDEX(B1:XFD1,((A3)+(1))+(0)))=("store"),(INDEX(B1:XFD1,((A3)+(1))+(1)))=("AB"),"false"),B3,AB187),AB187))</f>
        <v>#VALUE!</v>
      </c>
      <c r="AC187" t="e">
        <f ca="1">IF((A1)=(2),"",IF((183)=(AC4),IF(IF((INDEX(B1:XFD1,((A3)+(1))+(0)))=("store"),(INDEX(B1:XFD1,((A3)+(1))+(1)))=("AC"),"false"),B3,AC187),AC187))</f>
        <v>#VALUE!</v>
      </c>
      <c r="AD187" t="e">
        <f ca="1">IF((A1)=(2),"",IF((183)=(AD4),IF(IF((INDEX(B1:XFD1,((A3)+(1))+(0)))=("store"),(INDEX(B1:XFD1,((A3)+(1))+(1)))=("AD"),"false"),B3,AD187),AD187))</f>
        <v>#VALUE!</v>
      </c>
    </row>
    <row r="188" spans="1:30" x14ac:dyDescent="0.25">
      <c r="A188" t="e">
        <f ca="1">IF((A1)=(2),"",IF((184)=(A4),IF(("call")=(INDEX(B1:XFD1,((A3)+(1))+(0))),(B3)*(2),IF(("goto")=(INDEX(B1:XFD1,((A3)+(1))+(0))),(INDEX(B1:XFD1,((A3)+(1))+(1)))*(2),IF(("gotoiftrue")=(INDEX(B1:XFD1,((A3)+(1))+(0))),IF(B3,(INDEX(B1:XFD1,((A3)+(1))+(1)))*(2),(A188)+(2)),(A188)+(2)))),A188))</f>
        <v>#VALUE!</v>
      </c>
      <c r="B188" t="e">
        <f ca="1">IF((A1)=(2),"",IF((184)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188)+(1)),IF(("add")=(INDEX(B1:XFD1,((A3)+(1))+(0))),(INDEX(B5:B405,(B4)+(1)))+(B188),IF(("equals")=(INDEX(B1:XFD1,((A3)+(1))+(0))),(INDEX(B5:B405,(B4)+(1)))=(B188),IF(("leq")=(INDEX(B1:XFD1,((A3)+(1))+(0))),(INDEX(B5:B405,(B4)+(1)))&lt;=(B188),IF(("greater")=(INDEX(B1:XFD1,((A3)+(1))+(0))),(INDEX(B5:B405,(B4)+(1)))&gt;(B188),IF(("mod")=(INDEX(B1:XFD1,((A3)+(1))+(0))),MOD(INDEX(B5:B405,(B4)+(1)),B188),B188))))))))),B188))</f>
        <v>#VALUE!</v>
      </c>
      <c r="C188" t="e">
        <f ca="1">IF((A1)=(2),1,IF(AND((INDEX(B1:XFD1,((A3)+(1))+(0)))=("writeheap"),(INDEX(B5:B405,(B4)+(1)))=(183)),INDEX(B5:B405,(B4)+(2)),IF((A1)=(2),"",IF((184)=(C4),C188,C188))))</f>
        <v>#VALUE!</v>
      </c>
      <c r="F188" t="e">
        <f ca="1">IF((A1)=(2),"",IF((184)=(F4),IF(IF((INDEX(B1:XFD1,((A3)+(1))+(0)))=("store"),(INDEX(B1:XFD1,((A3)+(1))+(1)))=("F"),"false"),B3,F188),F188))</f>
        <v>#VALUE!</v>
      </c>
      <c r="G188" t="e">
        <f ca="1">IF((A1)=(2),"",IF((184)=(G4),IF(IF((INDEX(B1:XFD1,((A3)+(1))+(0)))=("store"),(INDEX(B1:XFD1,((A3)+(1))+(1)))=("G"),"false"),B3,G188),G188))</f>
        <v>#VALUE!</v>
      </c>
      <c r="H188" t="e">
        <f ca="1">IF((A1)=(2),"",IF((184)=(H4),IF(IF((INDEX(B1:XFD1,((A3)+(1))+(0)))=("store"),(INDEX(B1:XFD1,((A3)+(1))+(1)))=("H"),"false"),B3,H188),H188))</f>
        <v>#VALUE!</v>
      </c>
      <c r="I188" t="e">
        <f ca="1">IF((A1)=(2),"",IF((184)=(I4),IF(IF((INDEX(B1:XFD1,((A3)+(1))+(0)))=("store"),(INDEX(B1:XFD1,((A3)+(1))+(1)))=("I"),"false"),B3,I188),I188))</f>
        <v>#VALUE!</v>
      </c>
      <c r="J188" t="e">
        <f ca="1">IF((A1)=(2),"",IF((184)=(J4),IF(IF((INDEX(B1:XFD1,((A3)+(1))+(0)))=("store"),(INDEX(B1:XFD1,((A3)+(1))+(1)))=("J"),"false"),B3,J188),J188))</f>
        <v>#VALUE!</v>
      </c>
      <c r="K188" t="e">
        <f ca="1">IF((A1)=(2),"",IF((184)=(K4),IF(IF((INDEX(B1:XFD1,((A3)+(1))+(0)))=("store"),(INDEX(B1:XFD1,((A3)+(1))+(1)))=("K"),"false"),B3,K188),K188))</f>
        <v>#VALUE!</v>
      </c>
      <c r="L188" t="e">
        <f ca="1">IF((A1)=(2),"",IF((184)=(L4),IF(IF((INDEX(B1:XFD1,((A3)+(1))+(0)))=("store"),(INDEX(B1:XFD1,((A3)+(1))+(1)))=("L"),"false"),B3,L188),L188))</f>
        <v>#VALUE!</v>
      </c>
      <c r="M188" t="e">
        <f ca="1">IF((A1)=(2),"",IF((184)=(M4),IF(IF((INDEX(B1:XFD1,((A3)+(1))+(0)))=("store"),(INDEX(B1:XFD1,((A3)+(1))+(1)))=("M"),"false"),B3,M188),M188))</f>
        <v>#VALUE!</v>
      </c>
      <c r="N188" t="e">
        <f ca="1">IF((A1)=(2),"",IF((184)=(N4),IF(IF((INDEX(B1:XFD1,((A3)+(1))+(0)))=("store"),(INDEX(B1:XFD1,((A3)+(1))+(1)))=("N"),"false"),B3,N188),N188))</f>
        <v>#VALUE!</v>
      </c>
      <c r="O188" t="e">
        <f ca="1">IF((A1)=(2),"",IF((184)=(O4),IF(IF((INDEX(B1:XFD1,((A3)+(1))+(0)))=("store"),(INDEX(B1:XFD1,((A3)+(1))+(1)))=("O"),"false"),B3,O188),O188))</f>
        <v>#VALUE!</v>
      </c>
      <c r="P188" t="e">
        <f ca="1">IF((A1)=(2),"",IF((184)=(P4),IF(IF((INDEX(B1:XFD1,((A3)+(1))+(0)))=("store"),(INDEX(B1:XFD1,((A3)+(1))+(1)))=("P"),"false"),B3,P188),P188))</f>
        <v>#VALUE!</v>
      </c>
      <c r="Q188" t="e">
        <f ca="1">IF((A1)=(2),"",IF((184)=(Q4),IF(IF((INDEX(B1:XFD1,((A3)+(1))+(0)))=("store"),(INDEX(B1:XFD1,((A3)+(1))+(1)))=("Q"),"false"),B3,Q188),Q188))</f>
        <v>#VALUE!</v>
      </c>
      <c r="R188" t="e">
        <f ca="1">IF((A1)=(2),"",IF((184)=(R4),IF(IF((INDEX(B1:XFD1,((A3)+(1))+(0)))=("store"),(INDEX(B1:XFD1,((A3)+(1))+(1)))=("R"),"false"),B3,R188),R188))</f>
        <v>#VALUE!</v>
      </c>
      <c r="S188" t="e">
        <f ca="1">IF((A1)=(2),"",IF((184)=(S4),IF(IF((INDEX(B1:XFD1,((A3)+(1))+(0)))=("store"),(INDEX(B1:XFD1,((A3)+(1))+(1)))=("S"),"false"),B3,S188),S188))</f>
        <v>#VALUE!</v>
      </c>
      <c r="T188" t="e">
        <f ca="1">IF((A1)=(2),"",IF((184)=(T4),IF(IF((INDEX(B1:XFD1,((A3)+(1))+(0)))=("store"),(INDEX(B1:XFD1,((A3)+(1))+(1)))=("T"),"false"),B3,T188),T188))</f>
        <v>#VALUE!</v>
      </c>
      <c r="U188" t="e">
        <f ca="1">IF((A1)=(2),"",IF((184)=(U4),IF(IF((INDEX(B1:XFD1,((A3)+(1))+(0)))=("store"),(INDEX(B1:XFD1,((A3)+(1))+(1)))=("U"),"false"),B3,U188),U188))</f>
        <v>#VALUE!</v>
      </c>
      <c r="V188" t="e">
        <f ca="1">IF((A1)=(2),"",IF((184)=(V4),IF(IF((INDEX(B1:XFD1,((A3)+(1))+(0)))=("store"),(INDEX(B1:XFD1,((A3)+(1))+(1)))=("V"),"false"),B3,V188),V188))</f>
        <v>#VALUE!</v>
      </c>
      <c r="W188" t="e">
        <f ca="1">IF((A1)=(2),"",IF((184)=(W4),IF(IF((INDEX(B1:XFD1,((A3)+(1))+(0)))=("store"),(INDEX(B1:XFD1,((A3)+(1))+(1)))=("W"),"false"),B3,W188),W188))</f>
        <v>#VALUE!</v>
      </c>
      <c r="X188" t="e">
        <f ca="1">IF((A1)=(2),"",IF((184)=(X4),IF(IF((INDEX(B1:XFD1,((A3)+(1))+(0)))=("store"),(INDEX(B1:XFD1,((A3)+(1))+(1)))=("X"),"false"),B3,X188),X188))</f>
        <v>#VALUE!</v>
      </c>
      <c r="Y188" t="e">
        <f ca="1">IF((A1)=(2),"",IF((184)=(Y4),IF(IF((INDEX(B1:XFD1,((A3)+(1))+(0)))=("store"),(INDEX(B1:XFD1,((A3)+(1))+(1)))=("Y"),"false"),B3,Y188),Y188))</f>
        <v>#VALUE!</v>
      </c>
      <c r="Z188" t="e">
        <f ca="1">IF((A1)=(2),"",IF((184)=(Z4),IF(IF((INDEX(B1:XFD1,((A3)+(1))+(0)))=("store"),(INDEX(B1:XFD1,((A3)+(1))+(1)))=("Z"),"false"),B3,Z188),Z188))</f>
        <v>#VALUE!</v>
      </c>
      <c r="AA188" t="e">
        <f ca="1">IF((A1)=(2),"",IF((184)=(AA4),IF(IF((INDEX(B1:XFD1,((A3)+(1))+(0)))=("store"),(INDEX(B1:XFD1,((A3)+(1))+(1)))=("AA"),"false"),B3,AA188),AA188))</f>
        <v>#VALUE!</v>
      </c>
      <c r="AB188" t="e">
        <f ca="1">IF((A1)=(2),"",IF((184)=(AB4),IF(IF((INDEX(B1:XFD1,((A3)+(1))+(0)))=("store"),(INDEX(B1:XFD1,((A3)+(1))+(1)))=("AB"),"false"),B3,AB188),AB188))</f>
        <v>#VALUE!</v>
      </c>
      <c r="AC188" t="e">
        <f ca="1">IF((A1)=(2),"",IF((184)=(AC4),IF(IF((INDEX(B1:XFD1,((A3)+(1))+(0)))=("store"),(INDEX(B1:XFD1,((A3)+(1))+(1)))=("AC"),"false"),B3,AC188),AC188))</f>
        <v>#VALUE!</v>
      </c>
      <c r="AD188" t="e">
        <f ca="1">IF((A1)=(2),"",IF((184)=(AD4),IF(IF((INDEX(B1:XFD1,((A3)+(1))+(0)))=("store"),(INDEX(B1:XFD1,((A3)+(1))+(1)))=("AD"),"false"),B3,AD188),AD188))</f>
        <v>#VALUE!</v>
      </c>
    </row>
    <row r="189" spans="1:30" x14ac:dyDescent="0.25">
      <c r="A189" t="e">
        <f ca="1">IF((A1)=(2),"",IF((185)=(A4),IF(("call")=(INDEX(B1:XFD1,((A3)+(1))+(0))),(B3)*(2),IF(("goto")=(INDEX(B1:XFD1,((A3)+(1))+(0))),(INDEX(B1:XFD1,((A3)+(1))+(1)))*(2),IF(("gotoiftrue")=(INDEX(B1:XFD1,((A3)+(1))+(0))),IF(B3,(INDEX(B1:XFD1,((A3)+(1))+(1)))*(2),(A189)+(2)),(A189)+(2)))),A189))</f>
        <v>#VALUE!</v>
      </c>
      <c r="B189" t="e">
        <f ca="1">IF((A1)=(2),"",IF((185)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189)+(1)),IF(("add")=(INDEX(B1:XFD1,((A3)+(1))+(0))),(INDEX(B5:B405,(B4)+(1)))+(B189),IF(("equals")=(INDEX(B1:XFD1,((A3)+(1))+(0))),(INDEX(B5:B405,(B4)+(1)))=(B189),IF(("leq")=(INDEX(B1:XFD1,((A3)+(1))+(0))),(INDEX(B5:B405,(B4)+(1)))&lt;=(B189),IF(("greater")=(INDEX(B1:XFD1,((A3)+(1))+(0))),(INDEX(B5:B405,(B4)+(1)))&gt;(B189),IF(("mod")=(INDEX(B1:XFD1,((A3)+(1))+(0))),MOD(INDEX(B5:B405,(B4)+(1)),B189),B189))))))))),B189))</f>
        <v>#VALUE!</v>
      </c>
      <c r="C189" t="e">
        <f ca="1">IF((A1)=(2),1,IF(AND((INDEX(B1:XFD1,((A3)+(1))+(0)))=("writeheap"),(INDEX(B5:B405,(B4)+(1)))=(184)),INDEX(B5:B405,(B4)+(2)),IF((A1)=(2),"",IF((185)=(C4),C189,C189))))</f>
        <v>#VALUE!</v>
      </c>
      <c r="F189" t="e">
        <f ca="1">IF((A1)=(2),"",IF((185)=(F4),IF(IF((INDEX(B1:XFD1,((A3)+(1))+(0)))=("store"),(INDEX(B1:XFD1,((A3)+(1))+(1)))=("F"),"false"),B3,F189),F189))</f>
        <v>#VALUE!</v>
      </c>
      <c r="G189" t="e">
        <f ca="1">IF((A1)=(2),"",IF((185)=(G4),IF(IF((INDEX(B1:XFD1,((A3)+(1))+(0)))=("store"),(INDEX(B1:XFD1,((A3)+(1))+(1)))=("G"),"false"),B3,G189),G189))</f>
        <v>#VALUE!</v>
      </c>
      <c r="H189" t="e">
        <f ca="1">IF((A1)=(2),"",IF((185)=(H4),IF(IF((INDEX(B1:XFD1,((A3)+(1))+(0)))=("store"),(INDEX(B1:XFD1,((A3)+(1))+(1)))=("H"),"false"),B3,H189),H189))</f>
        <v>#VALUE!</v>
      </c>
      <c r="I189" t="e">
        <f ca="1">IF((A1)=(2),"",IF((185)=(I4),IF(IF((INDEX(B1:XFD1,((A3)+(1))+(0)))=("store"),(INDEX(B1:XFD1,((A3)+(1))+(1)))=("I"),"false"),B3,I189),I189))</f>
        <v>#VALUE!</v>
      </c>
      <c r="J189" t="e">
        <f ca="1">IF((A1)=(2),"",IF((185)=(J4),IF(IF((INDEX(B1:XFD1,((A3)+(1))+(0)))=("store"),(INDEX(B1:XFD1,((A3)+(1))+(1)))=("J"),"false"),B3,J189),J189))</f>
        <v>#VALUE!</v>
      </c>
      <c r="K189" t="e">
        <f ca="1">IF((A1)=(2),"",IF((185)=(K4),IF(IF((INDEX(B1:XFD1,((A3)+(1))+(0)))=("store"),(INDEX(B1:XFD1,((A3)+(1))+(1)))=("K"),"false"),B3,K189),K189))</f>
        <v>#VALUE!</v>
      </c>
      <c r="L189" t="e">
        <f ca="1">IF((A1)=(2),"",IF((185)=(L4),IF(IF((INDEX(B1:XFD1,((A3)+(1))+(0)))=("store"),(INDEX(B1:XFD1,((A3)+(1))+(1)))=("L"),"false"),B3,L189),L189))</f>
        <v>#VALUE!</v>
      </c>
      <c r="M189" t="e">
        <f ca="1">IF((A1)=(2),"",IF((185)=(M4),IF(IF((INDEX(B1:XFD1,((A3)+(1))+(0)))=("store"),(INDEX(B1:XFD1,((A3)+(1))+(1)))=("M"),"false"),B3,M189),M189))</f>
        <v>#VALUE!</v>
      </c>
      <c r="N189" t="e">
        <f ca="1">IF((A1)=(2),"",IF((185)=(N4),IF(IF((INDEX(B1:XFD1,((A3)+(1))+(0)))=("store"),(INDEX(B1:XFD1,((A3)+(1))+(1)))=("N"),"false"),B3,N189),N189))</f>
        <v>#VALUE!</v>
      </c>
      <c r="O189" t="e">
        <f ca="1">IF((A1)=(2),"",IF((185)=(O4),IF(IF((INDEX(B1:XFD1,((A3)+(1))+(0)))=("store"),(INDEX(B1:XFD1,((A3)+(1))+(1)))=("O"),"false"),B3,O189),O189))</f>
        <v>#VALUE!</v>
      </c>
      <c r="P189" t="e">
        <f ca="1">IF((A1)=(2),"",IF((185)=(P4),IF(IF((INDEX(B1:XFD1,((A3)+(1))+(0)))=("store"),(INDEX(B1:XFD1,((A3)+(1))+(1)))=("P"),"false"),B3,P189),P189))</f>
        <v>#VALUE!</v>
      </c>
      <c r="Q189" t="e">
        <f ca="1">IF((A1)=(2),"",IF((185)=(Q4),IF(IF((INDEX(B1:XFD1,((A3)+(1))+(0)))=("store"),(INDEX(B1:XFD1,((A3)+(1))+(1)))=("Q"),"false"),B3,Q189),Q189))</f>
        <v>#VALUE!</v>
      </c>
      <c r="R189" t="e">
        <f ca="1">IF((A1)=(2),"",IF((185)=(R4),IF(IF((INDEX(B1:XFD1,((A3)+(1))+(0)))=("store"),(INDEX(B1:XFD1,((A3)+(1))+(1)))=("R"),"false"),B3,R189),R189))</f>
        <v>#VALUE!</v>
      </c>
      <c r="S189" t="e">
        <f ca="1">IF((A1)=(2),"",IF((185)=(S4),IF(IF((INDEX(B1:XFD1,((A3)+(1))+(0)))=("store"),(INDEX(B1:XFD1,((A3)+(1))+(1)))=("S"),"false"),B3,S189),S189))</f>
        <v>#VALUE!</v>
      </c>
      <c r="T189" t="e">
        <f ca="1">IF((A1)=(2),"",IF((185)=(T4),IF(IF((INDEX(B1:XFD1,((A3)+(1))+(0)))=("store"),(INDEX(B1:XFD1,((A3)+(1))+(1)))=("T"),"false"),B3,T189),T189))</f>
        <v>#VALUE!</v>
      </c>
      <c r="U189" t="e">
        <f ca="1">IF((A1)=(2),"",IF((185)=(U4),IF(IF((INDEX(B1:XFD1,((A3)+(1))+(0)))=("store"),(INDEX(B1:XFD1,((A3)+(1))+(1)))=("U"),"false"),B3,U189),U189))</f>
        <v>#VALUE!</v>
      </c>
      <c r="V189" t="e">
        <f ca="1">IF((A1)=(2),"",IF((185)=(V4),IF(IF((INDEX(B1:XFD1,((A3)+(1))+(0)))=("store"),(INDEX(B1:XFD1,((A3)+(1))+(1)))=("V"),"false"),B3,V189),V189))</f>
        <v>#VALUE!</v>
      </c>
      <c r="W189" t="e">
        <f ca="1">IF((A1)=(2),"",IF((185)=(W4),IF(IF((INDEX(B1:XFD1,((A3)+(1))+(0)))=("store"),(INDEX(B1:XFD1,((A3)+(1))+(1)))=("W"),"false"),B3,W189),W189))</f>
        <v>#VALUE!</v>
      </c>
      <c r="X189" t="e">
        <f ca="1">IF((A1)=(2),"",IF((185)=(X4),IF(IF((INDEX(B1:XFD1,((A3)+(1))+(0)))=("store"),(INDEX(B1:XFD1,((A3)+(1))+(1)))=("X"),"false"),B3,X189),X189))</f>
        <v>#VALUE!</v>
      </c>
      <c r="Y189" t="e">
        <f ca="1">IF((A1)=(2),"",IF((185)=(Y4),IF(IF((INDEX(B1:XFD1,((A3)+(1))+(0)))=("store"),(INDEX(B1:XFD1,((A3)+(1))+(1)))=("Y"),"false"),B3,Y189),Y189))</f>
        <v>#VALUE!</v>
      </c>
      <c r="Z189" t="e">
        <f ca="1">IF((A1)=(2),"",IF((185)=(Z4),IF(IF((INDEX(B1:XFD1,((A3)+(1))+(0)))=("store"),(INDEX(B1:XFD1,((A3)+(1))+(1)))=("Z"),"false"),B3,Z189),Z189))</f>
        <v>#VALUE!</v>
      </c>
      <c r="AA189" t="e">
        <f ca="1">IF((A1)=(2),"",IF((185)=(AA4),IF(IF((INDEX(B1:XFD1,((A3)+(1))+(0)))=("store"),(INDEX(B1:XFD1,((A3)+(1))+(1)))=("AA"),"false"),B3,AA189),AA189))</f>
        <v>#VALUE!</v>
      </c>
      <c r="AB189" t="e">
        <f ca="1">IF((A1)=(2),"",IF((185)=(AB4),IF(IF((INDEX(B1:XFD1,((A3)+(1))+(0)))=("store"),(INDEX(B1:XFD1,((A3)+(1))+(1)))=("AB"),"false"),B3,AB189),AB189))</f>
        <v>#VALUE!</v>
      </c>
      <c r="AC189" t="e">
        <f ca="1">IF((A1)=(2),"",IF((185)=(AC4),IF(IF((INDEX(B1:XFD1,((A3)+(1))+(0)))=("store"),(INDEX(B1:XFD1,((A3)+(1))+(1)))=("AC"),"false"),B3,AC189),AC189))</f>
        <v>#VALUE!</v>
      </c>
      <c r="AD189" t="e">
        <f ca="1">IF((A1)=(2),"",IF((185)=(AD4),IF(IF((INDEX(B1:XFD1,((A3)+(1))+(0)))=("store"),(INDEX(B1:XFD1,((A3)+(1))+(1)))=("AD"),"false"),B3,AD189),AD189))</f>
        <v>#VALUE!</v>
      </c>
    </row>
    <row r="190" spans="1:30" x14ac:dyDescent="0.25">
      <c r="A190" t="e">
        <f ca="1">IF((A1)=(2),"",IF((186)=(A4),IF(("call")=(INDEX(B1:XFD1,((A3)+(1))+(0))),(B3)*(2),IF(("goto")=(INDEX(B1:XFD1,((A3)+(1))+(0))),(INDEX(B1:XFD1,((A3)+(1))+(1)))*(2),IF(("gotoiftrue")=(INDEX(B1:XFD1,((A3)+(1))+(0))),IF(B3,(INDEX(B1:XFD1,((A3)+(1))+(1)))*(2),(A190)+(2)),(A190)+(2)))),A190))</f>
        <v>#VALUE!</v>
      </c>
      <c r="B190" t="e">
        <f ca="1">IF((A1)=(2),"",IF((186)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190)+(1)),IF(("add")=(INDEX(B1:XFD1,((A3)+(1))+(0))),(INDEX(B5:B405,(B4)+(1)))+(B190),IF(("equals")=(INDEX(B1:XFD1,((A3)+(1))+(0))),(INDEX(B5:B405,(B4)+(1)))=(B190),IF(("leq")=(INDEX(B1:XFD1,((A3)+(1))+(0))),(INDEX(B5:B405,(B4)+(1)))&lt;=(B190),IF(("greater")=(INDEX(B1:XFD1,((A3)+(1))+(0))),(INDEX(B5:B405,(B4)+(1)))&gt;(B190),IF(("mod")=(INDEX(B1:XFD1,((A3)+(1))+(0))),MOD(INDEX(B5:B405,(B4)+(1)),B190),B190))))))))),B190))</f>
        <v>#VALUE!</v>
      </c>
      <c r="C190" t="e">
        <f ca="1">IF((A1)=(2),1,IF(AND((INDEX(B1:XFD1,((A3)+(1))+(0)))=("writeheap"),(INDEX(B5:B405,(B4)+(1)))=(185)),INDEX(B5:B405,(B4)+(2)),IF((A1)=(2),"",IF((186)=(C4),C190,C190))))</f>
        <v>#VALUE!</v>
      </c>
      <c r="F190" t="e">
        <f ca="1">IF((A1)=(2),"",IF((186)=(F4),IF(IF((INDEX(B1:XFD1,((A3)+(1))+(0)))=("store"),(INDEX(B1:XFD1,((A3)+(1))+(1)))=("F"),"false"),B3,F190),F190))</f>
        <v>#VALUE!</v>
      </c>
      <c r="G190" t="e">
        <f ca="1">IF((A1)=(2),"",IF((186)=(G4),IF(IF((INDEX(B1:XFD1,((A3)+(1))+(0)))=("store"),(INDEX(B1:XFD1,((A3)+(1))+(1)))=("G"),"false"),B3,G190),G190))</f>
        <v>#VALUE!</v>
      </c>
      <c r="H190" t="e">
        <f ca="1">IF((A1)=(2),"",IF((186)=(H4),IF(IF((INDEX(B1:XFD1,((A3)+(1))+(0)))=("store"),(INDEX(B1:XFD1,((A3)+(1))+(1)))=("H"),"false"),B3,H190),H190))</f>
        <v>#VALUE!</v>
      </c>
      <c r="I190" t="e">
        <f ca="1">IF((A1)=(2),"",IF((186)=(I4),IF(IF((INDEX(B1:XFD1,((A3)+(1))+(0)))=("store"),(INDEX(B1:XFD1,((A3)+(1))+(1)))=("I"),"false"),B3,I190),I190))</f>
        <v>#VALUE!</v>
      </c>
      <c r="J190" t="e">
        <f ca="1">IF((A1)=(2),"",IF((186)=(J4),IF(IF((INDEX(B1:XFD1,((A3)+(1))+(0)))=("store"),(INDEX(B1:XFD1,((A3)+(1))+(1)))=("J"),"false"),B3,J190),J190))</f>
        <v>#VALUE!</v>
      </c>
      <c r="K190" t="e">
        <f ca="1">IF((A1)=(2),"",IF((186)=(K4),IF(IF((INDEX(B1:XFD1,((A3)+(1))+(0)))=("store"),(INDEX(B1:XFD1,((A3)+(1))+(1)))=("K"),"false"),B3,K190),K190))</f>
        <v>#VALUE!</v>
      </c>
      <c r="L190" t="e">
        <f ca="1">IF((A1)=(2),"",IF((186)=(L4),IF(IF((INDEX(B1:XFD1,((A3)+(1))+(0)))=("store"),(INDEX(B1:XFD1,((A3)+(1))+(1)))=("L"),"false"),B3,L190),L190))</f>
        <v>#VALUE!</v>
      </c>
      <c r="M190" t="e">
        <f ca="1">IF((A1)=(2),"",IF((186)=(M4),IF(IF((INDEX(B1:XFD1,((A3)+(1))+(0)))=("store"),(INDEX(B1:XFD1,((A3)+(1))+(1)))=("M"),"false"),B3,M190),M190))</f>
        <v>#VALUE!</v>
      </c>
      <c r="N190" t="e">
        <f ca="1">IF((A1)=(2),"",IF((186)=(N4),IF(IF((INDEX(B1:XFD1,((A3)+(1))+(0)))=("store"),(INDEX(B1:XFD1,((A3)+(1))+(1)))=("N"),"false"),B3,N190),N190))</f>
        <v>#VALUE!</v>
      </c>
      <c r="O190" t="e">
        <f ca="1">IF((A1)=(2),"",IF((186)=(O4),IF(IF((INDEX(B1:XFD1,((A3)+(1))+(0)))=("store"),(INDEX(B1:XFD1,((A3)+(1))+(1)))=("O"),"false"),B3,O190),O190))</f>
        <v>#VALUE!</v>
      </c>
      <c r="P190" t="e">
        <f ca="1">IF((A1)=(2),"",IF((186)=(P4),IF(IF((INDEX(B1:XFD1,((A3)+(1))+(0)))=("store"),(INDEX(B1:XFD1,((A3)+(1))+(1)))=("P"),"false"),B3,P190),P190))</f>
        <v>#VALUE!</v>
      </c>
      <c r="Q190" t="e">
        <f ca="1">IF((A1)=(2),"",IF((186)=(Q4),IF(IF((INDEX(B1:XFD1,((A3)+(1))+(0)))=("store"),(INDEX(B1:XFD1,((A3)+(1))+(1)))=("Q"),"false"),B3,Q190),Q190))</f>
        <v>#VALUE!</v>
      </c>
      <c r="R190" t="e">
        <f ca="1">IF((A1)=(2),"",IF((186)=(R4),IF(IF((INDEX(B1:XFD1,((A3)+(1))+(0)))=("store"),(INDEX(B1:XFD1,((A3)+(1))+(1)))=("R"),"false"),B3,R190),R190))</f>
        <v>#VALUE!</v>
      </c>
      <c r="S190" t="e">
        <f ca="1">IF((A1)=(2),"",IF((186)=(S4),IF(IF((INDEX(B1:XFD1,((A3)+(1))+(0)))=("store"),(INDEX(B1:XFD1,((A3)+(1))+(1)))=("S"),"false"),B3,S190),S190))</f>
        <v>#VALUE!</v>
      </c>
      <c r="T190" t="e">
        <f ca="1">IF((A1)=(2),"",IF((186)=(T4),IF(IF((INDEX(B1:XFD1,((A3)+(1))+(0)))=("store"),(INDEX(B1:XFD1,((A3)+(1))+(1)))=("T"),"false"),B3,T190),T190))</f>
        <v>#VALUE!</v>
      </c>
      <c r="U190" t="e">
        <f ca="1">IF((A1)=(2),"",IF((186)=(U4),IF(IF((INDEX(B1:XFD1,((A3)+(1))+(0)))=("store"),(INDEX(B1:XFD1,((A3)+(1))+(1)))=("U"),"false"),B3,U190),U190))</f>
        <v>#VALUE!</v>
      </c>
      <c r="V190" t="e">
        <f ca="1">IF((A1)=(2),"",IF((186)=(V4),IF(IF((INDEX(B1:XFD1,((A3)+(1))+(0)))=("store"),(INDEX(B1:XFD1,((A3)+(1))+(1)))=("V"),"false"),B3,V190),V190))</f>
        <v>#VALUE!</v>
      </c>
      <c r="W190" t="e">
        <f ca="1">IF((A1)=(2),"",IF((186)=(W4),IF(IF((INDEX(B1:XFD1,((A3)+(1))+(0)))=("store"),(INDEX(B1:XFD1,((A3)+(1))+(1)))=("W"),"false"),B3,W190),W190))</f>
        <v>#VALUE!</v>
      </c>
      <c r="X190" t="e">
        <f ca="1">IF((A1)=(2),"",IF((186)=(X4),IF(IF((INDEX(B1:XFD1,((A3)+(1))+(0)))=("store"),(INDEX(B1:XFD1,((A3)+(1))+(1)))=("X"),"false"),B3,X190),X190))</f>
        <v>#VALUE!</v>
      </c>
      <c r="Y190" t="e">
        <f ca="1">IF((A1)=(2),"",IF((186)=(Y4),IF(IF((INDEX(B1:XFD1,((A3)+(1))+(0)))=("store"),(INDEX(B1:XFD1,((A3)+(1))+(1)))=("Y"),"false"),B3,Y190),Y190))</f>
        <v>#VALUE!</v>
      </c>
      <c r="Z190" t="e">
        <f ca="1">IF((A1)=(2),"",IF((186)=(Z4),IF(IF((INDEX(B1:XFD1,((A3)+(1))+(0)))=("store"),(INDEX(B1:XFD1,((A3)+(1))+(1)))=("Z"),"false"),B3,Z190),Z190))</f>
        <v>#VALUE!</v>
      </c>
      <c r="AA190" t="e">
        <f ca="1">IF((A1)=(2),"",IF((186)=(AA4),IF(IF((INDEX(B1:XFD1,((A3)+(1))+(0)))=("store"),(INDEX(B1:XFD1,((A3)+(1))+(1)))=("AA"),"false"),B3,AA190),AA190))</f>
        <v>#VALUE!</v>
      </c>
      <c r="AB190" t="e">
        <f ca="1">IF((A1)=(2),"",IF((186)=(AB4),IF(IF((INDEX(B1:XFD1,((A3)+(1))+(0)))=("store"),(INDEX(B1:XFD1,((A3)+(1))+(1)))=("AB"),"false"),B3,AB190),AB190))</f>
        <v>#VALUE!</v>
      </c>
      <c r="AC190" t="e">
        <f ca="1">IF((A1)=(2),"",IF((186)=(AC4),IF(IF((INDEX(B1:XFD1,((A3)+(1))+(0)))=("store"),(INDEX(B1:XFD1,((A3)+(1))+(1)))=("AC"),"false"),B3,AC190),AC190))</f>
        <v>#VALUE!</v>
      </c>
      <c r="AD190" t="e">
        <f ca="1">IF((A1)=(2),"",IF((186)=(AD4),IF(IF((INDEX(B1:XFD1,((A3)+(1))+(0)))=("store"),(INDEX(B1:XFD1,((A3)+(1))+(1)))=("AD"),"false"),B3,AD190),AD190))</f>
        <v>#VALUE!</v>
      </c>
    </row>
    <row r="191" spans="1:30" x14ac:dyDescent="0.25">
      <c r="A191" t="e">
        <f ca="1">IF((A1)=(2),"",IF((187)=(A4),IF(("call")=(INDEX(B1:XFD1,((A3)+(1))+(0))),(B3)*(2),IF(("goto")=(INDEX(B1:XFD1,((A3)+(1))+(0))),(INDEX(B1:XFD1,((A3)+(1))+(1)))*(2),IF(("gotoiftrue")=(INDEX(B1:XFD1,((A3)+(1))+(0))),IF(B3,(INDEX(B1:XFD1,((A3)+(1))+(1)))*(2),(A191)+(2)),(A191)+(2)))),A191))</f>
        <v>#VALUE!</v>
      </c>
      <c r="B191" t="e">
        <f ca="1">IF((A1)=(2),"",IF((187)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191)+(1)),IF(("add")=(INDEX(B1:XFD1,((A3)+(1))+(0))),(INDEX(B5:B405,(B4)+(1)))+(B191),IF(("equals")=(INDEX(B1:XFD1,((A3)+(1))+(0))),(INDEX(B5:B405,(B4)+(1)))=(B191),IF(("leq")=(INDEX(B1:XFD1,((A3)+(1))+(0))),(INDEX(B5:B405,(B4)+(1)))&lt;=(B191),IF(("greater")=(INDEX(B1:XFD1,((A3)+(1))+(0))),(INDEX(B5:B405,(B4)+(1)))&gt;(B191),IF(("mod")=(INDEX(B1:XFD1,((A3)+(1))+(0))),MOD(INDEX(B5:B405,(B4)+(1)),B191),B191))))))))),B191))</f>
        <v>#VALUE!</v>
      </c>
      <c r="C191" t="e">
        <f ca="1">IF((A1)=(2),1,IF(AND((INDEX(B1:XFD1,((A3)+(1))+(0)))=("writeheap"),(INDEX(B5:B405,(B4)+(1)))=(186)),INDEX(B5:B405,(B4)+(2)),IF((A1)=(2),"",IF((187)=(C4),C191,C191))))</f>
        <v>#VALUE!</v>
      </c>
      <c r="F191" t="e">
        <f ca="1">IF((A1)=(2),"",IF((187)=(F4),IF(IF((INDEX(B1:XFD1,((A3)+(1))+(0)))=("store"),(INDEX(B1:XFD1,((A3)+(1))+(1)))=("F"),"false"),B3,F191),F191))</f>
        <v>#VALUE!</v>
      </c>
      <c r="G191" t="e">
        <f ca="1">IF((A1)=(2),"",IF((187)=(G4),IF(IF((INDEX(B1:XFD1,((A3)+(1))+(0)))=("store"),(INDEX(B1:XFD1,((A3)+(1))+(1)))=("G"),"false"),B3,G191),G191))</f>
        <v>#VALUE!</v>
      </c>
      <c r="H191" t="e">
        <f ca="1">IF((A1)=(2),"",IF((187)=(H4),IF(IF((INDEX(B1:XFD1,((A3)+(1))+(0)))=("store"),(INDEX(B1:XFD1,((A3)+(1))+(1)))=("H"),"false"),B3,H191),H191))</f>
        <v>#VALUE!</v>
      </c>
      <c r="I191" t="e">
        <f ca="1">IF((A1)=(2),"",IF((187)=(I4),IF(IF((INDEX(B1:XFD1,((A3)+(1))+(0)))=("store"),(INDEX(B1:XFD1,((A3)+(1))+(1)))=("I"),"false"),B3,I191),I191))</f>
        <v>#VALUE!</v>
      </c>
      <c r="J191" t="e">
        <f ca="1">IF((A1)=(2),"",IF((187)=(J4),IF(IF((INDEX(B1:XFD1,((A3)+(1))+(0)))=("store"),(INDEX(B1:XFD1,((A3)+(1))+(1)))=("J"),"false"),B3,J191),J191))</f>
        <v>#VALUE!</v>
      </c>
      <c r="K191" t="e">
        <f ca="1">IF((A1)=(2),"",IF((187)=(K4),IF(IF((INDEX(B1:XFD1,((A3)+(1))+(0)))=("store"),(INDEX(B1:XFD1,((A3)+(1))+(1)))=("K"),"false"),B3,K191),K191))</f>
        <v>#VALUE!</v>
      </c>
      <c r="L191" t="e">
        <f ca="1">IF((A1)=(2),"",IF((187)=(L4),IF(IF((INDEX(B1:XFD1,((A3)+(1))+(0)))=("store"),(INDEX(B1:XFD1,((A3)+(1))+(1)))=("L"),"false"),B3,L191),L191))</f>
        <v>#VALUE!</v>
      </c>
      <c r="M191" t="e">
        <f ca="1">IF((A1)=(2),"",IF((187)=(M4),IF(IF((INDEX(B1:XFD1,((A3)+(1))+(0)))=("store"),(INDEX(B1:XFD1,((A3)+(1))+(1)))=("M"),"false"),B3,M191),M191))</f>
        <v>#VALUE!</v>
      </c>
      <c r="N191" t="e">
        <f ca="1">IF((A1)=(2),"",IF((187)=(N4),IF(IF((INDEX(B1:XFD1,((A3)+(1))+(0)))=("store"),(INDEX(B1:XFD1,((A3)+(1))+(1)))=("N"),"false"),B3,N191),N191))</f>
        <v>#VALUE!</v>
      </c>
      <c r="O191" t="e">
        <f ca="1">IF((A1)=(2),"",IF((187)=(O4),IF(IF((INDEX(B1:XFD1,((A3)+(1))+(0)))=("store"),(INDEX(B1:XFD1,((A3)+(1))+(1)))=("O"),"false"),B3,O191),O191))</f>
        <v>#VALUE!</v>
      </c>
      <c r="P191" t="e">
        <f ca="1">IF((A1)=(2),"",IF((187)=(P4),IF(IF((INDEX(B1:XFD1,((A3)+(1))+(0)))=("store"),(INDEX(B1:XFD1,((A3)+(1))+(1)))=("P"),"false"),B3,P191),P191))</f>
        <v>#VALUE!</v>
      </c>
      <c r="Q191" t="e">
        <f ca="1">IF((A1)=(2),"",IF((187)=(Q4),IF(IF((INDEX(B1:XFD1,((A3)+(1))+(0)))=("store"),(INDEX(B1:XFD1,((A3)+(1))+(1)))=("Q"),"false"),B3,Q191),Q191))</f>
        <v>#VALUE!</v>
      </c>
      <c r="R191" t="e">
        <f ca="1">IF((A1)=(2),"",IF((187)=(R4),IF(IF((INDEX(B1:XFD1,((A3)+(1))+(0)))=("store"),(INDEX(B1:XFD1,((A3)+(1))+(1)))=("R"),"false"),B3,R191),R191))</f>
        <v>#VALUE!</v>
      </c>
      <c r="S191" t="e">
        <f ca="1">IF((A1)=(2),"",IF((187)=(S4),IF(IF((INDEX(B1:XFD1,((A3)+(1))+(0)))=("store"),(INDEX(B1:XFD1,((A3)+(1))+(1)))=("S"),"false"),B3,S191),S191))</f>
        <v>#VALUE!</v>
      </c>
      <c r="T191" t="e">
        <f ca="1">IF((A1)=(2),"",IF((187)=(T4),IF(IF((INDEX(B1:XFD1,((A3)+(1))+(0)))=("store"),(INDEX(B1:XFD1,((A3)+(1))+(1)))=("T"),"false"),B3,T191),T191))</f>
        <v>#VALUE!</v>
      </c>
      <c r="U191" t="e">
        <f ca="1">IF((A1)=(2),"",IF((187)=(U4),IF(IF((INDEX(B1:XFD1,((A3)+(1))+(0)))=("store"),(INDEX(B1:XFD1,((A3)+(1))+(1)))=("U"),"false"),B3,U191),U191))</f>
        <v>#VALUE!</v>
      </c>
      <c r="V191" t="e">
        <f ca="1">IF((A1)=(2),"",IF((187)=(V4),IF(IF((INDEX(B1:XFD1,((A3)+(1))+(0)))=("store"),(INDEX(B1:XFD1,((A3)+(1))+(1)))=("V"),"false"),B3,V191),V191))</f>
        <v>#VALUE!</v>
      </c>
      <c r="W191" t="e">
        <f ca="1">IF((A1)=(2),"",IF((187)=(W4),IF(IF((INDEX(B1:XFD1,((A3)+(1))+(0)))=("store"),(INDEX(B1:XFD1,((A3)+(1))+(1)))=("W"),"false"),B3,W191),W191))</f>
        <v>#VALUE!</v>
      </c>
      <c r="X191" t="e">
        <f ca="1">IF((A1)=(2),"",IF((187)=(X4),IF(IF((INDEX(B1:XFD1,((A3)+(1))+(0)))=("store"),(INDEX(B1:XFD1,((A3)+(1))+(1)))=("X"),"false"),B3,X191),X191))</f>
        <v>#VALUE!</v>
      </c>
      <c r="Y191" t="e">
        <f ca="1">IF((A1)=(2),"",IF((187)=(Y4),IF(IF((INDEX(B1:XFD1,((A3)+(1))+(0)))=("store"),(INDEX(B1:XFD1,((A3)+(1))+(1)))=("Y"),"false"),B3,Y191),Y191))</f>
        <v>#VALUE!</v>
      </c>
      <c r="Z191" t="e">
        <f ca="1">IF((A1)=(2),"",IF((187)=(Z4),IF(IF((INDEX(B1:XFD1,((A3)+(1))+(0)))=("store"),(INDEX(B1:XFD1,((A3)+(1))+(1)))=("Z"),"false"),B3,Z191),Z191))</f>
        <v>#VALUE!</v>
      </c>
      <c r="AA191" t="e">
        <f ca="1">IF((A1)=(2),"",IF((187)=(AA4),IF(IF((INDEX(B1:XFD1,((A3)+(1))+(0)))=("store"),(INDEX(B1:XFD1,((A3)+(1))+(1)))=("AA"),"false"),B3,AA191),AA191))</f>
        <v>#VALUE!</v>
      </c>
      <c r="AB191" t="e">
        <f ca="1">IF((A1)=(2),"",IF((187)=(AB4),IF(IF((INDEX(B1:XFD1,((A3)+(1))+(0)))=("store"),(INDEX(B1:XFD1,((A3)+(1))+(1)))=("AB"),"false"),B3,AB191),AB191))</f>
        <v>#VALUE!</v>
      </c>
      <c r="AC191" t="e">
        <f ca="1">IF((A1)=(2),"",IF((187)=(AC4),IF(IF((INDEX(B1:XFD1,((A3)+(1))+(0)))=("store"),(INDEX(B1:XFD1,((A3)+(1))+(1)))=("AC"),"false"),B3,AC191),AC191))</f>
        <v>#VALUE!</v>
      </c>
      <c r="AD191" t="e">
        <f ca="1">IF((A1)=(2),"",IF((187)=(AD4),IF(IF((INDEX(B1:XFD1,((A3)+(1))+(0)))=("store"),(INDEX(B1:XFD1,((A3)+(1))+(1)))=("AD"),"false"),B3,AD191),AD191))</f>
        <v>#VALUE!</v>
      </c>
    </row>
    <row r="192" spans="1:30" x14ac:dyDescent="0.25">
      <c r="A192" t="e">
        <f ca="1">IF((A1)=(2),"",IF((188)=(A4),IF(("call")=(INDEX(B1:XFD1,((A3)+(1))+(0))),(B3)*(2),IF(("goto")=(INDEX(B1:XFD1,((A3)+(1))+(0))),(INDEX(B1:XFD1,((A3)+(1))+(1)))*(2),IF(("gotoiftrue")=(INDEX(B1:XFD1,((A3)+(1))+(0))),IF(B3,(INDEX(B1:XFD1,((A3)+(1))+(1)))*(2),(A192)+(2)),(A192)+(2)))),A192))</f>
        <v>#VALUE!</v>
      </c>
      <c r="B192" t="e">
        <f ca="1">IF((A1)=(2),"",IF((188)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192)+(1)),IF(("add")=(INDEX(B1:XFD1,((A3)+(1))+(0))),(INDEX(B5:B405,(B4)+(1)))+(B192),IF(("equals")=(INDEX(B1:XFD1,((A3)+(1))+(0))),(INDEX(B5:B405,(B4)+(1)))=(B192),IF(("leq")=(INDEX(B1:XFD1,((A3)+(1))+(0))),(INDEX(B5:B405,(B4)+(1)))&lt;=(B192),IF(("greater")=(INDEX(B1:XFD1,((A3)+(1))+(0))),(INDEX(B5:B405,(B4)+(1)))&gt;(B192),IF(("mod")=(INDEX(B1:XFD1,((A3)+(1))+(0))),MOD(INDEX(B5:B405,(B4)+(1)),B192),B192))))))))),B192))</f>
        <v>#VALUE!</v>
      </c>
      <c r="C192" t="e">
        <f ca="1">IF((A1)=(2),1,IF(AND((INDEX(B1:XFD1,((A3)+(1))+(0)))=("writeheap"),(INDEX(B5:B405,(B4)+(1)))=(187)),INDEX(B5:B405,(B4)+(2)),IF((A1)=(2),"",IF((188)=(C4),C192,C192))))</f>
        <v>#VALUE!</v>
      </c>
      <c r="F192" t="e">
        <f ca="1">IF((A1)=(2),"",IF((188)=(F4),IF(IF((INDEX(B1:XFD1,((A3)+(1))+(0)))=("store"),(INDEX(B1:XFD1,((A3)+(1))+(1)))=("F"),"false"),B3,F192),F192))</f>
        <v>#VALUE!</v>
      </c>
      <c r="G192" t="e">
        <f ca="1">IF((A1)=(2),"",IF((188)=(G4),IF(IF((INDEX(B1:XFD1,((A3)+(1))+(0)))=("store"),(INDEX(B1:XFD1,((A3)+(1))+(1)))=("G"),"false"),B3,G192),G192))</f>
        <v>#VALUE!</v>
      </c>
      <c r="H192" t="e">
        <f ca="1">IF((A1)=(2),"",IF((188)=(H4),IF(IF((INDEX(B1:XFD1,((A3)+(1))+(0)))=("store"),(INDEX(B1:XFD1,((A3)+(1))+(1)))=("H"),"false"),B3,H192),H192))</f>
        <v>#VALUE!</v>
      </c>
      <c r="I192" t="e">
        <f ca="1">IF((A1)=(2),"",IF((188)=(I4),IF(IF((INDEX(B1:XFD1,((A3)+(1))+(0)))=("store"),(INDEX(B1:XFD1,((A3)+(1))+(1)))=("I"),"false"),B3,I192),I192))</f>
        <v>#VALUE!</v>
      </c>
      <c r="J192" t="e">
        <f ca="1">IF((A1)=(2),"",IF((188)=(J4),IF(IF((INDEX(B1:XFD1,((A3)+(1))+(0)))=("store"),(INDEX(B1:XFD1,((A3)+(1))+(1)))=("J"),"false"),B3,J192),J192))</f>
        <v>#VALUE!</v>
      </c>
      <c r="K192" t="e">
        <f ca="1">IF((A1)=(2),"",IF((188)=(K4),IF(IF((INDEX(B1:XFD1,((A3)+(1))+(0)))=("store"),(INDEX(B1:XFD1,((A3)+(1))+(1)))=("K"),"false"),B3,K192),K192))</f>
        <v>#VALUE!</v>
      </c>
      <c r="L192" t="e">
        <f ca="1">IF((A1)=(2),"",IF((188)=(L4),IF(IF((INDEX(B1:XFD1,((A3)+(1))+(0)))=("store"),(INDEX(B1:XFD1,((A3)+(1))+(1)))=("L"),"false"),B3,L192),L192))</f>
        <v>#VALUE!</v>
      </c>
      <c r="M192" t="e">
        <f ca="1">IF((A1)=(2),"",IF((188)=(M4),IF(IF((INDEX(B1:XFD1,((A3)+(1))+(0)))=("store"),(INDEX(B1:XFD1,((A3)+(1))+(1)))=("M"),"false"),B3,M192),M192))</f>
        <v>#VALUE!</v>
      </c>
      <c r="N192" t="e">
        <f ca="1">IF((A1)=(2),"",IF((188)=(N4),IF(IF((INDEX(B1:XFD1,((A3)+(1))+(0)))=("store"),(INDEX(B1:XFD1,((A3)+(1))+(1)))=("N"),"false"),B3,N192),N192))</f>
        <v>#VALUE!</v>
      </c>
      <c r="O192" t="e">
        <f ca="1">IF((A1)=(2),"",IF((188)=(O4),IF(IF((INDEX(B1:XFD1,((A3)+(1))+(0)))=("store"),(INDEX(B1:XFD1,((A3)+(1))+(1)))=("O"),"false"),B3,O192),O192))</f>
        <v>#VALUE!</v>
      </c>
      <c r="P192" t="e">
        <f ca="1">IF((A1)=(2),"",IF((188)=(P4),IF(IF((INDEX(B1:XFD1,((A3)+(1))+(0)))=("store"),(INDEX(B1:XFD1,((A3)+(1))+(1)))=("P"),"false"),B3,P192),P192))</f>
        <v>#VALUE!</v>
      </c>
      <c r="Q192" t="e">
        <f ca="1">IF((A1)=(2),"",IF((188)=(Q4),IF(IF((INDEX(B1:XFD1,((A3)+(1))+(0)))=("store"),(INDEX(B1:XFD1,((A3)+(1))+(1)))=("Q"),"false"),B3,Q192),Q192))</f>
        <v>#VALUE!</v>
      </c>
      <c r="R192" t="e">
        <f ca="1">IF((A1)=(2),"",IF((188)=(R4),IF(IF((INDEX(B1:XFD1,((A3)+(1))+(0)))=("store"),(INDEX(B1:XFD1,((A3)+(1))+(1)))=("R"),"false"),B3,R192),R192))</f>
        <v>#VALUE!</v>
      </c>
      <c r="S192" t="e">
        <f ca="1">IF((A1)=(2),"",IF((188)=(S4),IF(IF((INDEX(B1:XFD1,((A3)+(1))+(0)))=("store"),(INDEX(B1:XFD1,((A3)+(1))+(1)))=("S"),"false"),B3,S192),S192))</f>
        <v>#VALUE!</v>
      </c>
      <c r="T192" t="e">
        <f ca="1">IF((A1)=(2),"",IF((188)=(T4),IF(IF((INDEX(B1:XFD1,((A3)+(1))+(0)))=("store"),(INDEX(B1:XFD1,((A3)+(1))+(1)))=("T"),"false"),B3,T192),T192))</f>
        <v>#VALUE!</v>
      </c>
      <c r="U192" t="e">
        <f ca="1">IF((A1)=(2),"",IF((188)=(U4),IF(IF((INDEX(B1:XFD1,((A3)+(1))+(0)))=("store"),(INDEX(B1:XFD1,((A3)+(1))+(1)))=("U"),"false"),B3,U192),U192))</f>
        <v>#VALUE!</v>
      </c>
      <c r="V192" t="e">
        <f ca="1">IF((A1)=(2),"",IF((188)=(V4),IF(IF((INDEX(B1:XFD1,((A3)+(1))+(0)))=("store"),(INDEX(B1:XFD1,((A3)+(1))+(1)))=("V"),"false"),B3,V192),V192))</f>
        <v>#VALUE!</v>
      </c>
      <c r="W192" t="e">
        <f ca="1">IF((A1)=(2),"",IF((188)=(W4),IF(IF((INDEX(B1:XFD1,((A3)+(1))+(0)))=("store"),(INDEX(B1:XFD1,((A3)+(1))+(1)))=("W"),"false"),B3,W192),W192))</f>
        <v>#VALUE!</v>
      </c>
      <c r="X192" t="e">
        <f ca="1">IF((A1)=(2),"",IF((188)=(X4),IF(IF((INDEX(B1:XFD1,((A3)+(1))+(0)))=("store"),(INDEX(B1:XFD1,((A3)+(1))+(1)))=("X"),"false"),B3,X192),X192))</f>
        <v>#VALUE!</v>
      </c>
      <c r="Y192" t="e">
        <f ca="1">IF((A1)=(2),"",IF((188)=(Y4),IF(IF((INDEX(B1:XFD1,((A3)+(1))+(0)))=("store"),(INDEX(B1:XFD1,((A3)+(1))+(1)))=("Y"),"false"),B3,Y192),Y192))</f>
        <v>#VALUE!</v>
      </c>
      <c r="Z192" t="e">
        <f ca="1">IF((A1)=(2),"",IF((188)=(Z4),IF(IF((INDEX(B1:XFD1,((A3)+(1))+(0)))=("store"),(INDEX(B1:XFD1,((A3)+(1))+(1)))=("Z"),"false"),B3,Z192),Z192))</f>
        <v>#VALUE!</v>
      </c>
      <c r="AA192" t="e">
        <f ca="1">IF((A1)=(2),"",IF((188)=(AA4),IF(IF((INDEX(B1:XFD1,((A3)+(1))+(0)))=("store"),(INDEX(B1:XFD1,((A3)+(1))+(1)))=("AA"),"false"),B3,AA192),AA192))</f>
        <v>#VALUE!</v>
      </c>
      <c r="AB192" t="e">
        <f ca="1">IF((A1)=(2),"",IF((188)=(AB4),IF(IF((INDEX(B1:XFD1,((A3)+(1))+(0)))=("store"),(INDEX(B1:XFD1,((A3)+(1))+(1)))=("AB"),"false"),B3,AB192),AB192))</f>
        <v>#VALUE!</v>
      </c>
      <c r="AC192" t="e">
        <f ca="1">IF((A1)=(2),"",IF((188)=(AC4),IF(IF((INDEX(B1:XFD1,((A3)+(1))+(0)))=("store"),(INDEX(B1:XFD1,((A3)+(1))+(1)))=("AC"),"false"),B3,AC192),AC192))</f>
        <v>#VALUE!</v>
      </c>
      <c r="AD192" t="e">
        <f ca="1">IF((A1)=(2),"",IF((188)=(AD4),IF(IF((INDEX(B1:XFD1,((A3)+(1))+(0)))=("store"),(INDEX(B1:XFD1,((A3)+(1))+(1)))=("AD"),"false"),B3,AD192),AD192))</f>
        <v>#VALUE!</v>
      </c>
    </row>
    <row r="193" spans="1:30" x14ac:dyDescent="0.25">
      <c r="A193" t="e">
        <f ca="1">IF((A1)=(2),"",IF((189)=(A4),IF(("call")=(INDEX(B1:XFD1,((A3)+(1))+(0))),(B3)*(2),IF(("goto")=(INDEX(B1:XFD1,((A3)+(1))+(0))),(INDEX(B1:XFD1,((A3)+(1))+(1)))*(2),IF(("gotoiftrue")=(INDEX(B1:XFD1,((A3)+(1))+(0))),IF(B3,(INDEX(B1:XFD1,((A3)+(1))+(1)))*(2),(A193)+(2)),(A193)+(2)))),A193))</f>
        <v>#VALUE!</v>
      </c>
      <c r="B193" t="e">
        <f ca="1">IF((A1)=(2),"",IF((189)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193)+(1)),IF(("add")=(INDEX(B1:XFD1,((A3)+(1))+(0))),(INDEX(B5:B405,(B4)+(1)))+(B193),IF(("equals")=(INDEX(B1:XFD1,((A3)+(1))+(0))),(INDEX(B5:B405,(B4)+(1)))=(B193),IF(("leq")=(INDEX(B1:XFD1,((A3)+(1))+(0))),(INDEX(B5:B405,(B4)+(1)))&lt;=(B193),IF(("greater")=(INDEX(B1:XFD1,((A3)+(1))+(0))),(INDEX(B5:B405,(B4)+(1)))&gt;(B193),IF(("mod")=(INDEX(B1:XFD1,((A3)+(1))+(0))),MOD(INDEX(B5:B405,(B4)+(1)),B193),B193))))))))),B193))</f>
        <v>#VALUE!</v>
      </c>
      <c r="C193" t="e">
        <f ca="1">IF((A1)=(2),1,IF(AND((INDEX(B1:XFD1,((A3)+(1))+(0)))=("writeheap"),(INDEX(B5:B405,(B4)+(1)))=(188)),INDEX(B5:B405,(B4)+(2)),IF((A1)=(2),"",IF((189)=(C4),C193,C193))))</f>
        <v>#VALUE!</v>
      </c>
      <c r="F193" t="e">
        <f ca="1">IF((A1)=(2),"",IF((189)=(F4),IF(IF((INDEX(B1:XFD1,((A3)+(1))+(0)))=("store"),(INDEX(B1:XFD1,((A3)+(1))+(1)))=("F"),"false"),B3,F193),F193))</f>
        <v>#VALUE!</v>
      </c>
      <c r="G193" t="e">
        <f ca="1">IF((A1)=(2),"",IF((189)=(G4),IF(IF((INDEX(B1:XFD1,((A3)+(1))+(0)))=("store"),(INDEX(B1:XFD1,((A3)+(1))+(1)))=("G"),"false"),B3,G193),G193))</f>
        <v>#VALUE!</v>
      </c>
      <c r="H193" t="e">
        <f ca="1">IF((A1)=(2),"",IF((189)=(H4),IF(IF((INDEX(B1:XFD1,((A3)+(1))+(0)))=("store"),(INDEX(B1:XFD1,((A3)+(1))+(1)))=("H"),"false"),B3,H193),H193))</f>
        <v>#VALUE!</v>
      </c>
      <c r="I193" t="e">
        <f ca="1">IF((A1)=(2),"",IF((189)=(I4),IF(IF((INDEX(B1:XFD1,((A3)+(1))+(0)))=("store"),(INDEX(B1:XFD1,((A3)+(1))+(1)))=("I"),"false"),B3,I193),I193))</f>
        <v>#VALUE!</v>
      </c>
      <c r="J193" t="e">
        <f ca="1">IF((A1)=(2),"",IF((189)=(J4),IF(IF((INDEX(B1:XFD1,((A3)+(1))+(0)))=("store"),(INDEX(B1:XFD1,((A3)+(1))+(1)))=("J"),"false"),B3,J193),J193))</f>
        <v>#VALUE!</v>
      </c>
      <c r="K193" t="e">
        <f ca="1">IF((A1)=(2),"",IF((189)=(K4),IF(IF((INDEX(B1:XFD1,((A3)+(1))+(0)))=("store"),(INDEX(B1:XFD1,((A3)+(1))+(1)))=("K"),"false"),B3,K193),K193))</f>
        <v>#VALUE!</v>
      </c>
      <c r="L193" t="e">
        <f ca="1">IF((A1)=(2),"",IF((189)=(L4),IF(IF((INDEX(B1:XFD1,((A3)+(1))+(0)))=("store"),(INDEX(B1:XFD1,((A3)+(1))+(1)))=("L"),"false"),B3,L193),L193))</f>
        <v>#VALUE!</v>
      </c>
      <c r="M193" t="e">
        <f ca="1">IF((A1)=(2),"",IF((189)=(M4),IF(IF((INDEX(B1:XFD1,((A3)+(1))+(0)))=("store"),(INDEX(B1:XFD1,((A3)+(1))+(1)))=("M"),"false"),B3,M193),M193))</f>
        <v>#VALUE!</v>
      </c>
      <c r="N193" t="e">
        <f ca="1">IF((A1)=(2),"",IF((189)=(N4),IF(IF((INDEX(B1:XFD1,((A3)+(1))+(0)))=("store"),(INDEX(B1:XFD1,((A3)+(1))+(1)))=("N"),"false"),B3,N193),N193))</f>
        <v>#VALUE!</v>
      </c>
      <c r="O193" t="e">
        <f ca="1">IF((A1)=(2),"",IF((189)=(O4),IF(IF((INDEX(B1:XFD1,((A3)+(1))+(0)))=("store"),(INDEX(B1:XFD1,((A3)+(1))+(1)))=("O"),"false"),B3,O193),O193))</f>
        <v>#VALUE!</v>
      </c>
      <c r="P193" t="e">
        <f ca="1">IF((A1)=(2),"",IF((189)=(P4),IF(IF((INDEX(B1:XFD1,((A3)+(1))+(0)))=("store"),(INDEX(B1:XFD1,((A3)+(1))+(1)))=("P"),"false"),B3,P193),P193))</f>
        <v>#VALUE!</v>
      </c>
      <c r="Q193" t="e">
        <f ca="1">IF((A1)=(2),"",IF((189)=(Q4),IF(IF((INDEX(B1:XFD1,((A3)+(1))+(0)))=("store"),(INDEX(B1:XFD1,((A3)+(1))+(1)))=("Q"),"false"),B3,Q193),Q193))</f>
        <v>#VALUE!</v>
      </c>
      <c r="R193" t="e">
        <f ca="1">IF((A1)=(2),"",IF((189)=(R4),IF(IF((INDEX(B1:XFD1,((A3)+(1))+(0)))=("store"),(INDEX(B1:XFD1,((A3)+(1))+(1)))=("R"),"false"),B3,R193),R193))</f>
        <v>#VALUE!</v>
      </c>
      <c r="S193" t="e">
        <f ca="1">IF((A1)=(2),"",IF((189)=(S4),IF(IF((INDEX(B1:XFD1,((A3)+(1))+(0)))=("store"),(INDEX(B1:XFD1,((A3)+(1))+(1)))=("S"),"false"),B3,S193),S193))</f>
        <v>#VALUE!</v>
      </c>
      <c r="T193" t="e">
        <f ca="1">IF((A1)=(2),"",IF((189)=(T4),IF(IF((INDEX(B1:XFD1,((A3)+(1))+(0)))=("store"),(INDEX(B1:XFD1,((A3)+(1))+(1)))=("T"),"false"),B3,T193),T193))</f>
        <v>#VALUE!</v>
      </c>
      <c r="U193" t="e">
        <f ca="1">IF((A1)=(2),"",IF((189)=(U4),IF(IF((INDEX(B1:XFD1,((A3)+(1))+(0)))=("store"),(INDEX(B1:XFD1,((A3)+(1))+(1)))=("U"),"false"),B3,U193),U193))</f>
        <v>#VALUE!</v>
      </c>
      <c r="V193" t="e">
        <f ca="1">IF((A1)=(2),"",IF((189)=(V4),IF(IF((INDEX(B1:XFD1,((A3)+(1))+(0)))=("store"),(INDEX(B1:XFD1,((A3)+(1))+(1)))=("V"),"false"),B3,V193),V193))</f>
        <v>#VALUE!</v>
      </c>
      <c r="W193" t="e">
        <f ca="1">IF((A1)=(2),"",IF((189)=(W4),IF(IF((INDEX(B1:XFD1,((A3)+(1))+(0)))=("store"),(INDEX(B1:XFD1,((A3)+(1))+(1)))=("W"),"false"),B3,W193),W193))</f>
        <v>#VALUE!</v>
      </c>
      <c r="X193" t="e">
        <f ca="1">IF((A1)=(2),"",IF((189)=(X4),IF(IF((INDEX(B1:XFD1,((A3)+(1))+(0)))=("store"),(INDEX(B1:XFD1,((A3)+(1))+(1)))=("X"),"false"),B3,X193),X193))</f>
        <v>#VALUE!</v>
      </c>
      <c r="Y193" t="e">
        <f ca="1">IF((A1)=(2),"",IF((189)=(Y4),IF(IF((INDEX(B1:XFD1,((A3)+(1))+(0)))=("store"),(INDEX(B1:XFD1,((A3)+(1))+(1)))=("Y"),"false"),B3,Y193),Y193))</f>
        <v>#VALUE!</v>
      </c>
      <c r="Z193" t="e">
        <f ca="1">IF((A1)=(2),"",IF((189)=(Z4),IF(IF((INDEX(B1:XFD1,((A3)+(1))+(0)))=("store"),(INDEX(B1:XFD1,((A3)+(1))+(1)))=("Z"),"false"),B3,Z193),Z193))</f>
        <v>#VALUE!</v>
      </c>
      <c r="AA193" t="e">
        <f ca="1">IF((A1)=(2),"",IF((189)=(AA4),IF(IF((INDEX(B1:XFD1,((A3)+(1))+(0)))=("store"),(INDEX(B1:XFD1,((A3)+(1))+(1)))=("AA"),"false"),B3,AA193),AA193))</f>
        <v>#VALUE!</v>
      </c>
      <c r="AB193" t="e">
        <f ca="1">IF((A1)=(2),"",IF((189)=(AB4),IF(IF((INDEX(B1:XFD1,((A3)+(1))+(0)))=("store"),(INDEX(B1:XFD1,((A3)+(1))+(1)))=("AB"),"false"),B3,AB193),AB193))</f>
        <v>#VALUE!</v>
      </c>
      <c r="AC193" t="e">
        <f ca="1">IF((A1)=(2),"",IF((189)=(AC4),IF(IF((INDEX(B1:XFD1,((A3)+(1))+(0)))=("store"),(INDEX(B1:XFD1,((A3)+(1))+(1)))=("AC"),"false"),B3,AC193),AC193))</f>
        <v>#VALUE!</v>
      </c>
      <c r="AD193" t="e">
        <f ca="1">IF((A1)=(2),"",IF((189)=(AD4),IF(IF((INDEX(B1:XFD1,((A3)+(1))+(0)))=("store"),(INDEX(B1:XFD1,((A3)+(1))+(1)))=("AD"),"false"),B3,AD193),AD193))</f>
        <v>#VALUE!</v>
      </c>
    </row>
    <row r="194" spans="1:30" x14ac:dyDescent="0.25">
      <c r="A194" t="e">
        <f ca="1">IF((A1)=(2),"",IF((190)=(A4),IF(("call")=(INDEX(B1:XFD1,((A3)+(1))+(0))),(B3)*(2),IF(("goto")=(INDEX(B1:XFD1,((A3)+(1))+(0))),(INDEX(B1:XFD1,((A3)+(1))+(1)))*(2),IF(("gotoiftrue")=(INDEX(B1:XFD1,((A3)+(1))+(0))),IF(B3,(INDEX(B1:XFD1,((A3)+(1))+(1)))*(2),(A194)+(2)),(A194)+(2)))),A194))</f>
        <v>#VALUE!</v>
      </c>
      <c r="B194" t="e">
        <f ca="1">IF((A1)=(2),"",IF((190)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194)+(1)),IF(("add")=(INDEX(B1:XFD1,((A3)+(1))+(0))),(INDEX(B5:B405,(B4)+(1)))+(B194),IF(("equals")=(INDEX(B1:XFD1,((A3)+(1))+(0))),(INDEX(B5:B405,(B4)+(1)))=(B194),IF(("leq")=(INDEX(B1:XFD1,((A3)+(1))+(0))),(INDEX(B5:B405,(B4)+(1)))&lt;=(B194),IF(("greater")=(INDEX(B1:XFD1,((A3)+(1))+(0))),(INDEX(B5:B405,(B4)+(1)))&gt;(B194),IF(("mod")=(INDEX(B1:XFD1,((A3)+(1))+(0))),MOD(INDEX(B5:B405,(B4)+(1)),B194),B194))))))))),B194))</f>
        <v>#VALUE!</v>
      </c>
      <c r="C194" t="e">
        <f ca="1">IF((A1)=(2),1,IF(AND((INDEX(B1:XFD1,((A3)+(1))+(0)))=("writeheap"),(INDEX(B5:B405,(B4)+(1)))=(189)),INDEX(B5:B405,(B4)+(2)),IF((A1)=(2),"",IF((190)=(C4),C194,C194))))</f>
        <v>#VALUE!</v>
      </c>
      <c r="F194" t="e">
        <f ca="1">IF((A1)=(2),"",IF((190)=(F4),IF(IF((INDEX(B1:XFD1,((A3)+(1))+(0)))=("store"),(INDEX(B1:XFD1,((A3)+(1))+(1)))=("F"),"false"),B3,F194),F194))</f>
        <v>#VALUE!</v>
      </c>
      <c r="G194" t="e">
        <f ca="1">IF((A1)=(2),"",IF((190)=(G4),IF(IF((INDEX(B1:XFD1,((A3)+(1))+(0)))=("store"),(INDEX(B1:XFD1,((A3)+(1))+(1)))=("G"),"false"),B3,G194),G194))</f>
        <v>#VALUE!</v>
      </c>
      <c r="H194" t="e">
        <f ca="1">IF((A1)=(2),"",IF((190)=(H4),IF(IF((INDEX(B1:XFD1,((A3)+(1))+(0)))=("store"),(INDEX(B1:XFD1,((A3)+(1))+(1)))=("H"),"false"),B3,H194),H194))</f>
        <v>#VALUE!</v>
      </c>
      <c r="I194" t="e">
        <f ca="1">IF((A1)=(2),"",IF((190)=(I4),IF(IF((INDEX(B1:XFD1,((A3)+(1))+(0)))=("store"),(INDEX(B1:XFD1,((A3)+(1))+(1)))=("I"),"false"),B3,I194),I194))</f>
        <v>#VALUE!</v>
      </c>
      <c r="J194" t="e">
        <f ca="1">IF((A1)=(2),"",IF((190)=(J4),IF(IF((INDEX(B1:XFD1,((A3)+(1))+(0)))=("store"),(INDEX(B1:XFD1,((A3)+(1))+(1)))=("J"),"false"),B3,J194),J194))</f>
        <v>#VALUE!</v>
      </c>
      <c r="K194" t="e">
        <f ca="1">IF((A1)=(2),"",IF((190)=(K4),IF(IF((INDEX(B1:XFD1,((A3)+(1))+(0)))=("store"),(INDEX(B1:XFD1,((A3)+(1))+(1)))=("K"),"false"),B3,K194),K194))</f>
        <v>#VALUE!</v>
      </c>
      <c r="L194" t="e">
        <f ca="1">IF((A1)=(2),"",IF((190)=(L4),IF(IF((INDEX(B1:XFD1,((A3)+(1))+(0)))=("store"),(INDEX(B1:XFD1,((A3)+(1))+(1)))=("L"),"false"),B3,L194),L194))</f>
        <v>#VALUE!</v>
      </c>
      <c r="M194" t="e">
        <f ca="1">IF((A1)=(2),"",IF((190)=(M4),IF(IF((INDEX(B1:XFD1,((A3)+(1))+(0)))=("store"),(INDEX(B1:XFD1,((A3)+(1))+(1)))=("M"),"false"),B3,M194),M194))</f>
        <v>#VALUE!</v>
      </c>
      <c r="N194" t="e">
        <f ca="1">IF((A1)=(2),"",IF((190)=(N4),IF(IF((INDEX(B1:XFD1,((A3)+(1))+(0)))=("store"),(INDEX(B1:XFD1,((A3)+(1))+(1)))=("N"),"false"),B3,N194),N194))</f>
        <v>#VALUE!</v>
      </c>
      <c r="O194" t="e">
        <f ca="1">IF((A1)=(2),"",IF((190)=(O4),IF(IF((INDEX(B1:XFD1,((A3)+(1))+(0)))=("store"),(INDEX(B1:XFD1,((A3)+(1))+(1)))=("O"),"false"),B3,O194),O194))</f>
        <v>#VALUE!</v>
      </c>
      <c r="P194" t="e">
        <f ca="1">IF((A1)=(2),"",IF((190)=(P4),IF(IF((INDEX(B1:XFD1,((A3)+(1))+(0)))=("store"),(INDEX(B1:XFD1,((A3)+(1))+(1)))=("P"),"false"),B3,P194),P194))</f>
        <v>#VALUE!</v>
      </c>
      <c r="Q194" t="e">
        <f ca="1">IF((A1)=(2),"",IF((190)=(Q4),IF(IF((INDEX(B1:XFD1,((A3)+(1))+(0)))=("store"),(INDEX(B1:XFD1,((A3)+(1))+(1)))=("Q"),"false"),B3,Q194),Q194))</f>
        <v>#VALUE!</v>
      </c>
      <c r="R194" t="e">
        <f ca="1">IF((A1)=(2),"",IF((190)=(R4),IF(IF((INDEX(B1:XFD1,((A3)+(1))+(0)))=("store"),(INDEX(B1:XFD1,((A3)+(1))+(1)))=("R"),"false"),B3,R194),R194))</f>
        <v>#VALUE!</v>
      </c>
      <c r="S194" t="e">
        <f ca="1">IF((A1)=(2),"",IF((190)=(S4),IF(IF((INDEX(B1:XFD1,((A3)+(1))+(0)))=("store"),(INDEX(B1:XFD1,((A3)+(1))+(1)))=("S"),"false"),B3,S194),S194))</f>
        <v>#VALUE!</v>
      </c>
      <c r="T194" t="e">
        <f ca="1">IF((A1)=(2),"",IF((190)=(T4),IF(IF((INDEX(B1:XFD1,((A3)+(1))+(0)))=("store"),(INDEX(B1:XFD1,((A3)+(1))+(1)))=("T"),"false"),B3,T194),T194))</f>
        <v>#VALUE!</v>
      </c>
      <c r="U194" t="e">
        <f ca="1">IF((A1)=(2),"",IF((190)=(U4),IF(IF((INDEX(B1:XFD1,((A3)+(1))+(0)))=("store"),(INDEX(B1:XFD1,((A3)+(1))+(1)))=("U"),"false"),B3,U194),U194))</f>
        <v>#VALUE!</v>
      </c>
      <c r="V194" t="e">
        <f ca="1">IF((A1)=(2),"",IF((190)=(V4),IF(IF((INDEX(B1:XFD1,((A3)+(1))+(0)))=("store"),(INDEX(B1:XFD1,((A3)+(1))+(1)))=("V"),"false"),B3,V194),V194))</f>
        <v>#VALUE!</v>
      </c>
      <c r="W194" t="e">
        <f ca="1">IF((A1)=(2),"",IF((190)=(W4),IF(IF((INDEX(B1:XFD1,((A3)+(1))+(0)))=("store"),(INDEX(B1:XFD1,((A3)+(1))+(1)))=("W"),"false"),B3,W194),W194))</f>
        <v>#VALUE!</v>
      </c>
      <c r="X194" t="e">
        <f ca="1">IF((A1)=(2),"",IF((190)=(X4),IF(IF((INDEX(B1:XFD1,((A3)+(1))+(0)))=("store"),(INDEX(B1:XFD1,((A3)+(1))+(1)))=("X"),"false"),B3,X194),X194))</f>
        <v>#VALUE!</v>
      </c>
      <c r="Y194" t="e">
        <f ca="1">IF((A1)=(2),"",IF((190)=(Y4),IF(IF((INDEX(B1:XFD1,((A3)+(1))+(0)))=("store"),(INDEX(B1:XFD1,((A3)+(1))+(1)))=("Y"),"false"),B3,Y194),Y194))</f>
        <v>#VALUE!</v>
      </c>
      <c r="Z194" t="e">
        <f ca="1">IF((A1)=(2),"",IF((190)=(Z4),IF(IF((INDEX(B1:XFD1,((A3)+(1))+(0)))=("store"),(INDEX(B1:XFD1,((A3)+(1))+(1)))=("Z"),"false"),B3,Z194),Z194))</f>
        <v>#VALUE!</v>
      </c>
      <c r="AA194" t="e">
        <f ca="1">IF((A1)=(2),"",IF((190)=(AA4),IF(IF((INDEX(B1:XFD1,((A3)+(1))+(0)))=("store"),(INDEX(B1:XFD1,((A3)+(1))+(1)))=("AA"),"false"),B3,AA194),AA194))</f>
        <v>#VALUE!</v>
      </c>
      <c r="AB194" t="e">
        <f ca="1">IF((A1)=(2),"",IF((190)=(AB4),IF(IF((INDEX(B1:XFD1,((A3)+(1))+(0)))=("store"),(INDEX(B1:XFD1,((A3)+(1))+(1)))=("AB"),"false"),B3,AB194),AB194))</f>
        <v>#VALUE!</v>
      </c>
      <c r="AC194" t="e">
        <f ca="1">IF((A1)=(2),"",IF((190)=(AC4),IF(IF((INDEX(B1:XFD1,((A3)+(1))+(0)))=("store"),(INDEX(B1:XFD1,((A3)+(1))+(1)))=("AC"),"false"),B3,AC194),AC194))</f>
        <v>#VALUE!</v>
      </c>
      <c r="AD194" t="e">
        <f ca="1">IF((A1)=(2),"",IF((190)=(AD4),IF(IF((INDEX(B1:XFD1,((A3)+(1))+(0)))=("store"),(INDEX(B1:XFD1,((A3)+(1))+(1)))=("AD"),"false"),B3,AD194),AD194))</f>
        <v>#VALUE!</v>
      </c>
    </row>
    <row r="195" spans="1:30" x14ac:dyDescent="0.25">
      <c r="A195" t="e">
        <f ca="1">IF((A1)=(2),"",IF((191)=(A4),IF(("call")=(INDEX(B1:XFD1,((A3)+(1))+(0))),(B3)*(2),IF(("goto")=(INDEX(B1:XFD1,((A3)+(1))+(0))),(INDEX(B1:XFD1,((A3)+(1))+(1)))*(2),IF(("gotoiftrue")=(INDEX(B1:XFD1,((A3)+(1))+(0))),IF(B3,(INDEX(B1:XFD1,((A3)+(1))+(1)))*(2),(A195)+(2)),(A195)+(2)))),A195))</f>
        <v>#VALUE!</v>
      </c>
      <c r="B195" t="e">
        <f ca="1">IF((A1)=(2),"",IF((191)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195)+(1)),IF(("add")=(INDEX(B1:XFD1,((A3)+(1))+(0))),(INDEX(B5:B405,(B4)+(1)))+(B195),IF(("equals")=(INDEX(B1:XFD1,((A3)+(1))+(0))),(INDEX(B5:B405,(B4)+(1)))=(B195),IF(("leq")=(INDEX(B1:XFD1,((A3)+(1))+(0))),(INDEX(B5:B405,(B4)+(1)))&lt;=(B195),IF(("greater")=(INDEX(B1:XFD1,((A3)+(1))+(0))),(INDEX(B5:B405,(B4)+(1)))&gt;(B195),IF(("mod")=(INDEX(B1:XFD1,((A3)+(1))+(0))),MOD(INDEX(B5:B405,(B4)+(1)),B195),B195))))))))),B195))</f>
        <v>#VALUE!</v>
      </c>
      <c r="C195" t="e">
        <f ca="1">IF((A1)=(2),1,IF(AND((INDEX(B1:XFD1,((A3)+(1))+(0)))=("writeheap"),(INDEX(B5:B405,(B4)+(1)))=(190)),INDEX(B5:B405,(B4)+(2)),IF((A1)=(2),"",IF((191)=(C4),C195,C195))))</f>
        <v>#VALUE!</v>
      </c>
      <c r="F195" t="e">
        <f ca="1">IF((A1)=(2),"",IF((191)=(F4),IF(IF((INDEX(B1:XFD1,((A3)+(1))+(0)))=("store"),(INDEX(B1:XFD1,((A3)+(1))+(1)))=("F"),"false"),B3,F195),F195))</f>
        <v>#VALUE!</v>
      </c>
      <c r="G195" t="e">
        <f ca="1">IF((A1)=(2),"",IF((191)=(G4),IF(IF((INDEX(B1:XFD1,((A3)+(1))+(0)))=("store"),(INDEX(B1:XFD1,((A3)+(1))+(1)))=("G"),"false"),B3,G195),G195))</f>
        <v>#VALUE!</v>
      </c>
      <c r="H195" t="e">
        <f ca="1">IF((A1)=(2),"",IF((191)=(H4),IF(IF((INDEX(B1:XFD1,((A3)+(1))+(0)))=("store"),(INDEX(B1:XFD1,((A3)+(1))+(1)))=("H"),"false"),B3,H195),H195))</f>
        <v>#VALUE!</v>
      </c>
      <c r="I195" t="e">
        <f ca="1">IF((A1)=(2),"",IF((191)=(I4),IF(IF((INDEX(B1:XFD1,((A3)+(1))+(0)))=("store"),(INDEX(B1:XFD1,((A3)+(1))+(1)))=("I"),"false"),B3,I195),I195))</f>
        <v>#VALUE!</v>
      </c>
      <c r="J195" t="e">
        <f ca="1">IF((A1)=(2),"",IF((191)=(J4),IF(IF((INDEX(B1:XFD1,((A3)+(1))+(0)))=("store"),(INDEX(B1:XFD1,((A3)+(1))+(1)))=("J"),"false"),B3,J195),J195))</f>
        <v>#VALUE!</v>
      </c>
      <c r="K195" t="e">
        <f ca="1">IF((A1)=(2),"",IF((191)=(K4),IF(IF((INDEX(B1:XFD1,((A3)+(1))+(0)))=("store"),(INDEX(B1:XFD1,((A3)+(1))+(1)))=("K"),"false"),B3,K195),K195))</f>
        <v>#VALUE!</v>
      </c>
      <c r="L195" t="e">
        <f ca="1">IF((A1)=(2),"",IF((191)=(L4),IF(IF((INDEX(B1:XFD1,((A3)+(1))+(0)))=("store"),(INDEX(B1:XFD1,((A3)+(1))+(1)))=("L"),"false"),B3,L195),L195))</f>
        <v>#VALUE!</v>
      </c>
      <c r="M195" t="e">
        <f ca="1">IF((A1)=(2),"",IF((191)=(M4),IF(IF((INDEX(B1:XFD1,((A3)+(1))+(0)))=("store"),(INDEX(B1:XFD1,((A3)+(1))+(1)))=("M"),"false"),B3,M195),M195))</f>
        <v>#VALUE!</v>
      </c>
      <c r="N195" t="e">
        <f ca="1">IF((A1)=(2),"",IF((191)=(N4),IF(IF((INDEX(B1:XFD1,((A3)+(1))+(0)))=("store"),(INDEX(B1:XFD1,((A3)+(1))+(1)))=("N"),"false"),B3,N195),N195))</f>
        <v>#VALUE!</v>
      </c>
      <c r="O195" t="e">
        <f ca="1">IF((A1)=(2),"",IF((191)=(O4),IF(IF((INDEX(B1:XFD1,((A3)+(1))+(0)))=("store"),(INDEX(B1:XFD1,((A3)+(1))+(1)))=("O"),"false"),B3,O195),O195))</f>
        <v>#VALUE!</v>
      </c>
      <c r="P195" t="e">
        <f ca="1">IF((A1)=(2),"",IF((191)=(P4),IF(IF((INDEX(B1:XFD1,((A3)+(1))+(0)))=("store"),(INDEX(B1:XFD1,((A3)+(1))+(1)))=("P"),"false"),B3,P195),P195))</f>
        <v>#VALUE!</v>
      </c>
      <c r="Q195" t="e">
        <f ca="1">IF((A1)=(2),"",IF((191)=(Q4),IF(IF((INDEX(B1:XFD1,((A3)+(1))+(0)))=("store"),(INDEX(B1:XFD1,((A3)+(1))+(1)))=("Q"),"false"),B3,Q195),Q195))</f>
        <v>#VALUE!</v>
      </c>
      <c r="R195" t="e">
        <f ca="1">IF((A1)=(2),"",IF((191)=(R4),IF(IF((INDEX(B1:XFD1,((A3)+(1))+(0)))=("store"),(INDEX(B1:XFD1,((A3)+(1))+(1)))=("R"),"false"),B3,R195),R195))</f>
        <v>#VALUE!</v>
      </c>
      <c r="S195" t="e">
        <f ca="1">IF((A1)=(2),"",IF((191)=(S4),IF(IF((INDEX(B1:XFD1,((A3)+(1))+(0)))=("store"),(INDEX(B1:XFD1,((A3)+(1))+(1)))=("S"),"false"),B3,S195),S195))</f>
        <v>#VALUE!</v>
      </c>
      <c r="T195" t="e">
        <f ca="1">IF((A1)=(2),"",IF((191)=(T4),IF(IF((INDEX(B1:XFD1,((A3)+(1))+(0)))=("store"),(INDEX(B1:XFD1,((A3)+(1))+(1)))=("T"),"false"),B3,T195),T195))</f>
        <v>#VALUE!</v>
      </c>
      <c r="U195" t="e">
        <f ca="1">IF((A1)=(2),"",IF((191)=(U4),IF(IF((INDEX(B1:XFD1,((A3)+(1))+(0)))=("store"),(INDEX(B1:XFD1,((A3)+(1))+(1)))=("U"),"false"),B3,U195),U195))</f>
        <v>#VALUE!</v>
      </c>
      <c r="V195" t="e">
        <f ca="1">IF((A1)=(2),"",IF((191)=(V4),IF(IF((INDEX(B1:XFD1,((A3)+(1))+(0)))=("store"),(INDEX(B1:XFD1,((A3)+(1))+(1)))=("V"),"false"),B3,V195),V195))</f>
        <v>#VALUE!</v>
      </c>
      <c r="W195" t="e">
        <f ca="1">IF((A1)=(2),"",IF((191)=(W4),IF(IF((INDEX(B1:XFD1,((A3)+(1))+(0)))=("store"),(INDEX(B1:XFD1,((A3)+(1))+(1)))=("W"),"false"),B3,W195),W195))</f>
        <v>#VALUE!</v>
      </c>
      <c r="X195" t="e">
        <f ca="1">IF((A1)=(2),"",IF((191)=(X4),IF(IF((INDEX(B1:XFD1,((A3)+(1))+(0)))=("store"),(INDEX(B1:XFD1,((A3)+(1))+(1)))=("X"),"false"),B3,X195),X195))</f>
        <v>#VALUE!</v>
      </c>
      <c r="Y195" t="e">
        <f ca="1">IF((A1)=(2),"",IF((191)=(Y4),IF(IF((INDEX(B1:XFD1,((A3)+(1))+(0)))=("store"),(INDEX(B1:XFD1,((A3)+(1))+(1)))=("Y"),"false"),B3,Y195),Y195))</f>
        <v>#VALUE!</v>
      </c>
      <c r="Z195" t="e">
        <f ca="1">IF((A1)=(2),"",IF((191)=(Z4),IF(IF((INDEX(B1:XFD1,((A3)+(1))+(0)))=("store"),(INDEX(B1:XFD1,((A3)+(1))+(1)))=("Z"),"false"),B3,Z195),Z195))</f>
        <v>#VALUE!</v>
      </c>
      <c r="AA195" t="e">
        <f ca="1">IF((A1)=(2),"",IF((191)=(AA4),IF(IF((INDEX(B1:XFD1,((A3)+(1))+(0)))=("store"),(INDEX(B1:XFD1,((A3)+(1))+(1)))=("AA"),"false"),B3,AA195),AA195))</f>
        <v>#VALUE!</v>
      </c>
      <c r="AB195" t="e">
        <f ca="1">IF((A1)=(2),"",IF((191)=(AB4),IF(IF((INDEX(B1:XFD1,((A3)+(1))+(0)))=("store"),(INDEX(B1:XFD1,((A3)+(1))+(1)))=("AB"),"false"),B3,AB195),AB195))</f>
        <v>#VALUE!</v>
      </c>
      <c r="AC195" t="e">
        <f ca="1">IF((A1)=(2),"",IF((191)=(AC4),IF(IF((INDEX(B1:XFD1,((A3)+(1))+(0)))=("store"),(INDEX(B1:XFD1,((A3)+(1))+(1)))=("AC"),"false"),B3,AC195),AC195))</f>
        <v>#VALUE!</v>
      </c>
      <c r="AD195" t="e">
        <f ca="1">IF((A1)=(2),"",IF((191)=(AD4),IF(IF((INDEX(B1:XFD1,((A3)+(1))+(0)))=("store"),(INDEX(B1:XFD1,((A3)+(1))+(1)))=("AD"),"false"),B3,AD195),AD195))</f>
        <v>#VALUE!</v>
      </c>
    </row>
    <row r="196" spans="1:30" x14ac:dyDescent="0.25">
      <c r="A196" t="e">
        <f ca="1">IF((A1)=(2),"",IF((192)=(A4),IF(("call")=(INDEX(B1:XFD1,((A3)+(1))+(0))),(B3)*(2),IF(("goto")=(INDEX(B1:XFD1,((A3)+(1))+(0))),(INDEX(B1:XFD1,((A3)+(1))+(1)))*(2),IF(("gotoiftrue")=(INDEX(B1:XFD1,((A3)+(1))+(0))),IF(B3,(INDEX(B1:XFD1,((A3)+(1))+(1)))*(2),(A196)+(2)),(A196)+(2)))),A196))</f>
        <v>#VALUE!</v>
      </c>
      <c r="B196" t="e">
        <f ca="1">IF((A1)=(2),"",IF((192)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196)+(1)),IF(("add")=(INDEX(B1:XFD1,((A3)+(1))+(0))),(INDEX(B5:B405,(B4)+(1)))+(B196),IF(("equals")=(INDEX(B1:XFD1,((A3)+(1))+(0))),(INDEX(B5:B405,(B4)+(1)))=(B196),IF(("leq")=(INDEX(B1:XFD1,((A3)+(1))+(0))),(INDEX(B5:B405,(B4)+(1)))&lt;=(B196),IF(("greater")=(INDEX(B1:XFD1,((A3)+(1))+(0))),(INDEX(B5:B405,(B4)+(1)))&gt;(B196),IF(("mod")=(INDEX(B1:XFD1,((A3)+(1))+(0))),MOD(INDEX(B5:B405,(B4)+(1)),B196),B196))))))))),B196))</f>
        <v>#VALUE!</v>
      </c>
      <c r="C196" t="e">
        <f ca="1">IF((A1)=(2),1,IF(AND((INDEX(B1:XFD1,((A3)+(1))+(0)))=("writeheap"),(INDEX(B5:B405,(B4)+(1)))=(191)),INDEX(B5:B405,(B4)+(2)),IF((A1)=(2),"",IF((192)=(C4),C196,C196))))</f>
        <v>#VALUE!</v>
      </c>
      <c r="F196" t="e">
        <f ca="1">IF((A1)=(2),"",IF((192)=(F4),IF(IF((INDEX(B1:XFD1,((A3)+(1))+(0)))=("store"),(INDEX(B1:XFD1,((A3)+(1))+(1)))=("F"),"false"),B3,F196),F196))</f>
        <v>#VALUE!</v>
      </c>
      <c r="G196" t="e">
        <f ca="1">IF((A1)=(2),"",IF((192)=(G4),IF(IF((INDEX(B1:XFD1,((A3)+(1))+(0)))=("store"),(INDEX(B1:XFD1,((A3)+(1))+(1)))=("G"),"false"),B3,G196),G196))</f>
        <v>#VALUE!</v>
      </c>
      <c r="H196" t="e">
        <f ca="1">IF((A1)=(2),"",IF((192)=(H4),IF(IF((INDEX(B1:XFD1,((A3)+(1))+(0)))=("store"),(INDEX(B1:XFD1,((A3)+(1))+(1)))=("H"),"false"),B3,H196),H196))</f>
        <v>#VALUE!</v>
      </c>
      <c r="I196" t="e">
        <f ca="1">IF((A1)=(2),"",IF((192)=(I4),IF(IF((INDEX(B1:XFD1,((A3)+(1))+(0)))=("store"),(INDEX(B1:XFD1,((A3)+(1))+(1)))=("I"),"false"),B3,I196),I196))</f>
        <v>#VALUE!</v>
      </c>
      <c r="J196" t="e">
        <f ca="1">IF((A1)=(2),"",IF((192)=(J4),IF(IF((INDEX(B1:XFD1,((A3)+(1))+(0)))=("store"),(INDEX(B1:XFD1,((A3)+(1))+(1)))=("J"),"false"),B3,J196),J196))</f>
        <v>#VALUE!</v>
      </c>
      <c r="K196" t="e">
        <f ca="1">IF((A1)=(2),"",IF((192)=(K4),IF(IF((INDEX(B1:XFD1,((A3)+(1))+(0)))=("store"),(INDEX(B1:XFD1,((A3)+(1))+(1)))=("K"),"false"),B3,K196),K196))</f>
        <v>#VALUE!</v>
      </c>
      <c r="L196" t="e">
        <f ca="1">IF((A1)=(2),"",IF((192)=(L4),IF(IF((INDEX(B1:XFD1,((A3)+(1))+(0)))=("store"),(INDEX(B1:XFD1,((A3)+(1))+(1)))=("L"),"false"),B3,L196),L196))</f>
        <v>#VALUE!</v>
      </c>
      <c r="M196" t="e">
        <f ca="1">IF((A1)=(2),"",IF((192)=(M4),IF(IF((INDEX(B1:XFD1,((A3)+(1))+(0)))=("store"),(INDEX(B1:XFD1,((A3)+(1))+(1)))=("M"),"false"),B3,M196),M196))</f>
        <v>#VALUE!</v>
      </c>
      <c r="N196" t="e">
        <f ca="1">IF((A1)=(2),"",IF((192)=(N4),IF(IF((INDEX(B1:XFD1,((A3)+(1))+(0)))=("store"),(INDEX(B1:XFD1,((A3)+(1))+(1)))=("N"),"false"),B3,N196),N196))</f>
        <v>#VALUE!</v>
      </c>
      <c r="O196" t="e">
        <f ca="1">IF((A1)=(2),"",IF((192)=(O4),IF(IF((INDEX(B1:XFD1,((A3)+(1))+(0)))=("store"),(INDEX(B1:XFD1,((A3)+(1))+(1)))=("O"),"false"),B3,O196),O196))</f>
        <v>#VALUE!</v>
      </c>
      <c r="P196" t="e">
        <f ca="1">IF((A1)=(2),"",IF((192)=(P4),IF(IF((INDEX(B1:XFD1,((A3)+(1))+(0)))=("store"),(INDEX(B1:XFD1,((A3)+(1))+(1)))=("P"),"false"),B3,P196),P196))</f>
        <v>#VALUE!</v>
      </c>
      <c r="Q196" t="e">
        <f ca="1">IF((A1)=(2),"",IF((192)=(Q4),IF(IF((INDEX(B1:XFD1,((A3)+(1))+(0)))=("store"),(INDEX(B1:XFD1,((A3)+(1))+(1)))=("Q"),"false"),B3,Q196),Q196))</f>
        <v>#VALUE!</v>
      </c>
      <c r="R196" t="e">
        <f ca="1">IF((A1)=(2),"",IF((192)=(R4),IF(IF((INDEX(B1:XFD1,((A3)+(1))+(0)))=("store"),(INDEX(B1:XFD1,((A3)+(1))+(1)))=("R"),"false"),B3,R196),R196))</f>
        <v>#VALUE!</v>
      </c>
      <c r="S196" t="e">
        <f ca="1">IF((A1)=(2),"",IF((192)=(S4),IF(IF((INDEX(B1:XFD1,((A3)+(1))+(0)))=("store"),(INDEX(B1:XFD1,((A3)+(1))+(1)))=("S"),"false"),B3,S196),S196))</f>
        <v>#VALUE!</v>
      </c>
      <c r="T196" t="e">
        <f ca="1">IF((A1)=(2),"",IF((192)=(T4),IF(IF((INDEX(B1:XFD1,((A3)+(1))+(0)))=("store"),(INDEX(B1:XFD1,((A3)+(1))+(1)))=("T"),"false"),B3,T196),T196))</f>
        <v>#VALUE!</v>
      </c>
      <c r="U196" t="e">
        <f ca="1">IF((A1)=(2),"",IF((192)=(U4),IF(IF((INDEX(B1:XFD1,((A3)+(1))+(0)))=("store"),(INDEX(B1:XFD1,((A3)+(1))+(1)))=("U"),"false"),B3,U196),U196))</f>
        <v>#VALUE!</v>
      </c>
      <c r="V196" t="e">
        <f ca="1">IF((A1)=(2),"",IF((192)=(V4),IF(IF((INDEX(B1:XFD1,((A3)+(1))+(0)))=("store"),(INDEX(B1:XFD1,((A3)+(1))+(1)))=("V"),"false"),B3,V196),V196))</f>
        <v>#VALUE!</v>
      </c>
      <c r="W196" t="e">
        <f ca="1">IF((A1)=(2),"",IF((192)=(W4),IF(IF((INDEX(B1:XFD1,((A3)+(1))+(0)))=("store"),(INDEX(B1:XFD1,((A3)+(1))+(1)))=("W"),"false"),B3,W196),W196))</f>
        <v>#VALUE!</v>
      </c>
      <c r="X196" t="e">
        <f ca="1">IF((A1)=(2),"",IF((192)=(X4),IF(IF((INDEX(B1:XFD1,((A3)+(1))+(0)))=("store"),(INDEX(B1:XFD1,((A3)+(1))+(1)))=("X"),"false"),B3,X196),X196))</f>
        <v>#VALUE!</v>
      </c>
      <c r="Y196" t="e">
        <f ca="1">IF((A1)=(2),"",IF((192)=(Y4),IF(IF((INDEX(B1:XFD1,((A3)+(1))+(0)))=("store"),(INDEX(B1:XFD1,((A3)+(1))+(1)))=("Y"),"false"),B3,Y196),Y196))</f>
        <v>#VALUE!</v>
      </c>
      <c r="Z196" t="e">
        <f ca="1">IF((A1)=(2),"",IF((192)=(Z4),IF(IF((INDEX(B1:XFD1,((A3)+(1))+(0)))=("store"),(INDEX(B1:XFD1,((A3)+(1))+(1)))=("Z"),"false"),B3,Z196),Z196))</f>
        <v>#VALUE!</v>
      </c>
      <c r="AA196" t="e">
        <f ca="1">IF((A1)=(2),"",IF((192)=(AA4),IF(IF((INDEX(B1:XFD1,((A3)+(1))+(0)))=("store"),(INDEX(B1:XFD1,((A3)+(1))+(1)))=("AA"),"false"),B3,AA196),AA196))</f>
        <v>#VALUE!</v>
      </c>
      <c r="AB196" t="e">
        <f ca="1">IF((A1)=(2),"",IF((192)=(AB4),IF(IF((INDEX(B1:XFD1,((A3)+(1))+(0)))=("store"),(INDEX(B1:XFD1,((A3)+(1))+(1)))=("AB"),"false"),B3,AB196),AB196))</f>
        <v>#VALUE!</v>
      </c>
      <c r="AC196" t="e">
        <f ca="1">IF((A1)=(2),"",IF((192)=(AC4),IF(IF((INDEX(B1:XFD1,((A3)+(1))+(0)))=("store"),(INDEX(B1:XFD1,((A3)+(1))+(1)))=("AC"),"false"),B3,AC196),AC196))</f>
        <v>#VALUE!</v>
      </c>
      <c r="AD196" t="e">
        <f ca="1">IF((A1)=(2),"",IF((192)=(AD4),IF(IF((INDEX(B1:XFD1,((A3)+(1))+(0)))=("store"),(INDEX(B1:XFD1,((A3)+(1))+(1)))=("AD"),"false"),B3,AD196),AD196))</f>
        <v>#VALUE!</v>
      </c>
    </row>
    <row r="197" spans="1:30" x14ac:dyDescent="0.25">
      <c r="A197" t="e">
        <f ca="1">IF((A1)=(2),"",IF((193)=(A4),IF(("call")=(INDEX(B1:XFD1,((A3)+(1))+(0))),(B3)*(2),IF(("goto")=(INDEX(B1:XFD1,((A3)+(1))+(0))),(INDEX(B1:XFD1,((A3)+(1))+(1)))*(2),IF(("gotoiftrue")=(INDEX(B1:XFD1,((A3)+(1))+(0))),IF(B3,(INDEX(B1:XFD1,((A3)+(1))+(1)))*(2),(A197)+(2)),(A197)+(2)))),A197))</f>
        <v>#VALUE!</v>
      </c>
      <c r="B197" t="e">
        <f ca="1">IF((A1)=(2),"",IF((193)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197)+(1)),IF(("add")=(INDEX(B1:XFD1,((A3)+(1))+(0))),(INDEX(B5:B405,(B4)+(1)))+(B197),IF(("equals")=(INDEX(B1:XFD1,((A3)+(1))+(0))),(INDEX(B5:B405,(B4)+(1)))=(B197),IF(("leq")=(INDEX(B1:XFD1,((A3)+(1))+(0))),(INDEX(B5:B405,(B4)+(1)))&lt;=(B197),IF(("greater")=(INDEX(B1:XFD1,((A3)+(1))+(0))),(INDEX(B5:B405,(B4)+(1)))&gt;(B197),IF(("mod")=(INDEX(B1:XFD1,((A3)+(1))+(0))),MOD(INDEX(B5:B405,(B4)+(1)),B197),B197))))))))),B197))</f>
        <v>#VALUE!</v>
      </c>
      <c r="C197" t="e">
        <f ca="1">IF((A1)=(2),1,IF(AND((INDEX(B1:XFD1,((A3)+(1))+(0)))=("writeheap"),(INDEX(B5:B405,(B4)+(1)))=(192)),INDEX(B5:B405,(B4)+(2)),IF((A1)=(2),"",IF((193)=(C4),C197,C197))))</f>
        <v>#VALUE!</v>
      </c>
      <c r="F197" t="e">
        <f ca="1">IF((A1)=(2),"",IF((193)=(F4),IF(IF((INDEX(B1:XFD1,((A3)+(1))+(0)))=("store"),(INDEX(B1:XFD1,((A3)+(1))+(1)))=("F"),"false"),B3,F197),F197))</f>
        <v>#VALUE!</v>
      </c>
      <c r="G197" t="e">
        <f ca="1">IF((A1)=(2),"",IF((193)=(G4),IF(IF((INDEX(B1:XFD1,((A3)+(1))+(0)))=("store"),(INDEX(B1:XFD1,((A3)+(1))+(1)))=("G"),"false"),B3,G197),G197))</f>
        <v>#VALUE!</v>
      </c>
      <c r="H197" t="e">
        <f ca="1">IF((A1)=(2),"",IF((193)=(H4),IF(IF((INDEX(B1:XFD1,((A3)+(1))+(0)))=("store"),(INDEX(B1:XFD1,((A3)+(1))+(1)))=("H"),"false"),B3,H197),H197))</f>
        <v>#VALUE!</v>
      </c>
      <c r="I197" t="e">
        <f ca="1">IF((A1)=(2),"",IF((193)=(I4),IF(IF((INDEX(B1:XFD1,((A3)+(1))+(0)))=("store"),(INDEX(B1:XFD1,((A3)+(1))+(1)))=("I"),"false"),B3,I197),I197))</f>
        <v>#VALUE!</v>
      </c>
      <c r="J197" t="e">
        <f ca="1">IF((A1)=(2),"",IF((193)=(J4),IF(IF((INDEX(B1:XFD1,((A3)+(1))+(0)))=("store"),(INDEX(B1:XFD1,((A3)+(1))+(1)))=("J"),"false"),B3,J197),J197))</f>
        <v>#VALUE!</v>
      </c>
      <c r="K197" t="e">
        <f ca="1">IF((A1)=(2),"",IF((193)=(K4),IF(IF((INDEX(B1:XFD1,((A3)+(1))+(0)))=("store"),(INDEX(B1:XFD1,((A3)+(1))+(1)))=("K"),"false"),B3,K197),K197))</f>
        <v>#VALUE!</v>
      </c>
      <c r="L197" t="e">
        <f ca="1">IF((A1)=(2),"",IF((193)=(L4),IF(IF((INDEX(B1:XFD1,((A3)+(1))+(0)))=("store"),(INDEX(B1:XFD1,((A3)+(1))+(1)))=("L"),"false"),B3,L197),L197))</f>
        <v>#VALUE!</v>
      </c>
      <c r="M197" t="e">
        <f ca="1">IF((A1)=(2),"",IF((193)=(M4),IF(IF((INDEX(B1:XFD1,((A3)+(1))+(0)))=("store"),(INDEX(B1:XFD1,((A3)+(1))+(1)))=("M"),"false"),B3,M197),M197))</f>
        <v>#VALUE!</v>
      </c>
      <c r="N197" t="e">
        <f ca="1">IF((A1)=(2),"",IF((193)=(N4),IF(IF((INDEX(B1:XFD1,((A3)+(1))+(0)))=("store"),(INDEX(B1:XFD1,((A3)+(1))+(1)))=("N"),"false"),B3,N197),N197))</f>
        <v>#VALUE!</v>
      </c>
      <c r="O197" t="e">
        <f ca="1">IF((A1)=(2),"",IF((193)=(O4),IF(IF((INDEX(B1:XFD1,((A3)+(1))+(0)))=("store"),(INDEX(B1:XFD1,((A3)+(1))+(1)))=("O"),"false"),B3,O197),O197))</f>
        <v>#VALUE!</v>
      </c>
      <c r="P197" t="e">
        <f ca="1">IF((A1)=(2),"",IF((193)=(P4),IF(IF((INDEX(B1:XFD1,((A3)+(1))+(0)))=("store"),(INDEX(B1:XFD1,((A3)+(1))+(1)))=("P"),"false"),B3,P197),P197))</f>
        <v>#VALUE!</v>
      </c>
      <c r="Q197" t="e">
        <f ca="1">IF((A1)=(2),"",IF((193)=(Q4),IF(IF((INDEX(B1:XFD1,((A3)+(1))+(0)))=("store"),(INDEX(B1:XFD1,((A3)+(1))+(1)))=("Q"),"false"),B3,Q197),Q197))</f>
        <v>#VALUE!</v>
      </c>
      <c r="R197" t="e">
        <f ca="1">IF((A1)=(2),"",IF((193)=(R4),IF(IF((INDEX(B1:XFD1,((A3)+(1))+(0)))=("store"),(INDEX(B1:XFD1,((A3)+(1))+(1)))=("R"),"false"),B3,R197),R197))</f>
        <v>#VALUE!</v>
      </c>
      <c r="S197" t="e">
        <f ca="1">IF((A1)=(2),"",IF((193)=(S4),IF(IF((INDEX(B1:XFD1,((A3)+(1))+(0)))=("store"),(INDEX(B1:XFD1,((A3)+(1))+(1)))=("S"),"false"),B3,S197),S197))</f>
        <v>#VALUE!</v>
      </c>
      <c r="T197" t="e">
        <f ca="1">IF((A1)=(2),"",IF((193)=(T4),IF(IF((INDEX(B1:XFD1,((A3)+(1))+(0)))=("store"),(INDEX(B1:XFD1,((A3)+(1))+(1)))=("T"),"false"),B3,T197),T197))</f>
        <v>#VALUE!</v>
      </c>
      <c r="U197" t="e">
        <f ca="1">IF((A1)=(2),"",IF((193)=(U4),IF(IF((INDEX(B1:XFD1,((A3)+(1))+(0)))=("store"),(INDEX(B1:XFD1,((A3)+(1))+(1)))=("U"),"false"),B3,U197),U197))</f>
        <v>#VALUE!</v>
      </c>
      <c r="V197" t="e">
        <f ca="1">IF((A1)=(2),"",IF((193)=(V4),IF(IF((INDEX(B1:XFD1,((A3)+(1))+(0)))=("store"),(INDEX(B1:XFD1,((A3)+(1))+(1)))=("V"),"false"),B3,V197),V197))</f>
        <v>#VALUE!</v>
      </c>
      <c r="W197" t="e">
        <f ca="1">IF((A1)=(2),"",IF((193)=(W4),IF(IF((INDEX(B1:XFD1,((A3)+(1))+(0)))=("store"),(INDEX(B1:XFD1,((A3)+(1))+(1)))=("W"),"false"),B3,W197),W197))</f>
        <v>#VALUE!</v>
      </c>
      <c r="X197" t="e">
        <f ca="1">IF((A1)=(2),"",IF((193)=(X4),IF(IF((INDEX(B1:XFD1,((A3)+(1))+(0)))=("store"),(INDEX(B1:XFD1,((A3)+(1))+(1)))=("X"),"false"),B3,X197),X197))</f>
        <v>#VALUE!</v>
      </c>
      <c r="Y197" t="e">
        <f ca="1">IF((A1)=(2),"",IF((193)=(Y4),IF(IF((INDEX(B1:XFD1,((A3)+(1))+(0)))=("store"),(INDEX(B1:XFD1,((A3)+(1))+(1)))=("Y"),"false"),B3,Y197),Y197))</f>
        <v>#VALUE!</v>
      </c>
      <c r="Z197" t="e">
        <f ca="1">IF((A1)=(2),"",IF((193)=(Z4),IF(IF((INDEX(B1:XFD1,((A3)+(1))+(0)))=("store"),(INDEX(B1:XFD1,((A3)+(1))+(1)))=("Z"),"false"),B3,Z197),Z197))</f>
        <v>#VALUE!</v>
      </c>
      <c r="AA197" t="e">
        <f ca="1">IF((A1)=(2),"",IF((193)=(AA4),IF(IF((INDEX(B1:XFD1,((A3)+(1))+(0)))=("store"),(INDEX(B1:XFD1,((A3)+(1))+(1)))=("AA"),"false"),B3,AA197),AA197))</f>
        <v>#VALUE!</v>
      </c>
      <c r="AB197" t="e">
        <f ca="1">IF((A1)=(2),"",IF((193)=(AB4),IF(IF((INDEX(B1:XFD1,((A3)+(1))+(0)))=("store"),(INDEX(B1:XFD1,((A3)+(1))+(1)))=("AB"),"false"),B3,AB197),AB197))</f>
        <v>#VALUE!</v>
      </c>
      <c r="AC197" t="e">
        <f ca="1">IF((A1)=(2),"",IF((193)=(AC4),IF(IF((INDEX(B1:XFD1,((A3)+(1))+(0)))=("store"),(INDEX(B1:XFD1,((A3)+(1))+(1)))=("AC"),"false"),B3,AC197),AC197))</f>
        <v>#VALUE!</v>
      </c>
      <c r="AD197" t="e">
        <f ca="1">IF((A1)=(2),"",IF((193)=(AD4),IF(IF((INDEX(B1:XFD1,((A3)+(1))+(0)))=("store"),(INDEX(B1:XFD1,((A3)+(1))+(1)))=("AD"),"false"),B3,AD197),AD197))</f>
        <v>#VALUE!</v>
      </c>
    </row>
    <row r="198" spans="1:30" x14ac:dyDescent="0.25">
      <c r="A198" t="e">
        <f ca="1">IF((A1)=(2),"",IF((194)=(A4),IF(("call")=(INDEX(B1:XFD1,((A3)+(1))+(0))),(B3)*(2),IF(("goto")=(INDEX(B1:XFD1,((A3)+(1))+(0))),(INDEX(B1:XFD1,((A3)+(1))+(1)))*(2),IF(("gotoiftrue")=(INDEX(B1:XFD1,((A3)+(1))+(0))),IF(B3,(INDEX(B1:XFD1,((A3)+(1))+(1)))*(2),(A198)+(2)),(A198)+(2)))),A198))</f>
        <v>#VALUE!</v>
      </c>
      <c r="B198" t="e">
        <f ca="1">IF((A1)=(2),"",IF((194)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198)+(1)),IF(("add")=(INDEX(B1:XFD1,((A3)+(1))+(0))),(INDEX(B5:B405,(B4)+(1)))+(B198),IF(("equals")=(INDEX(B1:XFD1,((A3)+(1))+(0))),(INDEX(B5:B405,(B4)+(1)))=(B198),IF(("leq")=(INDEX(B1:XFD1,((A3)+(1))+(0))),(INDEX(B5:B405,(B4)+(1)))&lt;=(B198),IF(("greater")=(INDEX(B1:XFD1,((A3)+(1))+(0))),(INDEX(B5:B405,(B4)+(1)))&gt;(B198),IF(("mod")=(INDEX(B1:XFD1,((A3)+(1))+(0))),MOD(INDEX(B5:B405,(B4)+(1)),B198),B198))))))))),B198))</f>
        <v>#VALUE!</v>
      </c>
      <c r="C198" t="e">
        <f ca="1">IF((A1)=(2),1,IF(AND((INDEX(B1:XFD1,((A3)+(1))+(0)))=("writeheap"),(INDEX(B5:B405,(B4)+(1)))=(193)),INDEX(B5:B405,(B4)+(2)),IF((A1)=(2),"",IF((194)=(C4),C198,C198))))</f>
        <v>#VALUE!</v>
      </c>
      <c r="F198" t="e">
        <f ca="1">IF((A1)=(2),"",IF((194)=(F4),IF(IF((INDEX(B1:XFD1,((A3)+(1))+(0)))=("store"),(INDEX(B1:XFD1,((A3)+(1))+(1)))=("F"),"false"),B3,F198),F198))</f>
        <v>#VALUE!</v>
      </c>
      <c r="G198" t="e">
        <f ca="1">IF((A1)=(2),"",IF((194)=(G4),IF(IF((INDEX(B1:XFD1,((A3)+(1))+(0)))=("store"),(INDEX(B1:XFD1,((A3)+(1))+(1)))=("G"),"false"),B3,G198),G198))</f>
        <v>#VALUE!</v>
      </c>
      <c r="H198" t="e">
        <f ca="1">IF((A1)=(2),"",IF((194)=(H4),IF(IF((INDEX(B1:XFD1,((A3)+(1))+(0)))=("store"),(INDEX(B1:XFD1,((A3)+(1))+(1)))=("H"),"false"),B3,H198),H198))</f>
        <v>#VALUE!</v>
      </c>
      <c r="I198" t="e">
        <f ca="1">IF((A1)=(2),"",IF((194)=(I4),IF(IF((INDEX(B1:XFD1,((A3)+(1))+(0)))=("store"),(INDEX(B1:XFD1,((A3)+(1))+(1)))=("I"),"false"),B3,I198),I198))</f>
        <v>#VALUE!</v>
      </c>
      <c r="J198" t="e">
        <f ca="1">IF((A1)=(2),"",IF((194)=(J4),IF(IF((INDEX(B1:XFD1,((A3)+(1))+(0)))=("store"),(INDEX(B1:XFD1,((A3)+(1))+(1)))=("J"),"false"),B3,J198),J198))</f>
        <v>#VALUE!</v>
      </c>
      <c r="K198" t="e">
        <f ca="1">IF((A1)=(2),"",IF((194)=(K4),IF(IF((INDEX(B1:XFD1,((A3)+(1))+(0)))=("store"),(INDEX(B1:XFD1,((A3)+(1))+(1)))=("K"),"false"),B3,K198),K198))</f>
        <v>#VALUE!</v>
      </c>
      <c r="L198" t="e">
        <f ca="1">IF((A1)=(2),"",IF((194)=(L4),IF(IF((INDEX(B1:XFD1,((A3)+(1))+(0)))=("store"),(INDEX(B1:XFD1,((A3)+(1))+(1)))=("L"),"false"),B3,L198),L198))</f>
        <v>#VALUE!</v>
      </c>
      <c r="M198" t="e">
        <f ca="1">IF((A1)=(2),"",IF((194)=(M4),IF(IF((INDEX(B1:XFD1,((A3)+(1))+(0)))=("store"),(INDEX(B1:XFD1,((A3)+(1))+(1)))=("M"),"false"),B3,M198),M198))</f>
        <v>#VALUE!</v>
      </c>
      <c r="N198" t="e">
        <f ca="1">IF((A1)=(2),"",IF((194)=(N4),IF(IF((INDEX(B1:XFD1,((A3)+(1))+(0)))=("store"),(INDEX(B1:XFD1,((A3)+(1))+(1)))=("N"),"false"),B3,N198),N198))</f>
        <v>#VALUE!</v>
      </c>
      <c r="O198" t="e">
        <f ca="1">IF((A1)=(2),"",IF((194)=(O4),IF(IF((INDEX(B1:XFD1,((A3)+(1))+(0)))=("store"),(INDEX(B1:XFD1,((A3)+(1))+(1)))=("O"),"false"),B3,O198),O198))</f>
        <v>#VALUE!</v>
      </c>
      <c r="P198" t="e">
        <f ca="1">IF((A1)=(2),"",IF((194)=(P4),IF(IF((INDEX(B1:XFD1,((A3)+(1))+(0)))=("store"),(INDEX(B1:XFD1,((A3)+(1))+(1)))=("P"),"false"),B3,P198),P198))</f>
        <v>#VALUE!</v>
      </c>
      <c r="Q198" t="e">
        <f ca="1">IF((A1)=(2),"",IF((194)=(Q4),IF(IF((INDEX(B1:XFD1,((A3)+(1))+(0)))=("store"),(INDEX(B1:XFD1,((A3)+(1))+(1)))=("Q"),"false"),B3,Q198),Q198))</f>
        <v>#VALUE!</v>
      </c>
      <c r="R198" t="e">
        <f ca="1">IF((A1)=(2),"",IF((194)=(R4),IF(IF((INDEX(B1:XFD1,((A3)+(1))+(0)))=("store"),(INDEX(B1:XFD1,((A3)+(1))+(1)))=("R"),"false"),B3,R198),R198))</f>
        <v>#VALUE!</v>
      </c>
      <c r="S198" t="e">
        <f ca="1">IF((A1)=(2),"",IF((194)=(S4),IF(IF((INDEX(B1:XFD1,((A3)+(1))+(0)))=("store"),(INDEX(B1:XFD1,((A3)+(1))+(1)))=("S"),"false"),B3,S198),S198))</f>
        <v>#VALUE!</v>
      </c>
      <c r="T198" t="e">
        <f ca="1">IF((A1)=(2),"",IF((194)=(T4),IF(IF((INDEX(B1:XFD1,((A3)+(1))+(0)))=("store"),(INDEX(B1:XFD1,((A3)+(1))+(1)))=("T"),"false"),B3,T198),T198))</f>
        <v>#VALUE!</v>
      </c>
      <c r="U198" t="e">
        <f ca="1">IF((A1)=(2),"",IF((194)=(U4),IF(IF((INDEX(B1:XFD1,((A3)+(1))+(0)))=("store"),(INDEX(B1:XFD1,((A3)+(1))+(1)))=("U"),"false"),B3,U198),U198))</f>
        <v>#VALUE!</v>
      </c>
      <c r="V198" t="e">
        <f ca="1">IF((A1)=(2),"",IF((194)=(V4),IF(IF((INDEX(B1:XFD1,((A3)+(1))+(0)))=("store"),(INDEX(B1:XFD1,((A3)+(1))+(1)))=("V"),"false"),B3,V198),V198))</f>
        <v>#VALUE!</v>
      </c>
      <c r="W198" t="e">
        <f ca="1">IF((A1)=(2),"",IF((194)=(W4),IF(IF((INDEX(B1:XFD1,((A3)+(1))+(0)))=("store"),(INDEX(B1:XFD1,((A3)+(1))+(1)))=("W"),"false"),B3,W198),W198))</f>
        <v>#VALUE!</v>
      </c>
      <c r="X198" t="e">
        <f ca="1">IF((A1)=(2),"",IF((194)=(X4),IF(IF((INDEX(B1:XFD1,((A3)+(1))+(0)))=("store"),(INDEX(B1:XFD1,((A3)+(1))+(1)))=("X"),"false"),B3,X198),X198))</f>
        <v>#VALUE!</v>
      </c>
      <c r="Y198" t="e">
        <f ca="1">IF((A1)=(2),"",IF((194)=(Y4),IF(IF((INDEX(B1:XFD1,((A3)+(1))+(0)))=("store"),(INDEX(B1:XFD1,((A3)+(1))+(1)))=("Y"),"false"),B3,Y198),Y198))</f>
        <v>#VALUE!</v>
      </c>
      <c r="Z198" t="e">
        <f ca="1">IF((A1)=(2),"",IF((194)=(Z4),IF(IF((INDEX(B1:XFD1,((A3)+(1))+(0)))=("store"),(INDEX(B1:XFD1,((A3)+(1))+(1)))=("Z"),"false"),B3,Z198),Z198))</f>
        <v>#VALUE!</v>
      </c>
      <c r="AA198" t="e">
        <f ca="1">IF((A1)=(2),"",IF((194)=(AA4),IF(IF((INDEX(B1:XFD1,((A3)+(1))+(0)))=("store"),(INDEX(B1:XFD1,((A3)+(1))+(1)))=("AA"),"false"),B3,AA198),AA198))</f>
        <v>#VALUE!</v>
      </c>
      <c r="AB198" t="e">
        <f ca="1">IF((A1)=(2),"",IF((194)=(AB4),IF(IF((INDEX(B1:XFD1,((A3)+(1))+(0)))=("store"),(INDEX(B1:XFD1,((A3)+(1))+(1)))=("AB"),"false"),B3,AB198),AB198))</f>
        <v>#VALUE!</v>
      </c>
      <c r="AC198" t="e">
        <f ca="1">IF((A1)=(2),"",IF((194)=(AC4),IF(IF((INDEX(B1:XFD1,((A3)+(1))+(0)))=("store"),(INDEX(B1:XFD1,((A3)+(1))+(1)))=("AC"),"false"),B3,AC198),AC198))</f>
        <v>#VALUE!</v>
      </c>
      <c r="AD198" t="e">
        <f ca="1">IF((A1)=(2),"",IF((194)=(AD4),IF(IF((INDEX(B1:XFD1,((A3)+(1))+(0)))=("store"),(INDEX(B1:XFD1,((A3)+(1))+(1)))=("AD"),"false"),B3,AD198),AD198))</f>
        <v>#VALUE!</v>
      </c>
    </row>
    <row r="199" spans="1:30" x14ac:dyDescent="0.25">
      <c r="A199" t="e">
        <f ca="1">IF((A1)=(2),"",IF((195)=(A4),IF(("call")=(INDEX(B1:XFD1,((A3)+(1))+(0))),(B3)*(2),IF(("goto")=(INDEX(B1:XFD1,((A3)+(1))+(0))),(INDEX(B1:XFD1,((A3)+(1))+(1)))*(2),IF(("gotoiftrue")=(INDEX(B1:XFD1,((A3)+(1))+(0))),IF(B3,(INDEX(B1:XFD1,((A3)+(1))+(1)))*(2),(A199)+(2)),(A199)+(2)))),A199))</f>
        <v>#VALUE!</v>
      </c>
      <c r="B199" t="e">
        <f ca="1">IF((A1)=(2),"",IF((195)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199)+(1)),IF(("add")=(INDEX(B1:XFD1,((A3)+(1))+(0))),(INDEX(B5:B405,(B4)+(1)))+(B199),IF(("equals")=(INDEX(B1:XFD1,((A3)+(1))+(0))),(INDEX(B5:B405,(B4)+(1)))=(B199),IF(("leq")=(INDEX(B1:XFD1,((A3)+(1))+(0))),(INDEX(B5:B405,(B4)+(1)))&lt;=(B199),IF(("greater")=(INDEX(B1:XFD1,((A3)+(1))+(0))),(INDEX(B5:B405,(B4)+(1)))&gt;(B199),IF(("mod")=(INDEX(B1:XFD1,((A3)+(1))+(0))),MOD(INDEX(B5:B405,(B4)+(1)),B199),B199))))))))),B199))</f>
        <v>#VALUE!</v>
      </c>
      <c r="C199" t="e">
        <f ca="1">IF((A1)=(2),1,IF(AND((INDEX(B1:XFD1,((A3)+(1))+(0)))=("writeheap"),(INDEX(B5:B405,(B4)+(1)))=(194)),INDEX(B5:B405,(B4)+(2)),IF((A1)=(2),"",IF((195)=(C4),C199,C199))))</f>
        <v>#VALUE!</v>
      </c>
      <c r="F199" t="e">
        <f ca="1">IF((A1)=(2),"",IF((195)=(F4),IF(IF((INDEX(B1:XFD1,((A3)+(1))+(0)))=("store"),(INDEX(B1:XFD1,((A3)+(1))+(1)))=("F"),"false"),B3,F199),F199))</f>
        <v>#VALUE!</v>
      </c>
      <c r="G199" t="e">
        <f ca="1">IF((A1)=(2),"",IF((195)=(G4),IF(IF((INDEX(B1:XFD1,((A3)+(1))+(0)))=("store"),(INDEX(B1:XFD1,((A3)+(1))+(1)))=("G"),"false"),B3,G199),G199))</f>
        <v>#VALUE!</v>
      </c>
      <c r="H199" t="e">
        <f ca="1">IF((A1)=(2),"",IF((195)=(H4),IF(IF((INDEX(B1:XFD1,((A3)+(1))+(0)))=("store"),(INDEX(B1:XFD1,((A3)+(1))+(1)))=("H"),"false"),B3,H199),H199))</f>
        <v>#VALUE!</v>
      </c>
      <c r="I199" t="e">
        <f ca="1">IF((A1)=(2),"",IF((195)=(I4),IF(IF((INDEX(B1:XFD1,((A3)+(1))+(0)))=("store"),(INDEX(B1:XFD1,((A3)+(1))+(1)))=("I"),"false"),B3,I199),I199))</f>
        <v>#VALUE!</v>
      </c>
      <c r="J199" t="e">
        <f ca="1">IF((A1)=(2),"",IF((195)=(J4),IF(IF((INDEX(B1:XFD1,((A3)+(1))+(0)))=("store"),(INDEX(B1:XFD1,((A3)+(1))+(1)))=("J"),"false"),B3,J199),J199))</f>
        <v>#VALUE!</v>
      </c>
      <c r="K199" t="e">
        <f ca="1">IF((A1)=(2),"",IF((195)=(K4),IF(IF((INDEX(B1:XFD1,((A3)+(1))+(0)))=("store"),(INDEX(B1:XFD1,((A3)+(1))+(1)))=("K"),"false"),B3,K199),K199))</f>
        <v>#VALUE!</v>
      </c>
      <c r="L199" t="e">
        <f ca="1">IF((A1)=(2),"",IF((195)=(L4),IF(IF((INDEX(B1:XFD1,((A3)+(1))+(0)))=("store"),(INDEX(B1:XFD1,((A3)+(1))+(1)))=("L"),"false"),B3,L199),L199))</f>
        <v>#VALUE!</v>
      </c>
      <c r="M199" t="e">
        <f ca="1">IF((A1)=(2),"",IF((195)=(M4),IF(IF((INDEX(B1:XFD1,((A3)+(1))+(0)))=("store"),(INDEX(B1:XFD1,((A3)+(1))+(1)))=("M"),"false"),B3,M199),M199))</f>
        <v>#VALUE!</v>
      </c>
      <c r="N199" t="e">
        <f ca="1">IF((A1)=(2),"",IF((195)=(N4),IF(IF((INDEX(B1:XFD1,((A3)+(1))+(0)))=("store"),(INDEX(B1:XFD1,((A3)+(1))+(1)))=("N"),"false"),B3,N199),N199))</f>
        <v>#VALUE!</v>
      </c>
      <c r="O199" t="e">
        <f ca="1">IF((A1)=(2),"",IF((195)=(O4),IF(IF((INDEX(B1:XFD1,((A3)+(1))+(0)))=("store"),(INDEX(B1:XFD1,((A3)+(1))+(1)))=("O"),"false"),B3,O199),O199))</f>
        <v>#VALUE!</v>
      </c>
      <c r="P199" t="e">
        <f ca="1">IF((A1)=(2),"",IF((195)=(P4),IF(IF((INDEX(B1:XFD1,((A3)+(1))+(0)))=("store"),(INDEX(B1:XFD1,((A3)+(1))+(1)))=("P"),"false"),B3,P199),P199))</f>
        <v>#VALUE!</v>
      </c>
      <c r="Q199" t="e">
        <f ca="1">IF((A1)=(2),"",IF((195)=(Q4),IF(IF((INDEX(B1:XFD1,((A3)+(1))+(0)))=("store"),(INDEX(B1:XFD1,((A3)+(1))+(1)))=("Q"),"false"),B3,Q199),Q199))</f>
        <v>#VALUE!</v>
      </c>
      <c r="R199" t="e">
        <f ca="1">IF((A1)=(2),"",IF((195)=(R4),IF(IF((INDEX(B1:XFD1,((A3)+(1))+(0)))=("store"),(INDEX(B1:XFD1,((A3)+(1))+(1)))=("R"),"false"),B3,R199),R199))</f>
        <v>#VALUE!</v>
      </c>
      <c r="S199" t="e">
        <f ca="1">IF((A1)=(2),"",IF((195)=(S4),IF(IF((INDEX(B1:XFD1,((A3)+(1))+(0)))=("store"),(INDEX(B1:XFD1,((A3)+(1))+(1)))=("S"),"false"),B3,S199),S199))</f>
        <v>#VALUE!</v>
      </c>
      <c r="T199" t="e">
        <f ca="1">IF((A1)=(2),"",IF((195)=(T4),IF(IF((INDEX(B1:XFD1,((A3)+(1))+(0)))=("store"),(INDEX(B1:XFD1,((A3)+(1))+(1)))=("T"),"false"),B3,T199),T199))</f>
        <v>#VALUE!</v>
      </c>
      <c r="U199" t="e">
        <f ca="1">IF((A1)=(2),"",IF((195)=(U4),IF(IF((INDEX(B1:XFD1,((A3)+(1))+(0)))=("store"),(INDEX(B1:XFD1,((A3)+(1))+(1)))=("U"),"false"),B3,U199),U199))</f>
        <v>#VALUE!</v>
      </c>
      <c r="V199" t="e">
        <f ca="1">IF((A1)=(2),"",IF((195)=(V4),IF(IF((INDEX(B1:XFD1,((A3)+(1))+(0)))=("store"),(INDEX(B1:XFD1,((A3)+(1))+(1)))=("V"),"false"),B3,V199),V199))</f>
        <v>#VALUE!</v>
      </c>
      <c r="W199" t="e">
        <f ca="1">IF((A1)=(2),"",IF((195)=(W4),IF(IF((INDEX(B1:XFD1,((A3)+(1))+(0)))=("store"),(INDEX(B1:XFD1,((A3)+(1))+(1)))=("W"),"false"),B3,W199),W199))</f>
        <v>#VALUE!</v>
      </c>
      <c r="X199" t="e">
        <f ca="1">IF((A1)=(2),"",IF((195)=(X4),IF(IF((INDEX(B1:XFD1,((A3)+(1))+(0)))=("store"),(INDEX(B1:XFD1,((A3)+(1))+(1)))=("X"),"false"),B3,X199),X199))</f>
        <v>#VALUE!</v>
      </c>
      <c r="Y199" t="e">
        <f ca="1">IF((A1)=(2),"",IF((195)=(Y4),IF(IF((INDEX(B1:XFD1,((A3)+(1))+(0)))=("store"),(INDEX(B1:XFD1,((A3)+(1))+(1)))=("Y"),"false"),B3,Y199),Y199))</f>
        <v>#VALUE!</v>
      </c>
      <c r="Z199" t="e">
        <f ca="1">IF((A1)=(2),"",IF((195)=(Z4),IF(IF((INDEX(B1:XFD1,((A3)+(1))+(0)))=("store"),(INDEX(B1:XFD1,((A3)+(1))+(1)))=("Z"),"false"),B3,Z199),Z199))</f>
        <v>#VALUE!</v>
      </c>
      <c r="AA199" t="e">
        <f ca="1">IF((A1)=(2),"",IF((195)=(AA4),IF(IF((INDEX(B1:XFD1,((A3)+(1))+(0)))=("store"),(INDEX(B1:XFD1,((A3)+(1))+(1)))=("AA"),"false"),B3,AA199),AA199))</f>
        <v>#VALUE!</v>
      </c>
      <c r="AB199" t="e">
        <f ca="1">IF((A1)=(2),"",IF((195)=(AB4),IF(IF((INDEX(B1:XFD1,((A3)+(1))+(0)))=("store"),(INDEX(B1:XFD1,((A3)+(1))+(1)))=("AB"),"false"),B3,AB199),AB199))</f>
        <v>#VALUE!</v>
      </c>
      <c r="AC199" t="e">
        <f ca="1">IF((A1)=(2),"",IF((195)=(AC4),IF(IF((INDEX(B1:XFD1,((A3)+(1))+(0)))=("store"),(INDEX(B1:XFD1,((A3)+(1))+(1)))=("AC"),"false"),B3,AC199),AC199))</f>
        <v>#VALUE!</v>
      </c>
      <c r="AD199" t="e">
        <f ca="1">IF((A1)=(2),"",IF((195)=(AD4),IF(IF((INDEX(B1:XFD1,((A3)+(1))+(0)))=("store"),(INDEX(B1:XFD1,((A3)+(1))+(1)))=("AD"),"false"),B3,AD199),AD199))</f>
        <v>#VALUE!</v>
      </c>
    </row>
    <row r="200" spans="1:30" x14ac:dyDescent="0.25">
      <c r="A200" t="e">
        <f ca="1">IF((A1)=(2),"",IF((196)=(A4),IF(("call")=(INDEX(B1:XFD1,((A3)+(1))+(0))),(B3)*(2),IF(("goto")=(INDEX(B1:XFD1,((A3)+(1))+(0))),(INDEX(B1:XFD1,((A3)+(1))+(1)))*(2),IF(("gotoiftrue")=(INDEX(B1:XFD1,((A3)+(1))+(0))),IF(B3,(INDEX(B1:XFD1,((A3)+(1))+(1)))*(2),(A200)+(2)),(A200)+(2)))),A200))</f>
        <v>#VALUE!</v>
      </c>
      <c r="B200" t="e">
        <f ca="1">IF((A1)=(2),"",IF((196)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200)+(1)),IF(("add")=(INDEX(B1:XFD1,((A3)+(1))+(0))),(INDEX(B5:B405,(B4)+(1)))+(B200),IF(("equals")=(INDEX(B1:XFD1,((A3)+(1))+(0))),(INDEX(B5:B405,(B4)+(1)))=(B200),IF(("leq")=(INDEX(B1:XFD1,((A3)+(1))+(0))),(INDEX(B5:B405,(B4)+(1)))&lt;=(B200),IF(("greater")=(INDEX(B1:XFD1,((A3)+(1))+(0))),(INDEX(B5:B405,(B4)+(1)))&gt;(B200),IF(("mod")=(INDEX(B1:XFD1,((A3)+(1))+(0))),MOD(INDEX(B5:B405,(B4)+(1)),B200),B200))))))))),B200))</f>
        <v>#VALUE!</v>
      </c>
      <c r="C200" t="e">
        <f ca="1">IF((A1)=(2),1,IF(AND((INDEX(B1:XFD1,((A3)+(1))+(0)))=("writeheap"),(INDEX(B5:B405,(B4)+(1)))=(195)),INDEX(B5:B405,(B4)+(2)),IF((A1)=(2),"",IF((196)=(C4),C200,C200))))</f>
        <v>#VALUE!</v>
      </c>
      <c r="F200" t="e">
        <f ca="1">IF((A1)=(2),"",IF((196)=(F4),IF(IF((INDEX(B1:XFD1,((A3)+(1))+(0)))=("store"),(INDEX(B1:XFD1,((A3)+(1))+(1)))=("F"),"false"),B3,F200),F200))</f>
        <v>#VALUE!</v>
      </c>
      <c r="G200" t="e">
        <f ca="1">IF((A1)=(2),"",IF((196)=(G4),IF(IF((INDEX(B1:XFD1,((A3)+(1))+(0)))=("store"),(INDEX(B1:XFD1,((A3)+(1))+(1)))=("G"),"false"),B3,G200),G200))</f>
        <v>#VALUE!</v>
      </c>
      <c r="H200" t="e">
        <f ca="1">IF((A1)=(2),"",IF((196)=(H4),IF(IF((INDEX(B1:XFD1,((A3)+(1))+(0)))=("store"),(INDEX(B1:XFD1,((A3)+(1))+(1)))=("H"),"false"),B3,H200),H200))</f>
        <v>#VALUE!</v>
      </c>
      <c r="I200" t="e">
        <f ca="1">IF((A1)=(2),"",IF((196)=(I4),IF(IF((INDEX(B1:XFD1,((A3)+(1))+(0)))=("store"),(INDEX(B1:XFD1,((A3)+(1))+(1)))=("I"),"false"),B3,I200),I200))</f>
        <v>#VALUE!</v>
      </c>
      <c r="J200" t="e">
        <f ca="1">IF((A1)=(2),"",IF((196)=(J4),IF(IF((INDEX(B1:XFD1,((A3)+(1))+(0)))=("store"),(INDEX(B1:XFD1,((A3)+(1))+(1)))=("J"),"false"),B3,J200),J200))</f>
        <v>#VALUE!</v>
      </c>
      <c r="K200" t="e">
        <f ca="1">IF((A1)=(2),"",IF((196)=(K4),IF(IF((INDEX(B1:XFD1,((A3)+(1))+(0)))=("store"),(INDEX(B1:XFD1,((A3)+(1))+(1)))=("K"),"false"),B3,K200),K200))</f>
        <v>#VALUE!</v>
      </c>
      <c r="L200" t="e">
        <f ca="1">IF((A1)=(2),"",IF((196)=(L4),IF(IF((INDEX(B1:XFD1,((A3)+(1))+(0)))=("store"),(INDEX(B1:XFD1,((A3)+(1))+(1)))=("L"),"false"),B3,L200),L200))</f>
        <v>#VALUE!</v>
      </c>
      <c r="M200" t="e">
        <f ca="1">IF((A1)=(2),"",IF((196)=(M4),IF(IF((INDEX(B1:XFD1,((A3)+(1))+(0)))=("store"),(INDEX(B1:XFD1,((A3)+(1))+(1)))=("M"),"false"),B3,M200),M200))</f>
        <v>#VALUE!</v>
      </c>
      <c r="N200" t="e">
        <f ca="1">IF((A1)=(2),"",IF((196)=(N4),IF(IF((INDEX(B1:XFD1,((A3)+(1))+(0)))=("store"),(INDEX(B1:XFD1,((A3)+(1))+(1)))=("N"),"false"),B3,N200),N200))</f>
        <v>#VALUE!</v>
      </c>
      <c r="O200" t="e">
        <f ca="1">IF((A1)=(2),"",IF((196)=(O4),IF(IF((INDEX(B1:XFD1,((A3)+(1))+(0)))=("store"),(INDEX(B1:XFD1,((A3)+(1))+(1)))=("O"),"false"),B3,O200),O200))</f>
        <v>#VALUE!</v>
      </c>
      <c r="P200" t="e">
        <f ca="1">IF((A1)=(2),"",IF((196)=(P4),IF(IF((INDEX(B1:XFD1,((A3)+(1))+(0)))=("store"),(INDEX(B1:XFD1,((A3)+(1))+(1)))=("P"),"false"),B3,P200),P200))</f>
        <v>#VALUE!</v>
      </c>
      <c r="Q200" t="e">
        <f ca="1">IF((A1)=(2),"",IF((196)=(Q4),IF(IF((INDEX(B1:XFD1,((A3)+(1))+(0)))=("store"),(INDEX(B1:XFD1,((A3)+(1))+(1)))=("Q"),"false"),B3,Q200),Q200))</f>
        <v>#VALUE!</v>
      </c>
      <c r="R200" t="e">
        <f ca="1">IF((A1)=(2),"",IF((196)=(R4),IF(IF((INDEX(B1:XFD1,((A3)+(1))+(0)))=("store"),(INDEX(B1:XFD1,((A3)+(1))+(1)))=("R"),"false"),B3,R200),R200))</f>
        <v>#VALUE!</v>
      </c>
      <c r="S200" t="e">
        <f ca="1">IF((A1)=(2),"",IF((196)=(S4),IF(IF((INDEX(B1:XFD1,((A3)+(1))+(0)))=("store"),(INDEX(B1:XFD1,((A3)+(1))+(1)))=("S"),"false"),B3,S200),S200))</f>
        <v>#VALUE!</v>
      </c>
      <c r="T200" t="e">
        <f ca="1">IF((A1)=(2),"",IF((196)=(T4),IF(IF((INDEX(B1:XFD1,((A3)+(1))+(0)))=("store"),(INDEX(B1:XFD1,((A3)+(1))+(1)))=("T"),"false"),B3,T200),T200))</f>
        <v>#VALUE!</v>
      </c>
      <c r="U200" t="e">
        <f ca="1">IF((A1)=(2),"",IF((196)=(U4),IF(IF((INDEX(B1:XFD1,((A3)+(1))+(0)))=("store"),(INDEX(B1:XFD1,((A3)+(1))+(1)))=("U"),"false"),B3,U200),U200))</f>
        <v>#VALUE!</v>
      </c>
      <c r="V200" t="e">
        <f ca="1">IF((A1)=(2),"",IF((196)=(V4),IF(IF((INDEX(B1:XFD1,((A3)+(1))+(0)))=("store"),(INDEX(B1:XFD1,((A3)+(1))+(1)))=("V"),"false"),B3,V200),V200))</f>
        <v>#VALUE!</v>
      </c>
      <c r="W200" t="e">
        <f ca="1">IF((A1)=(2),"",IF((196)=(W4),IF(IF((INDEX(B1:XFD1,((A3)+(1))+(0)))=("store"),(INDEX(B1:XFD1,((A3)+(1))+(1)))=("W"),"false"),B3,W200),W200))</f>
        <v>#VALUE!</v>
      </c>
      <c r="X200" t="e">
        <f ca="1">IF((A1)=(2),"",IF((196)=(X4),IF(IF((INDEX(B1:XFD1,((A3)+(1))+(0)))=("store"),(INDEX(B1:XFD1,((A3)+(1))+(1)))=("X"),"false"),B3,X200),X200))</f>
        <v>#VALUE!</v>
      </c>
      <c r="Y200" t="e">
        <f ca="1">IF((A1)=(2),"",IF((196)=(Y4),IF(IF((INDEX(B1:XFD1,((A3)+(1))+(0)))=("store"),(INDEX(B1:XFD1,((A3)+(1))+(1)))=("Y"),"false"),B3,Y200),Y200))</f>
        <v>#VALUE!</v>
      </c>
      <c r="Z200" t="e">
        <f ca="1">IF((A1)=(2),"",IF((196)=(Z4),IF(IF((INDEX(B1:XFD1,((A3)+(1))+(0)))=("store"),(INDEX(B1:XFD1,((A3)+(1))+(1)))=("Z"),"false"),B3,Z200),Z200))</f>
        <v>#VALUE!</v>
      </c>
      <c r="AA200" t="e">
        <f ca="1">IF((A1)=(2),"",IF((196)=(AA4),IF(IF((INDEX(B1:XFD1,((A3)+(1))+(0)))=("store"),(INDEX(B1:XFD1,((A3)+(1))+(1)))=("AA"),"false"),B3,AA200),AA200))</f>
        <v>#VALUE!</v>
      </c>
      <c r="AB200" t="e">
        <f ca="1">IF((A1)=(2),"",IF((196)=(AB4),IF(IF((INDEX(B1:XFD1,((A3)+(1))+(0)))=("store"),(INDEX(B1:XFD1,((A3)+(1))+(1)))=("AB"),"false"),B3,AB200),AB200))</f>
        <v>#VALUE!</v>
      </c>
      <c r="AC200" t="e">
        <f ca="1">IF((A1)=(2),"",IF((196)=(AC4),IF(IF((INDEX(B1:XFD1,((A3)+(1))+(0)))=("store"),(INDEX(B1:XFD1,((A3)+(1))+(1)))=("AC"),"false"),B3,AC200),AC200))</f>
        <v>#VALUE!</v>
      </c>
      <c r="AD200" t="e">
        <f ca="1">IF((A1)=(2),"",IF((196)=(AD4),IF(IF((INDEX(B1:XFD1,((A3)+(1))+(0)))=("store"),(INDEX(B1:XFD1,((A3)+(1))+(1)))=("AD"),"false"),B3,AD200),AD200))</f>
        <v>#VALUE!</v>
      </c>
    </row>
    <row r="201" spans="1:30" x14ac:dyDescent="0.25">
      <c r="A201" t="e">
        <f ca="1">IF((A1)=(2),"",IF((197)=(A4),IF(("call")=(INDEX(B1:XFD1,((A3)+(1))+(0))),(B3)*(2),IF(("goto")=(INDEX(B1:XFD1,((A3)+(1))+(0))),(INDEX(B1:XFD1,((A3)+(1))+(1)))*(2),IF(("gotoiftrue")=(INDEX(B1:XFD1,((A3)+(1))+(0))),IF(B3,(INDEX(B1:XFD1,((A3)+(1))+(1)))*(2),(A201)+(2)),(A201)+(2)))),A201))</f>
        <v>#VALUE!</v>
      </c>
      <c r="B201" t="e">
        <f ca="1">IF((A1)=(2),"",IF((197)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201)+(1)),IF(("add")=(INDEX(B1:XFD1,((A3)+(1))+(0))),(INDEX(B5:B405,(B4)+(1)))+(B201),IF(("equals")=(INDEX(B1:XFD1,((A3)+(1))+(0))),(INDEX(B5:B405,(B4)+(1)))=(B201),IF(("leq")=(INDEX(B1:XFD1,((A3)+(1))+(0))),(INDEX(B5:B405,(B4)+(1)))&lt;=(B201),IF(("greater")=(INDEX(B1:XFD1,((A3)+(1))+(0))),(INDEX(B5:B405,(B4)+(1)))&gt;(B201),IF(("mod")=(INDEX(B1:XFD1,((A3)+(1))+(0))),MOD(INDEX(B5:B405,(B4)+(1)),B201),B201))))))))),B201))</f>
        <v>#VALUE!</v>
      </c>
      <c r="C201" t="e">
        <f ca="1">IF((A1)=(2),1,IF(AND((INDEX(B1:XFD1,((A3)+(1))+(0)))=("writeheap"),(INDEX(B5:B405,(B4)+(1)))=(196)),INDEX(B5:B405,(B4)+(2)),IF((A1)=(2),"",IF((197)=(C4),C201,C201))))</f>
        <v>#VALUE!</v>
      </c>
      <c r="F201" t="e">
        <f ca="1">IF((A1)=(2),"",IF((197)=(F4),IF(IF((INDEX(B1:XFD1,((A3)+(1))+(0)))=("store"),(INDEX(B1:XFD1,((A3)+(1))+(1)))=("F"),"false"),B3,F201),F201))</f>
        <v>#VALUE!</v>
      </c>
      <c r="G201" t="e">
        <f ca="1">IF((A1)=(2),"",IF((197)=(G4),IF(IF((INDEX(B1:XFD1,((A3)+(1))+(0)))=("store"),(INDEX(B1:XFD1,((A3)+(1))+(1)))=("G"),"false"),B3,G201),G201))</f>
        <v>#VALUE!</v>
      </c>
      <c r="H201" t="e">
        <f ca="1">IF((A1)=(2),"",IF((197)=(H4),IF(IF((INDEX(B1:XFD1,((A3)+(1))+(0)))=("store"),(INDEX(B1:XFD1,((A3)+(1))+(1)))=("H"),"false"),B3,H201),H201))</f>
        <v>#VALUE!</v>
      </c>
      <c r="I201" t="e">
        <f ca="1">IF((A1)=(2),"",IF((197)=(I4),IF(IF((INDEX(B1:XFD1,((A3)+(1))+(0)))=("store"),(INDEX(B1:XFD1,((A3)+(1))+(1)))=("I"),"false"),B3,I201),I201))</f>
        <v>#VALUE!</v>
      </c>
      <c r="J201" t="e">
        <f ca="1">IF((A1)=(2),"",IF((197)=(J4),IF(IF((INDEX(B1:XFD1,((A3)+(1))+(0)))=("store"),(INDEX(B1:XFD1,((A3)+(1))+(1)))=("J"),"false"),B3,J201),J201))</f>
        <v>#VALUE!</v>
      </c>
      <c r="K201" t="e">
        <f ca="1">IF((A1)=(2),"",IF((197)=(K4),IF(IF((INDEX(B1:XFD1,((A3)+(1))+(0)))=("store"),(INDEX(B1:XFD1,((A3)+(1))+(1)))=("K"),"false"),B3,K201),K201))</f>
        <v>#VALUE!</v>
      </c>
      <c r="L201" t="e">
        <f ca="1">IF((A1)=(2),"",IF((197)=(L4),IF(IF((INDEX(B1:XFD1,((A3)+(1))+(0)))=("store"),(INDEX(B1:XFD1,((A3)+(1))+(1)))=("L"),"false"),B3,L201),L201))</f>
        <v>#VALUE!</v>
      </c>
      <c r="M201" t="e">
        <f ca="1">IF((A1)=(2),"",IF((197)=(M4),IF(IF((INDEX(B1:XFD1,((A3)+(1))+(0)))=("store"),(INDEX(B1:XFD1,((A3)+(1))+(1)))=("M"),"false"),B3,M201),M201))</f>
        <v>#VALUE!</v>
      </c>
      <c r="N201" t="e">
        <f ca="1">IF((A1)=(2),"",IF((197)=(N4),IF(IF((INDEX(B1:XFD1,((A3)+(1))+(0)))=("store"),(INDEX(B1:XFD1,((A3)+(1))+(1)))=("N"),"false"),B3,N201),N201))</f>
        <v>#VALUE!</v>
      </c>
      <c r="O201" t="e">
        <f ca="1">IF((A1)=(2),"",IF((197)=(O4),IF(IF((INDEX(B1:XFD1,((A3)+(1))+(0)))=("store"),(INDEX(B1:XFD1,((A3)+(1))+(1)))=("O"),"false"),B3,O201),O201))</f>
        <v>#VALUE!</v>
      </c>
      <c r="P201" t="e">
        <f ca="1">IF((A1)=(2),"",IF((197)=(P4),IF(IF((INDEX(B1:XFD1,((A3)+(1))+(0)))=("store"),(INDEX(B1:XFD1,((A3)+(1))+(1)))=("P"),"false"),B3,P201),P201))</f>
        <v>#VALUE!</v>
      </c>
      <c r="Q201" t="e">
        <f ca="1">IF((A1)=(2),"",IF((197)=(Q4),IF(IF((INDEX(B1:XFD1,((A3)+(1))+(0)))=("store"),(INDEX(B1:XFD1,((A3)+(1))+(1)))=("Q"),"false"),B3,Q201),Q201))</f>
        <v>#VALUE!</v>
      </c>
      <c r="R201" t="e">
        <f ca="1">IF((A1)=(2),"",IF((197)=(R4),IF(IF((INDEX(B1:XFD1,((A3)+(1))+(0)))=("store"),(INDEX(B1:XFD1,((A3)+(1))+(1)))=("R"),"false"),B3,R201),R201))</f>
        <v>#VALUE!</v>
      </c>
      <c r="S201" t="e">
        <f ca="1">IF((A1)=(2),"",IF((197)=(S4),IF(IF((INDEX(B1:XFD1,((A3)+(1))+(0)))=("store"),(INDEX(B1:XFD1,((A3)+(1))+(1)))=("S"),"false"),B3,S201),S201))</f>
        <v>#VALUE!</v>
      </c>
      <c r="T201" t="e">
        <f ca="1">IF((A1)=(2),"",IF((197)=(T4),IF(IF((INDEX(B1:XFD1,((A3)+(1))+(0)))=("store"),(INDEX(B1:XFD1,((A3)+(1))+(1)))=("T"),"false"),B3,T201),T201))</f>
        <v>#VALUE!</v>
      </c>
      <c r="U201" t="e">
        <f ca="1">IF((A1)=(2),"",IF((197)=(U4),IF(IF((INDEX(B1:XFD1,((A3)+(1))+(0)))=("store"),(INDEX(B1:XFD1,((A3)+(1))+(1)))=("U"),"false"),B3,U201),U201))</f>
        <v>#VALUE!</v>
      </c>
      <c r="V201" t="e">
        <f ca="1">IF((A1)=(2),"",IF((197)=(V4),IF(IF((INDEX(B1:XFD1,((A3)+(1))+(0)))=("store"),(INDEX(B1:XFD1,((A3)+(1))+(1)))=("V"),"false"),B3,V201),V201))</f>
        <v>#VALUE!</v>
      </c>
      <c r="W201" t="e">
        <f ca="1">IF((A1)=(2),"",IF((197)=(W4),IF(IF((INDEX(B1:XFD1,((A3)+(1))+(0)))=("store"),(INDEX(B1:XFD1,((A3)+(1))+(1)))=("W"),"false"),B3,W201),W201))</f>
        <v>#VALUE!</v>
      </c>
      <c r="X201" t="e">
        <f ca="1">IF((A1)=(2),"",IF((197)=(X4),IF(IF((INDEX(B1:XFD1,((A3)+(1))+(0)))=("store"),(INDEX(B1:XFD1,((A3)+(1))+(1)))=("X"),"false"),B3,X201),X201))</f>
        <v>#VALUE!</v>
      </c>
      <c r="Y201" t="e">
        <f ca="1">IF((A1)=(2),"",IF((197)=(Y4),IF(IF((INDEX(B1:XFD1,((A3)+(1))+(0)))=("store"),(INDEX(B1:XFD1,((A3)+(1))+(1)))=("Y"),"false"),B3,Y201),Y201))</f>
        <v>#VALUE!</v>
      </c>
      <c r="Z201" t="e">
        <f ca="1">IF((A1)=(2),"",IF((197)=(Z4),IF(IF((INDEX(B1:XFD1,((A3)+(1))+(0)))=("store"),(INDEX(B1:XFD1,((A3)+(1))+(1)))=("Z"),"false"),B3,Z201),Z201))</f>
        <v>#VALUE!</v>
      </c>
      <c r="AA201" t="e">
        <f ca="1">IF((A1)=(2),"",IF((197)=(AA4),IF(IF((INDEX(B1:XFD1,((A3)+(1))+(0)))=("store"),(INDEX(B1:XFD1,((A3)+(1))+(1)))=("AA"),"false"),B3,AA201),AA201))</f>
        <v>#VALUE!</v>
      </c>
      <c r="AB201" t="e">
        <f ca="1">IF((A1)=(2),"",IF((197)=(AB4),IF(IF((INDEX(B1:XFD1,((A3)+(1))+(0)))=("store"),(INDEX(B1:XFD1,((A3)+(1))+(1)))=("AB"),"false"),B3,AB201),AB201))</f>
        <v>#VALUE!</v>
      </c>
      <c r="AC201" t="e">
        <f ca="1">IF((A1)=(2),"",IF((197)=(AC4),IF(IF((INDEX(B1:XFD1,((A3)+(1))+(0)))=("store"),(INDEX(B1:XFD1,((A3)+(1))+(1)))=("AC"),"false"),B3,AC201),AC201))</f>
        <v>#VALUE!</v>
      </c>
      <c r="AD201" t="e">
        <f ca="1">IF((A1)=(2),"",IF((197)=(AD4),IF(IF((INDEX(B1:XFD1,((A3)+(1))+(0)))=("store"),(INDEX(B1:XFD1,((A3)+(1))+(1)))=("AD"),"false"),B3,AD201),AD201))</f>
        <v>#VALUE!</v>
      </c>
    </row>
    <row r="202" spans="1:30" x14ac:dyDescent="0.25">
      <c r="A202" t="e">
        <f ca="1">IF((A1)=(2),"",IF((198)=(A4),IF(("call")=(INDEX(B1:XFD1,((A3)+(1))+(0))),(B3)*(2),IF(("goto")=(INDEX(B1:XFD1,((A3)+(1))+(0))),(INDEX(B1:XFD1,((A3)+(1))+(1)))*(2),IF(("gotoiftrue")=(INDEX(B1:XFD1,((A3)+(1))+(0))),IF(B3,(INDEX(B1:XFD1,((A3)+(1))+(1)))*(2),(A202)+(2)),(A202)+(2)))),A202))</f>
        <v>#VALUE!</v>
      </c>
      <c r="B202" t="e">
        <f ca="1">IF((A1)=(2),"",IF((198)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202)+(1)),IF(("add")=(INDEX(B1:XFD1,((A3)+(1))+(0))),(INDEX(B5:B405,(B4)+(1)))+(B202),IF(("equals")=(INDEX(B1:XFD1,((A3)+(1))+(0))),(INDEX(B5:B405,(B4)+(1)))=(B202),IF(("leq")=(INDEX(B1:XFD1,((A3)+(1))+(0))),(INDEX(B5:B405,(B4)+(1)))&lt;=(B202),IF(("greater")=(INDEX(B1:XFD1,((A3)+(1))+(0))),(INDEX(B5:B405,(B4)+(1)))&gt;(B202),IF(("mod")=(INDEX(B1:XFD1,((A3)+(1))+(0))),MOD(INDEX(B5:B405,(B4)+(1)),B202),B202))))))))),B202))</f>
        <v>#VALUE!</v>
      </c>
      <c r="C202" t="e">
        <f ca="1">IF((A1)=(2),1,IF(AND((INDEX(B1:XFD1,((A3)+(1))+(0)))=("writeheap"),(INDEX(B5:B405,(B4)+(1)))=(197)),INDEX(B5:B405,(B4)+(2)),IF((A1)=(2),"",IF((198)=(C4),C202,C202))))</f>
        <v>#VALUE!</v>
      </c>
      <c r="F202" t="e">
        <f ca="1">IF((A1)=(2),"",IF((198)=(F4),IF(IF((INDEX(B1:XFD1,((A3)+(1))+(0)))=("store"),(INDEX(B1:XFD1,((A3)+(1))+(1)))=("F"),"false"),B3,F202),F202))</f>
        <v>#VALUE!</v>
      </c>
      <c r="G202" t="e">
        <f ca="1">IF((A1)=(2),"",IF((198)=(G4),IF(IF((INDEX(B1:XFD1,((A3)+(1))+(0)))=("store"),(INDEX(B1:XFD1,((A3)+(1))+(1)))=("G"),"false"),B3,G202),G202))</f>
        <v>#VALUE!</v>
      </c>
      <c r="H202" t="e">
        <f ca="1">IF((A1)=(2),"",IF((198)=(H4),IF(IF((INDEX(B1:XFD1,((A3)+(1))+(0)))=("store"),(INDEX(B1:XFD1,((A3)+(1))+(1)))=("H"),"false"),B3,H202),H202))</f>
        <v>#VALUE!</v>
      </c>
      <c r="I202" t="e">
        <f ca="1">IF((A1)=(2),"",IF((198)=(I4),IF(IF((INDEX(B1:XFD1,((A3)+(1))+(0)))=("store"),(INDEX(B1:XFD1,((A3)+(1))+(1)))=("I"),"false"),B3,I202),I202))</f>
        <v>#VALUE!</v>
      </c>
      <c r="J202" t="e">
        <f ca="1">IF((A1)=(2),"",IF((198)=(J4),IF(IF((INDEX(B1:XFD1,((A3)+(1))+(0)))=("store"),(INDEX(B1:XFD1,((A3)+(1))+(1)))=("J"),"false"),B3,J202),J202))</f>
        <v>#VALUE!</v>
      </c>
      <c r="K202" t="e">
        <f ca="1">IF((A1)=(2),"",IF((198)=(K4),IF(IF((INDEX(B1:XFD1,((A3)+(1))+(0)))=("store"),(INDEX(B1:XFD1,((A3)+(1))+(1)))=("K"),"false"),B3,K202),K202))</f>
        <v>#VALUE!</v>
      </c>
      <c r="L202" t="e">
        <f ca="1">IF((A1)=(2),"",IF((198)=(L4),IF(IF((INDEX(B1:XFD1,((A3)+(1))+(0)))=("store"),(INDEX(B1:XFD1,((A3)+(1))+(1)))=("L"),"false"),B3,L202),L202))</f>
        <v>#VALUE!</v>
      </c>
      <c r="M202" t="e">
        <f ca="1">IF((A1)=(2),"",IF((198)=(M4),IF(IF((INDEX(B1:XFD1,((A3)+(1))+(0)))=("store"),(INDEX(B1:XFD1,((A3)+(1))+(1)))=("M"),"false"),B3,M202),M202))</f>
        <v>#VALUE!</v>
      </c>
      <c r="N202" t="e">
        <f ca="1">IF((A1)=(2),"",IF((198)=(N4),IF(IF((INDEX(B1:XFD1,((A3)+(1))+(0)))=("store"),(INDEX(B1:XFD1,((A3)+(1))+(1)))=("N"),"false"),B3,N202),N202))</f>
        <v>#VALUE!</v>
      </c>
      <c r="O202" t="e">
        <f ca="1">IF((A1)=(2),"",IF((198)=(O4),IF(IF((INDEX(B1:XFD1,((A3)+(1))+(0)))=("store"),(INDEX(B1:XFD1,((A3)+(1))+(1)))=("O"),"false"),B3,O202),O202))</f>
        <v>#VALUE!</v>
      </c>
      <c r="P202" t="e">
        <f ca="1">IF((A1)=(2),"",IF((198)=(P4),IF(IF((INDEX(B1:XFD1,((A3)+(1))+(0)))=("store"),(INDEX(B1:XFD1,((A3)+(1))+(1)))=("P"),"false"),B3,P202),P202))</f>
        <v>#VALUE!</v>
      </c>
      <c r="Q202" t="e">
        <f ca="1">IF((A1)=(2),"",IF((198)=(Q4),IF(IF((INDEX(B1:XFD1,((A3)+(1))+(0)))=("store"),(INDEX(B1:XFD1,((A3)+(1))+(1)))=("Q"),"false"),B3,Q202),Q202))</f>
        <v>#VALUE!</v>
      </c>
      <c r="R202" t="e">
        <f ca="1">IF((A1)=(2),"",IF((198)=(R4),IF(IF((INDEX(B1:XFD1,((A3)+(1))+(0)))=("store"),(INDEX(B1:XFD1,((A3)+(1))+(1)))=("R"),"false"),B3,R202),R202))</f>
        <v>#VALUE!</v>
      </c>
      <c r="S202" t="e">
        <f ca="1">IF((A1)=(2),"",IF((198)=(S4),IF(IF((INDEX(B1:XFD1,((A3)+(1))+(0)))=("store"),(INDEX(B1:XFD1,((A3)+(1))+(1)))=("S"),"false"),B3,S202),S202))</f>
        <v>#VALUE!</v>
      </c>
      <c r="T202" t="e">
        <f ca="1">IF((A1)=(2),"",IF((198)=(T4),IF(IF((INDEX(B1:XFD1,((A3)+(1))+(0)))=("store"),(INDEX(B1:XFD1,((A3)+(1))+(1)))=("T"),"false"),B3,T202),T202))</f>
        <v>#VALUE!</v>
      </c>
      <c r="U202" t="e">
        <f ca="1">IF((A1)=(2),"",IF((198)=(U4),IF(IF((INDEX(B1:XFD1,((A3)+(1))+(0)))=("store"),(INDEX(B1:XFD1,((A3)+(1))+(1)))=("U"),"false"),B3,U202),U202))</f>
        <v>#VALUE!</v>
      </c>
      <c r="V202" t="e">
        <f ca="1">IF((A1)=(2),"",IF((198)=(V4),IF(IF((INDEX(B1:XFD1,((A3)+(1))+(0)))=("store"),(INDEX(B1:XFD1,((A3)+(1))+(1)))=("V"),"false"),B3,V202),V202))</f>
        <v>#VALUE!</v>
      </c>
      <c r="W202" t="e">
        <f ca="1">IF((A1)=(2),"",IF((198)=(W4),IF(IF((INDEX(B1:XFD1,((A3)+(1))+(0)))=("store"),(INDEX(B1:XFD1,((A3)+(1))+(1)))=("W"),"false"),B3,W202),W202))</f>
        <v>#VALUE!</v>
      </c>
      <c r="X202" t="e">
        <f ca="1">IF((A1)=(2),"",IF((198)=(X4),IF(IF((INDEX(B1:XFD1,((A3)+(1))+(0)))=("store"),(INDEX(B1:XFD1,((A3)+(1))+(1)))=("X"),"false"),B3,X202),X202))</f>
        <v>#VALUE!</v>
      </c>
      <c r="Y202" t="e">
        <f ca="1">IF((A1)=(2),"",IF((198)=(Y4),IF(IF((INDEX(B1:XFD1,((A3)+(1))+(0)))=("store"),(INDEX(B1:XFD1,((A3)+(1))+(1)))=("Y"),"false"),B3,Y202),Y202))</f>
        <v>#VALUE!</v>
      </c>
      <c r="Z202" t="e">
        <f ca="1">IF((A1)=(2),"",IF((198)=(Z4),IF(IF((INDEX(B1:XFD1,((A3)+(1))+(0)))=("store"),(INDEX(B1:XFD1,((A3)+(1))+(1)))=("Z"),"false"),B3,Z202),Z202))</f>
        <v>#VALUE!</v>
      </c>
      <c r="AA202" t="e">
        <f ca="1">IF((A1)=(2),"",IF((198)=(AA4),IF(IF((INDEX(B1:XFD1,((A3)+(1))+(0)))=("store"),(INDEX(B1:XFD1,((A3)+(1))+(1)))=("AA"),"false"),B3,AA202),AA202))</f>
        <v>#VALUE!</v>
      </c>
      <c r="AB202" t="e">
        <f ca="1">IF((A1)=(2),"",IF((198)=(AB4),IF(IF((INDEX(B1:XFD1,((A3)+(1))+(0)))=("store"),(INDEX(B1:XFD1,((A3)+(1))+(1)))=("AB"),"false"),B3,AB202),AB202))</f>
        <v>#VALUE!</v>
      </c>
      <c r="AC202" t="e">
        <f ca="1">IF((A1)=(2),"",IF((198)=(AC4),IF(IF((INDEX(B1:XFD1,((A3)+(1))+(0)))=("store"),(INDEX(B1:XFD1,((A3)+(1))+(1)))=("AC"),"false"),B3,AC202),AC202))</f>
        <v>#VALUE!</v>
      </c>
      <c r="AD202" t="e">
        <f ca="1">IF((A1)=(2),"",IF((198)=(AD4),IF(IF((INDEX(B1:XFD1,((A3)+(1))+(0)))=("store"),(INDEX(B1:XFD1,((A3)+(1))+(1)))=("AD"),"false"),B3,AD202),AD202))</f>
        <v>#VALUE!</v>
      </c>
    </row>
    <row r="203" spans="1:30" x14ac:dyDescent="0.25">
      <c r="A203" t="e">
        <f ca="1">IF((A1)=(2),"",IF((199)=(A4),IF(("call")=(INDEX(B1:XFD1,((A3)+(1))+(0))),(B3)*(2),IF(("goto")=(INDEX(B1:XFD1,((A3)+(1))+(0))),(INDEX(B1:XFD1,((A3)+(1))+(1)))*(2),IF(("gotoiftrue")=(INDEX(B1:XFD1,((A3)+(1))+(0))),IF(B3,(INDEX(B1:XFD1,((A3)+(1))+(1)))*(2),(A203)+(2)),(A203)+(2)))),A203))</f>
        <v>#VALUE!</v>
      </c>
      <c r="B203" t="e">
        <f ca="1">IF((A1)=(2),"",IF((199)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203)+(1)),IF(("add")=(INDEX(B1:XFD1,((A3)+(1))+(0))),(INDEX(B5:B405,(B4)+(1)))+(B203),IF(("equals")=(INDEX(B1:XFD1,((A3)+(1))+(0))),(INDEX(B5:B405,(B4)+(1)))=(B203),IF(("leq")=(INDEX(B1:XFD1,((A3)+(1))+(0))),(INDEX(B5:B405,(B4)+(1)))&lt;=(B203),IF(("greater")=(INDEX(B1:XFD1,((A3)+(1))+(0))),(INDEX(B5:B405,(B4)+(1)))&gt;(B203),IF(("mod")=(INDEX(B1:XFD1,((A3)+(1))+(0))),MOD(INDEX(B5:B405,(B4)+(1)),B203),B203))))))))),B203))</f>
        <v>#VALUE!</v>
      </c>
      <c r="C203" t="e">
        <f ca="1">IF((A1)=(2),1,IF(AND((INDEX(B1:XFD1,((A3)+(1))+(0)))=("writeheap"),(INDEX(B5:B405,(B4)+(1)))=(198)),INDEX(B5:B405,(B4)+(2)),IF((A1)=(2),"",IF((199)=(C4),C203,C203))))</f>
        <v>#VALUE!</v>
      </c>
      <c r="F203" t="e">
        <f ca="1">IF((A1)=(2),"",IF((199)=(F4),IF(IF((INDEX(B1:XFD1,((A3)+(1))+(0)))=("store"),(INDEX(B1:XFD1,((A3)+(1))+(1)))=("F"),"false"),B3,F203),F203))</f>
        <v>#VALUE!</v>
      </c>
      <c r="G203" t="e">
        <f ca="1">IF((A1)=(2),"",IF((199)=(G4),IF(IF((INDEX(B1:XFD1,((A3)+(1))+(0)))=("store"),(INDEX(B1:XFD1,((A3)+(1))+(1)))=("G"),"false"),B3,G203),G203))</f>
        <v>#VALUE!</v>
      </c>
      <c r="H203" t="e">
        <f ca="1">IF((A1)=(2),"",IF((199)=(H4),IF(IF((INDEX(B1:XFD1,((A3)+(1))+(0)))=("store"),(INDEX(B1:XFD1,((A3)+(1))+(1)))=("H"),"false"),B3,H203),H203))</f>
        <v>#VALUE!</v>
      </c>
      <c r="I203" t="e">
        <f ca="1">IF((A1)=(2),"",IF((199)=(I4),IF(IF((INDEX(B1:XFD1,((A3)+(1))+(0)))=("store"),(INDEX(B1:XFD1,((A3)+(1))+(1)))=("I"),"false"),B3,I203),I203))</f>
        <v>#VALUE!</v>
      </c>
      <c r="J203" t="e">
        <f ca="1">IF((A1)=(2),"",IF((199)=(J4),IF(IF((INDEX(B1:XFD1,((A3)+(1))+(0)))=("store"),(INDEX(B1:XFD1,((A3)+(1))+(1)))=("J"),"false"),B3,J203),J203))</f>
        <v>#VALUE!</v>
      </c>
      <c r="K203" t="e">
        <f ca="1">IF((A1)=(2),"",IF((199)=(K4),IF(IF((INDEX(B1:XFD1,((A3)+(1))+(0)))=("store"),(INDEX(B1:XFD1,((A3)+(1))+(1)))=("K"),"false"),B3,K203),K203))</f>
        <v>#VALUE!</v>
      </c>
      <c r="L203" t="e">
        <f ca="1">IF((A1)=(2),"",IF((199)=(L4),IF(IF((INDEX(B1:XFD1,((A3)+(1))+(0)))=("store"),(INDEX(B1:XFD1,((A3)+(1))+(1)))=("L"),"false"),B3,L203),L203))</f>
        <v>#VALUE!</v>
      </c>
      <c r="M203" t="e">
        <f ca="1">IF((A1)=(2),"",IF((199)=(M4),IF(IF((INDEX(B1:XFD1,((A3)+(1))+(0)))=("store"),(INDEX(B1:XFD1,((A3)+(1))+(1)))=("M"),"false"),B3,M203),M203))</f>
        <v>#VALUE!</v>
      </c>
      <c r="N203" t="e">
        <f ca="1">IF((A1)=(2),"",IF((199)=(N4),IF(IF((INDEX(B1:XFD1,((A3)+(1))+(0)))=("store"),(INDEX(B1:XFD1,((A3)+(1))+(1)))=("N"),"false"),B3,N203),N203))</f>
        <v>#VALUE!</v>
      </c>
      <c r="O203" t="e">
        <f ca="1">IF((A1)=(2),"",IF((199)=(O4),IF(IF((INDEX(B1:XFD1,((A3)+(1))+(0)))=("store"),(INDEX(B1:XFD1,((A3)+(1))+(1)))=("O"),"false"),B3,O203),O203))</f>
        <v>#VALUE!</v>
      </c>
      <c r="P203" t="e">
        <f ca="1">IF((A1)=(2),"",IF((199)=(P4),IF(IF((INDEX(B1:XFD1,((A3)+(1))+(0)))=("store"),(INDEX(B1:XFD1,((A3)+(1))+(1)))=("P"),"false"),B3,P203),P203))</f>
        <v>#VALUE!</v>
      </c>
      <c r="Q203" t="e">
        <f ca="1">IF((A1)=(2),"",IF((199)=(Q4),IF(IF((INDEX(B1:XFD1,((A3)+(1))+(0)))=("store"),(INDEX(B1:XFD1,((A3)+(1))+(1)))=("Q"),"false"),B3,Q203),Q203))</f>
        <v>#VALUE!</v>
      </c>
      <c r="R203" t="e">
        <f ca="1">IF((A1)=(2),"",IF((199)=(R4),IF(IF((INDEX(B1:XFD1,((A3)+(1))+(0)))=("store"),(INDEX(B1:XFD1,((A3)+(1))+(1)))=("R"),"false"),B3,R203),R203))</f>
        <v>#VALUE!</v>
      </c>
      <c r="S203" t="e">
        <f ca="1">IF((A1)=(2),"",IF((199)=(S4),IF(IF((INDEX(B1:XFD1,((A3)+(1))+(0)))=("store"),(INDEX(B1:XFD1,((A3)+(1))+(1)))=("S"),"false"),B3,S203),S203))</f>
        <v>#VALUE!</v>
      </c>
      <c r="T203" t="e">
        <f ca="1">IF((A1)=(2),"",IF((199)=(T4),IF(IF((INDEX(B1:XFD1,((A3)+(1))+(0)))=("store"),(INDEX(B1:XFD1,((A3)+(1))+(1)))=("T"),"false"),B3,T203),T203))</f>
        <v>#VALUE!</v>
      </c>
      <c r="U203" t="e">
        <f ca="1">IF((A1)=(2),"",IF((199)=(U4),IF(IF((INDEX(B1:XFD1,((A3)+(1))+(0)))=("store"),(INDEX(B1:XFD1,((A3)+(1))+(1)))=("U"),"false"),B3,U203),U203))</f>
        <v>#VALUE!</v>
      </c>
      <c r="V203" t="e">
        <f ca="1">IF((A1)=(2),"",IF((199)=(V4),IF(IF((INDEX(B1:XFD1,((A3)+(1))+(0)))=("store"),(INDEX(B1:XFD1,((A3)+(1))+(1)))=("V"),"false"),B3,V203),V203))</f>
        <v>#VALUE!</v>
      </c>
      <c r="W203" t="e">
        <f ca="1">IF((A1)=(2),"",IF((199)=(W4),IF(IF((INDEX(B1:XFD1,((A3)+(1))+(0)))=("store"),(INDEX(B1:XFD1,((A3)+(1))+(1)))=("W"),"false"),B3,W203),W203))</f>
        <v>#VALUE!</v>
      </c>
      <c r="X203" t="e">
        <f ca="1">IF((A1)=(2),"",IF((199)=(X4),IF(IF((INDEX(B1:XFD1,((A3)+(1))+(0)))=("store"),(INDEX(B1:XFD1,((A3)+(1))+(1)))=("X"),"false"),B3,X203),X203))</f>
        <v>#VALUE!</v>
      </c>
      <c r="Y203" t="e">
        <f ca="1">IF((A1)=(2),"",IF((199)=(Y4),IF(IF((INDEX(B1:XFD1,((A3)+(1))+(0)))=("store"),(INDEX(B1:XFD1,((A3)+(1))+(1)))=("Y"),"false"),B3,Y203),Y203))</f>
        <v>#VALUE!</v>
      </c>
      <c r="Z203" t="e">
        <f ca="1">IF((A1)=(2),"",IF((199)=(Z4),IF(IF((INDEX(B1:XFD1,((A3)+(1))+(0)))=("store"),(INDEX(B1:XFD1,((A3)+(1))+(1)))=("Z"),"false"),B3,Z203),Z203))</f>
        <v>#VALUE!</v>
      </c>
      <c r="AA203" t="e">
        <f ca="1">IF((A1)=(2),"",IF((199)=(AA4),IF(IF((INDEX(B1:XFD1,((A3)+(1))+(0)))=("store"),(INDEX(B1:XFD1,((A3)+(1))+(1)))=("AA"),"false"),B3,AA203),AA203))</f>
        <v>#VALUE!</v>
      </c>
      <c r="AB203" t="e">
        <f ca="1">IF((A1)=(2),"",IF((199)=(AB4),IF(IF((INDEX(B1:XFD1,((A3)+(1))+(0)))=("store"),(INDEX(B1:XFD1,((A3)+(1))+(1)))=("AB"),"false"),B3,AB203),AB203))</f>
        <v>#VALUE!</v>
      </c>
      <c r="AC203" t="e">
        <f ca="1">IF((A1)=(2),"",IF((199)=(AC4),IF(IF((INDEX(B1:XFD1,((A3)+(1))+(0)))=("store"),(INDEX(B1:XFD1,((A3)+(1))+(1)))=("AC"),"false"),B3,AC203),AC203))</f>
        <v>#VALUE!</v>
      </c>
      <c r="AD203" t="e">
        <f ca="1">IF((A1)=(2),"",IF((199)=(AD4),IF(IF((INDEX(B1:XFD1,((A3)+(1))+(0)))=("store"),(INDEX(B1:XFD1,((A3)+(1))+(1)))=("AD"),"false"),B3,AD203),AD203))</f>
        <v>#VALUE!</v>
      </c>
    </row>
    <row r="204" spans="1:30" x14ac:dyDescent="0.25">
      <c r="A204" t="e">
        <f ca="1">IF((A1)=(2),"",IF((200)=(A4),IF(("call")=(INDEX(B1:XFD1,((A3)+(1))+(0))),(B3)*(2),IF(("goto")=(INDEX(B1:XFD1,((A3)+(1))+(0))),(INDEX(B1:XFD1,((A3)+(1))+(1)))*(2),IF(("gotoiftrue")=(INDEX(B1:XFD1,((A3)+(1))+(0))),IF(B3,(INDEX(B1:XFD1,((A3)+(1))+(1)))*(2),(A204)+(2)),(A204)+(2)))),A204))</f>
        <v>#VALUE!</v>
      </c>
      <c r="B204" t="e">
        <f ca="1">IF((A1)=(2),"",IF((200)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204)+(1)),IF(("add")=(INDEX(B1:XFD1,((A3)+(1))+(0))),(INDEX(B5:B405,(B4)+(1)))+(B204),IF(("equals")=(INDEX(B1:XFD1,((A3)+(1))+(0))),(INDEX(B5:B405,(B4)+(1)))=(B204),IF(("leq")=(INDEX(B1:XFD1,((A3)+(1))+(0))),(INDEX(B5:B405,(B4)+(1)))&lt;=(B204),IF(("greater")=(INDEX(B1:XFD1,((A3)+(1))+(0))),(INDEX(B5:B405,(B4)+(1)))&gt;(B204),IF(("mod")=(INDEX(B1:XFD1,((A3)+(1))+(0))),MOD(INDEX(B5:B405,(B4)+(1)),B204),B204))))))))),B204))</f>
        <v>#VALUE!</v>
      </c>
      <c r="C204" t="e">
        <f ca="1">IF((A1)=(2),1,IF(AND((INDEX(B1:XFD1,((A3)+(1))+(0)))=("writeheap"),(INDEX(B5:B405,(B4)+(1)))=(199)),INDEX(B5:B405,(B4)+(2)),IF((A1)=(2),"",IF((200)=(C4),C204,C204))))</f>
        <v>#VALUE!</v>
      </c>
      <c r="F204" t="e">
        <f ca="1">IF((A1)=(2),"",IF((200)=(F4),IF(IF((INDEX(B1:XFD1,((A3)+(1))+(0)))=("store"),(INDEX(B1:XFD1,((A3)+(1))+(1)))=("F"),"false"),B3,F204),F204))</f>
        <v>#VALUE!</v>
      </c>
      <c r="G204" t="e">
        <f ca="1">IF((A1)=(2),"",IF((200)=(G4),IF(IF((INDEX(B1:XFD1,((A3)+(1))+(0)))=("store"),(INDEX(B1:XFD1,((A3)+(1))+(1)))=("G"),"false"),B3,G204),G204))</f>
        <v>#VALUE!</v>
      </c>
      <c r="H204" t="e">
        <f ca="1">IF((A1)=(2),"",IF((200)=(H4),IF(IF((INDEX(B1:XFD1,((A3)+(1))+(0)))=("store"),(INDEX(B1:XFD1,((A3)+(1))+(1)))=("H"),"false"),B3,H204),H204))</f>
        <v>#VALUE!</v>
      </c>
      <c r="I204" t="e">
        <f ca="1">IF((A1)=(2),"",IF((200)=(I4),IF(IF((INDEX(B1:XFD1,((A3)+(1))+(0)))=("store"),(INDEX(B1:XFD1,((A3)+(1))+(1)))=("I"),"false"),B3,I204),I204))</f>
        <v>#VALUE!</v>
      </c>
      <c r="J204" t="e">
        <f ca="1">IF((A1)=(2),"",IF((200)=(J4),IF(IF((INDEX(B1:XFD1,((A3)+(1))+(0)))=("store"),(INDEX(B1:XFD1,((A3)+(1))+(1)))=("J"),"false"),B3,J204),J204))</f>
        <v>#VALUE!</v>
      </c>
      <c r="K204" t="e">
        <f ca="1">IF((A1)=(2),"",IF((200)=(K4),IF(IF((INDEX(B1:XFD1,((A3)+(1))+(0)))=("store"),(INDEX(B1:XFD1,((A3)+(1))+(1)))=("K"),"false"),B3,K204),K204))</f>
        <v>#VALUE!</v>
      </c>
      <c r="L204" t="e">
        <f ca="1">IF((A1)=(2),"",IF((200)=(L4),IF(IF((INDEX(B1:XFD1,((A3)+(1))+(0)))=("store"),(INDEX(B1:XFD1,((A3)+(1))+(1)))=("L"),"false"),B3,L204),L204))</f>
        <v>#VALUE!</v>
      </c>
      <c r="M204" t="e">
        <f ca="1">IF((A1)=(2),"",IF((200)=(M4),IF(IF((INDEX(B1:XFD1,((A3)+(1))+(0)))=("store"),(INDEX(B1:XFD1,((A3)+(1))+(1)))=("M"),"false"),B3,M204),M204))</f>
        <v>#VALUE!</v>
      </c>
      <c r="N204" t="e">
        <f ca="1">IF((A1)=(2),"",IF((200)=(N4),IF(IF((INDEX(B1:XFD1,((A3)+(1))+(0)))=("store"),(INDEX(B1:XFD1,((A3)+(1))+(1)))=("N"),"false"),B3,N204),N204))</f>
        <v>#VALUE!</v>
      </c>
      <c r="O204" t="e">
        <f ca="1">IF((A1)=(2),"",IF((200)=(O4),IF(IF((INDEX(B1:XFD1,((A3)+(1))+(0)))=("store"),(INDEX(B1:XFD1,((A3)+(1))+(1)))=("O"),"false"),B3,O204),O204))</f>
        <v>#VALUE!</v>
      </c>
      <c r="P204" t="e">
        <f ca="1">IF((A1)=(2),"",IF((200)=(P4),IF(IF((INDEX(B1:XFD1,((A3)+(1))+(0)))=("store"),(INDEX(B1:XFD1,((A3)+(1))+(1)))=("P"),"false"),B3,P204),P204))</f>
        <v>#VALUE!</v>
      </c>
      <c r="Q204" t="e">
        <f ca="1">IF((A1)=(2),"",IF((200)=(Q4),IF(IF((INDEX(B1:XFD1,((A3)+(1))+(0)))=("store"),(INDEX(B1:XFD1,((A3)+(1))+(1)))=("Q"),"false"),B3,Q204),Q204))</f>
        <v>#VALUE!</v>
      </c>
      <c r="R204" t="e">
        <f ca="1">IF((A1)=(2),"",IF((200)=(R4),IF(IF((INDEX(B1:XFD1,((A3)+(1))+(0)))=("store"),(INDEX(B1:XFD1,((A3)+(1))+(1)))=("R"),"false"),B3,R204),R204))</f>
        <v>#VALUE!</v>
      </c>
      <c r="S204" t="e">
        <f ca="1">IF((A1)=(2),"",IF((200)=(S4),IF(IF((INDEX(B1:XFD1,((A3)+(1))+(0)))=("store"),(INDEX(B1:XFD1,((A3)+(1))+(1)))=("S"),"false"),B3,S204),S204))</f>
        <v>#VALUE!</v>
      </c>
      <c r="T204" t="e">
        <f ca="1">IF((A1)=(2),"",IF((200)=(T4),IF(IF((INDEX(B1:XFD1,((A3)+(1))+(0)))=("store"),(INDEX(B1:XFD1,((A3)+(1))+(1)))=("T"),"false"),B3,T204),T204))</f>
        <v>#VALUE!</v>
      </c>
      <c r="U204" t="e">
        <f ca="1">IF((A1)=(2),"",IF((200)=(U4),IF(IF((INDEX(B1:XFD1,((A3)+(1))+(0)))=("store"),(INDEX(B1:XFD1,((A3)+(1))+(1)))=("U"),"false"),B3,U204),U204))</f>
        <v>#VALUE!</v>
      </c>
      <c r="V204" t="e">
        <f ca="1">IF((A1)=(2),"",IF((200)=(V4),IF(IF((INDEX(B1:XFD1,((A3)+(1))+(0)))=("store"),(INDEX(B1:XFD1,((A3)+(1))+(1)))=("V"),"false"),B3,V204),V204))</f>
        <v>#VALUE!</v>
      </c>
      <c r="W204" t="e">
        <f ca="1">IF((A1)=(2),"",IF((200)=(W4),IF(IF((INDEX(B1:XFD1,((A3)+(1))+(0)))=("store"),(INDEX(B1:XFD1,((A3)+(1))+(1)))=("W"),"false"),B3,W204),W204))</f>
        <v>#VALUE!</v>
      </c>
      <c r="X204" t="e">
        <f ca="1">IF((A1)=(2),"",IF((200)=(X4),IF(IF((INDEX(B1:XFD1,((A3)+(1))+(0)))=("store"),(INDEX(B1:XFD1,((A3)+(1))+(1)))=("X"),"false"),B3,X204),X204))</f>
        <v>#VALUE!</v>
      </c>
      <c r="Y204" t="e">
        <f ca="1">IF((A1)=(2),"",IF((200)=(Y4),IF(IF((INDEX(B1:XFD1,((A3)+(1))+(0)))=("store"),(INDEX(B1:XFD1,((A3)+(1))+(1)))=("Y"),"false"),B3,Y204),Y204))</f>
        <v>#VALUE!</v>
      </c>
      <c r="Z204" t="e">
        <f ca="1">IF((A1)=(2),"",IF((200)=(Z4),IF(IF((INDEX(B1:XFD1,((A3)+(1))+(0)))=("store"),(INDEX(B1:XFD1,((A3)+(1))+(1)))=("Z"),"false"),B3,Z204),Z204))</f>
        <v>#VALUE!</v>
      </c>
      <c r="AA204" t="e">
        <f ca="1">IF((A1)=(2),"",IF((200)=(AA4),IF(IF((INDEX(B1:XFD1,((A3)+(1))+(0)))=("store"),(INDEX(B1:XFD1,((A3)+(1))+(1)))=("AA"),"false"),B3,AA204),AA204))</f>
        <v>#VALUE!</v>
      </c>
      <c r="AB204" t="e">
        <f ca="1">IF((A1)=(2),"",IF((200)=(AB4),IF(IF((INDEX(B1:XFD1,((A3)+(1))+(0)))=("store"),(INDEX(B1:XFD1,((A3)+(1))+(1)))=("AB"),"false"),B3,AB204),AB204))</f>
        <v>#VALUE!</v>
      </c>
      <c r="AC204" t="e">
        <f ca="1">IF((A1)=(2),"",IF((200)=(AC4),IF(IF((INDEX(B1:XFD1,((A3)+(1))+(0)))=("store"),(INDEX(B1:XFD1,((A3)+(1))+(1)))=("AC"),"false"),B3,AC204),AC204))</f>
        <v>#VALUE!</v>
      </c>
      <c r="AD204" t="e">
        <f ca="1">IF((A1)=(2),"",IF((200)=(AD4),IF(IF((INDEX(B1:XFD1,((A3)+(1))+(0)))=("store"),(INDEX(B1:XFD1,((A3)+(1))+(1)))=("AD"),"false"),B3,AD204),AD204))</f>
        <v>#VALUE!</v>
      </c>
    </row>
    <row r="205" spans="1:30" x14ac:dyDescent="0.25">
      <c r="A205" t="e">
        <f ca="1">IF((A1)=(2),"",IF((201)=(A4),IF(("call")=(INDEX(B1:XFD1,((A3)+(1))+(0))),(B3)*(2),IF(("goto")=(INDEX(B1:XFD1,((A3)+(1))+(0))),(INDEX(B1:XFD1,((A3)+(1))+(1)))*(2),IF(("gotoiftrue")=(INDEX(B1:XFD1,((A3)+(1))+(0))),IF(B3,(INDEX(B1:XFD1,((A3)+(1))+(1)))*(2),(A205)+(2)),(A205)+(2)))),A205))</f>
        <v>#VALUE!</v>
      </c>
      <c r="B205" t="e">
        <f ca="1">IF((A1)=(2),"",IF((201)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205)+(1)),IF(("add")=(INDEX(B1:XFD1,((A3)+(1))+(0))),(INDEX(B5:B405,(B4)+(1)))+(B205),IF(("equals")=(INDEX(B1:XFD1,((A3)+(1))+(0))),(INDEX(B5:B405,(B4)+(1)))=(B205),IF(("leq")=(INDEX(B1:XFD1,((A3)+(1))+(0))),(INDEX(B5:B405,(B4)+(1)))&lt;=(B205),IF(("greater")=(INDEX(B1:XFD1,((A3)+(1))+(0))),(INDEX(B5:B405,(B4)+(1)))&gt;(B205),IF(("mod")=(INDEX(B1:XFD1,((A3)+(1))+(0))),MOD(INDEX(B5:B405,(B4)+(1)),B205),B205))))))))),B205))</f>
        <v>#VALUE!</v>
      </c>
      <c r="C205" t="e">
        <f ca="1">IF((A1)=(2),1,IF(AND((INDEX(B1:XFD1,((A3)+(1))+(0)))=("writeheap"),(INDEX(B5:B405,(B4)+(1)))=(200)),INDEX(B5:B405,(B4)+(2)),IF((A1)=(2),"",IF((201)=(C4),C205,C205))))</f>
        <v>#VALUE!</v>
      </c>
      <c r="F205" t="e">
        <f ca="1">IF((A1)=(2),"",IF((201)=(F4),IF(IF((INDEX(B1:XFD1,((A3)+(1))+(0)))=("store"),(INDEX(B1:XFD1,((A3)+(1))+(1)))=("F"),"false"),B3,F205),F205))</f>
        <v>#VALUE!</v>
      </c>
      <c r="G205" t="e">
        <f ca="1">IF((A1)=(2),"",IF((201)=(G4),IF(IF((INDEX(B1:XFD1,((A3)+(1))+(0)))=("store"),(INDEX(B1:XFD1,((A3)+(1))+(1)))=("G"),"false"),B3,G205),G205))</f>
        <v>#VALUE!</v>
      </c>
      <c r="H205" t="e">
        <f ca="1">IF((A1)=(2),"",IF((201)=(H4),IF(IF((INDEX(B1:XFD1,((A3)+(1))+(0)))=("store"),(INDEX(B1:XFD1,((A3)+(1))+(1)))=("H"),"false"),B3,H205),H205))</f>
        <v>#VALUE!</v>
      </c>
      <c r="I205" t="e">
        <f ca="1">IF((A1)=(2),"",IF((201)=(I4),IF(IF((INDEX(B1:XFD1,((A3)+(1))+(0)))=("store"),(INDEX(B1:XFD1,((A3)+(1))+(1)))=("I"),"false"),B3,I205),I205))</f>
        <v>#VALUE!</v>
      </c>
      <c r="J205" t="e">
        <f ca="1">IF((A1)=(2),"",IF((201)=(J4),IF(IF((INDEX(B1:XFD1,((A3)+(1))+(0)))=("store"),(INDEX(B1:XFD1,((A3)+(1))+(1)))=("J"),"false"),B3,J205),J205))</f>
        <v>#VALUE!</v>
      </c>
      <c r="K205" t="e">
        <f ca="1">IF((A1)=(2),"",IF((201)=(K4),IF(IF((INDEX(B1:XFD1,((A3)+(1))+(0)))=("store"),(INDEX(B1:XFD1,((A3)+(1))+(1)))=("K"),"false"),B3,K205),K205))</f>
        <v>#VALUE!</v>
      </c>
      <c r="L205" t="e">
        <f ca="1">IF((A1)=(2),"",IF((201)=(L4),IF(IF((INDEX(B1:XFD1,((A3)+(1))+(0)))=("store"),(INDEX(B1:XFD1,((A3)+(1))+(1)))=("L"),"false"),B3,L205),L205))</f>
        <v>#VALUE!</v>
      </c>
      <c r="M205" t="e">
        <f ca="1">IF((A1)=(2),"",IF((201)=(M4),IF(IF((INDEX(B1:XFD1,((A3)+(1))+(0)))=("store"),(INDEX(B1:XFD1,((A3)+(1))+(1)))=("M"),"false"),B3,M205),M205))</f>
        <v>#VALUE!</v>
      </c>
      <c r="N205" t="e">
        <f ca="1">IF((A1)=(2),"",IF((201)=(N4),IF(IF((INDEX(B1:XFD1,((A3)+(1))+(0)))=("store"),(INDEX(B1:XFD1,((A3)+(1))+(1)))=("N"),"false"),B3,N205),N205))</f>
        <v>#VALUE!</v>
      </c>
      <c r="O205" t="e">
        <f ca="1">IF((A1)=(2),"",IF((201)=(O4),IF(IF((INDEX(B1:XFD1,((A3)+(1))+(0)))=("store"),(INDEX(B1:XFD1,((A3)+(1))+(1)))=("O"),"false"),B3,O205),O205))</f>
        <v>#VALUE!</v>
      </c>
      <c r="P205" t="e">
        <f ca="1">IF((A1)=(2),"",IF((201)=(P4),IF(IF((INDEX(B1:XFD1,((A3)+(1))+(0)))=("store"),(INDEX(B1:XFD1,((A3)+(1))+(1)))=("P"),"false"),B3,P205),P205))</f>
        <v>#VALUE!</v>
      </c>
      <c r="Q205" t="e">
        <f ca="1">IF((A1)=(2),"",IF((201)=(Q4),IF(IF((INDEX(B1:XFD1,((A3)+(1))+(0)))=("store"),(INDEX(B1:XFD1,((A3)+(1))+(1)))=("Q"),"false"),B3,Q205),Q205))</f>
        <v>#VALUE!</v>
      </c>
      <c r="R205" t="e">
        <f ca="1">IF((A1)=(2),"",IF((201)=(R4),IF(IF((INDEX(B1:XFD1,((A3)+(1))+(0)))=("store"),(INDEX(B1:XFD1,((A3)+(1))+(1)))=("R"),"false"),B3,R205),R205))</f>
        <v>#VALUE!</v>
      </c>
      <c r="S205" t="e">
        <f ca="1">IF((A1)=(2),"",IF((201)=(S4),IF(IF((INDEX(B1:XFD1,((A3)+(1))+(0)))=("store"),(INDEX(B1:XFD1,((A3)+(1))+(1)))=("S"),"false"),B3,S205),S205))</f>
        <v>#VALUE!</v>
      </c>
      <c r="T205" t="e">
        <f ca="1">IF((A1)=(2),"",IF((201)=(T4),IF(IF((INDEX(B1:XFD1,((A3)+(1))+(0)))=("store"),(INDEX(B1:XFD1,((A3)+(1))+(1)))=("T"),"false"),B3,T205),T205))</f>
        <v>#VALUE!</v>
      </c>
      <c r="U205" t="e">
        <f ca="1">IF((A1)=(2),"",IF((201)=(U4),IF(IF((INDEX(B1:XFD1,((A3)+(1))+(0)))=("store"),(INDEX(B1:XFD1,((A3)+(1))+(1)))=("U"),"false"),B3,U205),U205))</f>
        <v>#VALUE!</v>
      </c>
      <c r="V205" t="e">
        <f ca="1">IF((A1)=(2),"",IF((201)=(V4),IF(IF((INDEX(B1:XFD1,((A3)+(1))+(0)))=("store"),(INDEX(B1:XFD1,((A3)+(1))+(1)))=("V"),"false"),B3,V205),V205))</f>
        <v>#VALUE!</v>
      </c>
      <c r="W205" t="e">
        <f ca="1">IF((A1)=(2),"",IF((201)=(W4),IF(IF((INDEX(B1:XFD1,((A3)+(1))+(0)))=("store"),(INDEX(B1:XFD1,((A3)+(1))+(1)))=("W"),"false"),B3,W205),W205))</f>
        <v>#VALUE!</v>
      </c>
      <c r="X205" t="e">
        <f ca="1">IF((A1)=(2),"",IF((201)=(X4),IF(IF((INDEX(B1:XFD1,((A3)+(1))+(0)))=("store"),(INDEX(B1:XFD1,((A3)+(1))+(1)))=("X"),"false"),B3,X205),X205))</f>
        <v>#VALUE!</v>
      </c>
      <c r="Y205" t="e">
        <f ca="1">IF((A1)=(2),"",IF((201)=(Y4),IF(IF((INDEX(B1:XFD1,((A3)+(1))+(0)))=("store"),(INDEX(B1:XFD1,((A3)+(1))+(1)))=("Y"),"false"),B3,Y205),Y205))</f>
        <v>#VALUE!</v>
      </c>
      <c r="Z205" t="e">
        <f ca="1">IF((A1)=(2),"",IF((201)=(Z4),IF(IF((INDEX(B1:XFD1,((A3)+(1))+(0)))=("store"),(INDEX(B1:XFD1,((A3)+(1))+(1)))=("Z"),"false"),B3,Z205),Z205))</f>
        <v>#VALUE!</v>
      </c>
      <c r="AA205" t="e">
        <f ca="1">IF((A1)=(2),"",IF((201)=(AA4),IF(IF((INDEX(B1:XFD1,((A3)+(1))+(0)))=("store"),(INDEX(B1:XFD1,((A3)+(1))+(1)))=("AA"),"false"),B3,AA205),AA205))</f>
        <v>#VALUE!</v>
      </c>
      <c r="AB205" t="e">
        <f ca="1">IF((A1)=(2),"",IF((201)=(AB4),IF(IF((INDEX(B1:XFD1,((A3)+(1))+(0)))=("store"),(INDEX(B1:XFD1,((A3)+(1))+(1)))=("AB"),"false"),B3,AB205),AB205))</f>
        <v>#VALUE!</v>
      </c>
      <c r="AC205" t="e">
        <f ca="1">IF((A1)=(2),"",IF((201)=(AC4),IF(IF((INDEX(B1:XFD1,((A3)+(1))+(0)))=("store"),(INDEX(B1:XFD1,((A3)+(1))+(1)))=("AC"),"false"),B3,AC205),AC205))</f>
        <v>#VALUE!</v>
      </c>
      <c r="AD205" t="e">
        <f ca="1">IF((A1)=(2),"",IF((201)=(AD4),IF(IF((INDEX(B1:XFD1,((A3)+(1))+(0)))=("store"),(INDEX(B1:XFD1,((A3)+(1))+(1)))=("AD"),"false"),B3,AD205),AD205))</f>
        <v>#VALUE!</v>
      </c>
    </row>
    <row r="206" spans="1:30" x14ac:dyDescent="0.25">
      <c r="A206" t="e">
        <f ca="1">IF((A1)=(2),"",IF((202)=(A4),IF(("call")=(INDEX(B1:XFD1,((A3)+(1))+(0))),(B3)*(2),IF(("goto")=(INDEX(B1:XFD1,((A3)+(1))+(0))),(INDEX(B1:XFD1,((A3)+(1))+(1)))*(2),IF(("gotoiftrue")=(INDEX(B1:XFD1,((A3)+(1))+(0))),IF(B3,(INDEX(B1:XFD1,((A3)+(1))+(1)))*(2),(A206)+(2)),(A206)+(2)))),A206))</f>
        <v>#VALUE!</v>
      </c>
      <c r="B206" t="e">
        <f ca="1">IF((A1)=(2),"",IF((202)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206)+(1)),IF(("add")=(INDEX(B1:XFD1,((A3)+(1))+(0))),(INDEX(B5:B405,(B4)+(1)))+(B206),IF(("equals")=(INDEX(B1:XFD1,((A3)+(1))+(0))),(INDEX(B5:B405,(B4)+(1)))=(B206),IF(("leq")=(INDEX(B1:XFD1,((A3)+(1))+(0))),(INDEX(B5:B405,(B4)+(1)))&lt;=(B206),IF(("greater")=(INDEX(B1:XFD1,((A3)+(1))+(0))),(INDEX(B5:B405,(B4)+(1)))&gt;(B206),IF(("mod")=(INDEX(B1:XFD1,((A3)+(1))+(0))),MOD(INDEX(B5:B405,(B4)+(1)),B206),B206))))))))),B206))</f>
        <v>#VALUE!</v>
      </c>
      <c r="C206" t="e">
        <f ca="1">IF((A1)=(2),1,IF(AND((INDEX(B1:XFD1,((A3)+(1))+(0)))=("writeheap"),(INDEX(B5:B405,(B4)+(1)))=(201)),INDEX(B5:B405,(B4)+(2)),IF((A1)=(2),"",IF((202)=(C4),C206,C206))))</f>
        <v>#VALUE!</v>
      </c>
      <c r="F206" t="e">
        <f ca="1">IF((A1)=(2),"",IF((202)=(F4),IF(IF((INDEX(B1:XFD1,((A3)+(1))+(0)))=("store"),(INDEX(B1:XFD1,((A3)+(1))+(1)))=("F"),"false"),B3,F206),F206))</f>
        <v>#VALUE!</v>
      </c>
      <c r="G206" t="e">
        <f ca="1">IF((A1)=(2),"",IF((202)=(G4),IF(IF((INDEX(B1:XFD1,((A3)+(1))+(0)))=("store"),(INDEX(B1:XFD1,((A3)+(1))+(1)))=("G"),"false"),B3,G206),G206))</f>
        <v>#VALUE!</v>
      </c>
      <c r="H206" t="e">
        <f ca="1">IF((A1)=(2),"",IF((202)=(H4),IF(IF((INDEX(B1:XFD1,((A3)+(1))+(0)))=("store"),(INDEX(B1:XFD1,((A3)+(1))+(1)))=("H"),"false"),B3,H206),H206))</f>
        <v>#VALUE!</v>
      </c>
      <c r="I206" t="e">
        <f ca="1">IF((A1)=(2),"",IF((202)=(I4),IF(IF((INDEX(B1:XFD1,((A3)+(1))+(0)))=("store"),(INDEX(B1:XFD1,((A3)+(1))+(1)))=("I"),"false"),B3,I206),I206))</f>
        <v>#VALUE!</v>
      </c>
      <c r="J206" t="e">
        <f ca="1">IF((A1)=(2),"",IF((202)=(J4),IF(IF((INDEX(B1:XFD1,((A3)+(1))+(0)))=("store"),(INDEX(B1:XFD1,((A3)+(1))+(1)))=("J"),"false"),B3,J206),J206))</f>
        <v>#VALUE!</v>
      </c>
      <c r="K206" t="e">
        <f ca="1">IF((A1)=(2),"",IF((202)=(K4),IF(IF((INDEX(B1:XFD1,((A3)+(1))+(0)))=("store"),(INDEX(B1:XFD1,((A3)+(1))+(1)))=("K"),"false"),B3,K206),K206))</f>
        <v>#VALUE!</v>
      </c>
      <c r="L206" t="e">
        <f ca="1">IF((A1)=(2),"",IF((202)=(L4),IF(IF((INDEX(B1:XFD1,((A3)+(1))+(0)))=("store"),(INDEX(B1:XFD1,((A3)+(1))+(1)))=("L"),"false"),B3,L206),L206))</f>
        <v>#VALUE!</v>
      </c>
      <c r="M206" t="e">
        <f ca="1">IF((A1)=(2),"",IF((202)=(M4),IF(IF((INDEX(B1:XFD1,((A3)+(1))+(0)))=("store"),(INDEX(B1:XFD1,((A3)+(1))+(1)))=("M"),"false"),B3,M206),M206))</f>
        <v>#VALUE!</v>
      </c>
      <c r="N206" t="e">
        <f ca="1">IF((A1)=(2),"",IF((202)=(N4),IF(IF((INDEX(B1:XFD1,((A3)+(1))+(0)))=("store"),(INDEX(B1:XFD1,((A3)+(1))+(1)))=("N"),"false"),B3,N206),N206))</f>
        <v>#VALUE!</v>
      </c>
      <c r="O206" t="e">
        <f ca="1">IF((A1)=(2),"",IF((202)=(O4),IF(IF((INDEX(B1:XFD1,((A3)+(1))+(0)))=("store"),(INDEX(B1:XFD1,((A3)+(1))+(1)))=("O"),"false"),B3,O206),O206))</f>
        <v>#VALUE!</v>
      </c>
      <c r="P206" t="e">
        <f ca="1">IF((A1)=(2),"",IF((202)=(P4),IF(IF((INDEX(B1:XFD1,((A3)+(1))+(0)))=("store"),(INDEX(B1:XFD1,((A3)+(1))+(1)))=("P"),"false"),B3,P206),P206))</f>
        <v>#VALUE!</v>
      </c>
      <c r="Q206" t="e">
        <f ca="1">IF((A1)=(2),"",IF((202)=(Q4),IF(IF((INDEX(B1:XFD1,((A3)+(1))+(0)))=("store"),(INDEX(B1:XFD1,((A3)+(1))+(1)))=("Q"),"false"),B3,Q206),Q206))</f>
        <v>#VALUE!</v>
      </c>
      <c r="R206" t="e">
        <f ca="1">IF((A1)=(2),"",IF((202)=(R4),IF(IF((INDEX(B1:XFD1,((A3)+(1))+(0)))=("store"),(INDEX(B1:XFD1,((A3)+(1))+(1)))=("R"),"false"),B3,R206),R206))</f>
        <v>#VALUE!</v>
      </c>
      <c r="S206" t="e">
        <f ca="1">IF((A1)=(2),"",IF((202)=(S4),IF(IF((INDEX(B1:XFD1,((A3)+(1))+(0)))=("store"),(INDEX(B1:XFD1,((A3)+(1))+(1)))=("S"),"false"),B3,S206),S206))</f>
        <v>#VALUE!</v>
      </c>
      <c r="T206" t="e">
        <f ca="1">IF((A1)=(2),"",IF((202)=(T4),IF(IF((INDEX(B1:XFD1,((A3)+(1))+(0)))=("store"),(INDEX(B1:XFD1,((A3)+(1))+(1)))=("T"),"false"),B3,T206),T206))</f>
        <v>#VALUE!</v>
      </c>
      <c r="U206" t="e">
        <f ca="1">IF((A1)=(2),"",IF((202)=(U4),IF(IF((INDEX(B1:XFD1,((A3)+(1))+(0)))=("store"),(INDEX(B1:XFD1,((A3)+(1))+(1)))=("U"),"false"),B3,U206),U206))</f>
        <v>#VALUE!</v>
      </c>
      <c r="V206" t="e">
        <f ca="1">IF((A1)=(2),"",IF((202)=(V4),IF(IF((INDEX(B1:XFD1,((A3)+(1))+(0)))=("store"),(INDEX(B1:XFD1,((A3)+(1))+(1)))=("V"),"false"),B3,V206),V206))</f>
        <v>#VALUE!</v>
      </c>
      <c r="W206" t="e">
        <f ca="1">IF((A1)=(2),"",IF((202)=(W4),IF(IF((INDEX(B1:XFD1,((A3)+(1))+(0)))=("store"),(INDEX(B1:XFD1,((A3)+(1))+(1)))=("W"),"false"),B3,W206),W206))</f>
        <v>#VALUE!</v>
      </c>
      <c r="X206" t="e">
        <f ca="1">IF((A1)=(2),"",IF((202)=(X4),IF(IF((INDEX(B1:XFD1,((A3)+(1))+(0)))=("store"),(INDEX(B1:XFD1,((A3)+(1))+(1)))=("X"),"false"),B3,X206),X206))</f>
        <v>#VALUE!</v>
      </c>
      <c r="Y206" t="e">
        <f ca="1">IF((A1)=(2),"",IF((202)=(Y4),IF(IF((INDEX(B1:XFD1,((A3)+(1))+(0)))=("store"),(INDEX(B1:XFD1,((A3)+(1))+(1)))=("Y"),"false"),B3,Y206),Y206))</f>
        <v>#VALUE!</v>
      </c>
      <c r="Z206" t="e">
        <f ca="1">IF((A1)=(2),"",IF((202)=(Z4),IF(IF((INDEX(B1:XFD1,((A3)+(1))+(0)))=("store"),(INDEX(B1:XFD1,((A3)+(1))+(1)))=("Z"),"false"),B3,Z206),Z206))</f>
        <v>#VALUE!</v>
      </c>
      <c r="AA206" t="e">
        <f ca="1">IF((A1)=(2),"",IF((202)=(AA4),IF(IF((INDEX(B1:XFD1,((A3)+(1))+(0)))=("store"),(INDEX(B1:XFD1,((A3)+(1))+(1)))=("AA"),"false"),B3,AA206),AA206))</f>
        <v>#VALUE!</v>
      </c>
      <c r="AB206" t="e">
        <f ca="1">IF((A1)=(2),"",IF((202)=(AB4),IF(IF((INDEX(B1:XFD1,((A3)+(1))+(0)))=("store"),(INDEX(B1:XFD1,((A3)+(1))+(1)))=("AB"),"false"),B3,AB206),AB206))</f>
        <v>#VALUE!</v>
      </c>
      <c r="AC206" t="e">
        <f ca="1">IF((A1)=(2),"",IF((202)=(AC4),IF(IF((INDEX(B1:XFD1,((A3)+(1))+(0)))=("store"),(INDEX(B1:XFD1,((A3)+(1))+(1)))=("AC"),"false"),B3,AC206),AC206))</f>
        <v>#VALUE!</v>
      </c>
      <c r="AD206" t="e">
        <f ca="1">IF((A1)=(2),"",IF((202)=(AD4),IF(IF((INDEX(B1:XFD1,((A3)+(1))+(0)))=("store"),(INDEX(B1:XFD1,((A3)+(1))+(1)))=("AD"),"false"),B3,AD206),AD206))</f>
        <v>#VALUE!</v>
      </c>
    </row>
    <row r="207" spans="1:30" x14ac:dyDescent="0.25">
      <c r="A207" t="e">
        <f ca="1">IF((A1)=(2),"",IF((203)=(A4),IF(("call")=(INDEX(B1:XFD1,((A3)+(1))+(0))),(B3)*(2),IF(("goto")=(INDEX(B1:XFD1,((A3)+(1))+(0))),(INDEX(B1:XFD1,((A3)+(1))+(1)))*(2),IF(("gotoiftrue")=(INDEX(B1:XFD1,((A3)+(1))+(0))),IF(B3,(INDEX(B1:XFD1,((A3)+(1))+(1)))*(2),(A207)+(2)),(A207)+(2)))),A207))</f>
        <v>#VALUE!</v>
      </c>
      <c r="B207" t="e">
        <f ca="1">IF((A1)=(2),"",IF((203)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207)+(1)),IF(("add")=(INDEX(B1:XFD1,((A3)+(1))+(0))),(INDEX(B5:B405,(B4)+(1)))+(B207),IF(("equals")=(INDEX(B1:XFD1,((A3)+(1))+(0))),(INDEX(B5:B405,(B4)+(1)))=(B207),IF(("leq")=(INDEX(B1:XFD1,((A3)+(1))+(0))),(INDEX(B5:B405,(B4)+(1)))&lt;=(B207),IF(("greater")=(INDEX(B1:XFD1,((A3)+(1))+(0))),(INDEX(B5:B405,(B4)+(1)))&gt;(B207),IF(("mod")=(INDEX(B1:XFD1,((A3)+(1))+(0))),MOD(INDEX(B5:B405,(B4)+(1)),B207),B207))))))))),B207))</f>
        <v>#VALUE!</v>
      </c>
      <c r="C207" t="e">
        <f ca="1">IF((A1)=(2),1,IF(AND((INDEX(B1:XFD1,((A3)+(1))+(0)))=("writeheap"),(INDEX(B5:B405,(B4)+(1)))=(202)),INDEX(B5:B405,(B4)+(2)),IF((A1)=(2),"",IF((203)=(C4),C207,C207))))</f>
        <v>#VALUE!</v>
      </c>
      <c r="F207" t="e">
        <f ca="1">IF((A1)=(2),"",IF((203)=(F4),IF(IF((INDEX(B1:XFD1,((A3)+(1))+(0)))=("store"),(INDEX(B1:XFD1,((A3)+(1))+(1)))=("F"),"false"),B3,F207),F207))</f>
        <v>#VALUE!</v>
      </c>
      <c r="G207" t="e">
        <f ca="1">IF((A1)=(2),"",IF((203)=(G4),IF(IF((INDEX(B1:XFD1,((A3)+(1))+(0)))=("store"),(INDEX(B1:XFD1,((A3)+(1))+(1)))=("G"),"false"),B3,G207),G207))</f>
        <v>#VALUE!</v>
      </c>
      <c r="H207" t="e">
        <f ca="1">IF((A1)=(2),"",IF((203)=(H4),IF(IF((INDEX(B1:XFD1,((A3)+(1))+(0)))=("store"),(INDEX(B1:XFD1,((A3)+(1))+(1)))=("H"),"false"),B3,H207),H207))</f>
        <v>#VALUE!</v>
      </c>
      <c r="I207" t="e">
        <f ca="1">IF((A1)=(2),"",IF((203)=(I4),IF(IF((INDEX(B1:XFD1,((A3)+(1))+(0)))=("store"),(INDEX(B1:XFD1,((A3)+(1))+(1)))=("I"),"false"),B3,I207),I207))</f>
        <v>#VALUE!</v>
      </c>
      <c r="J207" t="e">
        <f ca="1">IF((A1)=(2),"",IF((203)=(J4),IF(IF((INDEX(B1:XFD1,((A3)+(1))+(0)))=("store"),(INDEX(B1:XFD1,((A3)+(1))+(1)))=("J"),"false"),B3,J207),J207))</f>
        <v>#VALUE!</v>
      </c>
      <c r="K207" t="e">
        <f ca="1">IF((A1)=(2),"",IF((203)=(K4),IF(IF((INDEX(B1:XFD1,((A3)+(1))+(0)))=("store"),(INDEX(B1:XFD1,((A3)+(1))+(1)))=("K"),"false"),B3,K207),K207))</f>
        <v>#VALUE!</v>
      </c>
      <c r="L207" t="e">
        <f ca="1">IF((A1)=(2),"",IF((203)=(L4),IF(IF((INDEX(B1:XFD1,((A3)+(1))+(0)))=("store"),(INDEX(B1:XFD1,((A3)+(1))+(1)))=("L"),"false"),B3,L207),L207))</f>
        <v>#VALUE!</v>
      </c>
      <c r="M207" t="e">
        <f ca="1">IF((A1)=(2),"",IF((203)=(M4),IF(IF((INDEX(B1:XFD1,((A3)+(1))+(0)))=("store"),(INDEX(B1:XFD1,((A3)+(1))+(1)))=("M"),"false"),B3,M207),M207))</f>
        <v>#VALUE!</v>
      </c>
      <c r="N207" t="e">
        <f ca="1">IF((A1)=(2),"",IF((203)=(N4),IF(IF((INDEX(B1:XFD1,((A3)+(1))+(0)))=("store"),(INDEX(B1:XFD1,((A3)+(1))+(1)))=("N"),"false"),B3,N207),N207))</f>
        <v>#VALUE!</v>
      </c>
      <c r="O207" t="e">
        <f ca="1">IF((A1)=(2),"",IF((203)=(O4),IF(IF((INDEX(B1:XFD1,((A3)+(1))+(0)))=("store"),(INDEX(B1:XFD1,((A3)+(1))+(1)))=("O"),"false"),B3,O207),O207))</f>
        <v>#VALUE!</v>
      </c>
      <c r="P207" t="e">
        <f ca="1">IF((A1)=(2),"",IF((203)=(P4),IF(IF((INDEX(B1:XFD1,((A3)+(1))+(0)))=("store"),(INDEX(B1:XFD1,((A3)+(1))+(1)))=("P"),"false"),B3,P207),P207))</f>
        <v>#VALUE!</v>
      </c>
      <c r="Q207" t="e">
        <f ca="1">IF((A1)=(2),"",IF((203)=(Q4),IF(IF((INDEX(B1:XFD1,((A3)+(1))+(0)))=("store"),(INDEX(B1:XFD1,((A3)+(1))+(1)))=("Q"),"false"),B3,Q207),Q207))</f>
        <v>#VALUE!</v>
      </c>
      <c r="R207" t="e">
        <f ca="1">IF((A1)=(2),"",IF((203)=(R4),IF(IF((INDEX(B1:XFD1,((A3)+(1))+(0)))=("store"),(INDEX(B1:XFD1,((A3)+(1))+(1)))=("R"),"false"),B3,R207),R207))</f>
        <v>#VALUE!</v>
      </c>
      <c r="S207" t="e">
        <f ca="1">IF((A1)=(2),"",IF((203)=(S4),IF(IF((INDEX(B1:XFD1,((A3)+(1))+(0)))=("store"),(INDEX(B1:XFD1,((A3)+(1))+(1)))=("S"),"false"),B3,S207),S207))</f>
        <v>#VALUE!</v>
      </c>
      <c r="T207" t="e">
        <f ca="1">IF((A1)=(2),"",IF((203)=(T4),IF(IF((INDEX(B1:XFD1,((A3)+(1))+(0)))=("store"),(INDEX(B1:XFD1,((A3)+(1))+(1)))=("T"),"false"),B3,T207),T207))</f>
        <v>#VALUE!</v>
      </c>
      <c r="U207" t="e">
        <f ca="1">IF((A1)=(2),"",IF((203)=(U4),IF(IF((INDEX(B1:XFD1,((A3)+(1))+(0)))=("store"),(INDEX(B1:XFD1,((A3)+(1))+(1)))=("U"),"false"),B3,U207),U207))</f>
        <v>#VALUE!</v>
      </c>
      <c r="V207" t="e">
        <f ca="1">IF((A1)=(2),"",IF((203)=(V4),IF(IF((INDEX(B1:XFD1,((A3)+(1))+(0)))=("store"),(INDEX(B1:XFD1,((A3)+(1))+(1)))=("V"),"false"),B3,V207),V207))</f>
        <v>#VALUE!</v>
      </c>
      <c r="W207" t="e">
        <f ca="1">IF((A1)=(2),"",IF((203)=(W4),IF(IF((INDEX(B1:XFD1,((A3)+(1))+(0)))=("store"),(INDEX(B1:XFD1,((A3)+(1))+(1)))=("W"),"false"),B3,W207),W207))</f>
        <v>#VALUE!</v>
      </c>
      <c r="X207" t="e">
        <f ca="1">IF((A1)=(2),"",IF((203)=(X4),IF(IF((INDEX(B1:XFD1,((A3)+(1))+(0)))=("store"),(INDEX(B1:XFD1,((A3)+(1))+(1)))=("X"),"false"),B3,X207),X207))</f>
        <v>#VALUE!</v>
      </c>
      <c r="Y207" t="e">
        <f ca="1">IF((A1)=(2),"",IF((203)=(Y4),IF(IF((INDEX(B1:XFD1,((A3)+(1))+(0)))=("store"),(INDEX(B1:XFD1,((A3)+(1))+(1)))=("Y"),"false"),B3,Y207),Y207))</f>
        <v>#VALUE!</v>
      </c>
      <c r="Z207" t="e">
        <f ca="1">IF((A1)=(2),"",IF((203)=(Z4),IF(IF((INDEX(B1:XFD1,((A3)+(1))+(0)))=("store"),(INDEX(B1:XFD1,((A3)+(1))+(1)))=("Z"),"false"),B3,Z207),Z207))</f>
        <v>#VALUE!</v>
      </c>
      <c r="AA207" t="e">
        <f ca="1">IF((A1)=(2),"",IF((203)=(AA4),IF(IF((INDEX(B1:XFD1,((A3)+(1))+(0)))=("store"),(INDEX(B1:XFD1,((A3)+(1))+(1)))=("AA"),"false"),B3,AA207),AA207))</f>
        <v>#VALUE!</v>
      </c>
      <c r="AB207" t="e">
        <f ca="1">IF((A1)=(2),"",IF((203)=(AB4),IF(IF((INDEX(B1:XFD1,((A3)+(1))+(0)))=("store"),(INDEX(B1:XFD1,((A3)+(1))+(1)))=("AB"),"false"),B3,AB207),AB207))</f>
        <v>#VALUE!</v>
      </c>
      <c r="AC207" t="e">
        <f ca="1">IF((A1)=(2),"",IF((203)=(AC4),IF(IF((INDEX(B1:XFD1,((A3)+(1))+(0)))=("store"),(INDEX(B1:XFD1,((A3)+(1))+(1)))=("AC"),"false"),B3,AC207),AC207))</f>
        <v>#VALUE!</v>
      </c>
      <c r="AD207" t="e">
        <f ca="1">IF((A1)=(2),"",IF((203)=(AD4),IF(IF((INDEX(B1:XFD1,((A3)+(1))+(0)))=("store"),(INDEX(B1:XFD1,((A3)+(1))+(1)))=("AD"),"false"),B3,AD207),AD207))</f>
        <v>#VALUE!</v>
      </c>
    </row>
    <row r="208" spans="1:30" x14ac:dyDescent="0.25">
      <c r="A208" t="e">
        <f ca="1">IF((A1)=(2),"",IF((204)=(A4),IF(("call")=(INDEX(B1:XFD1,((A3)+(1))+(0))),(B3)*(2),IF(("goto")=(INDEX(B1:XFD1,((A3)+(1))+(0))),(INDEX(B1:XFD1,((A3)+(1))+(1)))*(2),IF(("gotoiftrue")=(INDEX(B1:XFD1,((A3)+(1))+(0))),IF(B3,(INDEX(B1:XFD1,((A3)+(1))+(1)))*(2),(A208)+(2)),(A208)+(2)))),A208))</f>
        <v>#VALUE!</v>
      </c>
      <c r="B208" t="e">
        <f ca="1">IF((A1)=(2),"",IF((204)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208)+(1)),IF(("add")=(INDEX(B1:XFD1,((A3)+(1))+(0))),(INDEX(B5:B405,(B4)+(1)))+(B208),IF(("equals")=(INDEX(B1:XFD1,((A3)+(1))+(0))),(INDEX(B5:B405,(B4)+(1)))=(B208),IF(("leq")=(INDEX(B1:XFD1,((A3)+(1))+(0))),(INDEX(B5:B405,(B4)+(1)))&lt;=(B208),IF(("greater")=(INDEX(B1:XFD1,((A3)+(1))+(0))),(INDEX(B5:B405,(B4)+(1)))&gt;(B208),IF(("mod")=(INDEX(B1:XFD1,((A3)+(1))+(0))),MOD(INDEX(B5:B405,(B4)+(1)),B208),B208))))))))),B208))</f>
        <v>#VALUE!</v>
      </c>
      <c r="C208" t="e">
        <f ca="1">IF((A1)=(2),1,IF(AND((INDEX(B1:XFD1,((A3)+(1))+(0)))=("writeheap"),(INDEX(B5:B405,(B4)+(1)))=(203)),INDEX(B5:B405,(B4)+(2)),IF((A1)=(2),"",IF((204)=(C4),C208,C208))))</f>
        <v>#VALUE!</v>
      </c>
      <c r="F208" t="e">
        <f ca="1">IF((A1)=(2),"",IF((204)=(F4),IF(IF((INDEX(B1:XFD1,((A3)+(1))+(0)))=("store"),(INDEX(B1:XFD1,((A3)+(1))+(1)))=("F"),"false"),B3,F208),F208))</f>
        <v>#VALUE!</v>
      </c>
      <c r="G208" t="e">
        <f ca="1">IF((A1)=(2),"",IF((204)=(G4),IF(IF((INDEX(B1:XFD1,((A3)+(1))+(0)))=("store"),(INDEX(B1:XFD1,((A3)+(1))+(1)))=("G"),"false"),B3,G208),G208))</f>
        <v>#VALUE!</v>
      </c>
      <c r="H208" t="e">
        <f ca="1">IF((A1)=(2),"",IF((204)=(H4),IF(IF((INDEX(B1:XFD1,((A3)+(1))+(0)))=("store"),(INDEX(B1:XFD1,((A3)+(1))+(1)))=("H"),"false"),B3,H208),H208))</f>
        <v>#VALUE!</v>
      </c>
      <c r="I208" t="e">
        <f ca="1">IF((A1)=(2),"",IF((204)=(I4),IF(IF((INDEX(B1:XFD1,((A3)+(1))+(0)))=("store"),(INDEX(B1:XFD1,((A3)+(1))+(1)))=("I"),"false"),B3,I208),I208))</f>
        <v>#VALUE!</v>
      </c>
      <c r="J208" t="e">
        <f ca="1">IF((A1)=(2),"",IF((204)=(J4),IF(IF((INDEX(B1:XFD1,((A3)+(1))+(0)))=("store"),(INDEX(B1:XFD1,((A3)+(1))+(1)))=("J"),"false"),B3,J208),J208))</f>
        <v>#VALUE!</v>
      </c>
      <c r="K208" t="e">
        <f ca="1">IF((A1)=(2),"",IF((204)=(K4),IF(IF((INDEX(B1:XFD1,((A3)+(1))+(0)))=("store"),(INDEX(B1:XFD1,((A3)+(1))+(1)))=("K"),"false"),B3,K208),K208))</f>
        <v>#VALUE!</v>
      </c>
      <c r="L208" t="e">
        <f ca="1">IF((A1)=(2),"",IF((204)=(L4),IF(IF((INDEX(B1:XFD1,((A3)+(1))+(0)))=("store"),(INDEX(B1:XFD1,((A3)+(1))+(1)))=("L"),"false"),B3,L208),L208))</f>
        <v>#VALUE!</v>
      </c>
      <c r="M208" t="e">
        <f ca="1">IF((A1)=(2),"",IF((204)=(M4),IF(IF((INDEX(B1:XFD1,((A3)+(1))+(0)))=("store"),(INDEX(B1:XFD1,((A3)+(1))+(1)))=("M"),"false"),B3,M208),M208))</f>
        <v>#VALUE!</v>
      </c>
      <c r="N208" t="e">
        <f ca="1">IF((A1)=(2),"",IF((204)=(N4),IF(IF((INDEX(B1:XFD1,((A3)+(1))+(0)))=("store"),(INDEX(B1:XFD1,((A3)+(1))+(1)))=("N"),"false"),B3,N208),N208))</f>
        <v>#VALUE!</v>
      </c>
      <c r="O208" t="e">
        <f ca="1">IF((A1)=(2),"",IF((204)=(O4),IF(IF((INDEX(B1:XFD1,((A3)+(1))+(0)))=("store"),(INDEX(B1:XFD1,((A3)+(1))+(1)))=("O"),"false"),B3,O208),O208))</f>
        <v>#VALUE!</v>
      </c>
      <c r="P208" t="e">
        <f ca="1">IF((A1)=(2),"",IF((204)=(P4),IF(IF((INDEX(B1:XFD1,((A3)+(1))+(0)))=("store"),(INDEX(B1:XFD1,((A3)+(1))+(1)))=("P"),"false"),B3,P208),P208))</f>
        <v>#VALUE!</v>
      </c>
      <c r="Q208" t="e">
        <f ca="1">IF((A1)=(2),"",IF((204)=(Q4),IF(IF((INDEX(B1:XFD1,((A3)+(1))+(0)))=("store"),(INDEX(B1:XFD1,((A3)+(1))+(1)))=("Q"),"false"),B3,Q208),Q208))</f>
        <v>#VALUE!</v>
      </c>
      <c r="R208" t="e">
        <f ca="1">IF((A1)=(2),"",IF((204)=(R4),IF(IF((INDEX(B1:XFD1,((A3)+(1))+(0)))=("store"),(INDEX(B1:XFD1,((A3)+(1))+(1)))=("R"),"false"),B3,R208),R208))</f>
        <v>#VALUE!</v>
      </c>
      <c r="S208" t="e">
        <f ca="1">IF((A1)=(2),"",IF((204)=(S4),IF(IF((INDEX(B1:XFD1,((A3)+(1))+(0)))=("store"),(INDEX(B1:XFD1,((A3)+(1))+(1)))=("S"),"false"),B3,S208),S208))</f>
        <v>#VALUE!</v>
      </c>
      <c r="T208" t="e">
        <f ca="1">IF((A1)=(2),"",IF((204)=(T4),IF(IF((INDEX(B1:XFD1,((A3)+(1))+(0)))=("store"),(INDEX(B1:XFD1,((A3)+(1))+(1)))=("T"),"false"),B3,T208),T208))</f>
        <v>#VALUE!</v>
      </c>
      <c r="U208" t="e">
        <f ca="1">IF((A1)=(2),"",IF((204)=(U4),IF(IF((INDEX(B1:XFD1,((A3)+(1))+(0)))=("store"),(INDEX(B1:XFD1,((A3)+(1))+(1)))=("U"),"false"),B3,U208),U208))</f>
        <v>#VALUE!</v>
      </c>
      <c r="V208" t="e">
        <f ca="1">IF((A1)=(2),"",IF((204)=(V4),IF(IF((INDEX(B1:XFD1,((A3)+(1))+(0)))=("store"),(INDEX(B1:XFD1,((A3)+(1))+(1)))=("V"),"false"),B3,V208),V208))</f>
        <v>#VALUE!</v>
      </c>
      <c r="W208" t="e">
        <f ca="1">IF((A1)=(2),"",IF((204)=(W4),IF(IF((INDEX(B1:XFD1,((A3)+(1))+(0)))=("store"),(INDEX(B1:XFD1,((A3)+(1))+(1)))=("W"),"false"),B3,W208),W208))</f>
        <v>#VALUE!</v>
      </c>
      <c r="X208" t="e">
        <f ca="1">IF((A1)=(2),"",IF((204)=(X4),IF(IF((INDEX(B1:XFD1,((A3)+(1))+(0)))=("store"),(INDEX(B1:XFD1,((A3)+(1))+(1)))=("X"),"false"),B3,X208),X208))</f>
        <v>#VALUE!</v>
      </c>
      <c r="Y208" t="e">
        <f ca="1">IF((A1)=(2),"",IF((204)=(Y4),IF(IF((INDEX(B1:XFD1,((A3)+(1))+(0)))=("store"),(INDEX(B1:XFD1,((A3)+(1))+(1)))=("Y"),"false"),B3,Y208),Y208))</f>
        <v>#VALUE!</v>
      </c>
      <c r="Z208" t="e">
        <f ca="1">IF((A1)=(2),"",IF((204)=(Z4),IF(IF((INDEX(B1:XFD1,((A3)+(1))+(0)))=("store"),(INDEX(B1:XFD1,((A3)+(1))+(1)))=("Z"),"false"),B3,Z208),Z208))</f>
        <v>#VALUE!</v>
      </c>
      <c r="AA208" t="e">
        <f ca="1">IF((A1)=(2),"",IF((204)=(AA4),IF(IF((INDEX(B1:XFD1,((A3)+(1))+(0)))=("store"),(INDEX(B1:XFD1,((A3)+(1))+(1)))=("AA"),"false"),B3,AA208),AA208))</f>
        <v>#VALUE!</v>
      </c>
      <c r="AB208" t="e">
        <f ca="1">IF((A1)=(2),"",IF((204)=(AB4),IF(IF((INDEX(B1:XFD1,((A3)+(1))+(0)))=("store"),(INDEX(B1:XFD1,((A3)+(1))+(1)))=("AB"),"false"),B3,AB208),AB208))</f>
        <v>#VALUE!</v>
      </c>
      <c r="AC208" t="e">
        <f ca="1">IF((A1)=(2),"",IF((204)=(AC4),IF(IF((INDEX(B1:XFD1,((A3)+(1))+(0)))=("store"),(INDEX(B1:XFD1,((A3)+(1))+(1)))=("AC"),"false"),B3,AC208),AC208))</f>
        <v>#VALUE!</v>
      </c>
      <c r="AD208" t="e">
        <f ca="1">IF((A1)=(2),"",IF((204)=(AD4),IF(IF((INDEX(B1:XFD1,((A3)+(1))+(0)))=("store"),(INDEX(B1:XFD1,((A3)+(1))+(1)))=("AD"),"false"),B3,AD208),AD208))</f>
        <v>#VALUE!</v>
      </c>
    </row>
    <row r="209" spans="1:30" x14ac:dyDescent="0.25">
      <c r="A209" t="e">
        <f ca="1">IF((A1)=(2),"",IF((205)=(A4),IF(("call")=(INDEX(B1:XFD1,((A3)+(1))+(0))),(B3)*(2),IF(("goto")=(INDEX(B1:XFD1,((A3)+(1))+(0))),(INDEX(B1:XFD1,((A3)+(1))+(1)))*(2),IF(("gotoiftrue")=(INDEX(B1:XFD1,((A3)+(1))+(0))),IF(B3,(INDEX(B1:XFD1,((A3)+(1))+(1)))*(2),(A209)+(2)),(A209)+(2)))),A209))</f>
        <v>#VALUE!</v>
      </c>
      <c r="B209" t="e">
        <f ca="1">IF((A1)=(2),"",IF((205)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209)+(1)),IF(("add")=(INDEX(B1:XFD1,((A3)+(1))+(0))),(INDEX(B5:B405,(B4)+(1)))+(B209),IF(("equals")=(INDEX(B1:XFD1,((A3)+(1))+(0))),(INDEX(B5:B405,(B4)+(1)))=(B209),IF(("leq")=(INDEX(B1:XFD1,((A3)+(1))+(0))),(INDEX(B5:B405,(B4)+(1)))&lt;=(B209),IF(("greater")=(INDEX(B1:XFD1,((A3)+(1))+(0))),(INDEX(B5:B405,(B4)+(1)))&gt;(B209),IF(("mod")=(INDEX(B1:XFD1,((A3)+(1))+(0))),MOD(INDEX(B5:B405,(B4)+(1)),B209),B209))))))))),B209))</f>
        <v>#VALUE!</v>
      </c>
      <c r="C209" t="e">
        <f ca="1">IF((A1)=(2),1,IF(AND((INDEX(B1:XFD1,((A3)+(1))+(0)))=("writeheap"),(INDEX(B5:B405,(B4)+(1)))=(204)),INDEX(B5:B405,(B4)+(2)),IF((A1)=(2),"",IF((205)=(C4),C209,C209))))</f>
        <v>#VALUE!</v>
      </c>
      <c r="F209" t="e">
        <f ca="1">IF((A1)=(2),"",IF((205)=(F4),IF(IF((INDEX(B1:XFD1,((A3)+(1))+(0)))=("store"),(INDEX(B1:XFD1,((A3)+(1))+(1)))=("F"),"false"),B3,F209),F209))</f>
        <v>#VALUE!</v>
      </c>
      <c r="G209" t="e">
        <f ca="1">IF((A1)=(2),"",IF((205)=(G4),IF(IF((INDEX(B1:XFD1,((A3)+(1))+(0)))=("store"),(INDEX(B1:XFD1,((A3)+(1))+(1)))=("G"),"false"),B3,G209),G209))</f>
        <v>#VALUE!</v>
      </c>
      <c r="H209" t="e">
        <f ca="1">IF((A1)=(2),"",IF((205)=(H4),IF(IF((INDEX(B1:XFD1,((A3)+(1))+(0)))=("store"),(INDEX(B1:XFD1,((A3)+(1))+(1)))=("H"),"false"),B3,H209),H209))</f>
        <v>#VALUE!</v>
      </c>
      <c r="I209" t="e">
        <f ca="1">IF((A1)=(2),"",IF((205)=(I4),IF(IF((INDEX(B1:XFD1,((A3)+(1))+(0)))=("store"),(INDEX(B1:XFD1,((A3)+(1))+(1)))=("I"),"false"),B3,I209),I209))</f>
        <v>#VALUE!</v>
      </c>
      <c r="J209" t="e">
        <f ca="1">IF((A1)=(2),"",IF((205)=(J4),IF(IF((INDEX(B1:XFD1,((A3)+(1))+(0)))=("store"),(INDEX(B1:XFD1,((A3)+(1))+(1)))=("J"),"false"),B3,J209),J209))</f>
        <v>#VALUE!</v>
      </c>
      <c r="K209" t="e">
        <f ca="1">IF((A1)=(2),"",IF((205)=(K4),IF(IF((INDEX(B1:XFD1,((A3)+(1))+(0)))=("store"),(INDEX(B1:XFD1,((A3)+(1))+(1)))=("K"),"false"),B3,K209),K209))</f>
        <v>#VALUE!</v>
      </c>
      <c r="L209" t="e">
        <f ca="1">IF((A1)=(2),"",IF((205)=(L4),IF(IF((INDEX(B1:XFD1,((A3)+(1))+(0)))=("store"),(INDEX(B1:XFD1,((A3)+(1))+(1)))=("L"),"false"),B3,L209),L209))</f>
        <v>#VALUE!</v>
      </c>
      <c r="M209" t="e">
        <f ca="1">IF((A1)=(2),"",IF((205)=(M4),IF(IF((INDEX(B1:XFD1,((A3)+(1))+(0)))=("store"),(INDEX(B1:XFD1,((A3)+(1))+(1)))=("M"),"false"),B3,M209),M209))</f>
        <v>#VALUE!</v>
      </c>
      <c r="N209" t="e">
        <f ca="1">IF((A1)=(2),"",IF((205)=(N4),IF(IF((INDEX(B1:XFD1,((A3)+(1))+(0)))=("store"),(INDEX(B1:XFD1,((A3)+(1))+(1)))=("N"),"false"),B3,N209),N209))</f>
        <v>#VALUE!</v>
      </c>
      <c r="O209" t="e">
        <f ca="1">IF((A1)=(2),"",IF((205)=(O4),IF(IF((INDEX(B1:XFD1,((A3)+(1))+(0)))=("store"),(INDEX(B1:XFD1,((A3)+(1))+(1)))=("O"),"false"),B3,O209),O209))</f>
        <v>#VALUE!</v>
      </c>
      <c r="P209" t="e">
        <f ca="1">IF((A1)=(2),"",IF((205)=(P4),IF(IF((INDEX(B1:XFD1,((A3)+(1))+(0)))=("store"),(INDEX(B1:XFD1,((A3)+(1))+(1)))=("P"),"false"),B3,P209),P209))</f>
        <v>#VALUE!</v>
      </c>
      <c r="Q209" t="e">
        <f ca="1">IF((A1)=(2),"",IF((205)=(Q4),IF(IF((INDEX(B1:XFD1,((A3)+(1))+(0)))=("store"),(INDEX(B1:XFD1,((A3)+(1))+(1)))=("Q"),"false"),B3,Q209),Q209))</f>
        <v>#VALUE!</v>
      </c>
      <c r="R209" t="e">
        <f ca="1">IF((A1)=(2),"",IF((205)=(R4),IF(IF((INDEX(B1:XFD1,((A3)+(1))+(0)))=("store"),(INDEX(B1:XFD1,((A3)+(1))+(1)))=("R"),"false"),B3,R209),R209))</f>
        <v>#VALUE!</v>
      </c>
      <c r="S209" t="e">
        <f ca="1">IF((A1)=(2),"",IF((205)=(S4),IF(IF((INDEX(B1:XFD1,((A3)+(1))+(0)))=("store"),(INDEX(B1:XFD1,((A3)+(1))+(1)))=("S"),"false"),B3,S209),S209))</f>
        <v>#VALUE!</v>
      </c>
      <c r="T209" t="e">
        <f ca="1">IF((A1)=(2),"",IF((205)=(T4),IF(IF((INDEX(B1:XFD1,((A3)+(1))+(0)))=("store"),(INDEX(B1:XFD1,((A3)+(1))+(1)))=("T"),"false"),B3,T209),T209))</f>
        <v>#VALUE!</v>
      </c>
      <c r="U209" t="e">
        <f ca="1">IF((A1)=(2),"",IF((205)=(U4),IF(IF((INDEX(B1:XFD1,((A3)+(1))+(0)))=("store"),(INDEX(B1:XFD1,((A3)+(1))+(1)))=("U"),"false"),B3,U209),U209))</f>
        <v>#VALUE!</v>
      </c>
      <c r="V209" t="e">
        <f ca="1">IF((A1)=(2),"",IF((205)=(V4),IF(IF((INDEX(B1:XFD1,((A3)+(1))+(0)))=("store"),(INDEX(B1:XFD1,((A3)+(1))+(1)))=("V"),"false"),B3,V209),V209))</f>
        <v>#VALUE!</v>
      </c>
      <c r="W209" t="e">
        <f ca="1">IF((A1)=(2),"",IF((205)=(W4),IF(IF((INDEX(B1:XFD1,((A3)+(1))+(0)))=("store"),(INDEX(B1:XFD1,((A3)+(1))+(1)))=("W"),"false"),B3,W209),W209))</f>
        <v>#VALUE!</v>
      </c>
      <c r="X209" t="e">
        <f ca="1">IF((A1)=(2),"",IF((205)=(X4),IF(IF((INDEX(B1:XFD1,((A3)+(1))+(0)))=("store"),(INDEX(B1:XFD1,((A3)+(1))+(1)))=("X"),"false"),B3,X209),X209))</f>
        <v>#VALUE!</v>
      </c>
      <c r="Y209" t="e">
        <f ca="1">IF((A1)=(2),"",IF((205)=(Y4),IF(IF((INDEX(B1:XFD1,((A3)+(1))+(0)))=("store"),(INDEX(B1:XFD1,((A3)+(1))+(1)))=("Y"),"false"),B3,Y209),Y209))</f>
        <v>#VALUE!</v>
      </c>
      <c r="Z209" t="e">
        <f ca="1">IF((A1)=(2),"",IF((205)=(Z4),IF(IF((INDEX(B1:XFD1,((A3)+(1))+(0)))=("store"),(INDEX(B1:XFD1,((A3)+(1))+(1)))=("Z"),"false"),B3,Z209),Z209))</f>
        <v>#VALUE!</v>
      </c>
      <c r="AA209" t="e">
        <f ca="1">IF((A1)=(2),"",IF((205)=(AA4),IF(IF((INDEX(B1:XFD1,((A3)+(1))+(0)))=("store"),(INDEX(B1:XFD1,((A3)+(1))+(1)))=("AA"),"false"),B3,AA209),AA209))</f>
        <v>#VALUE!</v>
      </c>
      <c r="AB209" t="e">
        <f ca="1">IF((A1)=(2),"",IF((205)=(AB4),IF(IF((INDEX(B1:XFD1,((A3)+(1))+(0)))=("store"),(INDEX(B1:XFD1,((A3)+(1))+(1)))=("AB"),"false"),B3,AB209),AB209))</f>
        <v>#VALUE!</v>
      </c>
      <c r="AC209" t="e">
        <f ca="1">IF((A1)=(2),"",IF((205)=(AC4),IF(IF((INDEX(B1:XFD1,((A3)+(1))+(0)))=("store"),(INDEX(B1:XFD1,((A3)+(1))+(1)))=("AC"),"false"),B3,AC209),AC209))</f>
        <v>#VALUE!</v>
      </c>
      <c r="AD209" t="e">
        <f ca="1">IF((A1)=(2),"",IF((205)=(AD4),IF(IF((INDEX(B1:XFD1,((A3)+(1))+(0)))=("store"),(INDEX(B1:XFD1,((A3)+(1))+(1)))=("AD"),"false"),B3,AD209),AD209))</f>
        <v>#VALUE!</v>
      </c>
    </row>
    <row r="210" spans="1:30" x14ac:dyDescent="0.25">
      <c r="A210" t="e">
        <f ca="1">IF((A1)=(2),"",IF((206)=(A4),IF(("call")=(INDEX(B1:XFD1,((A3)+(1))+(0))),(B3)*(2),IF(("goto")=(INDEX(B1:XFD1,((A3)+(1))+(0))),(INDEX(B1:XFD1,((A3)+(1))+(1)))*(2),IF(("gotoiftrue")=(INDEX(B1:XFD1,((A3)+(1))+(0))),IF(B3,(INDEX(B1:XFD1,((A3)+(1))+(1)))*(2),(A210)+(2)),(A210)+(2)))),A210))</f>
        <v>#VALUE!</v>
      </c>
      <c r="B210" t="e">
        <f ca="1">IF((A1)=(2),"",IF((206)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210)+(1)),IF(("add")=(INDEX(B1:XFD1,((A3)+(1))+(0))),(INDEX(B5:B405,(B4)+(1)))+(B210),IF(("equals")=(INDEX(B1:XFD1,((A3)+(1))+(0))),(INDEX(B5:B405,(B4)+(1)))=(B210),IF(("leq")=(INDEX(B1:XFD1,((A3)+(1))+(0))),(INDEX(B5:B405,(B4)+(1)))&lt;=(B210),IF(("greater")=(INDEX(B1:XFD1,((A3)+(1))+(0))),(INDEX(B5:B405,(B4)+(1)))&gt;(B210),IF(("mod")=(INDEX(B1:XFD1,((A3)+(1))+(0))),MOD(INDEX(B5:B405,(B4)+(1)),B210),B210))))))))),B210))</f>
        <v>#VALUE!</v>
      </c>
      <c r="C210" t="e">
        <f ca="1">IF((A1)=(2),1,IF(AND((INDEX(B1:XFD1,((A3)+(1))+(0)))=("writeheap"),(INDEX(B5:B405,(B4)+(1)))=(205)),INDEX(B5:B405,(B4)+(2)),IF((A1)=(2),"",IF((206)=(C4),C210,C210))))</f>
        <v>#VALUE!</v>
      </c>
      <c r="F210" t="e">
        <f ca="1">IF((A1)=(2),"",IF((206)=(F4),IF(IF((INDEX(B1:XFD1,((A3)+(1))+(0)))=("store"),(INDEX(B1:XFD1,((A3)+(1))+(1)))=("F"),"false"),B3,F210),F210))</f>
        <v>#VALUE!</v>
      </c>
      <c r="G210" t="e">
        <f ca="1">IF((A1)=(2),"",IF((206)=(G4),IF(IF((INDEX(B1:XFD1,((A3)+(1))+(0)))=("store"),(INDEX(B1:XFD1,((A3)+(1))+(1)))=("G"),"false"),B3,G210),G210))</f>
        <v>#VALUE!</v>
      </c>
      <c r="H210" t="e">
        <f ca="1">IF((A1)=(2),"",IF((206)=(H4),IF(IF((INDEX(B1:XFD1,((A3)+(1))+(0)))=("store"),(INDEX(B1:XFD1,((A3)+(1))+(1)))=("H"),"false"),B3,H210),H210))</f>
        <v>#VALUE!</v>
      </c>
      <c r="I210" t="e">
        <f ca="1">IF((A1)=(2),"",IF((206)=(I4),IF(IF((INDEX(B1:XFD1,((A3)+(1))+(0)))=("store"),(INDEX(B1:XFD1,((A3)+(1))+(1)))=("I"),"false"),B3,I210),I210))</f>
        <v>#VALUE!</v>
      </c>
      <c r="J210" t="e">
        <f ca="1">IF((A1)=(2),"",IF((206)=(J4),IF(IF((INDEX(B1:XFD1,((A3)+(1))+(0)))=("store"),(INDEX(B1:XFD1,((A3)+(1))+(1)))=("J"),"false"),B3,J210),J210))</f>
        <v>#VALUE!</v>
      </c>
      <c r="K210" t="e">
        <f ca="1">IF((A1)=(2),"",IF((206)=(K4),IF(IF((INDEX(B1:XFD1,((A3)+(1))+(0)))=("store"),(INDEX(B1:XFD1,((A3)+(1))+(1)))=("K"),"false"),B3,K210),K210))</f>
        <v>#VALUE!</v>
      </c>
      <c r="L210" t="e">
        <f ca="1">IF((A1)=(2),"",IF((206)=(L4),IF(IF((INDEX(B1:XFD1,((A3)+(1))+(0)))=("store"),(INDEX(B1:XFD1,((A3)+(1))+(1)))=("L"),"false"),B3,L210),L210))</f>
        <v>#VALUE!</v>
      </c>
      <c r="M210" t="e">
        <f ca="1">IF((A1)=(2),"",IF((206)=(M4),IF(IF((INDEX(B1:XFD1,((A3)+(1))+(0)))=("store"),(INDEX(B1:XFD1,((A3)+(1))+(1)))=("M"),"false"),B3,M210),M210))</f>
        <v>#VALUE!</v>
      </c>
      <c r="N210" t="e">
        <f ca="1">IF((A1)=(2),"",IF((206)=(N4),IF(IF((INDEX(B1:XFD1,((A3)+(1))+(0)))=("store"),(INDEX(B1:XFD1,((A3)+(1))+(1)))=("N"),"false"),B3,N210),N210))</f>
        <v>#VALUE!</v>
      </c>
      <c r="O210" t="e">
        <f ca="1">IF((A1)=(2),"",IF((206)=(O4),IF(IF((INDEX(B1:XFD1,((A3)+(1))+(0)))=("store"),(INDEX(B1:XFD1,((A3)+(1))+(1)))=("O"),"false"),B3,O210),O210))</f>
        <v>#VALUE!</v>
      </c>
      <c r="P210" t="e">
        <f ca="1">IF((A1)=(2),"",IF((206)=(P4),IF(IF((INDEX(B1:XFD1,((A3)+(1))+(0)))=("store"),(INDEX(B1:XFD1,((A3)+(1))+(1)))=("P"),"false"),B3,P210),P210))</f>
        <v>#VALUE!</v>
      </c>
      <c r="Q210" t="e">
        <f ca="1">IF((A1)=(2),"",IF((206)=(Q4),IF(IF((INDEX(B1:XFD1,((A3)+(1))+(0)))=("store"),(INDEX(B1:XFD1,((A3)+(1))+(1)))=("Q"),"false"),B3,Q210),Q210))</f>
        <v>#VALUE!</v>
      </c>
      <c r="R210" t="e">
        <f ca="1">IF((A1)=(2),"",IF((206)=(R4),IF(IF((INDEX(B1:XFD1,((A3)+(1))+(0)))=("store"),(INDEX(B1:XFD1,((A3)+(1))+(1)))=("R"),"false"),B3,R210),R210))</f>
        <v>#VALUE!</v>
      </c>
      <c r="S210" t="e">
        <f ca="1">IF((A1)=(2),"",IF((206)=(S4),IF(IF((INDEX(B1:XFD1,((A3)+(1))+(0)))=("store"),(INDEX(B1:XFD1,((A3)+(1))+(1)))=("S"),"false"),B3,S210),S210))</f>
        <v>#VALUE!</v>
      </c>
      <c r="T210" t="e">
        <f ca="1">IF((A1)=(2),"",IF((206)=(T4),IF(IF((INDEX(B1:XFD1,((A3)+(1))+(0)))=("store"),(INDEX(B1:XFD1,((A3)+(1))+(1)))=("T"),"false"),B3,T210),T210))</f>
        <v>#VALUE!</v>
      </c>
      <c r="U210" t="e">
        <f ca="1">IF((A1)=(2),"",IF((206)=(U4),IF(IF((INDEX(B1:XFD1,((A3)+(1))+(0)))=("store"),(INDEX(B1:XFD1,((A3)+(1))+(1)))=("U"),"false"),B3,U210),U210))</f>
        <v>#VALUE!</v>
      </c>
      <c r="V210" t="e">
        <f ca="1">IF((A1)=(2),"",IF((206)=(V4),IF(IF((INDEX(B1:XFD1,((A3)+(1))+(0)))=("store"),(INDEX(B1:XFD1,((A3)+(1))+(1)))=("V"),"false"),B3,V210),V210))</f>
        <v>#VALUE!</v>
      </c>
      <c r="W210" t="e">
        <f ca="1">IF((A1)=(2),"",IF((206)=(W4),IF(IF((INDEX(B1:XFD1,((A3)+(1))+(0)))=("store"),(INDEX(B1:XFD1,((A3)+(1))+(1)))=("W"),"false"),B3,W210),W210))</f>
        <v>#VALUE!</v>
      </c>
      <c r="X210" t="e">
        <f ca="1">IF((A1)=(2),"",IF((206)=(X4),IF(IF((INDEX(B1:XFD1,((A3)+(1))+(0)))=("store"),(INDEX(B1:XFD1,((A3)+(1))+(1)))=("X"),"false"),B3,X210),X210))</f>
        <v>#VALUE!</v>
      </c>
      <c r="Y210" t="e">
        <f ca="1">IF((A1)=(2),"",IF((206)=(Y4),IF(IF((INDEX(B1:XFD1,((A3)+(1))+(0)))=("store"),(INDEX(B1:XFD1,((A3)+(1))+(1)))=("Y"),"false"),B3,Y210),Y210))</f>
        <v>#VALUE!</v>
      </c>
      <c r="Z210" t="e">
        <f ca="1">IF((A1)=(2),"",IF((206)=(Z4),IF(IF((INDEX(B1:XFD1,((A3)+(1))+(0)))=("store"),(INDEX(B1:XFD1,((A3)+(1))+(1)))=("Z"),"false"),B3,Z210),Z210))</f>
        <v>#VALUE!</v>
      </c>
      <c r="AA210" t="e">
        <f ca="1">IF((A1)=(2),"",IF((206)=(AA4),IF(IF((INDEX(B1:XFD1,((A3)+(1))+(0)))=("store"),(INDEX(B1:XFD1,((A3)+(1))+(1)))=("AA"),"false"),B3,AA210),AA210))</f>
        <v>#VALUE!</v>
      </c>
      <c r="AB210" t="e">
        <f ca="1">IF((A1)=(2),"",IF((206)=(AB4),IF(IF((INDEX(B1:XFD1,((A3)+(1))+(0)))=("store"),(INDEX(B1:XFD1,((A3)+(1))+(1)))=("AB"),"false"),B3,AB210),AB210))</f>
        <v>#VALUE!</v>
      </c>
      <c r="AC210" t="e">
        <f ca="1">IF((A1)=(2),"",IF((206)=(AC4),IF(IF((INDEX(B1:XFD1,((A3)+(1))+(0)))=("store"),(INDEX(B1:XFD1,((A3)+(1))+(1)))=("AC"),"false"),B3,AC210),AC210))</f>
        <v>#VALUE!</v>
      </c>
      <c r="AD210" t="e">
        <f ca="1">IF((A1)=(2),"",IF((206)=(AD4),IF(IF((INDEX(B1:XFD1,((A3)+(1))+(0)))=("store"),(INDEX(B1:XFD1,((A3)+(1))+(1)))=("AD"),"false"),B3,AD210),AD210))</f>
        <v>#VALUE!</v>
      </c>
    </row>
    <row r="211" spans="1:30" x14ac:dyDescent="0.25">
      <c r="A211" t="e">
        <f ca="1">IF((A1)=(2),"",IF((207)=(A4),IF(("call")=(INDEX(B1:XFD1,((A3)+(1))+(0))),(B3)*(2),IF(("goto")=(INDEX(B1:XFD1,((A3)+(1))+(0))),(INDEX(B1:XFD1,((A3)+(1))+(1)))*(2),IF(("gotoiftrue")=(INDEX(B1:XFD1,((A3)+(1))+(0))),IF(B3,(INDEX(B1:XFD1,((A3)+(1))+(1)))*(2),(A211)+(2)),(A211)+(2)))),A211))</f>
        <v>#VALUE!</v>
      </c>
      <c r="B211" t="e">
        <f ca="1">IF((A1)=(2),"",IF((207)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211)+(1)),IF(("add")=(INDEX(B1:XFD1,((A3)+(1))+(0))),(INDEX(B5:B405,(B4)+(1)))+(B211),IF(("equals")=(INDEX(B1:XFD1,((A3)+(1))+(0))),(INDEX(B5:B405,(B4)+(1)))=(B211),IF(("leq")=(INDEX(B1:XFD1,((A3)+(1))+(0))),(INDEX(B5:B405,(B4)+(1)))&lt;=(B211),IF(("greater")=(INDEX(B1:XFD1,((A3)+(1))+(0))),(INDEX(B5:B405,(B4)+(1)))&gt;(B211),IF(("mod")=(INDEX(B1:XFD1,((A3)+(1))+(0))),MOD(INDEX(B5:B405,(B4)+(1)),B211),B211))))))))),B211))</f>
        <v>#VALUE!</v>
      </c>
      <c r="C211" t="e">
        <f ca="1">IF((A1)=(2),1,IF(AND((INDEX(B1:XFD1,((A3)+(1))+(0)))=("writeheap"),(INDEX(B5:B405,(B4)+(1)))=(206)),INDEX(B5:B405,(B4)+(2)),IF((A1)=(2),"",IF((207)=(C4),C211,C211))))</f>
        <v>#VALUE!</v>
      </c>
      <c r="F211" t="e">
        <f ca="1">IF((A1)=(2),"",IF((207)=(F4),IF(IF((INDEX(B1:XFD1,((A3)+(1))+(0)))=("store"),(INDEX(B1:XFD1,((A3)+(1))+(1)))=("F"),"false"),B3,F211),F211))</f>
        <v>#VALUE!</v>
      </c>
      <c r="G211" t="e">
        <f ca="1">IF((A1)=(2),"",IF((207)=(G4),IF(IF((INDEX(B1:XFD1,((A3)+(1))+(0)))=("store"),(INDEX(B1:XFD1,((A3)+(1))+(1)))=("G"),"false"),B3,G211),G211))</f>
        <v>#VALUE!</v>
      </c>
      <c r="H211" t="e">
        <f ca="1">IF((A1)=(2),"",IF((207)=(H4),IF(IF((INDEX(B1:XFD1,((A3)+(1))+(0)))=("store"),(INDEX(B1:XFD1,((A3)+(1))+(1)))=("H"),"false"),B3,H211),H211))</f>
        <v>#VALUE!</v>
      </c>
      <c r="I211" t="e">
        <f ca="1">IF((A1)=(2),"",IF((207)=(I4),IF(IF((INDEX(B1:XFD1,((A3)+(1))+(0)))=("store"),(INDEX(B1:XFD1,((A3)+(1))+(1)))=("I"),"false"),B3,I211),I211))</f>
        <v>#VALUE!</v>
      </c>
      <c r="J211" t="e">
        <f ca="1">IF((A1)=(2),"",IF((207)=(J4),IF(IF((INDEX(B1:XFD1,((A3)+(1))+(0)))=("store"),(INDEX(B1:XFD1,((A3)+(1))+(1)))=("J"),"false"),B3,J211),J211))</f>
        <v>#VALUE!</v>
      </c>
      <c r="K211" t="e">
        <f ca="1">IF((A1)=(2),"",IF((207)=(K4),IF(IF((INDEX(B1:XFD1,((A3)+(1))+(0)))=("store"),(INDEX(B1:XFD1,((A3)+(1))+(1)))=("K"),"false"),B3,K211),K211))</f>
        <v>#VALUE!</v>
      </c>
      <c r="L211" t="e">
        <f ca="1">IF((A1)=(2),"",IF((207)=(L4),IF(IF((INDEX(B1:XFD1,((A3)+(1))+(0)))=("store"),(INDEX(B1:XFD1,((A3)+(1))+(1)))=("L"),"false"),B3,L211),L211))</f>
        <v>#VALUE!</v>
      </c>
      <c r="M211" t="e">
        <f ca="1">IF((A1)=(2),"",IF((207)=(M4),IF(IF((INDEX(B1:XFD1,((A3)+(1))+(0)))=("store"),(INDEX(B1:XFD1,((A3)+(1))+(1)))=("M"),"false"),B3,M211),M211))</f>
        <v>#VALUE!</v>
      </c>
      <c r="N211" t="e">
        <f ca="1">IF((A1)=(2),"",IF((207)=(N4),IF(IF((INDEX(B1:XFD1,((A3)+(1))+(0)))=("store"),(INDEX(B1:XFD1,((A3)+(1))+(1)))=("N"),"false"),B3,N211),N211))</f>
        <v>#VALUE!</v>
      </c>
      <c r="O211" t="e">
        <f ca="1">IF((A1)=(2),"",IF((207)=(O4),IF(IF((INDEX(B1:XFD1,((A3)+(1))+(0)))=("store"),(INDEX(B1:XFD1,((A3)+(1))+(1)))=("O"),"false"),B3,O211),O211))</f>
        <v>#VALUE!</v>
      </c>
      <c r="P211" t="e">
        <f ca="1">IF((A1)=(2),"",IF((207)=(P4),IF(IF((INDEX(B1:XFD1,((A3)+(1))+(0)))=("store"),(INDEX(B1:XFD1,((A3)+(1))+(1)))=("P"),"false"),B3,P211),P211))</f>
        <v>#VALUE!</v>
      </c>
      <c r="Q211" t="e">
        <f ca="1">IF((A1)=(2),"",IF((207)=(Q4),IF(IF((INDEX(B1:XFD1,((A3)+(1))+(0)))=("store"),(INDEX(B1:XFD1,((A3)+(1))+(1)))=("Q"),"false"),B3,Q211),Q211))</f>
        <v>#VALUE!</v>
      </c>
      <c r="R211" t="e">
        <f ca="1">IF((A1)=(2),"",IF((207)=(R4),IF(IF((INDEX(B1:XFD1,((A3)+(1))+(0)))=("store"),(INDEX(B1:XFD1,((A3)+(1))+(1)))=("R"),"false"),B3,R211),R211))</f>
        <v>#VALUE!</v>
      </c>
      <c r="S211" t="e">
        <f ca="1">IF((A1)=(2),"",IF((207)=(S4),IF(IF((INDEX(B1:XFD1,((A3)+(1))+(0)))=("store"),(INDEX(B1:XFD1,((A3)+(1))+(1)))=("S"),"false"),B3,S211),S211))</f>
        <v>#VALUE!</v>
      </c>
      <c r="T211" t="e">
        <f ca="1">IF((A1)=(2),"",IF((207)=(T4),IF(IF((INDEX(B1:XFD1,((A3)+(1))+(0)))=("store"),(INDEX(B1:XFD1,((A3)+(1))+(1)))=("T"),"false"),B3,T211),T211))</f>
        <v>#VALUE!</v>
      </c>
      <c r="U211" t="e">
        <f ca="1">IF((A1)=(2),"",IF((207)=(U4),IF(IF((INDEX(B1:XFD1,((A3)+(1))+(0)))=("store"),(INDEX(B1:XFD1,((A3)+(1))+(1)))=("U"),"false"),B3,U211),U211))</f>
        <v>#VALUE!</v>
      </c>
      <c r="V211" t="e">
        <f ca="1">IF((A1)=(2),"",IF((207)=(V4),IF(IF((INDEX(B1:XFD1,((A3)+(1))+(0)))=("store"),(INDEX(B1:XFD1,((A3)+(1))+(1)))=("V"),"false"),B3,V211),V211))</f>
        <v>#VALUE!</v>
      </c>
      <c r="W211" t="e">
        <f ca="1">IF((A1)=(2),"",IF((207)=(W4),IF(IF((INDEX(B1:XFD1,((A3)+(1))+(0)))=("store"),(INDEX(B1:XFD1,((A3)+(1))+(1)))=("W"),"false"),B3,W211),W211))</f>
        <v>#VALUE!</v>
      </c>
      <c r="X211" t="e">
        <f ca="1">IF((A1)=(2),"",IF((207)=(X4),IF(IF((INDEX(B1:XFD1,((A3)+(1))+(0)))=("store"),(INDEX(B1:XFD1,((A3)+(1))+(1)))=("X"),"false"),B3,X211),X211))</f>
        <v>#VALUE!</v>
      </c>
      <c r="Y211" t="e">
        <f ca="1">IF((A1)=(2),"",IF((207)=(Y4),IF(IF((INDEX(B1:XFD1,((A3)+(1))+(0)))=("store"),(INDEX(B1:XFD1,((A3)+(1))+(1)))=("Y"),"false"),B3,Y211),Y211))</f>
        <v>#VALUE!</v>
      </c>
      <c r="Z211" t="e">
        <f ca="1">IF((A1)=(2),"",IF((207)=(Z4),IF(IF((INDEX(B1:XFD1,((A3)+(1))+(0)))=("store"),(INDEX(B1:XFD1,((A3)+(1))+(1)))=("Z"),"false"),B3,Z211),Z211))</f>
        <v>#VALUE!</v>
      </c>
      <c r="AA211" t="e">
        <f ca="1">IF((A1)=(2),"",IF((207)=(AA4),IF(IF((INDEX(B1:XFD1,((A3)+(1))+(0)))=("store"),(INDEX(B1:XFD1,((A3)+(1))+(1)))=("AA"),"false"),B3,AA211),AA211))</f>
        <v>#VALUE!</v>
      </c>
      <c r="AB211" t="e">
        <f ca="1">IF((A1)=(2),"",IF((207)=(AB4),IF(IF((INDEX(B1:XFD1,((A3)+(1))+(0)))=("store"),(INDEX(B1:XFD1,((A3)+(1))+(1)))=("AB"),"false"),B3,AB211),AB211))</f>
        <v>#VALUE!</v>
      </c>
      <c r="AC211" t="e">
        <f ca="1">IF((A1)=(2),"",IF((207)=(AC4),IF(IF((INDEX(B1:XFD1,((A3)+(1))+(0)))=("store"),(INDEX(B1:XFD1,((A3)+(1))+(1)))=("AC"),"false"),B3,AC211),AC211))</f>
        <v>#VALUE!</v>
      </c>
      <c r="AD211" t="e">
        <f ca="1">IF((A1)=(2),"",IF((207)=(AD4),IF(IF((INDEX(B1:XFD1,((A3)+(1))+(0)))=("store"),(INDEX(B1:XFD1,((A3)+(1))+(1)))=("AD"),"false"),B3,AD211),AD211))</f>
        <v>#VALUE!</v>
      </c>
    </row>
    <row r="212" spans="1:30" x14ac:dyDescent="0.25">
      <c r="A212" t="e">
        <f ca="1">IF((A1)=(2),"",IF((208)=(A4),IF(("call")=(INDEX(B1:XFD1,((A3)+(1))+(0))),(B3)*(2),IF(("goto")=(INDEX(B1:XFD1,((A3)+(1))+(0))),(INDEX(B1:XFD1,((A3)+(1))+(1)))*(2),IF(("gotoiftrue")=(INDEX(B1:XFD1,((A3)+(1))+(0))),IF(B3,(INDEX(B1:XFD1,((A3)+(1))+(1)))*(2),(A212)+(2)),(A212)+(2)))),A212))</f>
        <v>#VALUE!</v>
      </c>
      <c r="B212" t="e">
        <f ca="1">IF((A1)=(2),"",IF((208)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212)+(1)),IF(("add")=(INDEX(B1:XFD1,((A3)+(1))+(0))),(INDEX(B5:B405,(B4)+(1)))+(B212),IF(("equals")=(INDEX(B1:XFD1,((A3)+(1))+(0))),(INDEX(B5:B405,(B4)+(1)))=(B212),IF(("leq")=(INDEX(B1:XFD1,((A3)+(1))+(0))),(INDEX(B5:B405,(B4)+(1)))&lt;=(B212),IF(("greater")=(INDEX(B1:XFD1,((A3)+(1))+(0))),(INDEX(B5:B405,(B4)+(1)))&gt;(B212),IF(("mod")=(INDEX(B1:XFD1,((A3)+(1))+(0))),MOD(INDEX(B5:B405,(B4)+(1)),B212),B212))))))))),B212))</f>
        <v>#VALUE!</v>
      </c>
      <c r="C212" t="e">
        <f ca="1">IF((A1)=(2),1,IF(AND((INDEX(B1:XFD1,((A3)+(1))+(0)))=("writeheap"),(INDEX(B5:B405,(B4)+(1)))=(207)),INDEX(B5:B405,(B4)+(2)),IF((A1)=(2),"",IF((208)=(C4),C212,C212))))</f>
        <v>#VALUE!</v>
      </c>
      <c r="F212" t="e">
        <f ca="1">IF((A1)=(2),"",IF((208)=(F4),IF(IF((INDEX(B1:XFD1,((A3)+(1))+(0)))=("store"),(INDEX(B1:XFD1,((A3)+(1))+(1)))=("F"),"false"),B3,F212),F212))</f>
        <v>#VALUE!</v>
      </c>
      <c r="G212" t="e">
        <f ca="1">IF((A1)=(2),"",IF((208)=(G4),IF(IF((INDEX(B1:XFD1,((A3)+(1))+(0)))=("store"),(INDEX(B1:XFD1,((A3)+(1))+(1)))=("G"),"false"),B3,G212),G212))</f>
        <v>#VALUE!</v>
      </c>
      <c r="H212" t="e">
        <f ca="1">IF((A1)=(2),"",IF((208)=(H4),IF(IF((INDEX(B1:XFD1,((A3)+(1))+(0)))=("store"),(INDEX(B1:XFD1,((A3)+(1))+(1)))=("H"),"false"),B3,H212),H212))</f>
        <v>#VALUE!</v>
      </c>
      <c r="I212" t="e">
        <f ca="1">IF((A1)=(2),"",IF((208)=(I4),IF(IF((INDEX(B1:XFD1,((A3)+(1))+(0)))=("store"),(INDEX(B1:XFD1,((A3)+(1))+(1)))=("I"),"false"),B3,I212),I212))</f>
        <v>#VALUE!</v>
      </c>
      <c r="J212" t="e">
        <f ca="1">IF((A1)=(2),"",IF((208)=(J4),IF(IF((INDEX(B1:XFD1,((A3)+(1))+(0)))=("store"),(INDEX(B1:XFD1,((A3)+(1))+(1)))=("J"),"false"),B3,J212),J212))</f>
        <v>#VALUE!</v>
      </c>
      <c r="K212" t="e">
        <f ca="1">IF((A1)=(2),"",IF((208)=(K4),IF(IF((INDEX(B1:XFD1,((A3)+(1))+(0)))=("store"),(INDEX(B1:XFD1,((A3)+(1))+(1)))=("K"),"false"),B3,K212),K212))</f>
        <v>#VALUE!</v>
      </c>
      <c r="L212" t="e">
        <f ca="1">IF((A1)=(2),"",IF((208)=(L4),IF(IF((INDEX(B1:XFD1,((A3)+(1))+(0)))=("store"),(INDEX(B1:XFD1,((A3)+(1))+(1)))=("L"),"false"),B3,L212),L212))</f>
        <v>#VALUE!</v>
      </c>
      <c r="M212" t="e">
        <f ca="1">IF((A1)=(2),"",IF((208)=(M4),IF(IF((INDEX(B1:XFD1,((A3)+(1))+(0)))=("store"),(INDEX(B1:XFD1,((A3)+(1))+(1)))=("M"),"false"),B3,M212),M212))</f>
        <v>#VALUE!</v>
      </c>
      <c r="N212" t="e">
        <f ca="1">IF((A1)=(2),"",IF((208)=(N4),IF(IF((INDEX(B1:XFD1,((A3)+(1))+(0)))=("store"),(INDEX(B1:XFD1,((A3)+(1))+(1)))=("N"),"false"),B3,N212),N212))</f>
        <v>#VALUE!</v>
      </c>
      <c r="O212" t="e">
        <f ca="1">IF((A1)=(2),"",IF((208)=(O4),IF(IF((INDEX(B1:XFD1,((A3)+(1))+(0)))=("store"),(INDEX(B1:XFD1,((A3)+(1))+(1)))=("O"),"false"),B3,O212),O212))</f>
        <v>#VALUE!</v>
      </c>
      <c r="P212" t="e">
        <f ca="1">IF((A1)=(2),"",IF((208)=(P4),IF(IF((INDEX(B1:XFD1,((A3)+(1))+(0)))=("store"),(INDEX(B1:XFD1,((A3)+(1))+(1)))=("P"),"false"),B3,P212),P212))</f>
        <v>#VALUE!</v>
      </c>
      <c r="Q212" t="e">
        <f ca="1">IF((A1)=(2),"",IF((208)=(Q4),IF(IF((INDEX(B1:XFD1,((A3)+(1))+(0)))=("store"),(INDEX(B1:XFD1,((A3)+(1))+(1)))=("Q"),"false"),B3,Q212),Q212))</f>
        <v>#VALUE!</v>
      </c>
      <c r="R212" t="e">
        <f ca="1">IF((A1)=(2),"",IF((208)=(R4),IF(IF((INDEX(B1:XFD1,((A3)+(1))+(0)))=("store"),(INDEX(B1:XFD1,((A3)+(1))+(1)))=("R"),"false"),B3,R212),R212))</f>
        <v>#VALUE!</v>
      </c>
      <c r="S212" t="e">
        <f ca="1">IF((A1)=(2),"",IF((208)=(S4),IF(IF((INDEX(B1:XFD1,((A3)+(1))+(0)))=("store"),(INDEX(B1:XFD1,((A3)+(1))+(1)))=("S"),"false"),B3,S212),S212))</f>
        <v>#VALUE!</v>
      </c>
      <c r="T212" t="e">
        <f ca="1">IF((A1)=(2),"",IF((208)=(T4),IF(IF((INDEX(B1:XFD1,((A3)+(1))+(0)))=("store"),(INDEX(B1:XFD1,((A3)+(1))+(1)))=("T"),"false"),B3,T212),T212))</f>
        <v>#VALUE!</v>
      </c>
      <c r="U212" t="e">
        <f ca="1">IF((A1)=(2),"",IF((208)=(U4),IF(IF((INDEX(B1:XFD1,((A3)+(1))+(0)))=("store"),(INDEX(B1:XFD1,((A3)+(1))+(1)))=("U"),"false"),B3,U212),U212))</f>
        <v>#VALUE!</v>
      </c>
      <c r="V212" t="e">
        <f ca="1">IF((A1)=(2),"",IF((208)=(V4),IF(IF((INDEX(B1:XFD1,((A3)+(1))+(0)))=("store"),(INDEX(B1:XFD1,((A3)+(1))+(1)))=("V"),"false"),B3,V212),V212))</f>
        <v>#VALUE!</v>
      </c>
      <c r="W212" t="e">
        <f ca="1">IF((A1)=(2),"",IF((208)=(W4),IF(IF((INDEX(B1:XFD1,((A3)+(1))+(0)))=("store"),(INDEX(B1:XFD1,((A3)+(1))+(1)))=("W"),"false"),B3,W212),W212))</f>
        <v>#VALUE!</v>
      </c>
      <c r="X212" t="e">
        <f ca="1">IF((A1)=(2),"",IF((208)=(X4),IF(IF((INDEX(B1:XFD1,((A3)+(1))+(0)))=("store"),(INDEX(B1:XFD1,((A3)+(1))+(1)))=("X"),"false"),B3,X212),X212))</f>
        <v>#VALUE!</v>
      </c>
      <c r="Y212" t="e">
        <f ca="1">IF((A1)=(2),"",IF((208)=(Y4),IF(IF((INDEX(B1:XFD1,((A3)+(1))+(0)))=("store"),(INDEX(B1:XFD1,((A3)+(1))+(1)))=("Y"),"false"),B3,Y212),Y212))</f>
        <v>#VALUE!</v>
      </c>
      <c r="Z212" t="e">
        <f ca="1">IF((A1)=(2),"",IF((208)=(Z4),IF(IF((INDEX(B1:XFD1,((A3)+(1))+(0)))=("store"),(INDEX(B1:XFD1,((A3)+(1))+(1)))=("Z"),"false"),B3,Z212),Z212))</f>
        <v>#VALUE!</v>
      </c>
      <c r="AA212" t="e">
        <f ca="1">IF((A1)=(2),"",IF((208)=(AA4),IF(IF((INDEX(B1:XFD1,((A3)+(1))+(0)))=("store"),(INDEX(B1:XFD1,((A3)+(1))+(1)))=("AA"),"false"),B3,AA212),AA212))</f>
        <v>#VALUE!</v>
      </c>
      <c r="AB212" t="e">
        <f ca="1">IF((A1)=(2),"",IF((208)=(AB4),IF(IF((INDEX(B1:XFD1,((A3)+(1))+(0)))=("store"),(INDEX(B1:XFD1,((A3)+(1))+(1)))=("AB"),"false"),B3,AB212),AB212))</f>
        <v>#VALUE!</v>
      </c>
      <c r="AC212" t="e">
        <f ca="1">IF((A1)=(2),"",IF((208)=(AC4),IF(IF((INDEX(B1:XFD1,((A3)+(1))+(0)))=("store"),(INDEX(B1:XFD1,((A3)+(1))+(1)))=("AC"),"false"),B3,AC212),AC212))</f>
        <v>#VALUE!</v>
      </c>
      <c r="AD212" t="e">
        <f ca="1">IF((A1)=(2),"",IF((208)=(AD4),IF(IF((INDEX(B1:XFD1,((A3)+(1))+(0)))=("store"),(INDEX(B1:XFD1,((A3)+(1))+(1)))=("AD"),"false"),B3,AD212),AD212))</f>
        <v>#VALUE!</v>
      </c>
    </row>
    <row r="213" spans="1:30" x14ac:dyDescent="0.25">
      <c r="A213" t="e">
        <f ca="1">IF((A1)=(2),"",IF((209)=(A4),IF(("call")=(INDEX(B1:XFD1,((A3)+(1))+(0))),(B3)*(2),IF(("goto")=(INDEX(B1:XFD1,((A3)+(1))+(0))),(INDEX(B1:XFD1,((A3)+(1))+(1)))*(2),IF(("gotoiftrue")=(INDEX(B1:XFD1,((A3)+(1))+(0))),IF(B3,(INDEX(B1:XFD1,((A3)+(1))+(1)))*(2),(A213)+(2)),(A213)+(2)))),A213))</f>
        <v>#VALUE!</v>
      </c>
      <c r="B213" t="e">
        <f ca="1">IF((A1)=(2),"",IF((209)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213)+(1)),IF(("add")=(INDEX(B1:XFD1,((A3)+(1))+(0))),(INDEX(B5:B405,(B4)+(1)))+(B213),IF(("equals")=(INDEX(B1:XFD1,((A3)+(1))+(0))),(INDEX(B5:B405,(B4)+(1)))=(B213),IF(("leq")=(INDEX(B1:XFD1,((A3)+(1))+(0))),(INDEX(B5:B405,(B4)+(1)))&lt;=(B213),IF(("greater")=(INDEX(B1:XFD1,((A3)+(1))+(0))),(INDEX(B5:B405,(B4)+(1)))&gt;(B213),IF(("mod")=(INDEX(B1:XFD1,((A3)+(1))+(0))),MOD(INDEX(B5:B405,(B4)+(1)),B213),B213))))))))),B213))</f>
        <v>#VALUE!</v>
      </c>
      <c r="C213" t="e">
        <f ca="1">IF((A1)=(2),1,IF(AND((INDEX(B1:XFD1,((A3)+(1))+(0)))=("writeheap"),(INDEX(B5:B405,(B4)+(1)))=(208)),INDEX(B5:B405,(B4)+(2)),IF((A1)=(2),"",IF((209)=(C4),C213,C213))))</f>
        <v>#VALUE!</v>
      </c>
      <c r="F213" t="e">
        <f ca="1">IF((A1)=(2),"",IF((209)=(F4),IF(IF((INDEX(B1:XFD1,((A3)+(1))+(0)))=("store"),(INDEX(B1:XFD1,((A3)+(1))+(1)))=("F"),"false"),B3,F213),F213))</f>
        <v>#VALUE!</v>
      </c>
      <c r="G213" t="e">
        <f ca="1">IF((A1)=(2),"",IF((209)=(G4),IF(IF((INDEX(B1:XFD1,((A3)+(1))+(0)))=("store"),(INDEX(B1:XFD1,((A3)+(1))+(1)))=("G"),"false"),B3,G213),G213))</f>
        <v>#VALUE!</v>
      </c>
      <c r="H213" t="e">
        <f ca="1">IF((A1)=(2),"",IF((209)=(H4),IF(IF((INDEX(B1:XFD1,((A3)+(1))+(0)))=("store"),(INDEX(B1:XFD1,((A3)+(1))+(1)))=("H"),"false"),B3,H213),H213))</f>
        <v>#VALUE!</v>
      </c>
      <c r="I213" t="e">
        <f ca="1">IF((A1)=(2),"",IF((209)=(I4),IF(IF((INDEX(B1:XFD1,((A3)+(1))+(0)))=("store"),(INDEX(B1:XFD1,((A3)+(1))+(1)))=("I"),"false"),B3,I213),I213))</f>
        <v>#VALUE!</v>
      </c>
      <c r="J213" t="e">
        <f ca="1">IF((A1)=(2),"",IF((209)=(J4),IF(IF((INDEX(B1:XFD1,((A3)+(1))+(0)))=("store"),(INDEX(B1:XFD1,((A3)+(1))+(1)))=("J"),"false"),B3,J213),J213))</f>
        <v>#VALUE!</v>
      </c>
      <c r="K213" t="e">
        <f ca="1">IF((A1)=(2),"",IF((209)=(K4),IF(IF((INDEX(B1:XFD1,((A3)+(1))+(0)))=("store"),(INDEX(B1:XFD1,((A3)+(1))+(1)))=("K"),"false"),B3,K213),K213))</f>
        <v>#VALUE!</v>
      </c>
      <c r="L213" t="e">
        <f ca="1">IF((A1)=(2),"",IF((209)=(L4),IF(IF((INDEX(B1:XFD1,((A3)+(1))+(0)))=("store"),(INDEX(B1:XFD1,((A3)+(1))+(1)))=("L"),"false"),B3,L213),L213))</f>
        <v>#VALUE!</v>
      </c>
      <c r="M213" t="e">
        <f ca="1">IF((A1)=(2),"",IF((209)=(M4),IF(IF((INDEX(B1:XFD1,((A3)+(1))+(0)))=("store"),(INDEX(B1:XFD1,((A3)+(1))+(1)))=("M"),"false"),B3,M213),M213))</f>
        <v>#VALUE!</v>
      </c>
      <c r="N213" t="e">
        <f ca="1">IF((A1)=(2),"",IF((209)=(N4),IF(IF((INDEX(B1:XFD1,((A3)+(1))+(0)))=("store"),(INDEX(B1:XFD1,((A3)+(1))+(1)))=("N"),"false"),B3,N213),N213))</f>
        <v>#VALUE!</v>
      </c>
      <c r="O213" t="e">
        <f ca="1">IF((A1)=(2),"",IF((209)=(O4),IF(IF((INDEX(B1:XFD1,((A3)+(1))+(0)))=("store"),(INDEX(B1:XFD1,((A3)+(1))+(1)))=("O"),"false"),B3,O213),O213))</f>
        <v>#VALUE!</v>
      </c>
      <c r="P213" t="e">
        <f ca="1">IF((A1)=(2),"",IF((209)=(P4),IF(IF((INDEX(B1:XFD1,((A3)+(1))+(0)))=("store"),(INDEX(B1:XFD1,((A3)+(1))+(1)))=("P"),"false"),B3,P213),P213))</f>
        <v>#VALUE!</v>
      </c>
      <c r="Q213" t="e">
        <f ca="1">IF((A1)=(2),"",IF((209)=(Q4),IF(IF((INDEX(B1:XFD1,((A3)+(1))+(0)))=("store"),(INDEX(B1:XFD1,((A3)+(1))+(1)))=("Q"),"false"),B3,Q213),Q213))</f>
        <v>#VALUE!</v>
      </c>
      <c r="R213" t="e">
        <f ca="1">IF((A1)=(2),"",IF((209)=(R4),IF(IF((INDEX(B1:XFD1,((A3)+(1))+(0)))=("store"),(INDEX(B1:XFD1,((A3)+(1))+(1)))=("R"),"false"),B3,R213),R213))</f>
        <v>#VALUE!</v>
      </c>
      <c r="S213" t="e">
        <f ca="1">IF((A1)=(2),"",IF((209)=(S4),IF(IF((INDEX(B1:XFD1,((A3)+(1))+(0)))=("store"),(INDEX(B1:XFD1,((A3)+(1))+(1)))=("S"),"false"),B3,S213),S213))</f>
        <v>#VALUE!</v>
      </c>
      <c r="T213" t="e">
        <f ca="1">IF((A1)=(2),"",IF((209)=(T4),IF(IF((INDEX(B1:XFD1,((A3)+(1))+(0)))=("store"),(INDEX(B1:XFD1,((A3)+(1))+(1)))=("T"),"false"),B3,T213),T213))</f>
        <v>#VALUE!</v>
      </c>
      <c r="U213" t="e">
        <f ca="1">IF((A1)=(2),"",IF((209)=(U4),IF(IF((INDEX(B1:XFD1,((A3)+(1))+(0)))=("store"),(INDEX(B1:XFD1,((A3)+(1))+(1)))=("U"),"false"),B3,U213),U213))</f>
        <v>#VALUE!</v>
      </c>
      <c r="V213" t="e">
        <f ca="1">IF((A1)=(2),"",IF((209)=(V4),IF(IF((INDEX(B1:XFD1,((A3)+(1))+(0)))=("store"),(INDEX(B1:XFD1,((A3)+(1))+(1)))=("V"),"false"),B3,V213),V213))</f>
        <v>#VALUE!</v>
      </c>
      <c r="W213" t="e">
        <f ca="1">IF((A1)=(2),"",IF((209)=(W4),IF(IF((INDEX(B1:XFD1,((A3)+(1))+(0)))=("store"),(INDEX(B1:XFD1,((A3)+(1))+(1)))=("W"),"false"),B3,W213),W213))</f>
        <v>#VALUE!</v>
      </c>
      <c r="X213" t="e">
        <f ca="1">IF((A1)=(2),"",IF((209)=(X4),IF(IF((INDEX(B1:XFD1,((A3)+(1))+(0)))=("store"),(INDEX(B1:XFD1,((A3)+(1))+(1)))=("X"),"false"),B3,X213),X213))</f>
        <v>#VALUE!</v>
      </c>
      <c r="Y213" t="e">
        <f ca="1">IF((A1)=(2),"",IF((209)=(Y4),IF(IF((INDEX(B1:XFD1,((A3)+(1))+(0)))=("store"),(INDEX(B1:XFD1,((A3)+(1))+(1)))=("Y"),"false"),B3,Y213),Y213))</f>
        <v>#VALUE!</v>
      </c>
      <c r="Z213" t="e">
        <f ca="1">IF((A1)=(2),"",IF((209)=(Z4),IF(IF((INDEX(B1:XFD1,((A3)+(1))+(0)))=("store"),(INDEX(B1:XFD1,((A3)+(1))+(1)))=("Z"),"false"),B3,Z213),Z213))</f>
        <v>#VALUE!</v>
      </c>
      <c r="AA213" t="e">
        <f ca="1">IF((A1)=(2),"",IF((209)=(AA4),IF(IF((INDEX(B1:XFD1,((A3)+(1))+(0)))=("store"),(INDEX(B1:XFD1,((A3)+(1))+(1)))=("AA"),"false"),B3,AA213),AA213))</f>
        <v>#VALUE!</v>
      </c>
      <c r="AB213" t="e">
        <f ca="1">IF((A1)=(2),"",IF((209)=(AB4),IF(IF((INDEX(B1:XFD1,((A3)+(1))+(0)))=("store"),(INDEX(B1:XFD1,((A3)+(1))+(1)))=("AB"),"false"),B3,AB213),AB213))</f>
        <v>#VALUE!</v>
      </c>
      <c r="AC213" t="e">
        <f ca="1">IF((A1)=(2),"",IF((209)=(AC4),IF(IF((INDEX(B1:XFD1,((A3)+(1))+(0)))=("store"),(INDEX(B1:XFD1,((A3)+(1))+(1)))=("AC"),"false"),B3,AC213),AC213))</f>
        <v>#VALUE!</v>
      </c>
      <c r="AD213" t="e">
        <f ca="1">IF((A1)=(2),"",IF((209)=(AD4),IF(IF((INDEX(B1:XFD1,((A3)+(1))+(0)))=("store"),(INDEX(B1:XFD1,((A3)+(1))+(1)))=("AD"),"false"),B3,AD213),AD213))</f>
        <v>#VALUE!</v>
      </c>
    </row>
    <row r="214" spans="1:30" x14ac:dyDescent="0.25">
      <c r="A214" t="e">
        <f ca="1">IF((A1)=(2),"",IF((210)=(A4),IF(("call")=(INDEX(B1:XFD1,((A3)+(1))+(0))),(B3)*(2),IF(("goto")=(INDEX(B1:XFD1,((A3)+(1))+(0))),(INDEX(B1:XFD1,((A3)+(1))+(1)))*(2),IF(("gotoiftrue")=(INDEX(B1:XFD1,((A3)+(1))+(0))),IF(B3,(INDEX(B1:XFD1,((A3)+(1))+(1)))*(2),(A214)+(2)),(A214)+(2)))),A214))</f>
        <v>#VALUE!</v>
      </c>
      <c r="B214" t="e">
        <f ca="1">IF((A1)=(2),"",IF((210)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214)+(1)),IF(("add")=(INDEX(B1:XFD1,((A3)+(1))+(0))),(INDEX(B5:B405,(B4)+(1)))+(B214),IF(("equals")=(INDEX(B1:XFD1,((A3)+(1))+(0))),(INDEX(B5:B405,(B4)+(1)))=(B214),IF(("leq")=(INDEX(B1:XFD1,((A3)+(1))+(0))),(INDEX(B5:B405,(B4)+(1)))&lt;=(B214),IF(("greater")=(INDEX(B1:XFD1,((A3)+(1))+(0))),(INDEX(B5:B405,(B4)+(1)))&gt;(B214),IF(("mod")=(INDEX(B1:XFD1,((A3)+(1))+(0))),MOD(INDEX(B5:B405,(B4)+(1)),B214),B214))))))))),B214))</f>
        <v>#VALUE!</v>
      </c>
      <c r="C214" t="e">
        <f ca="1">IF((A1)=(2),1,IF(AND((INDEX(B1:XFD1,((A3)+(1))+(0)))=("writeheap"),(INDEX(B5:B405,(B4)+(1)))=(209)),INDEX(B5:B405,(B4)+(2)),IF((A1)=(2),"",IF((210)=(C4),C214,C214))))</f>
        <v>#VALUE!</v>
      </c>
      <c r="F214" t="e">
        <f ca="1">IF((A1)=(2),"",IF((210)=(F4),IF(IF((INDEX(B1:XFD1,((A3)+(1))+(0)))=("store"),(INDEX(B1:XFD1,((A3)+(1))+(1)))=("F"),"false"),B3,F214),F214))</f>
        <v>#VALUE!</v>
      </c>
      <c r="G214" t="e">
        <f ca="1">IF((A1)=(2),"",IF((210)=(G4),IF(IF((INDEX(B1:XFD1,((A3)+(1))+(0)))=("store"),(INDEX(B1:XFD1,((A3)+(1))+(1)))=("G"),"false"),B3,G214),G214))</f>
        <v>#VALUE!</v>
      </c>
      <c r="H214" t="e">
        <f ca="1">IF((A1)=(2),"",IF((210)=(H4),IF(IF((INDEX(B1:XFD1,((A3)+(1))+(0)))=("store"),(INDEX(B1:XFD1,((A3)+(1))+(1)))=("H"),"false"),B3,H214),H214))</f>
        <v>#VALUE!</v>
      </c>
      <c r="I214" t="e">
        <f ca="1">IF((A1)=(2),"",IF((210)=(I4),IF(IF((INDEX(B1:XFD1,((A3)+(1))+(0)))=("store"),(INDEX(B1:XFD1,((A3)+(1))+(1)))=("I"),"false"),B3,I214),I214))</f>
        <v>#VALUE!</v>
      </c>
      <c r="J214" t="e">
        <f ca="1">IF((A1)=(2),"",IF((210)=(J4),IF(IF((INDEX(B1:XFD1,((A3)+(1))+(0)))=("store"),(INDEX(B1:XFD1,((A3)+(1))+(1)))=("J"),"false"),B3,J214),J214))</f>
        <v>#VALUE!</v>
      </c>
      <c r="K214" t="e">
        <f ca="1">IF((A1)=(2),"",IF((210)=(K4),IF(IF((INDEX(B1:XFD1,((A3)+(1))+(0)))=("store"),(INDEX(B1:XFD1,((A3)+(1))+(1)))=("K"),"false"),B3,K214),K214))</f>
        <v>#VALUE!</v>
      </c>
      <c r="L214" t="e">
        <f ca="1">IF((A1)=(2),"",IF((210)=(L4),IF(IF((INDEX(B1:XFD1,((A3)+(1))+(0)))=("store"),(INDEX(B1:XFD1,((A3)+(1))+(1)))=("L"),"false"),B3,L214),L214))</f>
        <v>#VALUE!</v>
      </c>
      <c r="M214" t="e">
        <f ca="1">IF((A1)=(2),"",IF((210)=(M4),IF(IF((INDEX(B1:XFD1,((A3)+(1))+(0)))=("store"),(INDEX(B1:XFD1,((A3)+(1))+(1)))=("M"),"false"),B3,M214),M214))</f>
        <v>#VALUE!</v>
      </c>
      <c r="N214" t="e">
        <f ca="1">IF((A1)=(2),"",IF((210)=(N4),IF(IF((INDEX(B1:XFD1,((A3)+(1))+(0)))=("store"),(INDEX(B1:XFD1,((A3)+(1))+(1)))=("N"),"false"),B3,N214),N214))</f>
        <v>#VALUE!</v>
      </c>
      <c r="O214" t="e">
        <f ca="1">IF((A1)=(2),"",IF((210)=(O4),IF(IF((INDEX(B1:XFD1,((A3)+(1))+(0)))=("store"),(INDEX(B1:XFD1,((A3)+(1))+(1)))=("O"),"false"),B3,O214),O214))</f>
        <v>#VALUE!</v>
      </c>
      <c r="P214" t="e">
        <f ca="1">IF((A1)=(2),"",IF((210)=(P4),IF(IF((INDEX(B1:XFD1,((A3)+(1))+(0)))=("store"),(INDEX(B1:XFD1,((A3)+(1))+(1)))=("P"),"false"),B3,P214),P214))</f>
        <v>#VALUE!</v>
      </c>
      <c r="Q214" t="e">
        <f ca="1">IF((A1)=(2),"",IF((210)=(Q4),IF(IF((INDEX(B1:XFD1,((A3)+(1))+(0)))=("store"),(INDEX(B1:XFD1,((A3)+(1))+(1)))=("Q"),"false"),B3,Q214),Q214))</f>
        <v>#VALUE!</v>
      </c>
      <c r="R214" t="e">
        <f ca="1">IF((A1)=(2),"",IF((210)=(R4),IF(IF((INDEX(B1:XFD1,((A3)+(1))+(0)))=("store"),(INDEX(B1:XFD1,((A3)+(1))+(1)))=("R"),"false"),B3,R214),R214))</f>
        <v>#VALUE!</v>
      </c>
      <c r="S214" t="e">
        <f ca="1">IF((A1)=(2),"",IF((210)=(S4),IF(IF((INDEX(B1:XFD1,((A3)+(1))+(0)))=("store"),(INDEX(B1:XFD1,((A3)+(1))+(1)))=("S"),"false"),B3,S214),S214))</f>
        <v>#VALUE!</v>
      </c>
      <c r="T214" t="e">
        <f ca="1">IF((A1)=(2),"",IF((210)=(T4),IF(IF((INDEX(B1:XFD1,((A3)+(1))+(0)))=("store"),(INDEX(B1:XFD1,((A3)+(1))+(1)))=("T"),"false"),B3,T214),T214))</f>
        <v>#VALUE!</v>
      </c>
      <c r="U214" t="e">
        <f ca="1">IF((A1)=(2),"",IF((210)=(U4),IF(IF((INDEX(B1:XFD1,((A3)+(1))+(0)))=("store"),(INDEX(B1:XFD1,((A3)+(1))+(1)))=("U"),"false"),B3,U214),U214))</f>
        <v>#VALUE!</v>
      </c>
      <c r="V214" t="e">
        <f ca="1">IF((A1)=(2),"",IF((210)=(V4),IF(IF((INDEX(B1:XFD1,((A3)+(1))+(0)))=("store"),(INDEX(B1:XFD1,((A3)+(1))+(1)))=("V"),"false"),B3,V214),V214))</f>
        <v>#VALUE!</v>
      </c>
      <c r="W214" t="e">
        <f ca="1">IF((A1)=(2),"",IF((210)=(W4),IF(IF((INDEX(B1:XFD1,((A3)+(1))+(0)))=("store"),(INDEX(B1:XFD1,((A3)+(1))+(1)))=("W"),"false"),B3,W214),W214))</f>
        <v>#VALUE!</v>
      </c>
      <c r="X214" t="e">
        <f ca="1">IF((A1)=(2),"",IF((210)=(X4),IF(IF((INDEX(B1:XFD1,((A3)+(1))+(0)))=("store"),(INDEX(B1:XFD1,((A3)+(1))+(1)))=("X"),"false"),B3,X214),X214))</f>
        <v>#VALUE!</v>
      </c>
      <c r="Y214" t="e">
        <f ca="1">IF((A1)=(2),"",IF((210)=(Y4),IF(IF((INDEX(B1:XFD1,((A3)+(1))+(0)))=("store"),(INDEX(B1:XFD1,((A3)+(1))+(1)))=("Y"),"false"),B3,Y214),Y214))</f>
        <v>#VALUE!</v>
      </c>
      <c r="Z214" t="e">
        <f ca="1">IF((A1)=(2),"",IF((210)=(Z4),IF(IF((INDEX(B1:XFD1,((A3)+(1))+(0)))=("store"),(INDEX(B1:XFD1,((A3)+(1))+(1)))=("Z"),"false"),B3,Z214),Z214))</f>
        <v>#VALUE!</v>
      </c>
      <c r="AA214" t="e">
        <f ca="1">IF((A1)=(2),"",IF((210)=(AA4),IF(IF((INDEX(B1:XFD1,((A3)+(1))+(0)))=("store"),(INDEX(B1:XFD1,((A3)+(1))+(1)))=("AA"),"false"),B3,AA214),AA214))</f>
        <v>#VALUE!</v>
      </c>
      <c r="AB214" t="e">
        <f ca="1">IF((A1)=(2),"",IF((210)=(AB4),IF(IF((INDEX(B1:XFD1,((A3)+(1))+(0)))=("store"),(INDEX(B1:XFD1,((A3)+(1))+(1)))=("AB"),"false"),B3,AB214),AB214))</f>
        <v>#VALUE!</v>
      </c>
      <c r="AC214" t="e">
        <f ca="1">IF((A1)=(2),"",IF((210)=(AC4),IF(IF((INDEX(B1:XFD1,((A3)+(1))+(0)))=("store"),(INDEX(B1:XFD1,((A3)+(1))+(1)))=("AC"),"false"),B3,AC214),AC214))</f>
        <v>#VALUE!</v>
      </c>
      <c r="AD214" t="e">
        <f ca="1">IF((A1)=(2),"",IF((210)=(AD4),IF(IF((INDEX(B1:XFD1,((A3)+(1))+(0)))=("store"),(INDEX(B1:XFD1,((A3)+(1))+(1)))=("AD"),"false"),B3,AD214),AD214))</f>
        <v>#VALUE!</v>
      </c>
    </row>
    <row r="215" spans="1:30" x14ac:dyDescent="0.25">
      <c r="A215" t="e">
        <f ca="1">IF((A1)=(2),"",IF((211)=(A4),IF(("call")=(INDEX(B1:XFD1,((A3)+(1))+(0))),(B3)*(2),IF(("goto")=(INDEX(B1:XFD1,((A3)+(1))+(0))),(INDEX(B1:XFD1,((A3)+(1))+(1)))*(2),IF(("gotoiftrue")=(INDEX(B1:XFD1,((A3)+(1))+(0))),IF(B3,(INDEX(B1:XFD1,((A3)+(1))+(1)))*(2),(A215)+(2)),(A215)+(2)))),A215))</f>
        <v>#VALUE!</v>
      </c>
      <c r="B215" t="e">
        <f ca="1">IF((A1)=(2),"",IF((211)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215)+(1)),IF(("add")=(INDEX(B1:XFD1,((A3)+(1))+(0))),(INDEX(B5:B405,(B4)+(1)))+(B215),IF(("equals")=(INDEX(B1:XFD1,((A3)+(1))+(0))),(INDEX(B5:B405,(B4)+(1)))=(B215),IF(("leq")=(INDEX(B1:XFD1,((A3)+(1))+(0))),(INDEX(B5:B405,(B4)+(1)))&lt;=(B215),IF(("greater")=(INDEX(B1:XFD1,((A3)+(1))+(0))),(INDEX(B5:B405,(B4)+(1)))&gt;(B215),IF(("mod")=(INDEX(B1:XFD1,((A3)+(1))+(0))),MOD(INDEX(B5:B405,(B4)+(1)),B215),B215))))))))),B215))</f>
        <v>#VALUE!</v>
      </c>
      <c r="C215" t="e">
        <f ca="1">IF((A1)=(2),1,IF(AND((INDEX(B1:XFD1,((A3)+(1))+(0)))=("writeheap"),(INDEX(B5:B405,(B4)+(1)))=(210)),INDEX(B5:B405,(B4)+(2)),IF((A1)=(2),"",IF((211)=(C4),C215,C215))))</f>
        <v>#VALUE!</v>
      </c>
      <c r="F215" t="e">
        <f ca="1">IF((A1)=(2),"",IF((211)=(F4),IF(IF((INDEX(B1:XFD1,((A3)+(1))+(0)))=("store"),(INDEX(B1:XFD1,((A3)+(1))+(1)))=("F"),"false"),B3,F215),F215))</f>
        <v>#VALUE!</v>
      </c>
      <c r="G215" t="e">
        <f ca="1">IF((A1)=(2),"",IF((211)=(G4),IF(IF((INDEX(B1:XFD1,((A3)+(1))+(0)))=("store"),(INDEX(B1:XFD1,((A3)+(1))+(1)))=("G"),"false"),B3,G215),G215))</f>
        <v>#VALUE!</v>
      </c>
      <c r="H215" t="e">
        <f ca="1">IF((A1)=(2),"",IF((211)=(H4),IF(IF((INDEX(B1:XFD1,((A3)+(1))+(0)))=("store"),(INDEX(B1:XFD1,((A3)+(1))+(1)))=("H"),"false"),B3,H215),H215))</f>
        <v>#VALUE!</v>
      </c>
      <c r="I215" t="e">
        <f ca="1">IF((A1)=(2),"",IF((211)=(I4),IF(IF((INDEX(B1:XFD1,((A3)+(1))+(0)))=("store"),(INDEX(B1:XFD1,((A3)+(1))+(1)))=("I"),"false"),B3,I215),I215))</f>
        <v>#VALUE!</v>
      </c>
      <c r="J215" t="e">
        <f ca="1">IF((A1)=(2),"",IF((211)=(J4),IF(IF((INDEX(B1:XFD1,((A3)+(1))+(0)))=("store"),(INDEX(B1:XFD1,((A3)+(1))+(1)))=("J"),"false"),B3,J215),J215))</f>
        <v>#VALUE!</v>
      </c>
      <c r="K215" t="e">
        <f ca="1">IF((A1)=(2),"",IF((211)=(K4),IF(IF((INDEX(B1:XFD1,((A3)+(1))+(0)))=("store"),(INDEX(B1:XFD1,((A3)+(1))+(1)))=("K"),"false"),B3,K215),K215))</f>
        <v>#VALUE!</v>
      </c>
      <c r="L215" t="e">
        <f ca="1">IF((A1)=(2),"",IF((211)=(L4),IF(IF((INDEX(B1:XFD1,((A3)+(1))+(0)))=("store"),(INDEX(B1:XFD1,((A3)+(1))+(1)))=("L"),"false"),B3,L215),L215))</f>
        <v>#VALUE!</v>
      </c>
      <c r="M215" t="e">
        <f ca="1">IF((A1)=(2),"",IF((211)=(M4),IF(IF((INDEX(B1:XFD1,((A3)+(1))+(0)))=("store"),(INDEX(B1:XFD1,((A3)+(1))+(1)))=("M"),"false"),B3,M215),M215))</f>
        <v>#VALUE!</v>
      </c>
      <c r="N215" t="e">
        <f ca="1">IF((A1)=(2),"",IF((211)=(N4),IF(IF((INDEX(B1:XFD1,((A3)+(1))+(0)))=("store"),(INDEX(B1:XFD1,((A3)+(1))+(1)))=("N"),"false"),B3,N215),N215))</f>
        <v>#VALUE!</v>
      </c>
      <c r="O215" t="e">
        <f ca="1">IF((A1)=(2),"",IF((211)=(O4),IF(IF((INDEX(B1:XFD1,((A3)+(1))+(0)))=("store"),(INDEX(B1:XFD1,((A3)+(1))+(1)))=("O"),"false"),B3,O215),O215))</f>
        <v>#VALUE!</v>
      </c>
      <c r="P215" t="e">
        <f ca="1">IF((A1)=(2),"",IF((211)=(P4),IF(IF((INDEX(B1:XFD1,((A3)+(1))+(0)))=("store"),(INDEX(B1:XFD1,((A3)+(1))+(1)))=("P"),"false"),B3,P215),P215))</f>
        <v>#VALUE!</v>
      </c>
      <c r="Q215" t="e">
        <f ca="1">IF((A1)=(2),"",IF((211)=(Q4),IF(IF((INDEX(B1:XFD1,((A3)+(1))+(0)))=("store"),(INDEX(B1:XFD1,((A3)+(1))+(1)))=("Q"),"false"),B3,Q215),Q215))</f>
        <v>#VALUE!</v>
      </c>
      <c r="R215" t="e">
        <f ca="1">IF((A1)=(2),"",IF((211)=(R4),IF(IF((INDEX(B1:XFD1,((A3)+(1))+(0)))=("store"),(INDEX(B1:XFD1,((A3)+(1))+(1)))=("R"),"false"),B3,R215),R215))</f>
        <v>#VALUE!</v>
      </c>
      <c r="S215" t="e">
        <f ca="1">IF((A1)=(2),"",IF((211)=(S4),IF(IF((INDEX(B1:XFD1,((A3)+(1))+(0)))=("store"),(INDEX(B1:XFD1,((A3)+(1))+(1)))=("S"),"false"),B3,S215),S215))</f>
        <v>#VALUE!</v>
      </c>
      <c r="T215" t="e">
        <f ca="1">IF((A1)=(2),"",IF((211)=(T4),IF(IF((INDEX(B1:XFD1,((A3)+(1))+(0)))=("store"),(INDEX(B1:XFD1,((A3)+(1))+(1)))=("T"),"false"),B3,T215),T215))</f>
        <v>#VALUE!</v>
      </c>
      <c r="U215" t="e">
        <f ca="1">IF((A1)=(2),"",IF((211)=(U4),IF(IF((INDEX(B1:XFD1,((A3)+(1))+(0)))=("store"),(INDEX(B1:XFD1,((A3)+(1))+(1)))=("U"),"false"),B3,U215),U215))</f>
        <v>#VALUE!</v>
      </c>
      <c r="V215" t="e">
        <f ca="1">IF((A1)=(2),"",IF((211)=(V4),IF(IF((INDEX(B1:XFD1,((A3)+(1))+(0)))=("store"),(INDEX(B1:XFD1,((A3)+(1))+(1)))=("V"),"false"),B3,V215),V215))</f>
        <v>#VALUE!</v>
      </c>
      <c r="W215" t="e">
        <f ca="1">IF((A1)=(2),"",IF((211)=(W4),IF(IF((INDEX(B1:XFD1,((A3)+(1))+(0)))=("store"),(INDEX(B1:XFD1,((A3)+(1))+(1)))=("W"),"false"),B3,W215),W215))</f>
        <v>#VALUE!</v>
      </c>
      <c r="X215" t="e">
        <f ca="1">IF((A1)=(2),"",IF((211)=(X4),IF(IF((INDEX(B1:XFD1,((A3)+(1))+(0)))=("store"),(INDEX(B1:XFD1,((A3)+(1))+(1)))=("X"),"false"),B3,X215),X215))</f>
        <v>#VALUE!</v>
      </c>
      <c r="Y215" t="e">
        <f ca="1">IF((A1)=(2),"",IF((211)=(Y4),IF(IF((INDEX(B1:XFD1,((A3)+(1))+(0)))=("store"),(INDEX(B1:XFD1,((A3)+(1))+(1)))=("Y"),"false"),B3,Y215),Y215))</f>
        <v>#VALUE!</v>
      </c>
      <c r="Z215" t="e">
        <f ca="1">IF((A1)=(2),"",IF((211)=(Z4),IF(IF((INDEX(B1:XFD1,((A3)+(1))+(0)))=("store"),(INDEX(B1:XFD1,((A3)+(1))+(1)))=("Z"),"false"),B3,Z215),Z215))</f>
        <v>#VALUE!</v>
      </c>
      <c r="AA215" t="e">
        <f ca="1">IF((A1)=(2),"",IF((211)=(AA4),IF(IF((INDEX(B1:XFD1,((A3)+(1))+(0)))=("store"),(INDEX(B1:XFD1,((A3)+(1))+(1)))=("AA"),"false"),B3,AA215),AA215))</f>
        <v>#VALUE!</v>
      </c>
      <c r="AB215" t="e">
        <f ca="1">IF((A1)=(2),"",IF((211)=(AB4),IF(IF((INDEX(B1:XFD1,((A3)+(1))+(0)))=("store"),(INDEX(B1:XFD1,((A3)+(1))+(1)))=("AB"),"false"),B3,AB215),AB215))</f>
        <v>#VALUE!</v>
      </c>
      <c r="AC215" t="e">
        <f ca="1">IF((A1)=(2),"",IF((211)=(AC4),IF(IF((INDEX(B1:XFD1,((A3)+(1))+(0)))=("store"),(INDEX(B1:XFD1,((A3)+(1))+(1)))=("AC"),"false"),B3,AC215),AC215))</f>
        <v>#VALUE!</v>
      </c>
      <c r="AD215" t="e">
        <f ca="1">IF((A1)=(2),"",IF((211)=(AD4),IF(IF((INDEX(B1:XFD1,((A3)+(1))+(0)))=("store"),(INDEX(B1:XFD1,((A3)+(1))+(1)))=("AD"),"false"),B3,AD215),AD215))</f>
        <v>#VALUE!</v>
      </c>
    </row>
    <row r="216" spans="1:30" x14ac:dyDescent="0.25">
      <c r="A216" t="e">
        <f ca="1">IF((A1)=(2),"",IF((212)=(A4),IF(("call")=(INDEX(B1:XFD1,((A3)+(1))+(0))),(B3)*(2),IF(("goto")=(INDEX(B1:XFD1,((A3)+(1))+(0))),(INDEX(B1:XFD1,((A3)+(1))+(1)))*(2),IF(("gotoiftrue")=(INDEX(B1:XFD1,((A3)+(1))+(0))),IF(B3,(INDEX(B1:XFD1,((A3)+(1))+(1)))*(2),(A216)+(2)),(A216)+(2)))),A216))</f>
        <v>#VALUE!</v>
      </c>
      <c r="B216" t="e">
        <f ca="1">IF((A1)=(2),"",IF((212)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216)+(1)),IF(("add")=(INDEX(B1:XFD1,((A3)+(1))+(0))),(INDEX(B5:B405,(B4)+(1)))+(B216),IF(("equals")=(INDEX(B1:XFD1,((A3)+(1))+(0))),(INDEX(B5:B405,(B4)+(1)))=(B216),IF(("leq")=(INDEX(B1:XFD1,((A3)+(1))+(0))),(INDEX(B5:B405,(B4)+(1)))&lt;=(B216),IF(("greater")=(INDEX(B1:XFD1,((A3)+(1))+(0))),(INDEX(B5:B405,(B4)+(1)))&gt;(B216),IF(("mod")=(INDEX(B1:XFD1,((A3)+(1))+(0))),MOD(INDEX(B5:B405,(B4)+(1)),B216),B216))))))))),B216))</f>
        <v>#VALUE!</v>
      </c>
      <c r="C216" t="e">
        <f ca="1">IF((A1)=(2),1,IF(AND((INDEX(B1:XFD1,((A3)+(1))+(0)))=("writeheap"),(INDEX(B5:B405,(B4)+(1)))=(211)),INDEX(B5:B405,(B4)+(2)),IF((A1)=(2),"",IF((212)=(C4),C216,C216))))</f>
        <v>#VALUE!</v>
      </c>
      <c r="F216" t="e">
        <f ca="1">IF((A1)=(2),"",IF((212)=(F4),IF(IF((INDEX(B1:XFD1,((A3)+(1))+(0)))=("store"),(INDEX(B1:XFD1,((A3)+(1))+(1)))=("F"),"false"),B3,F216),F216))</f>
        <v>#VALUE!</v>
      </c>
      <c r="G216" t="e">
        <f ca="1">IF((A1)=(2),"",IF((212)=(G4),IF(IF((INDEX(B1:XFD1,((A3)+(1))+(0)))=("store"),(INDEX(B1:XFD1,((A3)+(1))+(1)))=("G"),"false"),B3,G216),G216))</f>
        <v>#VALUE!</v>
      </c>
      <c r="H216" t="e">
        <f ca="1">IF((A1)=(2),"",IF((212)=(H4),IF(IF((INDEX(B1:XFD1,((A3)+(1))+(0)))=("store"),(INDEX(B1:XFD1,((A3)+(1))+(1)))=("H"),"false"),B3,H216),H216))</f>
        <v>#VALUE!</v>
      </c>
      <c r="I216" t="e">
        <f ca="1">IF((A1)=(2),"",IF((212)=(I4),IF(IF((INDEX(B1:XFD1,((A3)+(1))+(0)))=("store"),(INDEX(B1:XFD1,((A3)+(1))+(1)))=("I"),"false"),B3,I216),I216))</f>
        <v>#VALUE!</v>
      </c>
      <c r="J216" t="e">
        <f ca="1">IF((A1)=(2),"",IF((212)=(J4),IF(IF((INDEX(B1:XFD1,((A3)+(1))+(0)))=("store"),(INDEX(B1:XFD1,((A3)+(1))+(1)))=("J"),"false"),B3,J216),J216))</f>
        <v>#VALUE!</v>
      </c>
      <c r="K216" t="e">
        <f ca="1">IF((A1)=(2),"",IF((212)=(K4),IF(IF((INDEX(B1:XFD1,((A3)+(1))+(0)))=("store"),(INDEX(B1:XFD1,((A3)+(1))+(1)))=("K"),"false"),B3,K216),K216))</f>
        <v>#VALUE!</v>
      </c>
      <c r="L216" t="e">
        <f ca="1">IF((A1)=(2),"",IF((212)=(L4),IF(IF((INDEX(B1:XFD1,((A3)+(1))+(0)))=("store"),(INDEX(B1:XFD1,((A3)+(1))+(1)))=("L"),"false"),B3,L216),L216))</f>
        <v>#VALUE!</v>
      </c>
      <c r="M216" t="e">
        <f ca="1">IF((A1)=(2),"",IF((212)=(M4),IF(IF((INDEX(B1:XFD1,((A3)+(1))+(0)))=("store"),(INDEX(B1:XFD1,((A3)+(1))+(1)))=("M"),"false"),B3,M216),M216))</f>
        <v>#VALUE!</v>
      </c>
      <c r="N216" t="e">
        <f ca="1">IF((A1)=(2),"",IF((212)=(N4),IF(IF((INDEX(B1:XFD1,((A3)+(1))+(0)))=("store"),(INDEX(B1:XFD1,((A3)+(1))+(1)))=("N"),"false"),B3,N216),N216))</f>
        <v>#VALUE!</v>
      </c>
      <c r="O216" t="e">
        <f ca="1">IF((A1)=(2),"",IF((212)=(O4),IF(IF((INDEX(B1:XFD1,((A3)+(1))+(0)))=("store"),(INDEX(B1:XFD1,((A3)+(1))+(1)))=("O"),"false"),B3,O216),O216))</f>
        <v>#VALUE!</v>
      </c>
      <c r="P216" t="e">
        <f ca="1">IF((A1)=(2),"",IF((212)=(P4),IF(IF((INDEX(B1:XFD1,((A3)+(1))+(0)))=("store"),(INDEX(B1:XFD1,((A3)+(1))+(1)))=("P"),"false"),B3,P216),P216))</f>
        <v>#VALUE!</v>
      </c>
      <c r="Q216" t="e">
        <f ca="1">IF((A1)=(2),"",IF((212)=(Q4),IF(IF((INDEX(B1:XFD1,((A3)+(1))+(0)))=("store"),(INDEX(B1:XFD1,((A3)+(1))+(1)))=("Q"),"false"),B3,Q216),Q216))</f>
        <v>#VALUE!</v>
      </c>
      <c r="R216" t="e">
        <f ca="1">IF((A1)=(2),"",IF((212)=(R4),IF(IF((INDEX(B1:XFD1,((A3)+(1))+(0)))=("store"),(INDEX(B1:XFD1,((A3)+(1))+(1)))=("R"),"false"),B3,R216),R216))</f>
        <v>#VALUE!</v>
      </c>
      <c r="S216" t="e">
        <f ca="1">IF((A1)=(2),"",IF((212)=(S4),IF(IF((INDEX(B1:XFD1,((A3)+(1))+(0)))=("store"),(INDEX(B1:XFD1,((A3)+(1))+(1)))=("S"),"false"),B3,S216),S216))</f>
        <v>#VALUE!</v>
      </c>
      <c r="T216" t="e">
        <f ca="1">IF((A1)=(2),"",IF((212)=(T4),IF(IF((INDEX(B1:XFD1,((A3)+(1))+(0)))=("store"),(INDEX(B1:XFD1,((A3)+(1))+(1)))=("T"),"false"),B3,T216),T216))</f>
        <v>#VALUE!</v>
      </c>
      <c r="U216" t="e">
        <f ca="1">IF((A1)=(2),"",IF((212)=(U4),IF(IF((INDEX(B1:XFD1,((A3)+(1))+(0)))=("store"),(INDEX(B1:XFD1,((A3)+(1))+(1)))=("U"),"false"),B3,U216),U216))</f>
        <v>#VALUE!</v>
      </c>
      <c r="V216" t="e">
        <f ca="1">IF((A1)=(2),"",IF((212)=(V4),IF(IF((INDEX(B1:XFD1,((A3)+(1))+(0)))=("store"),(INDEX(B1:XFD1,((A3)+(1))+(1)))=("V"),"false"),B3,V216),V216))</f>
        <v>#VALUE!</v>
      </c>
      <c r="W216" t="e">
        <f ca="1">IF((A1)=(2),"",IF((212)=(W4),IF(IF((INDEX(B1:XFD1,((A3)+(1))+(0)))=("store"),(INDEX(B1:XFD1,((A3)+(1))+(1)))=("W"),"false"),B3,W216),W216))</f>
        <v>#VALUE!</v>
      </c>
      <c r="X216" t="e">
        <f ca="1">IF((A1)=(2),"",IF((212)=(X4),IF(IF((INDEX(B1:XFD1,((A3)+(1))+(0)))=("store"),(INDEX(B1:XFD1,((A3)+(1))+(1)))=("X"),"false"),B3,X216),X216))</f>
        <v>#VALUE!</v>
      </c>
      <c r="Y216" t="e">
        <f ca="1">IF((A1)=(2),"",IF((212)=(Y4),IF(IF((INDEX(B1:XFD1,((A3)+(1))+(0)))=("store"),(INDEX(B1:XFD1,((A3)+(1))+(1)))=("Y"),"false"),B3,Y216),Y216))</f>
        <v>#VALUE!</v>
      </c>
      <c r="Z216" t="e">
        <f ca="1">IF((A1)=(2),"",IF((212)=(Z4),IF(IF((INDEX(B1:XFD1,((A3)+(1))+(0)))=("store"),(INDEX(B1:XFD1,((A3)+(1))+(1)))=("Z"),"false"),B3,Z216),Z216))</f>
        <v>#VALUE!</v>
      </c>
      <c r="AA216" t="e">
        <f ca="1">IF((A1)=(2),"",IF((212)=(AA4),IF(IF((INDEX(B1:XFD1,((A3)+(1))+(0)))=("store"),(INDEX(B1:XFD1,((A3)+(1))+(1)))=("AA"),"false"),B3,AA216),AA216))</f>
        <v>#VALUE!</v>
      </c>
      <c r="AB216" t="e">
        <f ca="1">IF((A1)=(2),"",IF((212)=(AB4),IF(IF((INDEX(B1:XFD1,((A3)+(1))+(0)))=("store"),(INDEX(B1:XFD1,((A3)+(1))+(1)))=("AB"),"false"),B3,AB216),AB216))</f>
        <v>#VALUE!</v>
      </c>
      <c r="AC216" t="e">
        <f ca="1">IF((A1)=(2),"",IF((212)=(AC4),IF(IF((INDEX(B1:XFD1,((A3)+(1))+(0)))=("store"),(INDEX(B1:XFD1,((A3)+(1))+(1)))=("AC"),"false"),B3,AC216),AC216))</f>
        <v>#VALUE!</v>
      </c>
      <c r="AD216" t="e">
        <f ca="1">IF((A1)=(2),"",IF((212)=(AD4),IF(IF((INDEX(B1:XFD1,((A3)+(1))+(0)))=("store"),(INDEX(B1:XFD1,((A3)+(1))+(1)))=("AD"),"false"),B3,AD216),AD216))</f>
        <v>#VALUE!</v>
      </c>
    </row>
    <row r="217" spans="1:30" x14ac:dyDescent="0.25">
      <c r="A217" t="e">
        <f ca="1">IF((A1)=(2),"",IF((213)=(A4),IF(("call")=(INDEX(B1:XFD1,((A3)+(1))+(0))),(B3)*(2),IF(("goto")=(INDEX(B1:XFD1,((A3)+(1))+(0))),(INDEX(B1:XFD1,((A3)+(1))+(1)))*(2),IF(("gotoiftrue")=(INDEX(B1:XFD1,((A3)+(1))+(0))),IF(B3,(INDEX(B1:XFD1,((A3)+(1))+(1)))*(2),(A217)+(2)),(A217)+(2)))),A217))</f>
        <v>#VALUE!</v>
      </c>
      <c r="B217" t="e">
        <f ca="1">IF((A1)=(2),"",IF((213)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217)+(1)),IF(("add")=(INDEX(B1:XFD1,((A3)+(1))+(0))),(INDEX(B5:B405,(B4)+(1)))+(B217),IF(("equals")=(INDEX(B1:XFD1,((A3)+(1))+(0))),(INDEX(B5:B405,(B4)+(1)))=(B217),IF(("leq")=(INDEX(B1:XFD1,((A3)+(1))+(0))),(INDEX(B5:B405,(B4)+(1)))&lt;=(B217),IF(("greater")=(INDEX(B1:XFD1,((A3)+(1))+(0))),(INDEX(B5:B405,(B4)+(1)))&gt;(B217),IF(("mod")=(INDEX(B1:XFD1,((A3)+(1))+(0))),MOD(INDEX(B5:B405,(B4)+(1)),B217),B217))))))))),B217))</f>
        <v>#VALUE!</v>
      </c>
      <c r="C217" t="e">
        <f ca="1">IF((A1)=(2),1,IF(AND((INDEX(B1:XFD1,((A3)+(1))+(0)))=("writeheap"),(INDEX(B5:B405,(B4)+(1)))=(212)),INDEX(B5:B405,(B4)+(2)),IF((A1)=(2),"",IF((213)=(C4),C217,C217))))</f>
        <v>#VALUE!</v>
      </c>
      <c r="F217" t="e">
        <f ca="1">IF((A1)=(2),"",IF((213)=(F4),IF(IF((INDEX(B1:XFD1,((A3)+(1))+(0)))=("store"),(INDEX(B1:XFD1,((A3)+(1))+(1)))=("F"),"false"),B3,F217),F217))</f>
        <v>#VALUE!</v>
      </c>
      <c r="G217" t="e">
        <f ca="1">IF((A1)=(2),"",IF((213)=(G4),IF(IF((INDEX(B1:XFD1,((A3)+(1))+(0)))=("store"),(INDEX(B1:XFD1,((A3)+(1))+(1)))=("G"),"false"),B3,G217),G217))</f>
        <v>#VALUE!</v>
      </c>
      <c r="H217" t="e">
        <f ca="1">IF((A1)=(2),"",IF((213)=(H4),IF(IF((INDEX(B1:XFD1,((A3)+(1))+(0)))=("store"),(INDEX(B1:XFD1,((A3)+(1))+(1)))=("H"),"false"),B3,H217),H217))</f>
        <v>#VALUE!</v>
      </c>
      <c r="I217" t="e">
        <f ca="1">IF((A1)=(2),"",IF((213)=(I4),IF(IF((INDEX(B1:XFD1,((A3)+(1))+(0)))=("store"),(INDEX(B1:XFD1,((A3)+(1))+(1)))=("I"),"false"),B3,I217),I217))</f>
        <v>#VALUE!</v>
      </c>
      <c r="J217" t="e">
        <f ca="1">IF((A1)=(2),"",IF((213)=(J4),IF(IF((INDEX(B1:XFD1,((A3)+(1))+(0)))=("store"),(INDEX(B1:XFD1,((A3)+(1))+(1)))=("J"),"false"),B3,J217),J217))</f>
        <v>#VALUE!</v>
      </c>
      <c r="K217" t="e">
        <f ca="1">IF((A1)=(2),"",IF((213)=(K4),IF(IF((INDEX(B1:XFD1,((A3)+(1))+(0)))=("store"),(INDEX(B1:XFD1,((A3)+(1))+(1)))=("K"),"false"),B3,K217),K217))</f>
        <v>#VALUE!</v>
      </c>
      <c r="L217" t="e">
        <f ca="1">IF((A1)=(2),"",IF((213)=(L4),IF(IF((INDEX(B1:XFD1,((A3)+(1))+(0)))=("store"),(INDEX(B1:XFD1,((A3)+(1))+(1)))=("L"),"false"),B3,L217),L217))</f>
        <v>#VALUE!</v>
      </c>
      <c r="M217" t="e">
        <f ca="1">IF((A1)=(2),"",IF((213)=(M4),IF(IF((INDEX(B1:XFD1,((A3)+(1))+(0)))=("store"),(INDEX(B1:XFD1,((A3)+(1))+(1)))=("M"),"false"),B3,M217),M217))</f>
        <v>#VALUE!</v>
      </c>
      <c r="N217" t="e">
        <f ca="1">IF((A1)=(2),"",IF((213)=(N4),IF(IF((INDEX(B1:XFD1,((A3)+(1))+(0)))=("store"),(INDEX(B1:XFD1,((A3)+(1))+(1)))=("N"),"false"),B3,N217),N217))</f>
        <v>#VALUE!</v>
      </c>
      <c r="O217" t="e">
        <f ca="1">IF((A1)=(2),"",IF((213)=(O4),IF(IF((INDEX(B1:XFD1,((A3)+(1))+(0)))=("store"),(INDEX(B1:XFD1,((A3)+(1))+(1)))=("O"),"false"),B3,O217),O217))</f>
        <v>#VALUE!</v>
      </c>
      <c r="P217" t="e">
        <f ca="1">IF((A1)=(2),"",IF((213)=(P4),IF(IF((INDEX(B1:XFD1,((A3)+(1))+(0)))=("store"),(INDEX(B1:XFD1,((A3)+(1))+(1)))=("P"),"false"),B3,P217),P217))</f>
        <v>#VALUE!</v>
      </c>
      <c r="Q217" t="e">
        <f ca="1">IF((A1)=(2),"",IF((213)=(Q4),IF(IF((INDEX(B1:XFD1,((A3)+(1))+(0)))=("store"),(INDEX(B1:XFD1,((A3)+(1))+(1)))=("Q"),"false"),B3,Q217),Q217))</f>
        <v>#VALUE!</v>
      </c>
      <c r="R217" t="e">
        <f ca="1">IF((A1)=(2),"",IF((213)=(R4),IF(IF((INDEX(B1:XFD1,((A3)+(1))+(0)))=("store"),(INDEX(B1:XFD1,((A3)+(1))+(1)))=("R"),"false"),B3,R217),R217))</f>
        <v>#VALUE!</v>
      </c>
      <c r="S217" t="e">
        <f ca="1">IF((A1)=(2),"",IF((213)=(S4),IF(IF((INDEX(B1:XFD1,((A3)+(1))+(0)))=("store"),(INDEX(B1:XFD1,((A3)+(1))+(1)))=("S"),"false"),B3,S217),S217))</f>
        <v>#VALUE!</v>
      </c>
      <c r="T217" t="e">
        <f ca="1">IF((A1)=(2),"",IF((213)=(T4),IF(IF((INDEX(B1:XFD1,((A3)+(1))+(0)))=("store"),(INDEX(B1:XFD1,((A3)+(1))+(1)))=("T"),"false"),B3,T217),T217))</f>
        <v>#VALUE!</v>
      </c>
      <c r="U217" t="e">
        <f ca="1">IF((A1)=(2),"",IF((213)=(U4),IF(IF((INDEX(B1:XFD1,((A3)+(1))+(0)))=("store"),(INDEX(B1:XFD1,((A3)+(1))+(1)))=("U"),"false"),B3,U217),U217))</f>
        <v>#VALUE!</v>
      </c>
      <c r="V217" t="e">
        <f ca="1">IF((A1)=(2),"",IF((213)=(V4),IF(IF((INDEX(B1:XFD1,((A3)+(1))+(0)))=("store"),(INDEX(B1:XFD1,((A3)+(1))+(1)))=("V"),"false"),B3,V217),V217))</f>
        <v>#VALUE!</v>
      </c>
      <c r="W217" t="e">
        <f ca="1">IF((A1)=(2),"",IF((213)=(W4),IF(IF((INDEX(B1:XFD1,((A3)+(1))+(0)))=("store"),(INDEX(B1:XFD1,((A3)+(1))+(1)))=("W"),"false"),B3,W217),W217))</f>
        <v>#VALUE!</v>
      </c>
      <c r="X217" t="e">
        <f ca="1">IF((A1)=(2),"",IF((213)=(X4),IF(IF((INDEX(B1:XFD1,((A3)+(1))+(0)))=("store"),(INDEX(B1:XFD1,((A3)+(1))+(1)))=("X"),"false"),B3,X217),X217))</f>
        <v>#VALUE!</v>
      </c>
      <c r="Y217" t="e">
        <f ca="1">IF((A1)=(2),"",IF((213)=(Y4),IF(IF((INDEX(B1:XFD1,((A3)+(1))+(0)))=("store"),(INDEX(B1:XFD1,((A3)+(1))+(1)))=("Y"),"false"),B3,Y217),Y217))</f>
        <v>#VALUE!</v>
      </c>
      <c r="Z217" t="e">
        <f ca="1">IF((A1)=(2),"",IF((213)=(Z4),IF(IF((INDEX(B1:XFD1,((A3)+(1))+(0)))=("store"),(INDEX(B1:XFD1,((A3)+(1))+(1)))=("Z"),"false"),B3,Z217),Z217))</f>
        <v>#VALUE!</v>
      </c>
      <c r="AA217" t="e">
        <f ca="1">IF((A1)=(2),"",IF((213)=(AA4),IF(IF((INDEX(B1:XFD1,((A3)+(1))+(0)))=("store"),(INDEX(B1:XFD1,((A3)+(1))+(1)))=("AA"),"false"),B3,AA217),AA217))</f>
        <v>#VALUE!</v>
      </c>
      <c r="AB217" t="e">
        <f ca="1">IF((A1)=(2),"",IF((213)=(AB4),IF(IF((INDEX(B1:XFD1,((A3)+(1))+(0)))=("store"),(INDEX(B1:XFD1,((A3)+(1))+(1)))=("AB"),"false"),B3,AB217),AB217))</f>
        <v>#VALUE!</v>
      </c>
      <c r="AC217" t="e">
        <f ca="1">IF((A1)=(2),"",IF((213)=(AC4),IF(IF((INDEX(B1:XFD1,((A3)+(1))+(0)))=("store"),(INDEX(B1:XFD1,((A3)+(1))+(1)))=("AC"),"false"),B3,AC217),AC217))</f>
        <v>#VALUE!</v>
      </c>
      <c r="AD217" t="e">
        <f ca="1">IF((A1)=(2),"",IF((213)=(AD4),IF(IF((INDEX(B1:XFD1,((A3)+(1))+(0)))=("store"),(INDEX(B1:XFD1,((A3)+(1))+(1)))=("AD"),"false"),B3,AD217),AD217))</f>
        <v>#VALUE!</v>
      </c>
    </row>
    <row r="218" spans="1:30" x14ac:dyDescent="0.25">
      <c r="A218" t="e">
        <f ca="1">IF((A1)=(2),"",IF((214)=(A4),IF(("call")=(INDEX(B1:XFD1,((A3)+(1))+(0))),(B3)*(2),IF(("goto")=(INDEX(B1:XFD1,((A3)+(1))+(0))),(INDEX(B1:XFD1,((A3)+(1))+(1)))*(2),IF(("gotoiftrue")=(INDEX(B1:XFD1,((A3)+(1))+(0))),IF(B3,(INDEX(B1:XFD1,((A3)+(1))+(1)))*(2),(A218)+(2)),(A218)+(2)))),A218))</f>
        <v>#VALUE!</v>
      </c>
      <c r="B218" t="e">
        <f ca="1">IF((A1)=(2),"",IF((214)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218)+(1)),IF(("add")=(INDEX(B1:XFD1,((A3)+(1))+(0))),(INDEX(B5:B405,(B4)+(1)))+(B218),IF(("equals")=(INDEX(B1:XFD1,((A3)+(1))+(0))),(INDEX(B5:B405,(B4)+(1)))=(B218),IF(("leq")=(INDEX(B1:XFD1,((A3)+(1))+(0))),(INDEX(B5:B405,(B4)+(1)))&lt;=(B218),IF(("greater")=(INDEX(B1:XFD1,((A3)+(1))+(0))),(INDEX(B5:B405,(B4)+(1)))&gt;(B218),IF(("mod")=(INDEX(B1:XFD1,((A3)+(1))+(0))),MOD(INDEX(B5:B405,(B4)+(1)),B218),B218))))))))),B218))</f>
        <v>#VALUE!</v>
      </c>
      <c r="C218" t="e">
        <f ca="1">IF((A1)=(2),1,IF(AND((INDEX(B1:XFD1,((A3)+(1))+(0)))=("writeheap"),(INDEX(B5:B405,(B4)+(1)))=(213)),INDEX(B5:B405,(B4)+(2)),IF((A1)=(2),"",IF((214)=(C4),C218,C218))))</f>
        <v>#VALUE!</v>
      </c>
      <c r="F218" t="e">
        <f ca="1">IF((A1)=(2),"",IF((214)=(F4),IF(IF((INDEX(B1:XFD1,((A3)+(1))+(0)))=("store"),(INDEX(B1:XFD1,((A3)+(1))+(1)))=("F"),"false"),B3,F218),F218))</f>
        <v>#VALUE!</v>
      </c>
      <c r="G218" t="e">
        <f ca="1">IF((A1)=(2),"",IF((214)=(G4),IF(IF((INDEX(B1:XFD1,((A3)+(1))+(0)))=("store"),(INDEX(B1:XFD1,((A3)+(1))+(1)))=("G"),"false"),B3,G218),G218))</f>
        <v>#VALUE!</v>
      </c>
      <c r="H218" t="e">
        <f ca="1">IF((A1)=(2),"",IF((214)=(H4),IF(IF((INDEX(B1:XFD1,((A3)+(1))+(0)))=("store"),(INDEX(B1:XFD1,((A3)+(1))+(1)))=("H"),"false"),B3,H218),H218))</f>
        <v>#VALUE!</v>
      </c>
      <c r="I218" t="e">
        <f ca="1">IF((A1)=(2),"",IF((214)=(I4),IF(IF((INDEX(B1:XFD1,((A3)+(1))+(0)))=("store"),(INDEX(B1:XFD1,((A3)+(1))+(1)))=("I"),"false"),B3,I218),I218))</f>
        <v>#VALUE!</v>
      </c>
      <c r="J218" t="e">
        <f ca="1">IF((A1)=(2),"",IF((214)=(J4),IF(IF((INDEX(B1:XFD1,((A3)+(1))+(0)))=("store"),(INDEX(B1:XFD1,((A3)+(1))+(1)))=("J"),"false"),B3,J218),J218))</f>
        <v>#VALUE!</v>
      </c>
      <c r="K218" t="e">
        <f ca="1">IF((A1)=(2),"",IF((214)=(K4),IF(IF((INDEX(B1:XFD1,((A3)+(1))+(0)))=("store"),(INDEX(B1:XFD1,((A3)+(1))+(1)))=("K"),"false"),B3,K218),K218))</f>
        <v>#VALUE!</v>
      </c>
      <c r="L218" t="e">
        <f ca="1">IF((A1)=(2),"",IF((214)=(L4),IF(IF((INDEX(B1:XFD1,((A3)+(1))+(0)))=("store"),(INDEX(B1:XFD1,((A3)+(1))+(1)))=("L"),"false"),B3,L218),L218))</f>
        <v>#VALUE!</v>
      </c>
      <c r="M218" t="e">
        <f ca="1">IF((A1)=(2),"",IF((214)=(M4),IF(IF((INDEX(B1:XFD1,((A3)+(1))+(0)))=("store"),(INDEX(B1:XFD1,((A3)+(1))+(1)))=("M"),"false"),B3,M218),M218))</f>
        <v>#VALUE!</v>
      </c>
      <c r="N218" t="e">
        <f ca="1">IF((A1)=(2),"",IF((214)=(N4),IF(IF((INDEX(B1:XFD1,((A3)+(1))+(0)))=("store"),(INDEX(B1:XFD1,((A3)+(1))+(1)))=("N"),"false"),B3,N218),N218))</f>
        <v>#VALUE!</v>
      </c>
      <c r="O218" t="e">
        <f ca="1">IF((A1)=(2),"",IF((214)=(O4),IF(IF((INDEX(B1:XFD1,((A3)+(1))+(0)))=("store"),(INDEX(B1:XFD1,((A3)+(1))+(1)))=("O"),"false"),B3,O218),O218))</f>
        <v>#VALUE!</v>
      </c>
      <c r="P218" t="e">
        <f ca="1">IF((A1)=(2),"",IF((214)=(P4),IF(IF((INDEX(B1:XFD1,((A3)+(1))+(0)))=("store"),(INDEX(B1:XFD1,((A3)+(1))+(1)))=("P"),"false"),B3,P218),P218))</f>
        <v>#VALUE!</v>
      </c>
      <c r="Q218" t="e">
        <f ca="1">IF((A1)=(2),"",IF((214)=(Q4),IF(IF((INDEX(B1:XFD1,((A3)+(1))+(0)))=("store"),(INDEX(B1:XFD1,((A3)+(1))+(1)))=("Q"),"false"),B3,Q218),Q218))</f>
        <v>#VALUE!</v>
      </c>
      <c r="R218" t="e">
        <f ca="1">IF((A1)=(2),"",IF((214)=(R4),IF(IF((INDEX(B1:XFD1,((A3)+(1))+(0)))=("store"),(INDEX(B1:XFD1,((A3)+(1))+(1)))=("R"),"false"),B3,R218),R218))</f>
        <v>#VALUE!</v>
      </c>
      <c r="S218" t="e">
        <f ca="1">IF((A1)=(2),"",IF((214)=(S4),IF(IF((INDEX(B1:XFD1,((A3)+(1))+(0)))=("store"),(INDEX(B1:XFD1,((A3)+(1))+(1)))=("S"),"false"),B3,S218),S218))</f>
        <v>#VALUE!</v>
      </c>
      <c r="T218" t="e">
        <f ca="1">IF((A1)=(2),"",IF((214)=(T4),IF(IF((INDEX(B1:XFD1,((A3)+(1))+(0)))=("store"),(INDEX(B1:XFD1,((A3)+(1))+(1)))=("T"),"false"),B3,T218),T218))</f>
        <v>#VALUE!</v>
      </c>
      <c r="U218" t="e">
        <f ca="1">IF((A1)=(2),"",IF((214)=(U4),IF(IF((INDEX(B1:XFD1,((A3)+(1))+(0)))=("store"),(INDEX(B1:XFD1,((A3)+(1))+(1)))=("U"),"false"),B3,U218),U218))</f>
        <v>#VALUE!</v>
      </c>
      <c r="V218" t="e">
        <f ca="1">IF((A1)=(2),"",IF((214)=(V4),IF(IF((INDEX(B1:XFD1,((A3)+(1))+(0)))=("store"),(INDEX(B1:XFD1,((A3)+(1))+(1)))=("V"),"false"),B3,V218),V218))</f>
        <v>#VALUE!</v>
      </c>
      <c r="W218" t="e">
        <f ca="1">IF((A1)=(2),"",IF((214)=(W4),IF(IF((INDEX(B1:XFD1,((A3)+(1))+(0)))=("store"),(INDEX(B1:XFD1,((A3)+(1))+(1)))=("W"),"false"),B3,W218),W218))</f>
        <v>#VALUE!</v>
      </c>
      <c r="X218" t="e">
        <f ca="1">IF((A1)=(2),"",IF((214)=(X4),IF(IF((INDEX(B1:XFD1,((A3)+(1))+(0)))=("store"),(INDEX(B1:XFD1,((A3)+(1))+(1)))=("X"),"false"),B3,X218),X218))</f>
        <v>#VALUE!</v>
      </c>
      <c r="Y218" t="e">
        <f ca="1">IF((A1)=(2),"",IF((214)=(Y4),IF(IF((INDEX(B1:XFD1,((A3)+(1))+(0)))=("store"),(INDEX(B1:XFD1,((A3)+(1))+(1)))=("Y"),"false"),B3,Y218),Y218))</f>
        <v>#VALUE!</v>
      </c>
      <c r="Z218" t="e">
        <f ca="1">IF((A1)=(2),"",IF((214)=(Z4),IF(IF((INDEX(B1:XFD1,((A3)+(1))+(0)))=("store"),(INDEX(B1:XFD1,((A3)+(1))+(1)))=("Z"),"false"),B3,Z218),Z218))</f>
        <v>#VALUE!</v>
      </c>
      <c r="AA218" t="e">
        <f ca="1">IF((A1)=(2),"",IF((214)=(AA4),IF(IF((INDEX(B1:XFD1,((A3)+(1))+(0)))=("store"),(INDEX(B1:XFD1,((A3)+(1))+(1)))=("AA"),"false"),B3,AA218),AA218))</f>
        <v>#VALUE!</v>
      </c>
      <c r="AB218" t="e">
        <f ca="1">IF((A1)=(2),"",IF((214)=(AB4),IF(IF((INDEX(B1:XFD1,((A3)+(1))+(0)))=("store"),(INDEX(B1:XFD1,((A3)+(1))+(1)))=("AB"),"false"),B3,AB218),AB218))</f>
        <v>#VALUE!</v>
      </c>
      <c r="AC218" t="e">
        <f ca="1">IF((A1)=(2),"",IF((214)=(AC4),IF(IF((INDEX(B1:XFD1,((A3)+(1))+(0)))=("store"),(INDEX(B1:XFD1,((A3)+(1))+(1)))=("AC"),"false"),B3,AC218),AC218))</f>
        <v>#VALUE!</v>
      </c>
      <c r="AD218" t="e">
        <f ca="1">IF((A1)=(2),"",IF((214)=(AD4),IF(IF((INDEX(B1:XFD1,((A3)+(1))+(0)))=("store"),(INDEX(B1:XFD1,((A3)+(1))+(1)))=("AD"),"false"),B3,AD218),AD218))</f>
        <v>#VALUE!</v>
      </c>
    </row>
    <row r="219" spans="1:30" x14ac:dyDescent="0.25">
      <c r="A219" t="e">
        <f ca="1">IF((A1)=(2),"",IF((215)=(A4),IF(("call")=(INDEX(B1:XFD1,((A3)+(1))+(0))),(B3)*(2),IF(("goto")=(INDEX(B1:XFD1,((A3)+(1))+(0))),(INDEX(B1:XFD1,((A3)+(1))+(1)))*(2),IF(("gotoiftrue")=(INDEX(B1:XFD1,((A3)+(1))+(0))),IF(B3,(INDEX(B1:XFD1,((A3)+(1))+(1)))*(2),(A219)+(2)),(A219)+(2)))),A219))</f>
        <v>#VALUE!</v>
      </c>
      <c r="B219" t="e">
        <f ca="1">IF((A1)=(2),"",IF((215)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219)+(1)),IF(("add")=(INDEX(B1:XFD1,((A3)+(1))+(0))),(INDEX(B5:B405,(B4)+(1)))+(B219),IF(("equals")=(INDEX(B1:XFD1,((A3)+(1))+(0))),(INDEX(B5:B405,(B4)+(1)))=(B219),IF(("leq")=(INDEX(B1:XFD1,((A3)+(1))+(0))),(INDEX(B5:B405,(B4)+(1)))&lt;=(B219),IF(("greater")=(INDEX(B1:XFD1,((A3)+(1))+(0))),(INDEX(B5:B405,(B4)+(1)))&gt;(B219),IF(("mod")=(INDEX(B1:XFD1,((A3)+(1))+(0))),MOD(INDEX(B5:B405,(B4)+(1)),B219),B219))))))))),B219))</f>
        <v>#VALUE!</v>
      </c>
      <c r="C219" t="e">
        <f ca="1">IF((A1)=(2),1,IF(AND((INDEX(B1:XFD1,((A3)+(1))+(0)))=("writeheap"),(INDEX(B5:B405,(B4)+(1)))=(214)),INDEX(B5:B405,(B4)+(2)),IF((A1)=(2),"",IF((215)=(C4),C219,C219))))</f>
        <v>#VALUE!</v>
      </c>
      <c r="F219" t="e">
        <f ca="1">IF((A1)=(2),"",IF((215)=(F4),IF(IF((INDEX(B1:XFD1,((A3)+(1))+(0)))=("store"),(INDEX(B1:XFD1,((A3)+(1))+(1)))=("F"),"false"),B3,F219),F219))</f>
        <v>#VALUE!</v>
      </c>
      <c r="G219" t="e">
        <f ca="1">IF((A1)=(2),"",IF((215)=(G4),IF(IF((INDEX(B1:XFD1,((A3)+(1))+(0)))=("store"),(INDEX(B1:XFD1,((A3)+(1))+(1)))=("G"),"false"),B3,G219),G219))</f>
        <v>#VALUE!</v>
      </c>
      <c r="H219" t="e">
        <f ca="1">IF((A1)=(2),"",IF((215)=(H4),IF(IF((INDEX(B1:XFD1,((A3)+(1))+(0)))=("store"),(INDEX(B1:XFD1,((A3)+(1))+(1)))=("H"),"false"),B3,H219),H219))</f>
        <v>#VALUE!</v>
      </c>
      <c r="I219" t="e">
        <f ca="1">IF((A1)=(2),"",IF((215)=(I4),IF(IF((INDEX(B1:XFD1,((A3)+(1))+(0)))=("store"),(INDEX(B1:XFD1,((A3)+(1))+(1)))=("I"),"false"),B3,I219),I219))</f>
        <v>#VALUE!</v>
      </c>
      <c r="J219" t="e">
        <f ca="1">IF((A1)=(2),"",IF((215)=(J4),IF(IF((INDEX(B1:XFD1,((A3)+(1))+(0)))=("store"),(INDEX(B1:XFD1,((A3)+(1))+(1)))=("J"),"false"),B3,J219),J219))</f>
        <v>#VALUE!</v>
      </c>
      <c r="K219" t="e">
        <f ca="1">IF((A1)=(2),"",IF((215)=(K4),IF(IF((INDEX(B1:XFD1,((A3)+(1))+(0)))=("store"),(INDEX(B1:XFD1,((A3)+(1))+(1)))=("K"),"false"),B3,K219),K219))</f>
        <v>#VALUE!</v>
      </c>
      <c r="L219" t="e">
        <f ca="1">IF((A1)=(2),"",IF((215)=(L4),IF(IF((INDEX(B1:XFD1,((A3)+(1))+(0)))=("store"),(INDEX(B1:XFD1,((A3)+(1))+(1)))=("L"),"false"),B3,L219),L219))</f>
        <v>#VALUE!</v>
      </c>
      <c r="M219" t="e">
        <f ca="1">IF((A1)=(2),"",IF((215)=(M4),IF(IF((INDEX(B1:XFD1,((A3)+(1))+(0)))=("store"),(INDEX(B1:XFD1,((A3)+(1))+(1)))=("M"),"false"),B3,M219),M219))</f>
        <v>#VALUE!</v>
      </c>
      <c r="N219" t="e">
        <f ca="1">IF((A1)=(2),"",IF((215)=(N4),IF(IF((INDEX(B1:XFD1,((A3)+(1))+(0)))=("store"),(INDEX(B1:XFD1,((A3)+(1))+(1)))=("N"),"false"),B3,N219),N219))</f>
        <v>#VALUE!</v>
      </c>
      <c r="O219" t="e">
        <f ca="1">IF((A1)=(2),"",IF((215)=(O4),IF(IF((INDEX(B1:XFD1,((A3)+(1))+(0)))=("store"),(INDEX(B1:XFD1,((A3)+(1))+(1)))=("O"),"false"),B3,O219),O219))</f>
        <v>#VALUE!</v>
      </c>
      <c r="P219" t="e">
        <f ca="1">IF((A1)=(2),"",IF((215)=(P4),IF(IF((INDEX(B1:XFD1,((A3)+(1))+(0)))=("store"),(INDEX(B1:XFD1,((A3)+(1))+(1)))=("P"),"false"),B3,P219),P219))</f>
        <v>#VALUE!</v>
      </c>
      <c r="Q219" t="e">
        <f ca="1">IF((A1)=(2),"",IF((215)=(Q4),IF(IF((INDEX(B1:XFD1,((A3)+(1))+(0)))=("store"),(INDEX(B1:XFD1,((A3)+(1))+(1)))=("Q"),"false"),B3,Q219),Q219))</f>
        <v>#VALUE!</v>
      </c>
      <c r="R219" t="e">
        <f ca="1">IF((A1)=(2),"",IF((215)=(R4),IF(IF((INDEX(B1:XFD1,((A3)+(1))+(0)))=("store"),(INDEX(B1:XFD1,((A3)+(1))+(1)))=("R"),"false"),B3,R219),R219))</f>
        <v>#VALUE!</v>
      </c>
      <c r="S219" t="e">
        <f ca="1">IF((A1)=(2),"",IF((215)=(S4),IF(IF((INDEX(B1:XFD1,((A3)+(1))+(0)))=("store"),(INDEX(B1:XFD1,((A3)+(1))+(1)))=("S"),"false"),B3,S219),S219))</f>
        <v>#VALUE!</v>
      </c>
      <c r="T219" t="e">
        <f ca="1">IF((A1)=(2),"",IF((215)=(T4),IF(IF((INDEX(B1:XFD1,((A3)+(1))+(0)))=("store"),(INDEX(B1:XFD1,((A3)+(1))+(1)))=("T"),"false"),B3,T219),T219))</f>
        <v>#VALUE!</v>
      </c>
      <c r="U219" t="e">
        <f ca="1">IF((A1)=(2),"",IF((215)=(U4),IF(IF((INDEX(B1:XFD1,((A3)+(1))+(0)))=("store"),(INDEX(B1:XFD1,((A3)+(1))+(1)))=("U"),"false"),B3,U219),U219))</f>
        <v>#VALUE!</v>
      </c>
      <c r="V219" t="e">
        <f ca="1">IF((A1)=(2),"",IF((215)=(V4),IF(IF((INDEX(B1:XFD1,((A3)+(1))+(0)))=("store"),(INDEX(B1:XFD1,((A3)+(1))+(1)))=("V"),"false"),B3,V219),V219))</f>
        <v>#VALUE!</v>
      </c>
      <c r="W219" t="e">
        <f ca="1">IF((A1)=(2),"",IF((215)=(W4),IF(IF((INDEX(B1:XFD1,((A3)+(1))+(0)))=("store"),(INDEX(B1:XFD1,((A3)+(1))+(1)))=("W"),"false"),B3,W219),W219))</f>
        <v>#VALUE!</v>
      </c>
      <c r="X219" t="e">
        <f ca="1">IF((A1)=(2),"",IF((215)=(X4),IF(IF((INDEX(B1:XFD1,((A3)+(1))+(0)))=("store"),(INDEX(B1:XFD1,((A3)+(1))+(1)))=("X"),"false"),B3,X219),X219))</f>
        <v>#VALUE!</v>
      </c>
      <c r="Y219" t="e">
        <f ca="1">IF((A1)=(2),"",IF((215)=(Y4),IF(IF((INDEX(B1:XFD1,((A3)+(1))+(0)))=("store"),(INDEX(B1:XFD1,((A3)+(1))+(1)))=("Y"),"false"),B3,Y219),Y219))</f>
        <v>#VALUE!</v>
      </c>
      <c r="Z219" t="e">
        <f ca="1">IF((A1)=(2),"",IF((215)=(Z4),IF(IF((INDEX(B1:XFD1,((A3)+(1))+(0)))=("store"),(INDEX(B1:XFD1,((A3)+(1))+(1)))=("Z"),"false"),B3,Z219),Z219))</f>
        <v>#VALUE!</v>
      </c>
      <c r="AA219" t="e">
        <f ca="1">IF((A1)=(2),"",IF((215)=(AA4),IF(IF((INDEX(B1:XFD1,((A3)+(1))+(0)))=("store"),(INDEX(B1:XFD1,((A3)+(1))+(1)))=("AA"),"false"),B3,AA219),AA219))</f>
        <v>#VALUE!</v>
      </c>
      <c r="AB219" t="e">
        <f ca="1">IF((A1)=(2),"",IF((215)=(AB4),IF(IF((INDEX(B1:XFD1,((A3)+(1))+(0)))=("store"),(INDEX(B1:XFD1,((A3)+(1))+(1)))=("AB"),"false"),B3,AB219),AB219))</f>
        <v>#VALUE!</v>
      </c>
      <c r="AC219" t="e">
        <f ca="1">IF((A1)=(2),"",IF((215)=(AC4),IF(IF((INDEX(B1:XFD1,((A3)+(1))+(0)))=("store"),(INDEX(B1:XFD1,((A3)+(1))+(1)))=("AC"),"false"),B3,AC219),AC219))</f>
        <v>#VALUE!</v>
      </c>
      <c r="AD219" t="e">
        <f ca="1">IF((A1)=(2),"",IF((215)=(AD4),IF(IF((INDEX(B1:XFD1,((A3)+(1))+(0)))=("store"),(INDEX(B1:XFD1,((A3)+(1))+(1)))=("AD"),"false"),B3,AD219),AD219))</f>
        <v>#VALUE!</v>
      </c>
    </row>
    <row r="220" spans="1:30" x14ac:dyDescent="0.25">
      <c r="A220" t="e">
        <f ca="1">IF((A1)=(2),"",IF((216)=(A4),IF(("call")=(INDEX(B1:XFD1,((A3)+(1))+(0))),(B3)*(2),IF(("goto")=(INDEX(B1:XFD1,((A3)+(1))+(0))),(INDEX(B1:XFD1,((A3)+(1))+(1)))*(2),IF(("gotoiftrue")=(INDEX(B1:XFD1,((A3)+(1))+(0))),IF(B3,(INDEX(B1:XFD1,((A3)+(1))+(1)))*(2),(A220)+(2)),(A220)+(2)))),A220))</f>
        <v>#VALUE!</v>
      </c>
      <c r="B220" t="e">
        <f ca="1">IF((A1)=(2),"",IF((216)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220)+(1)),IF(("add")=(INDEX(B1:XFD1,((A3)+(1))+(0))),(INDEX(B5:B405,(B4)+(1)))+(B220),IF(("equals")=(INDEX(B1:XFD1,((A3)+(1))+(0))),(INDEX(B5:B405,(B4)+(1)))=(B220),IF(("leq")=(INDEX(B1:XFD1,((A3)+(1))+(0))),(INDEX(B5:B405,(B4)+(1)))&lt;=(B220),IF(("greater")=(INDEX(B1:XFD1,((A3)+(1))+(0))),(INDEX(B5:B405,(B4)+(1)))&gt;(B220),IF(("mod")=(INDEX(B1:XFD1,((A3)+(1))+(0))),MOD(INDEX(B5:B405,(B4)+(1)),B220),B220))))))))),B220))</f>
        <v>#VALUE!</v>
      </c>
      <c r="C220" t="e">
        <f ca="1">IF((A1)=(2),1,IF(AND((INDEX(B1:XFD1,((A3)+(1))+(0)))=("writeheap"),(INDEX(B5:B405,(B4)+(1)))=(215)),INDEX(B5:B405,(B4)+(2)),IF((A1)=(2),"",IF((216)=(C4),C220,C220))))</f>
        <v>#VALUE!</v>
      </c>
      <c r="F220" t="e">
        <f ca="1">IF((A1)=(2),"",IF((216)=(F4),IF(IF((INDEX(B1:XFD1,((A3)+(1))+(0)))=("store"),(INDEX(B1:XFD1,((A3)+(1))+(1)))=("F"),"false"),B3,F220),F220))</f>
        <v>#VALUE!</v>
      </c>
      <c r="G220" t="e">
        <f ca="1">IF((A1)=(2),"",IF((216)=(G4),IF(IF((INDEX(B1:XFD1,((A3)+(1))+(0)))=("store"),(INDEX(B1:XFD1,((A3)+(1))+(1)))=("G"),"false"),B3,G220),G220))</f>
        <v>#VALUE!</v>
      </c>
      <c r="H220" t="e">
        <f ca="1">IF((A1)=(2),"",IF((216)=(H4),IF(IF((INDEX(B1:XFD1,((A3)+(1))+(0)))=("store"),(INDEX(B1:XFD1,((A3)+(1))+(1)))=("H"),"false"),B3,H220),H220))</f>
        <v>#VALUE!</v>
      </c>
      <c r="I220" t="e">
        <f ca="1">IF((A1)=(2),"",IF((216)=(I4),IF(IF((INDEX(B1:XFD1,((A3)+(1))+(0)))=("store"),(INDEX(B1:XFD1,((A3)+(1))+(1)))=("I"),"false"),B3,I220),I220))</f>
        <v>#VALUE!</v>
      </c>
      <c r="J220" t="e">
        <f ca="1">IF((A1)=(2),"",IF((216)=(J4),IF(IF((INDEX(B1:XFD1,((A3)+(1))+(0)))=("store"),(INDEX(B1:XFD1,((A3)+(1))+(1)))=("J"),"false"),B3,J220),J220))</f>
        <v>#VALUE!</v>
      </c>
      <c r="K220" t="e">
        <f ca="1">IF((A1)=(2),"",IF((216)=(K4),IF(IF((INDEX(B1:XFD1,((A3)+(1))+(0)))=("store"),(INDEX(B1:XFD1,((A3)+(1))+(1)))=("K"),"false"),B3,K220),K220))</f>
        <v>#VALUE!</v>
      </c>
      <c r="L220" t="e">
        <f ca="1">IF((A1)=(2),"",IF((216)=(L4),IF(IF((INDEX(B1:XFD1,((A3)+(1))+(0)))=("store"),(INDEX(B1:XFD1,((A3)+(1))+(1)))=("L"),"false"),B3,L220),L220))</f>
        <v>#VALUE!</v>
      </c>
      <c r="M220" t="e">
        <f ca="1">IF((A1)=(2),"",IF((216)=(M4),IF(IF((INDEX(B1:XFD1,((A3)+(1))+(0)))=("store"),(INDEX(B1:XFD1,((A3)+(1))+(1)))=("M"),"false"),B3,M220),M220))</f>
        <v>#VALUE!</v>
      </c>
      <c r="N220" t="e">
        <f ca="1">IF((A1)=(2),"",IF((216)=(N4),IF(IF((INDEX(B1:XFD1,((A3)+(1))+(0)))=("store"),(INDEX(B1:XFD1,((A3)+(1))+(1)))=("N"),"false"),B3,N220),N220))</f>
        <v>#VALUE!</v>
      </c>
      <c r="O220" t="e">
        <f ca="1">IF((A1)=(2),"",IF((216)=(O4),IF(IF((INDEX(B1:XFD1,((A3)+(1))+(0)))=("store"),(INDEX(B1:XFD1,((A3)+(1))+(1)))=("O"),"false"),B3,O220),O220))</f>
        <v>#VALUE!</v>
      </c>
      <c r="P220" t="e">
        <f ca="1">IF((A1)=(2),"",IF((216)=(P4),IF(IF((INDEX(B1:XFD1,((A3)+(1))+(0)))=("store"),(INDEX(B1:XFD1,((A3)+(1))+(1)))=("P"),"false"),B3,P220),P220))</f>
        <v>#VALUE!</v>
      </c>
      <c r="Q220" t="e">
        <f ca="1">IF((A1)=(2),"",IF((216)=(Q4),IF(IF((INDEX(B1:XFD1,((A3)+(1))+(0)))=("store"),(INDEX(B1:XFD1,((A3)+(1))+(1)))=("Q"),"false"),B3,Q220),Q220))</f>
        <v>#VALUE!</v>
      </c>
      <c r="R220" t="e">
        <f ca="1">IF((A1)=(2),"",IF((216)=(R4),IF(IF((INDEX(B1:XFD1,((A3)+(1))+(0)))=("store"),(INDEX(B1:XFD1,((A3)+(1))+(1)))=("R"),"false"),B3,R220),R220))</f>
        <v>#VALUE!</v>
      </c>
      <c r="S220" t="e">
        <f ca="1">IF((A1)=(2),"",IF((216)=(S4),IF(IF((INDEX(B1:XFD1,((A3)+(1))+(0)))=("store"),(INDEX(B1:XFD1,((A3)+(1))+(1)))=("S"),"false"),B3,S220),S220))</f>
        <v>#VALUE!</v>
      </c>
      <c r="T220" t="e">
        <f ca="1">IF((A1)=(2),"",IF((216)=(T4),IF(IF((INDEX(B1:XFD1,((A3)+(1))+(0)))=("store"),(INDEX(B1:XFD1,((A3)+(1))+(1)))=("T"),"false"),B3,T220),T220))</f>
        <v>#VALUE!</v>
      </c>
      <c r="U220" t="e">
        <f ca="1">IF((A1)=(2),"",IF((216)=(U4),IF(IF((INDEX(B1:XFD1,((A3)+(1))+(0)))=("store"),(INDEX(B1:XFD1,((A3)+(1))+(1)))=("U"),"false"),B3,U220),U220))</f>
        <v>#VALUE!</v>
      </c>
      <c r="V220" t="e">
        <f ca="1">IF((A1)=(2),"",IF((216)=(V4),IF(IF((INDEX(B1:XFD1,((A3)+(1))+(0)))=("store"),(INDEX(B1:XFD1,((A3)+(1))+(1)))=("V"),"false"),B3,V220),V220))</f>
        <v>#VALUE!</v>
      </c>
      <c r="W220" t="e">
        <f ca="1">IF((A1)=(2),"",IF((216)=(W4),IF(IF((INDEX(B1:XFD1,((A3)+(1))+(0)))=("store"),(INDEX(B1:XFD1,((A3)+(1))+(1)))=("W"),"false"),B3,W220),W220))</f>
        <v>#VALUE!</v>
      </c>
      <c r="X220" t="e">
        <f ca="1">IF((A1)=(2),"",IF((216)=(X4),IF(IF((INDEX(B1:XFD1,((A3)+(1))+(0)))=("store"),(INDEX(B1:XFD1,((A3)+(1))+(1)))=("X"),"false"),B3,X220),X220))</f>
        <v>#VALUE!</v>
      </c>
      <c r="Y220" t="e">
        <f ca="1">IF((A1)=(2),"",IF((216)=(Y4),IF(IF((INDEX(B1:XFD1,((A3)+(1))+(0)))=("store"),(INDEX(B1:XFD1,((A3)+(1))+(1)))=("Y"),"false"),B3,Y220),Y220))</f>
        <v>#VALUE!</v>
      </c>
      <c r="Z220" t="e">
        <f ca="1">IF((A1)=(2),"",IF((216)=(Z4),IF(IF((INDEX(B1:XFD1,((A3)+(1))+(0)))=("store"),(INDEX(B1:XFD1,((A3)+(1))+(1)))=("Z"),"false"),B3,Z220),Z220))</f>
        <v>#VALUE!</v>
      </c>
      <c r="AA220" t="e">
        <f ca="1">IF((A1)=(2),"",IF((216)=(AA4),IF(IF((INDEX(B1:XFD1,((A3)+(1))+(0)))=("store"),(INDEX(B1:XFD1,((A3)+(1))+(1)))=("AA"),"false"),B3,AA220),AA220))</f>
        <v>#VALUE!</v>
      </c>
      <c r="AB220" t="e">
        <f ca="1">IF((A1)=(2),"",IF((216)=(AB4),IF(IF((INDEX(B1:XFD1,((A3)+(1))+(0)))=("store"),(INDEX(B1:XFD1,((A3)+(1))+(1)))=("AB"),"false"),B3,AB220),AB220))</f>
        <v>#VALUE!</v>
      </c>
      <c r="AC220" t="e">
        <f ca="1">IF((A1)=(2),"",IF((216)=(AC4),IF(IF((INDEX(B1:XFD1,((A3)+(1))+(0)))=("store"),(INDEX(B1:XFD1,((A3)+(1))+(1)))=("AC"),"false"),B3,AC220),AC220))</f>
        <v>#VALUE!</v>
      </c>
      <c r="AD220" t="e">
        <f ca="1">IF((A1)=(2),"",IF((216)=(AD4),IF(IF((INDEX(B1:XFD1,((A3)+(1))+(0)))=("store"),(INDEX(B1:XFD1,((A3)+(1))+(1)))=("AD"),"false"),B3,AD220),AD220))</f>
        <v>#VALUE!</v>
      </c>
    </row>
    <row r="221" spans="1:30" x14ac:dyDescent="0.25">
      <c r="A221" t="e">
        <f ca="1">IF((A1)=(2),"",IF((217)=(A4),IF(("call")=(INDEX(B1:XFD1,((A3)+(1))+(0))),(B3)*(2),IF(("goto")=(INDEX(B1:XFD1,((A3)+(1))+(0))),(INDEX(B1:XFD1,((A3)+(1))+(1)))*(2),IF(("gotoiftrue")=(INDEX(B1:XFD1,((A3)+(1))+(0))),IF(B3,(INDEX(B1:XFD1,((A3)+(1))+(1)))*(2),(A221)+(2)),(A221)+(2)))),A221))</f>
        <v>#VALUE!</v>
      </c>
      <c r="B221" t="e">
        <f ca="1">IF((A1)=(2),"",IF((217)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221)+(1)),IF(("add")=(INDEX(B1:XFD1,((A3)+(1))+(0))),(INDEX(B5:B405,(B4)+(1)))+(B221),IF(("equals")=(INDEX(B1:XFD1,((A3)+(1))+(0))),(INDEX(B5:B405,(B4)+(1)))=(B221),IF(("leq")=(INDEX(B1:XFD1,((A3)+(1))+(0))),(INDEX(B5:B405,(B4)+(1)))&lt;=(B221),IF(("greater")=(INDEX(B1:XFD1,((A3)+(1))+(0))),(INDEX(B5:B405,(B4)+(1)))&gt;(B221),IF(("mod")=(INDEX(B1:XFD1,((A3)+(1))+(0))),MOD(INDEX(B5:B405,(B4)+(1)),B221),B221))))))))),B221))</f>
        <v>#VALUE!</v>
      </c>
      <c r="C221" t="e">
        <f ca="1">IF((A1)=(2),1,IF(AND((INDEX(B1:XFD1,((A3)+(1))+(0)))=("writeheap"),(INDEX(B5:B405,(B4)+(1)))=(216)),INDEX(B5:B405,(B4)+(2)),IF((A1)=(2),"",IF((217)=(C4),C221,C221))))</f>
        <v>#VALUE!</v>
      </c>
      <c r="F221" t="e">
        <f ca="1">IF((A1)=(2),"",IF((217)=(F4),IF(IF((INDEX(B1:XFD1,((A3)+(1))+(0)))=("store"),(INDEX(B1:XFD1,((A3)+(1))+(1)))=("F"),"false"),B3,F221),F221))</f>
        <v>#VALUE!</v>
      </c>
      <c r="G221" t="e">
        <f ca="1">IF((A1)=(2),"",IF((217)=(G4),IF(IF((INDEX(B1:XFD1,((A3)+(1))+(0)))=("store"),(INDEX(B1:XFD1,((A3)+(1))+(1)))=("G"),"false"),B3,G221),G221))</f>
        <v>#VALUE!</v>
      </c>
      <c r="H221" t="e">
        <f ca="1">IF((A1)=(2),"",IF((217)=(H4),IF(IF((INDEX(B1:XFD1,((A3)+(1))+(0)))=("store"),(INDEX(B1:XFD1,((A3)+(1))+(1)))=("H"),"false"),B3,H221),H221))</f>
        <v>#VALUE!</v>
      </c>
      <c r="I221" t="e">
        <f ca="1">IF((A1)=(2),"",IF((217)=(I4),IF(IF((INDEX(B1:XFD1,((A3)+(1))+(0)))=("store"),(INDEX(B1:XFD1,((A3)+(1))+(1)))=("I"),"false"),B3,I221),I221))</f>
        <v>#VALUE!</v>
      </c>
      <c r="J221" t="e">
        <f ca="1">IF((A1)=(2),"",IF((217)=(J4),IF(IF((INDEX(B1:XFD1,((A3)+(1))+(0)))=("store"),(INDEX(B1:XFD1,((A3)+(1))+(1)))=("J"),"false"),B3,J221),J221))</f>
        <v>#VALUE!</v>
      </c>
      <c r="K221" t="e">
        <f ca="1">IF((A1)=(2),"",IF((217)=(K4),IF(IF((INDEX(B1:XFD1,((A3)+(1))+(0)))=("store"),(INDEX(B1:XFD1,((A3)+(1))+(1)))=("K"),"false"),B3,K221),K221))</f>
        <v>#VALUE!</v>
      </c>
      <c r="L221" t="e">
        <f ca="1">IF((A1)=(2),"",IF((217)=(L4),IF(IF((INDEX(B1:XFD1,((A3)+(1))+(0)))=("store"),(INDEX(B1:XFD1,((A3)+(1))+(1)))=("L"),"false"),B3,L221),L221))</f>
        <v>#VALUE!</v>
      </c>
      <c r="M221" t="e">
        <f ca="1">IF((A1)=(2),"",IF((217)=(M4),IF(IF((INDEX(B1:XFD1,((A3)+(1))+(0)))=("store"),(INDEX(B1:XFD1,((A3)+(1))+(1)))=("M"),"false"),B3,M221),M221))</f>
        <v>#VALUE!</v>
      </c>
      <c r="N221" t="e">
        <f ca="1">IF((A1)=(2),"",IF((217)=(N4),IF(IF((INDEX(B1:XFD1,((A3)+(1))+(0)))=("store"),(INDEX(B1:XFD1,((A3)+(1))+(1)))=("N"),"false"),B3,N221),N221))</f>
        <v>#VALUE!</v>
      </c>
      <c r="O221" t="e">
        <f ca="1">IF((A1)=(2),"",IF((217)=(O4),IF(IF((INDEX(B1:XFD1,((A3)+(1))+(0)))=("store"),(INDEX(B1:XFD1,((A3)+(1))+(1)))=("O"),"false"),B3,O221),O221))</f>
        <v>#VALUE!</v>
      </c>
      <c r="P221" t="e">
        <f ca="1">IF((A1)=(2),"",IF((217)=(P4),IF(IF((INDEX(B1:XFD1,((A3)+(1))+(0)))=("store"),(INDEX(B1:XFD1,((A3)+(1))+(1)))=("P"),"false"),B3,P221),P221))</f>
        <v>#VALUE!</v>
      </c>
      <c r="Q221" t="e">
        <f ca="1">IF((A1)=(2),"",IF((217)=(Q4),IF(IF((INDEX(B1:XFD1,((A3)+(1))+(0)))=("store"),(INDEX(B1:XFD1,((A3)+(1))+(1)))=("Q"),"false"),B3,Q221),Q221))</f>
        <v>#VALUE!</v>
      </c>
      <c r="R221" t="e">
        <f ca="1">IF((A1)=(2),"",IF((217)=(R4),IF(IF((INDEX(B1:XFD1,((A3)+(1))+(0)))=("store"),(INDEX(B1:XFD1,((A3)+(1))+(1)))=("R"),"false"),B3,R221),R221))</f>
        <v>#VALUE!</v>
      </c>
      <c r="S221" t="e">
        <f ca="1">IF((A1)=(2),"",IF((217)=(S4),IF(IF((INDEX(B1:XFD1,((A3)+(1))+(0)))=("store"),(INDEX(B1:XFD1,((A3)+(1))+(1)))=("S"),"false"),B3,S221),S221))</f>
        <v>#VALUE!</v>
      </c>
      <c r="T221" t="e">
        <f ca="1">IF((A1)=(2),"",IF((217)=(T4),IF(IF((INDEX(B1:XFD1,((A3)+(1))+(0)))=("store"),(INDEX(B1:XFD1,((A3)+(1))+(1)))=("T"),"false"),B3,T221),T221))</f>
        <v>#VALUE!</v>
      </c>
      <c r="U221" t="e">
        <f ca="1">IF((A1)=(2),"",IF((217)=(U4),IF(IF((INDEX(B1:XFD1,((A3)+(1))+(0)))=("store"),(INDEX(B1:XFD1,((A3)+(1))+(1)))=("U"),"false"),B3,U221),U221))</f>
        <v>#VALUE!</v>
      </c>
      <c r="V221" t="e">
        <f ca="1">IF((A1)=(2),"",IF((217)=(V4),IF(IF((INDEX(B1:XFD1,((A3)+(1))+(0)))=("store"),(INDEX(B1:XFD1,((A3)+(1))+(1)))=("V"),"false"),B3,V221),V221))</f>
        <v>#VALUE!</v>
      </c>
      <c r="W221" t="e">
        <f ca="1">IF((A1)=(2),"",IF((217)=(W4),IF(IF((INDEX(B1:XFD1,((A3)+(1))+(0)))=("store"),(INDEX(B1:XFD1,((A3)+(1))+(1)))=("W"),"false"),B3,W221),W221))</f>
        <v>#VALUE!</v>
      </c>
      <c r="X221" t="e">
        <f ca="1">IF((A1)=(2),"",IF((217)=(X4),IF(IF((INDEX(B1:XFD1,((A3)+(1))+(0)))=("store"),(INDEX(B1:XFD1,((A3)+(1))+(1)))=("X"),"false"),B3,X221),X221))</f>
        <v>#VALUE!</v>
      </c>
      <c r="Y221" t="e">
        <f ca="1">IF((A1)=(2),"",IF((217)=(Y4),IF(IF((INDEX(B1:XFD1,((A3)+(1))+(0)))=("store"),(INDEX(B1:XFD1,((A3)+(1))+(1)))=("Y"),"false"),B3,Y221),Y221))</f>
        <v>#VALUE!</v>
      </c>
      <c r="Z221" t="e">
        <f ca="1">IF((A1)=(2),"",IF((217)=(Z4),IF(IF((INDEX(B1:XFD1,((A3)+(1))+(0)))=("store"),(INDEX(B1:XFD1,((A3)+(1))+(1)))=("Z"),"false"),B3,Z221),Z221))</f>
        <v>#VALUE!</v>
      </c>
      <c r="AA221" t="e">
        <f ca="1">IF((A1)=(2),"",IF((217)=(AA4),IF(IF((INDEX(B1:XFD1,((A3)+(1))+(0)))=("store"),(INDEX(B1:XFD1,((A3)+(1))+(1)))=("AA"),"false"),B3,AA221),AA221))</f>
        <v>#VALUE!</v>
      </c>
      <c r="AB221" t="e">
        <f ca="1">IF((A1)=(2),"",IF((217)=(AB4),IF(IF((INDEX(B1:XFD1,((A3)+(1))+(0)))=("store"),(INDEX(B1:XFD1,((A3)+(1))+(1)))=("AB"),"false"),B3,AB221),AB221))</f>
        <v>#VALUE!</v>
      </c>
      <c r="AC221" t="e">
        <f ca="1">IF((A1)=(2),"",IF((217)=(AC4),IF(IF((INDEX(B1:XFD1,((A3)+(1))+(0)))=("store"),(INDEX(B1:XFD1,((A3)+(1))+(1)))=("AC"),"false"),B3,AC221),AC221))</f>
        <v>#VALUE!</v>
      </c>
      <c r="AD221" t="e">
        <f ca="1">IF((A1)=(2),"",IF((217)=(AD4),IF(IF((INDEX(B1:XFD1,((A3)+(1))+(0)))=("store"),(INDEX(B1:XFD1,((A3)+(1))+(1)))=("AD"),"false"),B3,AD221),AD221))</f>
        <v>#VALUE!</v>
      </c>
    </row>
    <row r="222" spans="1:30" x14ac:dyDescent="0.25">
      <c r="A222" t="e">
        <f ca="1">IF((A1)=(2),"",IF((218)=(A4),IF(("call")=(INDEX(B1:XFD1,((A3)+(1))+(0))),(B3)*(2),IF(("goto")=(INDEX(B1:XFD1,((A3)+(1))+(0))),(INDEX(B1:XFD1,((A3)+(1))+(1)))*(2),IF(("gotoiftrue")=(INDEX(B1:XFD1,((A3)+(1))+(0))),IF(B3,(INDEX(B1:XFD1,((A3)+(1))+(1)))*(2),(A222)+(2)),(A222)+(2)))),A222))</f>
        <v>#VALUE!</v>
      </c>
      <c r="B222" t="e">
        <f ca="1">IF((A1)=(2),"",IF((218)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222)+(1)),IF(("add")=(INDEX(B1:XFD1,((A3)+(1))+(0))),(INDEX(B5:B405,(B4)+(1)))+(B222),IF(("equals")=(INDEX(B1:XFD1,((A3)+(1))+(0))),(INDEX(B5:B405,(B4)+(1)))=(B222),IF(("leq")=(INDEX(B1:XFD1,((A3)+(1))+(0))),(INDEX(B5:B405,(B4)+(1)))&lt;=(B222),IF(("greater")=(INDEX(B1:XFD1,((A3)+(1))+(0))),(INDEX(B5:B405,(B4)+(1)))&gt;(B222),IF(("mod")=(INDEX(B1:XFD1,((A3)+(1))+(0))),MOD(INDEX(B5:B405,(B4)+(1)),B222),B222))))))))),B222))</f>
        <v>#VALUE!</v>
      </c>
      <c r="C222" t="e">
        <f ca="1">IF((A1)=(2),1,IF(AND((INDEX(B1:XFD1,((A3)+(1))+(0)))=("writeheap"),(INDEX(B5:B405,(B4)+(1)))=(217)),INDEX(B5:B405,(B4)+(2)),IF((A1)=(2),"",IF((218)=(C4),C222,C222))))</f>
        <v>#VALUE!</v>
      </c>
      <c r="F222" t="e">
        <f ca="1">IF((A1)=(2),"",IF((218)=(F4),IF(IF((INDEX(B1:XFD1,((A3)+(1))+(0)))=("store"),(INDEX(B1:XFD1,((A3)+(1))+(1)))=("F"),"false"),B3,F222),F222))</f>
        <v>#VALUE!</v>
      </c>
      <c r="G222" t="e">
        <f ca="1">IF((A1)=(2),"",IF((218)=(G4),IF(IF((INDEX(B1:XFD1,((A3)+(1))+(0)))=("store"),(INDEX(B1:XFD1,((A3)+(1))+(1)))=("G"),"false"),B3,G222),G222))</f>
        <v>#VALUE!</v>
      </c>
      <c r="H222" t="e">
        <f ca="1">IF((A1)=(2),"",IF((218)=(H4),IF(IF((INDEX(B1:XFD1,((A3)+(1))+(0)))=("store"),(INDEX(B1:XFD1,((A3)+(1))+(1)))=("H"),"false"),B3,H222),H222))</f>
        <v>#VALUE!</v>
      </c>
      <c r="I222" t="e">
        <f ca="1">IF((A1)=(2),"",IF((218)=(I4),IF(IF((INDEX(B1:XFD1,((A3)+(1))+(0)))=("store"),(INDEX(B1:XFD1,((A3)+(1))+(1)))=("I"),"false"),B3,I222),I222))</f>
        <v>#VALUE!</v>
      </c>
      <c r="J222" t="e">
        <f ca="1">IF((A1)=(2),"",IF((218)=(J4),IF(IF((INDEX(B1:XFD1,((A3)+(1))+(0)))=("store"),(INDEX(B1:XFD1,((A3)+(1))+(1)))=("J"),"false"),B3,J222),J222))</f>
        <v>#VALUE!</v>
      </c>
      <c r="K222" t="e">
        <f ca="1">IF((A1)=(2),"",IF((218)=(K4),IF(IF((INDEX(B1:XFD1,((A3)+(1))+(0)))=("store"),(INDEX(B1:XFD1,((A3)+(1))+(1)))=("K"),"false"),B3,K222),K222))</f>
        <v>#VALUE!</v>
      </c>
      <c r="L222" t="e">
        <f ca="1">IF((A1)=(2),"",IF((218)=(L4),IF(IF((INDEX(B1:XFD1,((A3)+(1))+(0)))=("store"),(INDEX(B1:XFD1,((A3)+(1))+(1)))=("L"),"false"),B3,L222),L222))</f>
        <v>#VALUE!</v>
      </c>
      <c r="M222" t="e">
        <f ca="1">IF((A1)=(2),"",IF((218)=(M4),IF(IF((INDEX(B1:XFD1,((A3)+(1))+(0)))=("store"),(INDEX(B1:XFD1,((A3)+(1))+(1)))=("M"),"false"),B3,M222),M222))</f>
        <v>#VALUE!</v>
      </c>
      <c r="N222" t="e">
        <f ca="1">IF((A1)=(2),"",IF((218)=(N4),IF(IF((INDEX(B1:XFD1,((A3)+(1))+(0)))=("store"),(INDEX(B1:XFD1,((A3)+(1))+(1)))=("N"),"false"),B3,N222),N222))</f>
        <v>#VALUE!</v>
      </c>
      <c r="O222" t="e">
        <f ca="1">IF((A1)=(2),"",IF((218)=(O4),IF(IF((INDEX(B1:XFD1,((A3)+(1))+(0)))=("store"),(INDEX(B1:XFD1,((A3)+(1))+(1)))=("O"),"false"),B3,O222),O222))</f>
        <v>#VALUE!</v>
      </c>
      <c r="P222" t="e">
        <f ca="1">IF((A1)=(2),"",IF((218)=(P4),IF(IF((INDEX(B1:XFD1,((A3)+(1))+(0)))=("store"),(INDEX(B1:XFD1,((A3)+(1))+(1)))=("P"),"false"),B3,P222),P222))</f>
        <v>#VALUE!</v>
      </c>
      <c r="Q222" t="e">
        <f ca="1">IF((A1)=(2),"",IF((218)=(Q4),IF(IF((INDEX(B1:XFD1,((A3)+(1))+(0)))=("store"),(INDEX(B1:XFD1,((A3)+(1))+(1)))=("Q"),"false"),B3,Q222),Q222))</f>
        <v>#VALUE!</v>
      </c>
      <c r="R222" t="e">
        <f ca="1">IF((A1)=(2),"",IF((218)=(R4),IF(IF((INDEX(B1:XFD1,((A3)+(1))+(0)))=("store"),(INDEX(B1:XFD1,((A3)+(1))+(1)))=("R"),"false"),B3,R222),R222))</f>
        <v>#VALUE!</v>
      </c>
      <c r="S222" t="e">
        <f ca="1">IF((A1)=(2),"",IF((218)=(S4),IF(IF((INDEX(B1:XFD1,((A3)+(1))+(0)))=("store"),(INDEX(B1:XFD1,((A3)+(1))+(1)))=("S"),"false"),B3,S222),S222))</f>
        <v>#VALUE!</v>
      </c>
      <c r="T222" t="e">
        <f ca="1">IF((A1)=(2),"",IF((218)=(T4),IF(IF((INDEX(B1:XFD1,((A3)+(1))+(0)))=("store"),(INDEX(B1:XFD1,((A3)+(1))+(1)))=("T"),"false"),B3,T222),T222))</f>
        <v>#VALUE!</v>
      </c>
      <c r="U222" t="e">
        <f ca="1">IF((A1)=(2),"",IF((218)=(U4),IF(IF((INDEX(B1:XFD1,((A3)+(1))+(0)))=("store"),(INDEX(B1:XFD1,((A3)+(1))+(1)))=("U"),"false"),B3,U222),U222))</f>
        <v>#VALUE!</v>
      </c>
      <c r="V222" t="e">
        <f ca="1">IF((A1)=(2),"",IF((218)=(V4),IF(IF((INDEX(B1:XFD1,((A3)+(1))+(0)))=("store"),(INDEX(B1:XFD1,((A3)+(1))+(1)))=("V"),"false"),B3,V222),V222))</f>
        <v>#VALUE!</v>
      </c>
      <c r="W222" t="e">
        <f ca="1">IF((A1)=(2),"",IF((218)=(W4),IF(IF((INDEX(B1:XFD1,((A3)+(1))+(0)))=("store"),(INDEX(B1:XFD1,((A3)+(1))+(1)))=("W"),"false"),B3,W222),W222))</f>
        <v>#VALUE!</v>
      </c>
      <c r="X222" t="e">
        <f ca="1">IF((A1)=(2),"",IF((218)=(X4),IF(IF((INDEX(B1:XFD1,((A3)+(1))+(0)))=("store"),(INDEX(B1:XFD1,((A3)+(1))+(1)))=("X"),"false"),B3,X222),X222))</f>
        <v>#VALUE!</v>
      </c>
      <c r="Y222" t="e">
        <f ca="1">IF((A1)=(2),"",IF((218)=(Y4),IF(IF((INDEX(B1:XFD1,((A3)+(1))+(0)))=("store"),(INDEX(B1:XFD1,((A3)+(1))+(1)))=("Y"),"false"),B3,Y222),Y222))</f>
        <v>#VALUE!</v>
      </c>
      <c r="Z222" t="e">
        <f ca="1">IF((A1)=(2),"",IF((218)=(Z4),IF(IF((INDEX(B1:XFD1,((A3)+(1))+(0)))=("store"),(INDEX(B1:XFD1,((A3)+(1))+(1)))=("Z"),"false"),B3,Z222),Z222))</f>
        <v>#VALUE!</v>
      </c>
      <c r="AA222" t="e">
        <f ca="1">IF((A1)=(2),"",IF((218)=(AA4),IF(IF((INDEX(B1:XFD1,((A3)+(1))+(0)))=("store"),(INDEX(B1:XFD1,((A3)+(1))+(1)))=("AA"),"false"),B3,AA222),AA222))</f>
        <v>#VALUE!</v>
      </c>
      <c r="AB222" t="e">
        <f ca="1">IF((A1)=(2),"",IF((218)=(AB4),IF(IF((INDEX(B1:XFD1,((A3)+(1))+(0)))=("store"),(INDEX(B1:XFD1,((A3)+(1))+(1)))=("AB"),"false"),B3,AB222),AB222))</f>
        <v>#VALUE!</v>
      </c>
      <c r="AC222" t="e">
        <f ca="1">IF((A1)=(2),"",IF((218)=(AC4),IF(IF((INDEX(B1:XFD1,((A3)+(1))+(0)))=("store"),(INDEX(B1:XFD1,((A3)+(1))+(1)))=("AC"),"false"),B3,AC222),AC222))</f>
        <v>#VALUE!</v>
      </c>
      <c r="AD222" t="e">
        <f ca="1">IF((A1)=(2),"",IF((218)=(AD4),IF(IF((INDEX(B1:XFD1,((A3)+(1))+(0)))=("store"),(INDEX(B1:XFD1,((A3)+(1))+(1)))=("AD"),"false"),B3,AD222),AD222))</f>
        <v>#VALUE!</v>
      </c>
    </row>
    <row r="223" spans="1:30" x14ac:dyDescent="0.25">
      <c r="A223" t="e">
        <f ca="1">IF((A1)=(2),"",IF((219)=(A4),IF(("call")=(INDEX(B1:XFD1,((A3)+(1))+(0))),(B3)*(2),IF(("goto")=(INDEX(B1:XFD1,((A3)+(1))+(0))),(INDEX(B1:XFD1,((A3)+(1))+(1)))*(2),IF(("gotoiftrue")=(INDEX(B1:XFD1,((A3)+(1))+(0))),IF(B3,(INDEX(B1:XFD1,((A3)+(1))+(1)))*(2),(A223)+(2)),(A223)+(2)))),A223))</f>
        <v>#VALUE!</v>
      </c>
      <c r="B223" t="e">
        <f ca="1">IF((A1)=(2),"",IF((219)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223)+(1)),IF(("add")=(INDEX(B1:XFD1,((A3)+(1))+(0))),(INDEX(B5:B405,(B4)+(1)))+(B223),IF(("equals")=(INDEX(B1:XFD1,((A3)+(1))+(0))),(INDEX(B5:B405,(B4)+(1)))=(B223),IF(("leq")=(INDEX(B1:XFD1,((A3)+(1))+(0))),(INDEX(B5:B405,(B4)+(1)))&lt;=(B223),IF(("greater")=(INDEX(B1:XFD1,((A3)+(1))+(0))),(INDEX(B5:B405,(B4)+(1)))&gt;(B223),IF(("mod")=(INDEX(B1:XFD1,((A3)+(1))+(0))),MOD(INDEX(B5:B405,(B4)+(1)),B223),B223))))))))),B223))</f>
        <v>#VALUE!</v>
      </c>
      <c r="C223" t="e">
        <f ca="1">IF((A1)=(2),1,IF(AND((INDEX(B1:XFD1,((A3)+(1))+(0)))=("writeheap"),(INDEX(B5:B405,(B4)+(1)))=(218)),INDEX(B5:B405,(B4)+(2)),IF((A1)=(2),"",IF((219)=(C4),C223,C223))))</f>
        <v>#VALUE!</v>
      </c>
      <c r="F223" t="e">
        <f ca="1">IF((A1)=(2),"",IF((219)=(F4),IF(IF((INDEX(B1:XFD1,((A3)+(1))+(0)))=("store"),(INDEX(B1:XFD1,((A3)+(1))+(1)))=("F"),"false"),B3,F223),F223))</f>
        <v>#VALUE!</v>
      </c>
      <c r="G223" t="e">
        <f ca="1">IF((A1)=(2),"",IF((219)=(G4),IF(IF((INDEX(B1:XFD1,((A3)+(1))+(0)))=("store"),(INDEX(B1:XFD1,((A3)+(1))+(1)))=("G"),"false"),B3,G223),G223))</f>
        <v>#VALUE!</v>
      </c>
      <c r="H223" t="e">
        <f ca="1">IF((A1)=(2),"",IF((219)=(H4),IF(IF((INDEX(B1:XFD1,((A3)+(1))+(0)))=("store"),(INDEX(B1:XFD1,((A3)+(1))+(1)))=("H"),"false"),B3,H223),H223))</f>
        <v>#VALUE!</v>
      </c>
      <c r="I223" t="e">
        <f ca="1">IF((A1)=(2),"",IF((219)=(I4),IF(IF((INDEX(B1:XFD1,((A3)+(1))+(0)))=("store"),(INDEX(B1:XFD1,((A3)+(1))+(1)))=("I"),"false"),B3,I223),I223))</f>
        <v>#VALUE!</v>
      </c>
      <c r="J223" t="e">
        <f ca="1">IF((A1)=(2),"",IF((219)=(J4),IF(IF((INDEX(B1:XFD1,((A3)+(1))+(0)))=("store"),(INDEX(B1:XFD1,((A3)+(1))+(1)))=("J"),"false"),B3,J223),J223))</f>
        <v>#VALUE!</v>
      </c>
      <c r="K223" t="e">
        <f ca="1">IF((A1)=(2),"",IF((219)=(K4),IF(IF((INDEX(B1:XFD1,((A3)+(1))+(0)))=("store"),(INDEX(B1:XFD1,((A3)+(1))+(1)))=("K"),"false"),B3,K223),K223))</f>
        <v>#VALUE!</v>
      </c>
      <c r="L223" t="e">
        <f ca="1">IF((A1)=(2),"",IF((219)=(L4),IF(IF((INDEX(B1:XFD1,((A3)+(1))+(0)))=("store"),(INDEX(B1:XFD1,((A3)+(1))+(1)))=("L"),"false"),B3,L223),L223))</f>
        <v>#VALUE!</v>
      </c>
      <c r="M223" t="e">
        <f ca="1">IF((A1)=(2),"",IF((219)=(M4),IF(IF((INDEX(B1:XFD1,((A3)+(1))+(0)))=("store"),(INDEX(B1:XFD1,((A3)+(1))+(1)))=("M"),"false"),B3,M223),M223))</f>
        <v>#VALUE!</v>
      </c>
      <c r="N223" t="e">
        <f ca="1">IF((A1)=(2),"",IF((219)=(N4),IF(IF((INDEX(B1:XFD1,((A3)+(1))+(0)))=("store"),(INDEX(B1:XFD1,((A3)+(1))+(1)))=("N"),"false"),B3,N223),N223))</f>
        <v>#VALUE!</v>
      </c>
      <c r="O223" t="e">
        <f ca="1">IF((A1)=(2),"",IF((219)=(O4),IF(IF((INDEX(B1:XFD1,((A3)+(1))+(0)))=("store"),(INDEX(B1:XFD1,((A3)+(1))+(1)))=("O"),"false"),B3,O223),O223))</f>
        <v>#VALUE!</v>
      </c>
      <c r="P223" t="e">
        <f ca="1">IF((A1)=(2),"",IF((219)=(P4),IF(IF((INDEX(B1:XFD1,((A3)+(1))+(0)))=("store"),(INDEX(B1:XFD1,((A3)+(1))+(1)))=("P"),"false"),B3,P223),P223))</f>
        <v>#VALUE!</v>
      </c>
      <c r="Q223" t="e">
        <f ca="1">IF((A1)=(2),"",IF((219)=(Q4),IF(IF((INDEX(B1:XFD1,((A3)+(1))+(0)))=("store"),(INDEX(B1:XFD1,((A3)+(1))+(1)))=("Q"),"false"),B3,Q223),Q223))</f>
        <v>#VALUE!</v>
      </c>
      <c r="R223" t="e">
        <f ca="1">IF((A1)=(2),"",IF((219)=(R4),IF(IF((INDEX(B1:XFD1,((A3)+(1))+(0)))=("store"),(INDEX(B1:XFD1,((A3)+(1))+(1)))=("R"),"false"),B3,R223),R223))</f>
        <v>#VALUE!</v>
      </c>
      <c r="S223" t="e">
        <f ca="1">IF((A1)=(2),"",IF((219)=(S4),IF(IF((INDEX(B1:XFD1,((A3)+(1))+(0)))=("store"),(INDEX(B1:XFD1,((A3)+(1))+(1)))=("S"),"false"),B3,S223),S223))</f>
        <v>#VALUE!</v>
      </c>
      <c r="T223" t="e">
        <f ca="1">IF((A1)=(2),"",IF((219)=(T4),IF(IF((INDEX(B1:XFD1,((A3)+(1))+(0)))=("store"),(INDEX(B1:XFD1,((A3)+(1))+(1)))=("T"),"false"),B3,T223),T223))</f>
        <v>#VALUE!</v>
      </c>
      <c r="U223" t="e">
        <f ca="1">IF((A1)=(2),"",IF((219)=(U4),IF(IF((INDEX(B1:XFD1,((A3)+(1))+(0)))=("store"),(INDEX(B1:XFD1,((A3)+(1))+(1)))=("U"),"false"),B3,U223),U223))</f>
        <v>#VALUE!</v>
      </c>
      <c r="V223" t="e">
        <f ca="1">IF((A1)=(2),"",IF((219)=(V4),IF(IF((INDEX(B1:XFD1,((A3)+(1))+(0)))=("store"),(INDEX(B1:XFD1,((A3)+(1))+(1)))=("V"),"false"),B3,V223),V223))</f>
        <v>#VALUE!</v>
      </c>
      <c r="W223" t="e">
        <f ca="1">IF((A1)=(2),"",IF((219)=(W4),IF(IF((INDEX(B1:XFD1,((A3)+(1))+(0)))=("store"),(INDEX(B1:XFD1,((A3)+(1))+(1)))=("W"),"false"),B3,W223),W223))</f>
        <v>#VALUE!</v>
      </c>
      <c r="X223" t="e">
        <f ca="1">IF((A1)=(2),"",IF((219)=(X4),IF(IF((INDEX(B1:XFD1,((A3)+(1))+(0)))=("store"),(INDEX(B1:XFD1,((A3)+(1))+(1)))=("X"),"false"),B3,X223),X223))</f>
        <v>#VALUE!</v>
      </c>
      <c r="Y223" t="e">
        <f ca="1">IF((A1)=(2),"",IF((219)=(Y4),IF(IF((INDEX(B1:XFD1,((A3)+(1))+(0)))=("store"),(INDEX(B1:XFD1,((A3)+(1))+(1)))=("Y"),"false"),B3,Y223),Y223))</f>
        <v>#VALUE!</v>
      </c>
      <c r="Z223" t="e">
        <f ca="1">IF((A1)=(2),"",IF((219)=(Z4),IF(IF((INDEX(B1:XFD1,((A3)+(1))+(0)))=("store"),(INDEX(B1:XFD1,((A3)+(1))+(1)))=("Z"),"false"),B3,Z223),Z223))</f>
        <v>#VALUE!</v>
      </c>
      <c r="AA223" t="e">
        <f ca="1">IF((A1)=(2),"",IF((219)=(AA4),IF(IF((INDEX(B1:XFD1,((A3)+(1))+(0)))=("store"),(INDEX(B1:XFD1,((A3)+(1))+(1)))=("AA"),"false"),B3,AA223),AA223))</f>
        <v>#VALUE!</v>
      </c>
      <c r="AB223" t="e">
        <f ca="1">IF((A1)=(2),"",IF((219)=(AB4),IF(IF((INDEX(B1:XFD1,((A3)+(1))+(0)))=("store"),(INDEX(B1:XFD1,((A3)+(1))+(1)))=("AB"),"false"),B3,AB223),AB223))</f>
        <v>#VALUE!</v>
      </c>
      <c r="AC223" t="e">
        <f ca="1">IF((A1)=(2),"",IF((219)=(AC4),IF(IF((INDEX(B1:XFD1,((A3)+(1))+(0)))=("store"),(INDEX(B1:XFD1,((A3)+(1))+(1)))=("AC"),"false"),B3,AC223),AC223))</f>
        <v>#VALUE!</v>
      </c>
      <c r="AD223" t="e">
        <f ca="1">IF((A1)=(2),"",IF((219)=(AD4),IF(IF((INDEX(B1:XFD1,((A3)+(1))+(0)))=("store"),(INDEX(B1:XFD1,((A3)+(1))+(1)))=("AD"),"false"),B3,AD223),AD223))</f>
        <v>#VALUE!</v>
      </c>
    </row>
    <row r="224" spans="1:30" x14ac:dyDescent="0.25">
      <c r="A224" t="e">
        <f ca="1">IF((A1)=(2),"",IF((220)=(A4),IF(("call")=(INDEX(B1:XFD1,((A3)+(1))+(0))),(B3)*(2),IF(("goto")=(INDEX(B1:XFD1,((A3)+(1))+(0))),(INDEX(B1:XFD1,((A3)+(1))+(1)))*(2),IF(("gotoiftrue")=(INDEX(B1:XFD1,((A3)+(1))+(0))),IF(B3,(INDEX(B1:XFD1,((A3)+(1))+(1)))*(2),(A224)+(2)),(A224)+(2)))),A224))</f>
        <v>#VALUE!</v>
      </c>
      <c r="B224" t="e">
        <f ca="1">IF((A1)=(2),"",IF((220)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224)+(1)),IF(("add")=(INDEX(B1:XFD1,((A3)+(1))+(0))),(INDEX(B5:B405,(B4)+(1)))+(B224),IF(("equals")=(INDEX(B1:XFD1,((A3)+(1))+(0))),(INDEX(B5:B405,(B4)+(1)))=(B224),IF(("leq")=(INDEX(B1:XFD1,((A3)+(1))+(0))),(INDEX(B5:B405,(B4)+(1)))&lt;=(B224),IF(("greater")=(INDEX(B1:XFD1,((A3)+(1))+(0))),(INDEX(B5:B405,(B4)+(1)))&gt;(B224),IF(("mod")=(INDEX(B1:XFD1,((A3)+(1))+(0))),MOD(INDEX(B5:B405,(B4)+(1)),B224),B224))))))))),B224))</f>
        <v>#VALUE!</v>
      </c>
      <c r="C224" t="e">
        <f ca="1">IF((A1)=(2),1,IF(AND((INDEX(B1:XFD1,((A3)+(1))+(0)))=("writeheap"),(INDEX(B5:B405,(B4)+(1)))=(219)),INDEX(B5:B405,(B4)+(2)),IF((A1)=(2),"",IF((220)=(C4),C224,C224))))</f>
        <v>#VALUE!</v>
      </c>
      <c r="F224" t="e">
        <f ca="1">IF((A1)=(2),"",IF((220)=(F4),IF(IF((INDEX(B1:XFD1,((A3)+(1))+(0)))=("store"),(INDEX(B1:XFD1,((A3)+(1))+(1)))=("F"),"false"),B3,F224),F224))</f>
        <v>#VALUE!</v>
      </c>
      <c r="G224" t="e">
        <f ca="1">IF((A1)=(2),"",IF((220)=(G4),IF(IF((INDEX(B1:XFD1,((A3)+(1))+(0)))=("store"),(INDEX(B1:XFD1,((A3)+(1))+(1)))=("G"),"false"),B3,G224),G224))</f>
        <v>#VALUE!</v>
      </c>
      <c r="H224" t="e">
        <f ca="1">IF((A1)=(2),"",IF((220)=(H4),IF(IF((INDEX(B1:XFD1,((A3)+(1))+(0)))=("store"),(INDEX(B1:XFD1,((A3)+(1))+(1)))=("H"),"false"),B3,H224),H224))</f>
        <v>#VALUE!</v>
      </c>
      <c r="I224" t="e">
        <f ca="1">IF((A1)=(2),"",IF((220)=(I4),IF(IF((INDEX(B1:XFD1,((A3)+(1))+(0)))=("store"),(INDEX(B1:XFD1,((A3)+(1))+(1)))=("I"),"false"),B3,I224),I224))</f>
        <v>#VALUE!</v>
      </c>
      <c r="J224" t="e">
        <f ca="1">IF((A1)=(2),"",IF((220)=(J4),IF(IF((INDEX(B1:XFD1,((A3)+(1))+(0)))=("store"),(INDEX(B1:XFD1,((A3)+(1))+(1)))=("J"),"false"),B3,J224),J224))</f>
        <v>#VALUE!</v>
      </c>
      <c r="K224" t="e">
        <f ca="1">IF((A1)=(2),"",IF((220)=(K4),IF(IF((INDEX(B1:XFD1,((A3)+(1))+(0)))=("store"),(INDEX(B1:XFD1,((A3)+(1))+(1)))=("K"),"false"),B3,K224),K224))</f>
        <v>#VALUE!</v>
      </c>
      <c r="L224" t="e">
        <f ca="1">IF((A1)=(2),"",IF((220)=(L4),IF(IF((INDEX(B1:XFD1,((A3)+(1))+(0)))=("store"),(INDEX(B1:XFD1,((A3)+(1))+(1)))=("L"),"false"),B3,L224),L224))</f>
        <v>#VALUE!</v>
      </c>
      <c r="M224" t="e">
        <f ca="1">IF((A1)=(2),"",IF((220)=(M4),IF(IF((INDEX(B1:XFD1,((A3)+(1))+(0)))=("store"),(INDEX(B1:XFD1,((A3)+(1))+(1)))=("M"),"false"),B3,M224),M224))</f>
        <v>#VALUE!</v>
      </c>
      <c r="N224" t="e">
        <f ca="1">IF((A1)=(2),"",IF((220)=(N4),IF(IF((INDEX(B1:XFD1,((A3)+(1))+(0)))=("store"),(INDEX(B1:XFD1,((A3)+(1))+(1)))=("N"),"false"),B3,N224),N224))</f>
        <v>#VALUE!</v>
      </c>
      <c r="O224" t="e">
        <f ca="1">IF((A1)=(2),"",IF((220)=(O4),IF(IF((INDEX(B1:XFD1,((A3)+(1))+(0)))=("store"),(INDEX(B1:XFD1,((A3)+(1))+(1)))=("O"),"false"),B3,O224),O224))</f>
        <v>#VALUE!</v>
      </c>
      <c r="P224" t="e">
        <f ca="1">IF((A1)=(2),"",IF((220)=(P4),IF(IF((INDEX(B1:XFD1,((A3)+(1))+(0)))=("store"),(INDEX(B1:XFD1,((A3)+(1))+(1)))=("P"),"false"),B3,P224),P224))</f>
        <v>#VALUE!</v>
      </c>
      <c r="Q224" t="e">
        <f ca="1">IF((A1)=(2),"",IF((220)=(Q4),IF(IF((INDEX(B1:XFD1,((A3)+(1))+(0)))=("store"),(INDEX(B1:XFD1,((A3)+(1))+(1)))=("Q"),"false"),B3,Q224),Q224))</f>
        <v>#VALUE!</v>
      </c>
      <c r="R224" t="e">
        <f ca="1">IF((A1)=(2),"",IF((220)=(R4),IF(IF((INDEX(B1:XFD1,((A3)+(1))+(0)))=("store"),(INDEX(B1:XFD1,((A3)+(1))+(1)))=("R"),"false"),B3,R224),R224))</f>
        <v>#VALUE!</v>
      </c>
      <c r="S224" t="e">
        <f ca="1">IF((A1)=(2),"",IF((220)=(S4),IF(IF((INDEX(B1:XFD1,((A3)+(1))+(0)))=("store"),(INDEX(B1:XFD1,((A3)+(1))+(1)))=("S"),"false"),B3,S224),S224))</f>
        <v>#VALUE!</v>
      </c>
      <c r="T224" t="e">
        <f ca="1">IF((A1)=(2),"",IF((220)=(T4),IF(IF((INDEX(B1:XFD1,((A3)+(1))+(0)))=("store"),(INDEX(B1:XFD1,((A3)+(1))+(1)))=("T"),"false"),B3,T224),T224))</f>
        <v>#VALUE!</v>
      </c>
      <c r="U224" t="e">
        <f ca="1">IF((A1)=(2),"",IF((220)=(U4),IF(IF((INDEX(B1:XFD1,((A3)+(1))+(0)))=("store"),(INDEX(B1:XFD1,((A3)+(1))+(1)))=("U"),"false"),B3,U224),U224))</f>
        <v>#VALUE!</v>
      </c>
      <c r="V224" t="e">
        <f ca="1">IF((A1)=(2),"",IF((220)=(V4),IF(IF((INDEX(B1:XFD1,((A3)+(1))+(0)))=("store"),(INDEX(B1:XFD1,((A3)+(1))+(1)))=("V"),"false"),B3,V224),V224))</f>
        <v>#VALUE!</v>
      </c>
      <c r="W224" t="e">
        <f ca="1">IF((A1)=(2),"",IF((220)=(W4),IF(IF((INDEX(B1:XFD1,((A3)+(1))+(0)))=("store"),(INDEX(B1:XFD1,((A3)+(1))+(1)))=("W"),"false"),B3,W224),W224))</f>
        <v>#VALUE!</v>
      </c>
      <c r="X224" t="e">
        <f ca="1">IF((A1)=(2),"",IF((220)=(X4),IF(IF((INDEX(B1:XFD1,((A3)+(1))+(0)))=("store"),(INDEX(B1:XFD1,((A3)+(1))+(1)))=("X"),"false"),B3,X224),X224))</f>
        <v>#VALUE!</v>
      </c>
      <c r="Y224" t="e">
        <f ca="1">IF((A1)=(2),"",IF((220)=(Y4),IF(IF((INDEX(B1:XFD1,((A3)+(1))+(0)))=("store"),(INDEX(B1:XFD1,((A3)+(1))+(1)))=("Y"),"false"),B3,Y224),Y224))</f>
        <v>#VALUE!</v>
      </c>
      <c r="Z224" t="e">
        <f ca="1">IF((A1)=(2),"",IF((220)=(Z4),IF(IF((INDEX(B1:XFD1,((A3)+(1))+(0)))=("store"),(INDEX(B1:XFD1,((A3)+(1))+(1)))=("Z"),"false"),B3,Z224),Z224))</f>
        <v>#VALUE!</v>
      </c>
      <c r="AA224" t="e">
        <f ca="1">IF((A1)=(2),"",IF((220)=(AA4),IF(IF((INDEX(B1:XFD1,((A3)+(1))+(0)))=("store"),(INDEX(B1:XFD1,((A3)+(1))+(1)))=("AA"),"false"),B3,AA224),AA224))</f>
        <v>#VALUE!</v>
      </c>
      <c r="AB224" t="e">
        <f ca="1">IF((A1)=(2),"",IF((220)=(AB4),IF(IF((INDEX(B1:XFD1,((A3)+(1))+(0)))=("store"),(INDEX(B1:XFD1,((A3)+(1))+(1)))=("AB"),"false"),B3,AB224),AB224))</f>
        <v>#VALUE!</v>
      </c>
      <c r="AC224" t="e">
        <f ca="1">IF((A1)=(2),"",IF((220)=(AC4),IF(IF((INDEX(B1:XFD1,((A3)+(1))+(0)))=("store"),(INDEX(B1:XFD1,((A3)+(1))+(1)))=("AC"),"false"),B3,AC224),AC224))</f>
        <v>#VALUE!</v>
      </c>
      <c r="AD224" t="e">
        <f ca="1">IF((A1)=(2),"",IF((220)=(AD4),IF(IF((INDEX(B1:XFD1,((A3)+(1))+(0)))=("store"),(INDEX(B1:XFD1,((A3)+(1))+(1)))=("AD"),"false"),B3,AD224),AD224))</f>
        <v>#VALUE!</v>
      </c>
    </row>
    <row r="225" spans="1:30" x14ac:dyDescent="0.25">
      <c r="A225" t="e">
        <f ca="1">IF((A1)=(2),"",IF((221)=(A4),IF(("call")=(INDEX(B1:XFD1,((A3)+(1))+(0))),(B3)*(2),IF(("goto")=(INDEX(B1:XFD1,((A3)+(1))+(0))),(INDEX(B1:XFD1,((A3)+(1))+(1)))*(2),IF(("gotoiftrue")=(INDEX(B1:XFD1,((A3)+(1))+(0))),IF(B3,(INDEX(B1:XFD1,((A3)+(1))+(1)))*(2),(A225)+(2)),(A225)+(2)))),A225))</f>
        <v>#VALUE!</v>
      </c>
      <c r="B225" t="e">
        <f ca="1">IF((A1)=(2),"",IF((221)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225)+(1)),IF(("add")=(INDEX(B1:XFD1,((A3)+(1))+(0))),(INDEX(B5:B405,(B4)+(1)))+(B225),IF(("equals")=(INDEX(B1:XFD1,((A3)+(1))+(0))),(INDEX(B5:B405,(B4)+(1)))=(B225),IF(("leq")=(INDEX(B1:XFD1,((A3)+(1))+(0))),(INDEX(B5:B405,(B4)+(1)))&lt;=(B225),IF(("greater")=(INDEX(B1:XFD1,((A3)+(1))+(0))),(INDEX(B5:B405,(B4)+(1)))&gt;(B225),IF(("mod")=(INDEX(B1:XFD1,((A3)+(1))+(0))),MOD(INDEX(B5:B405,(B4)+(1)),B225),B225))))))))),B225))</f>
        <v>#VALUE!</v>
      </c>
      <c r="C225" t="e">
        <f ca="1">IF((A1)=(2),1,IF(AND((INDEX(B1:XFD1,((A3)+(1))+(0)))=("writeheap"),(INDEX(B5:B405,(B4)+(1)))=(220)),INDEX(B5:B405,(B4)+(2)),IF((A1)=(2),"",IF((221)=(C4),C225,C225))))</f>
        <v>#VALUE!</v>
      </c>
      <c r="F225" t="e">
        <f ca="1">IF((A1)=(2),"",IF((221)=(F4),IF(IF((INDEX(B1:XFD1,((A3)+(1))+(0)))=("store"),(INDEX(B1:XFD1,((A3)+(1))+(1)))=("F"),"false"),B3,F225),F225))</f>
        <v>#VALUE!</v>
      </c>
      <c r="G225" t="e">
        <f ca="1">IF((A1)=(2),"",IF((221)=(G4),IF(IF((INDEX(B1:XFD1,((A3)+(1))+(0)))=("store"),(INDEX(B1:XFD1,((A3)+(1))+(1)))=("G"),"false"),B3,G225),G225))</f>
        <v>#VALUE!</v>
      </c>
      <c r="H225" t="e">
        <f ca="1">IF((A1)=(2),"",IF((221)=(H4),IF(IF((INDEX(B1:XFD1,((A3)+(1))+(0)))=("store"),(INDEX(B1:XFD1,((A3)+(1))+(1)))=("H"),"false"),B3,H225),H225))</f>
        <v>#VALUE!</v>
      </c>
      <c r="I225" t="e">
        <f ca="1">IF((A1)=(2),"",IF((221)=(I4),IF(IF((INDEX(B1:XFD1,((A3)+(1))+(0)))=("store"),(INDEX(B1:XFD1,((A3)+(1))+(1)))=("I"),"false"),B3,I225),I225))</f>
        <v>#VALUE!</v>
      </c>
      <c r="J225" t="e">
        <f ca="1">IF((A1)=(2),"",IF((221)=(J4),IF(IF((INDEX(B1:XFD1,((A3)+(1))+(0)))=("store"),(INDEX(B1:XFD1,((A3)+(1))+(1)))=("J"),"false"),B3,J225),J225))</f>
        <v>#VALUE!</v>
      </c>
      <c r="K225" t="e">
        <f ca="1">IF((A1)=(2),"",IF((221)=(K4),IF(IF((INDEX(B1:XFD1,((A3)+(1))+(0)))=("store"),(INDEX(B1:XFD1,((A3)+(1))+(1)))=("K"),"false"),B3,K225),K225))</f>
        <v>#VALUE!</v>
      </c>
      <c r="L225" t="e">
        <f ca="1">IF((A1)=(2),"",IF((221)=(L4),IF(IF((INDEX(B1:XFD1,((A3)+(1))+(0)))=("store"),(INDEX(B1:XFD1,((A3)+(1))+(1)))=("L"),"false"),B3,L225),L225))</f>
        <v>#VALUE!</v>
      </c>
      <c r="M225" t="e">
        <f ca="1">IF((A1)=(2),"",IF((221)=(M4),IF(IF((INDEX(B1:XFD1,((A3)+(1))+(0)))=("store"),(INDEX(B1:XFD1,((A3)+(1))+(1)))=("M"),"false"),B3,M225),M225))</f>
        <v>#VALUE!</v>
      </c>
      <c r="N225" t="e">
        <f ca="1">IF((A1)=(2),"",IF((221)=(N4),IF(IF((INDEX(B1:XFD1,((A3)+(1))+(0)))=("store"),(INDEX(B1:XFD1,((A3)+(1))+(1)))=("N"),"false"),B3,N225),N225))</f>
        <v>#VALUE!</v>
      </c>
      <c r="O225" t="e">
        <f ca="1">IF((A1)=(2),"",IF((221)=(O4),IF(IF((INDEX(B1:XFD1,((A3)+(1))+(0)))=("store"),(INDEX(B1:XFD1,((A3)+(1))+(1)))=("O"),"false"),B3,O225),O225))</f>
        <v>#VALUE!</v>
      </c>
      <c r="P225" t="e">
        <f ca="1">IF((A1)=(2),"",IF((221)=(P4),IF(IF((INDEX(B1:XFD1,((A3)+(1))+(0)))=("store"),(INDEX(B1:XFD1,((A3)+(1))+(1)))=("P"),"false"),B3,P225),P225))</f>
        <v>#VALUE!</v>
      </c>
      <c r="Q225" t="e">
        <f ca="1">IF((A1)=(2),"",IF((221)=(Q4),IF(IF((INDEX(B1:XFD1,((A3)+(1))+(0)))=("store"),(INDEX(B1:XFD1,((A3)+(1))+(1)))=("Q"),"false"),B3,Q225),Q225))</f>
        <v>#VALUE!</v>
      </c>
      <c r="R225" t="e">
        <f ca="1">IF((A1)=(2),"",IF((221)=(R4),IF(IF((INDEX(B1:XFD1,((A3)+(1))+(0)))=("store"),(INDEX(B1:XFD1,((A3)+(1))+(1)))=("R"),"false"),B3,R225),R225))</f>
        <v>#VALUE!</v>
      </c>
      <c r="S225" t="e">
        <f ca="1">IF((A1)=(2),"",IF((221)=(S4),IF(IF((INDEX(B1:XFD1,((A3)+(1))+(0)))=("store"),(INDEX(B1:XFD1,((A3)+(1))+(1)))=("S"),"false"),B3,S225),S225))</f>
        <v>#VALUE!</v>
      </c>
      <c r="T225" t="e">
        <f ca="1">IF((A1)=(2),"",IF((221)=(T4),IF(IF((INDEX(B1:XFD1,((A3)+(1))+(0)))=("store"),(INDEX(B1:XFD1,((A3)+(1))+(1)))=("T"),"false"),B3,T225),T225))</f>
        <v>#VALUE!</v>
      </c>
      <c r="U225" t="e">
        <f ca="1">IF((A1)=(2),"",IF((221)=(U4),IF(IF((INDEX(B1:XFD1,((A3)+(1))+(0)))=("store"),(INDEX(B1:XFD1,((A3)+(1))+(1)))=("U"),"false"),B3,U225),U225))</f>
        <v>#VALUE!</v>
      </c>
      <c r="V225" t="e">
        <f ca="1">IF((A1)=(2),"",IF((221)=(V4),IF(IF((INDEX(B1:XFD1,((A3)+(1))+(0)))=("store"),(INDEX(B1:XFD1,((A3)+(1))+(1)))=("V"),"false"),B3,V225),V225))</f>
        <v>#VALUE!</v>
      </c>
      <c r="W225" t="e">
        <f ca="1">IF((A1)=(2),"",IF((221)=(W4),IF(IF((INDEX(B1:XFD1,((A3)+(1))+(0)))=("store"),(INDEX(B1:XFD1,((A3)+(1))+(1)))=("W"),"false"),B3,W225),W225))</f>
        <v>#VALUE!</v>
      </c>
      <c r="X225" t="e">
        <f ca="1">IF((A1)=(2),"",IF((221)=(X4),IF(IF((INDEX(B1:XFD1,((A3)+(1))+(0)))=("store"),(INDEX(B1:XFD1,((A3)+(1))+(1)))=("X"),"false"),B3,X225),X225))</f>
        <v>#VALUE!</v>
      </c>
      <c r="Y225" t="e">
        <f ca="1">IF((A1)=(2),"",IF((221)=(Y4),IF(IF((INDEX(B1:XFD1,((A3)+(1))+(0)))=("store"),(INDEX(B1:XFD1,((A3)+(1))+(1)))=("Y"),"false"),B3,Y225),Y225))</f>
        <v>#VALUE!</v>
      </c>
      <c r="Z225" t="e">
        <f ca="1">IF((A1)=(2),"",IF((221)=(Z4),IF(IF((INDEX(B1:XFD1,((A3)+(1))+(0)))=("store"),(INDEX(B1:XFD1,((A3)+(1))+(1)))=("Z"),"false"),B3,Z225),Z225))</f>
        <v>#VALUE!</v>
      </c>
      <c r="AA225" t="e">
        <f ca="1">IF((A1)=(2),"",IF((221)=(AA4),IF(IF((INDEX(B1:XFD1,((A3)+(1))+(0)))=("store"),(INDEX(B1:XFD1,((A3)+(1))+(1)))=("AA"),"false"),B3,AA225),AA225))</f>
        <v>#VALUE!</v>
      </c>
      <c r="AB225" t="e">
        <f ca="1">IF((A1)=(2),"",IF((221)=(AB4),IF(IF((INDEX(B1:XFD1,((A3)+(1))+(0)))=("store"),(INDEX(B1:XFD1,((A3)+(1))+(1)))=("AB"),"false"),B3,AB225),AB225))</f>
        <v>#VALUE!</v>
      </c>
      <c r="AC225" t="e">
        <f ca="1">IF((A1)=(2),"",IF((221)=(AC4),IF(IF((INDEX(B1:XFD1,((A3)+(1))+(0)))=("store"),(INDEX(B1:XFD1,((A3)+(1))+(1)))=("AC"),"false"),B3,AC225),AC225))</f>
        <v>#VALUE!</v>
      </c>
      <c r="AD225" t="e">
        <f ca="1">IF((A1)=(2),"",IF((221)=(AD4),IF(IF((INDEX(B1:XFD1,((A3)+(1))+(0)))=("store"),(INDEX(B1:XFD1,((A3)+(1))+(1)))=("AD"),"false"),B3,AD225),AD225))</f>
        <v>#VALUE!</v>
      </c>
    </row>
    <row r="226" spans="1:30" x14ac:dyDescent="0.25">
      <c r="A226" t="e">
        <f ca="1">IF((A1)=(2),"",IF((222)=(A4),IF(("call")=(INDEX(B1:XFD1,((A3)+(1))+(0))),(B3)*(2),IF(("goto")=(INDEX(B1:XFD1,((A3)+(1))+(0))),(INDEX(B1:XFD1,((A3)+(1))+(1)))*(2),IF(("gotoiftrue")=(INDEX(B1:XFD1,((A3)+(1))+(0))),IF(B3,(INDEX(B1:XFD1,((A3)+(1))+(1)))*(2),(A226)+(2)),(A226)+(2)))),A226))</f>
        <v>#VALUE!</v>
      </c>
      <c r="B226" t="e">
        <f ca="1">IF((A1)=(2),"",IF((222)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226)+(1)),IF(("add")=(INDEX(B1:XFD1,((A3)+(1))+(0))),(INDEX(B5:B405,(B4)+(1)))+(B226),IF(("equals")=(INDEX(B1:XFD1,((A3)+(1))+(0))),(INDEX(B5:B405,(B4)+(1)))=(B226),IF(("leq")=(INDEX(B1:XFD1,((A3)+(1))+(0))),(INDEX(B5:B405,(B4)+(1)))&lt;=(B226),IF(("greater")=(INDEX(B1:XFD1,((A3)+(1))+(0))),(INDEX(B5:B405,(B4)+(1)))&gt;(B226),IF(("mod")=(INDEX(B1:XFD1,((A3)+(1))+(0))),MOD(INDEX(B5:B405,(B4)+(1)),B226),B226))))))))),B226))</f>
        <v>#VALUE!</v>
      </c>
      <c r="C226" t="e">
        <f ca="1">IF((A1)=(2),1,IF(AND((INDEX(B1:XFD1,((A3)+(1))+(0)))=("writeheap"),(INDEX(B5:B405,(B4)+(1)))=(221)),INDEX(B5:B405,(B4)+(2)),IF((A1)=(2),"",IF((222)=(C4),C226,C226))))</f>
        <v>#VALUE!</v>
      </c>
      <c r="F226" t="e">
        <f ca="1">IF((A1)=(2),"",IF((222)=(F4),IF(IF((INDEX(B1:XFD1,((A3)+(1))+(0)))=("store"),(INDEX(B1:XFD1,((A3)+(1))+(1)))=("F"),"false"),B3,F226),F226))</f>
        <v>#VALUE!</v>
      </c>
      <c r="G226" t="e">
        <f ca="1">IF((A1)=(2),"",IF((222)=(G4),IF(IF((INDEX(B1:XFD1,((A3)+(1))+(0)))=("store"),(INDEX(B1:XFD1,((A3)+(1))+(1)))=("G"),"false"),B3,G226),G226))</f>
        <v>#VALUE!</v>
      </c>
      <c r="H226" t="e">
        <f ca="1">IF((A1)=(2),"",IF((222)=(H4),IF(IF((INDEX(B1:XFD1,((A3)+(1))+(0)))=("store"),(INDEX(B1:XFD1,((A3)+(1))+(1)))=("H"),"false"),B3,H226),H226))</f>
        <v>#VALUE!</v>
      </c>
      <c r="I226" t="e">
        <f ca="1">IF((A1)=(2),"",IF((222)=(I4),IF(IF((INDEX(B1:XFD1,((A3)+(1))+(0)))=("store"),(INDEX(B1:XFD1,((A3)+(1))+(1)))=("I"),"false"),B3,I226),I226))</f>
        <v>#VALUE!</v>
      </c>
      <c r="J226" t="e">
        <f ca="1">IF((A1)=(2),"",IF((222)=(J4),IF(IF((INDEX(B1:XFD1,((A3)+(1))+(0)))=("store"),(INDEX(B1:XFD1,((A3)+(1))+(1)))=("J"),"false"),B3,J226),J226))</f>
        <v>#VALUE!</v>
      </c>
      <c r="K226" t="e">
        <f ca="1">IF((A1)=(2),"",IF((222)=(K4),IF(IF((INDEX(B1:XFD1,((A3)+(1))+(0)))=("store"),(INDEX(B1:XFD1,((A3)+(1))+(1)))=("K"),"false"),B3,K226),K226))</f>
        <v>#VALUE!</v>
      </c>
      <c r="L226" t="e">
        <f ca="1">IF((A1)=(2),"",IF((222)=(L4),IF(IF((INDEX(B1:XFD1,((A3)+(1))+(0)))=("store"),(INDEX(B1:XFD1,((A3)+(1))+(1)))=("L"),"false"),B3,L226),L226))</f>
        <v>#VALUE!</v>
      </c>
      <c r="M226" t="e">
        <f ca="1">IF((A1)=(2),"",IF((222)=(M4),IF(IF((INDEX(B1:XFD1,((A3)+(1))+(0)))=("store"),(INDEX(B1:XFD1,((A3)+(1))+(1)))=("M"),"false"),B3,M226),M226))</f>
        <v>#VALUE!</v>
      </c>
      <c r="N226" t="e">
        <f ca="1">IF((A1)=(2),"",IF((222)=(N4),IF(IF((INDEX(B1:XFD1,((A3)+(1))+(0)))=("store"),(INDEX(B1:XFD1,((A3)+(1))+(1)))=("N"),"false"),B3,N226),N226))</f>
        <v>#VALUE!</v>
      </c>
      <c r="O226" t="e">
        <f ca="1">IF((A1)=(2),"",IF((222)=(O4),IF(IF((INDEX(B1:XFD1,((A3)+(1))+(0)))=("store"),(INDEX(B1:XFD1,((A3)+(1))+(1)))=("O"),"false"),B3,O226),O226))</f>
        <v>#VALUE!</v>
      </c>
      <c r="P226" t="e">
        <f ca="1">IF((A1)=(2),"",IF((222)=(P4),IF(IF((INDEX(B1:XFD1,((A3)+(1))+(0)))=("store"),(INDEX(B1:XFD1,((A3)+(1))+(1)))=("P"),"false"),B3,P226),P226))</f>
        <v>#VALUE!</v>
      </c>
      <c r="Q226" t="e">
        <f ca="1">IF((A1)=(2),"",IF((222)=(Q4),IF(IF((INDEX(B1:XFD1,((A3)+(1))+(0)))=("store"),(INDEX(B1:XFD1,((A3)+(1))+(1)))=("Q"),"false"),B3,Q226),Q226))</f>
        <v>#VALUE!</v>
      </c>
      <c r="R226" t="e">
        <f ca="1">IF((A1)=(2),"",IF((222)=(R4),IF(IF((INDEX(B1:XFD1,((A3)+(1))+(0)))=("store"),(INDEX(B1:XFD1,((A3)+(1))+(1)))=("R"),"false"),B3,R226),R226))</f>
        <v>#VALUE!</v>
      </c>
      <c r="S226" t="e">
        <f ca="1">IF((A1)=(2),"",IF((222)=(S4),IF(IF((INDEX(B1:XFD1,((A3)+(1))+(0)))=("store"),(INDEX(B1:XFD1,((A3)+(1))+(1)))=("S"),"false"),B3,S226),S226))</f>
        <v>#VALUE!</v>
      </c>
      <c r="T226" t="e">
        <f ca="1">IF((A1)=(2),"",IF((222)=(T4),IF(IF((INDEX(B1:XFD1,((A3)+(1))+(0)))=("store"),(INDEX(B1:XFD1,((A3)+(1))+(1)))=("T"),"false"),B3,T226),T226))</f>
        <v>#VALUE!</v>
      </c>
      <c r="U226" t="e">
        <f ca="1">IF((A1)=(2),"",IF((222)=(U4),IF(IF((INDEX(B1:XFD1,((A3)+(1))+(0)))=("store"),(INDEX(B1:XFD1,((A3)+(1))+(1)))=("U"),"false"),B3,U226),U226))</f>
        <v>#VALUE!</v>
      </c>
      <c r="V226" t="e">
        <f ca="1">IF((A1)=(2),"",IF((222)=(V4),IF(IF((INDEX(B1:XFD1,((A3)+(1))+(0)))=("store"),(INDEX(B1:XFD1,((A3)+(1))+(1)))=("V"),"false"),B3,V226),V226))</f>
        <v>#VALUE!</v>
      </c>
      <c r="W226" t="e">
        <f ca="1">IF((A1)=(2),"",IF((222)=(W4),IF(IF((INDEX(B1:XFD1,((A3)+(1))+(0)))=("store"),(INDEX(B1:XFD1,((A3)+(1))+(1)))=("W"),"false"),B3,W226),W226))</f>
        <v>#VALUE!</v>
      </c>
      <c r="X226" t="e">
        <f ca="1">IF((A1)=(2),"",IF((222)=(X4),IF(IF((INDEX(B1:XFD1,((A3)+(1))+(0)))=("store"),(INDEX(B1:XFD1,((A3)+(1))+(1)))=("X"),"false"),B3,X226),X226))</f>
        <v>#VALUE!</v>
      </c>
      <c r="Y226" t="e">
        <f ca="1">IF((A1)=(2),"",IF((222)=(Y4),IF(IF((INDEX(B1:XFD1,((A3)+(1))+(0)))=("store"),(INDEX(B1:XFD1,((A3)+(1))+(1)))=("Y"),"false"),B3,Y226),Y226))</f>
        <v>#VALUE!</v>
      </c>
      <c r="Z226" t="e">
        <f ca="1">IF((A1)=(2),"",IF((222)=(Z4),IF(IF((INDEX(B1:XFD1,((A3)+(1))+(0)))=("store"),(INDEX(B1:XFD1,((A3)+(1))+(1)))=("Z"),"false"),B3,Z226),Z226))</f>
        <v>#VALUE!</v>
      </c>
      <c r="AA226" t="e">
        <f ca="1">IF((A1)=(2),"",IF((222)=(AA4),IF(IF((INDEX(B1:XFD1,((A3)+(1))+(0)))=("store"),(INDEX(B1:XFD1,((A3)+(1))+(1)))=("AA"),"false"),B3,AA226),AA226))</f>
        <v>#VALUE!</v>
      </c>
      <c r="AB226" t="e">
        <f ca="1">IF((A1)=(2),"",IF((222)=(AB4),IF(IF((INDEX(B1:XFD1,((A3)+(1))+(0)))=("store"),(INDEX(B1:XFD1,((A3)+(1))+(1)))=("AB"),"false"),B3,AB226),AB226))</f>
        <v>#VALUE!</v>
      </c>
      <c r="AC226" t="e">
        <f ca="1">IF((A1)=(2),"",IF((222)=(AC4),IF(IF((INDEX(B1:XFD1,((A3)+(1))+(0)))=("store"),(INDEX(B1:XFD1,((A3)+(1))+(1)))=("AC"),"false"),B3,AC226),AC226))</f>
        <v>#VALUE!</v>
      </c>
      <c r="AD226" t="e">
        <f ca="1">IF((A1)=(2),"",IF((222)=(AD4),IF(IF((INDEX(B1:XFD1,((A3)+(1))+(0)))=("store"),(INDEX(B1:XFD1,((A3)+(1))+(1)))=("AD"),"false"),B3,AD226),AD226))</f>
        <v>#VALUE!</v>
      </c>
    </row>
    <row r="227" spans="1:30" x14ac:dyDescent="0.25">
      <c r="A227" t="e">
        <f ca="1">IF((A1)=(2),"",IF((223)=(A4),IF(("call")=(INDEX(B1:XFD1,((A3)+(1))+(0))),(B3)*(2),IF(("goto")=(INDEX(B1:XFD1,((A3)+(1))+(0))),(INDEX(B1:XFD1,((A3)+(1))+(1)))*(2),IF(("gotoiftrue")=(INDEX(B1:XFD1,((A3)+(1))+(0))),IF(B3,(INDEX(B1:XFD1,((A3)+(1))+(1)))*(2),(A227)+(2)),(A227)+(2)))),A227))</f>
        <v>#VALUE!</v>
      </c>
      <c r="B227" t="e">
        <f ca="1">IF((A1)=(2),"",IF((223)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227)+(1)),IF(("add")=(INDEX(B1:XFD1,((A3)+(1))+(0))),(INDEX(B5:B405,(B4)+(1)))+(B227),IF(("equals")=(INDEX(B1:XFD1,((A3)+(1))+(0))),(INDEX(B5:B405,(B4)+(1)))=(B227),IF(("leq")=(INDEX(B1:XFD1,((A3)+(1))+(0))),(INDEX(B5:B405,(B4)+(1)))&lt;=(B227),IF(("greater")=(INDEX(B1:XFD1,((A3)+(1))+(0))),(INDEX(B5:B405,(B4)+(1)))&gt;(B227),IF(("mod")=(INDEX(B1:XFD1,((A3)+(1))+(0))),MOD(INDEX(B5:B405,(B4)+(1)),B227),B227))))))))),B227))</f>
        <v>#VALUE!</v>
      </c>
      <c r="C227" t="e">
        <f ca="1">IF((A1)=(2),1,IF(AND((INDEX(B1:XFD1,((A3)+(1))+(0)))=("writeheap"),(INDEX(B5:B405,(B4)+(1)))=(222)),INDEX(B5:B405,(B4)+(2)),IF((A1)=(2),"",IF((223)=(C4),C227,C227))))</f>
        <v>#VALUE!</v>
      </c>
      <c r="F227" t="e">
        <f ca="1">IF((A1)=(2),"",IF((223)=(F4),IF(IF((INDEX(B1:XFD1,((A3)+(1))+(0)))=("store"),(INDEX(B1:XFD1,((A3)+(1))+(1)))=("F"),"false"),B3,F227),F227))</f>
        <v>#VALUE!</v>
      </c>
      <c r="G227" t="e">
        <f ca="1">IF((A1)=(2),"",IF((223)=(G4),IF(IF((INDEX(B1:XFD1,((A3)+(1))+(0)))=("store"),(INDEX(B1:XFD1,((A3)+(1))+(1)))=("G"),"false"),B3,G227),G227))</f>
        <v>#VALUE!</v>
      </c>
      <c r="H227" t="e">
        <f ca="1">IF((A1)=(2),"",IF((223)=(H4),IF(IF((INDEX(B1:XFD1,((A3)+(1))+(0)))=("store"),(INDEX(B1:XFD1,((A3)+(1))+(1)))=("H"),"false"),B3,H227),H227))</f>
        <v>#VALUE!</v>
      </c>
      <c r="I227" t="e">
        <f ca="1">IF((A1)=(2),"",IF((223)=(I4),IF(IF((INDEX(B1:XFD1,((A3)+(1))+(0)))=("store"),(INDEX(B1:XFD1,((A3)+(1))+(1)))=("I"),"false"),B3,I227),I227))</f>
        <v>#VALUE!</v>
      </c>
      <c r="J227" t="e">
        <f ca="1">IF((A1)=(2),"",IF((223)=(J4),IF(IF((INDEX(B1:XFD1,((A3)+(1))+(0)))=("store"),(INDEX(B1:XFD1,((A3)+(1))+(1)))=("J"),"false"),B3,J227),J227))</f>
        <v>#VALUE!</v>
      </c>
      <c r="K227" t="e">
        <f ca="1">IF((A1)=(2),"",IF((223)=(K4),IF(IF((INDEX(B1:XFD1,((A3)+(1))+(0)))=("store"),(INDEX(B1:XFD1,((A3)+(1))+(1)))=("K"),"false"),B3,K227),K227))</f>
        <v>#VALUE!</v>
      </c>
      <c r="L227" t="e">
        <f ca="1">IF((A1)=(2),"",IF((223)=(L4),IF(IF((INDEX(B1:XFD1,((A3)+(1))+(0)))=("store"),(INDEX(B1:XFD1,((A3)+(1))+(1)))=("L"),"false"),B3,L227),L227))</f>
        <v>#VALUE!</v>
      </c>
      <c r="M227" t="e">
        <f ca="1">IF((A1)=(2),"",IF((223)=(M4),IF(IF((INDEX(B1:XFD1,((A3)+(1))+(0)))=("store"),(INDEX(B1:XFD1,((A3)+(1))+(1)))=("M"),"false"),B3,M227),M227))</f>
        <v>#VALUE!</v>
      </c>
      <c r="N227" t="e">
        <f ca="1">IF((A1)=(2),"",IF((223)=(N4),IF(IF((INDEX(B1:XFD1,((A3)+(1))+(0)))=("store"),(INDEX(B1:XFD1,((A3)+(1))+(1)))=("N"),"false"),B3,N227),N227))</f>
        <v>#VALUE!</v>
      </c>
      <c r="O227" t="e">
        <f ca="1">IF((A1)=(2),"",IF((223)=(O4),IF(IF((INDEX(B1:XFD1,((A3)+(1))+(0)))=("store"),(INDEX(B1:XFD1,((A3)+(1))+(1)))=("O"),"false"),B3,O227),O227))</f>
        <v>#VALUE!</v>
      </c>
      <c r="P227" t="e">
        <f ca="1">IF((A1)=(2),"",IF((223)=(P4),IF(IF((INDEX(B1:XFD1,((A3)+(1))+(0)))=("store"),(INDEX(B1:XFD1,((A3)+(1))+(1)))=("P"),"false"),B3,P227),P227))</f>
        <v>#VALUE!</v>
      </c>
      <c r="Q227" t="e">
        <f ca="1">IF((A1)=(2),"",IF((223)=(Q4),IF(IF((INDEX(B1:XFD1,((A3)+(1))+(0)))=("store"),(INDEX(B1:XFD1,((A3)+(1))+(1)))=("Q"),"false"),B3,Q227),Q227))</f>
        <v>#VALUE!</v>
      </c>
      <c r="R227" t="e">
        <f ca="1">IF((A1)=(2),"",IF((223)=(R4),IF(IF((INDEX(B1:XFD1,((A3)+(1))+(0)))=("store"),(INDEX(B1:XFD1,((A3)+(1))+(1)))=("R"),"false"),B3,R227),R227))</f>
        <v>#VALUE!</v>
      </c>
      <c r="S227" t="e">
        <f ca="1">IF((A1)=(2),"",IF((223)=(S4),IF(IF((INDEX(B1:XFD1,((A3)+(1))+(0)))=("store"),(INDEX(B1:XFD1,((A3)+(1))+(1)))=("S"),"false"),B3,S227),S227))</f>
        <v>#VALUE!</v>
      </c>
      <c r="T227" t="e">
        <f ca="1">IF((A1)=(2),"",IF((223)=(T4),IF(IF((INDEX(B1:XFD1,((A3)+(1))+(0)))=("store"),(INDEX(B1:XFD1,((A3)+(1))+(1)))=("T"),"false"),B3,T227),T227))</f>
        <v>#VALUE!</v>
      </c>
      <c r="U227" t="e">
        <f ca="1">IF((A1)=(2),"",IF((223)=(U4),IF(IF((INDEX(B1:XFD1,((A3)+(1))+(0)))=("store"),(INDEX(B1:XFD1,((A3)+(1))+(1)))=("U"),"false"),B3,U227),U227))</f>
        <v>#VALUE!</v>
      </c>
      <c r="V227" t="e">
        <f ca="1">IF((A1)=(2),"",IF((223)=(V4),IF(IF((INDEX(B1:XFD1,((A3)+(1))+(0)))=("store"),(INDEX(B1:XFD1,((A3)+(1))+(1)))=("V"),"false"),B3,V227),V227))</f>
        <v>#VALUE!</v>
      </c>
      <c r="W227" t="e">
        <f ca="1">IF((A1)=(2),"",IF((223)=(W4),IF(IF((INDEX(B1:XFD1,((A3)+(1))+(0)))=("store"),(INDEX(B1:XFD1,((A3)+(1))+(1)))=("W"),"false"),B3,W227),W227))</f>
        <v>#VALUE!</v>
      </c>
      <c r="X227" t="e">
        <f ca="1">IF((A1)=(2),"",IF((223)=(X4),IF(IF((INDEX(B1:XFD1,((A3)+(1))+(0)))=("store"),(INDEX(B1:XFD1,((A3)+(1))+(1)))=("X"),"false"),B3,X227),X227))</f>
        <v>#VALUE!</v>
      </c>
      <c r="Y227" t="e">
        <f ca="1">IF((A1)=(2),"",IF((223)=(Y4),IF(IF((INDEX(B1:XFD1,((A3)+(1))+(0)))=("store"),(INDEX(B1:XFD1,((A3)+(1))+(1)))=("Y"),"false"),B3,Y227),Y227))</f>
        <v>#VALUE!</v>
      </c>
      <c r="Z227" t="e">
        <f ca="1">IF((A1)=(2),"",IF((223)=(Z4),IF(IF((INDEX(B1:XFD1,((A3)+(1))+(0)))=("store"),(INDEX(B1:XFD1,((A3)+(1))+(1)))=("Z"),"false"),B3,Z227),Z227))</f>
        <v>#VALUE!</v>
      </c>
      <c r="AA227" t="e">
        <f ca="1">IF((A1)=(2),"",IF((223)=(AA4),IF(IF((INDEX(B1:XFD1,((A3)+(1))+(0)))=("store"),(INDEX(B1:XFD1,((A3)+(1))+(1)))=("AA"),"false"),B3,AA227),AA227))</f>
        <v>#VALUE!</v>
      </c>
      <c r="AB227" t="e">
        <f ca="1">IF((A1)=(2),"",IF((223)=(AB4),IF(IF((INDEX(B1:XFD1,((A3)+(1))+(0)))=("store"),(INDEX(B1:XFD1,((A3)+(1))+(1)))=("AB"),"false"),B3,AB227),AB227))</f>
        <v>#VALUE!</v>
      </c>
      <c r="AC227" t="e">
        <f ca="1">IF((A1)=(2),"",IF((223)=(AC4),IF(IF((INDEX(B1:XFD1,((A3)+(1))+(0)))=("store"),(INDEX(B1:XFD1,((A3)+(1))+(1)))=("AC"),"false"),B3,AC227),AC227))</f>
        <v>#VALUE!</v>
      </c>
      <c r="AD227" t="e">
        <f ca="1">IF((A1)=(2),"",IF((223)=(AD4),IF(IF((INDEX(B1:XFD1,((A3)+(1))+(0)))=("store"),(INDEX(B1:XFD1,((A3)+(1))+(1)))=("AD"),"false"),B3,AD227),AD227))</f>
        <v>#VALUE!</v>
      </c>
    </row>
    <row r="228" spans="1:30" x14ac:dyDescent="0.25">
      <c r="A228" t="e">
        <f ca="1">IF((A1)=(2),"",IF((224)=(A4),IF(("call")=(INDEX(B1:XFD1,((A3)+(1))+(0))),(B3)*(2),IF(("goto")=(INDEX(B1:XFD1,((A3)+(1))+(0))),(INDEX(B1:XFD1,((A3)+(1))+(1)))*(2),IF(("gotoiftrue")=(INDEX(B1:XFD1,((A3)+(1))+(0))),IF(B3,(INDEX(B1:XFD1,((A3)+(1))+(1)))*(2),(A228)+(2)),(A228)+(2)))),A228))</f>
        <v>#VALUE!</v>
      </c>
      <c r="B228" t="e">
        <f ca="1">IF((A1)=(2),"",IF((224)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228)+(1)),IF(("add")=(INDEX(B1:XFD1,((A3)+(1))+(0))),(INDEX(B5:B405,(B4)+(1)))+(B228),IF(("equals")=(INDEX(B1:XFD1,((A3)+(1))+(0))),(INDEX(B5:B405,(B4)+(1)))=(B228),IF(("leq")=(INDEX(B1:XFD1,((A3)+(1))+(0))),(INDEX(B5:B405,(B4)+(1)))&lt;=(B228),IF(("greater")=(INDEX(B1:XFD1,((A3)+(1))+(0))),(INDEX(B5:B405,(B4)+(1)))&gt;(B228),IF(("mod")=(INDEX(B1:XFD1,((A3)+(1))+(0))),MOD(INDEX(B5:B405,(B4)+(1)),B228),B228))))))))),B228))</f>
        <v>#VALUE!</v>
      </c>
      <c r="C228" t="e">
        <f ca="1">IF((A1)=(2),1,IF(AND((INDEX(B1:XFD1,((A3)+(1))+(0)))=("writeheap"),(INDEX(B5:B405,(B4)+(1)))=(223)),INDEX(B5:B405,(B4)+(2)),IF((A1)=(2),"",IF((224)=(C4),C228,C228))))</f>
        <v>#VALUE!</v>
      </c>
      <c r="F228" t="e">
        <f ca="1">IF((A1)=(2),"",IF((224)=(F4),IF(IF((INDEX(B1:XFD1,((A3)+(1))+(0)))=("store"),(INDEX(B1:XFD1,((A3)+(1))+(1)))=("F"),"false"),B3,F228),F228))</f>
        <v>#VALUE!</v>
      </c>
      <c r="G228" t="e">
        <f ca="1">IF((A1)=(2),"",IF((224)=(G4),IF(IF((INDEX(B1:XFD1,((A3)+(1))+(0)))=("store"),(INDEX(B1:XFD1,((A3)+(1))+(1)))=("G"),"false"),B3,G228),G228))</f>
        <v>#VALUE!</v>
      </c>
      <c r="H228" t="e">
        <f ca="1">IF((A1)=(2),"",IF((224)=(H4),IF(IF((INDEX(B1:XFD1,((A3)+(1))+(0)))=("store"),(INDEX(B1:XFD1,((A3)+(1))+(1)))=("H"),"false"),B3,H228),H228))</f>
        <v>#VALUE!</v>
      </c>
      <c r="I228" t="e">
        <f ca="1">IF((A1)=(2),"",IF((224)=(I4),IF(IF((INDEX(B1:XFD1,((A3)+(1))+(0)))=("store"),(INDEX(B1:XFD1,((A3)+(1))+(1)))=("I"),"false"),B3,I228),I228))</f>
        <v>#VALUE!</v>
      </c>
      <c r="J228" t="e">
        <f ca="1">IF((A1)=(2),"",IF((224)=(J4),IF(IF((INDEX(B1:XFD1,((A3)+(1))+(0)))=("store"),(INDEX(B1:XFD1,((A3)+(1))+(1)))=("J"),"false"),B3,J228),J228))</f>
        <v>#VALUE!</v>
      </c>
      <c r="K228" t="e">
        <f ca="1">IF((A1)=(2),"",IF((224)=(K4),IF(IF((INDEX(B1:XFD1,((A3)+(1))+(0)))=("store"),(INDEX(B1:XFD1,((A3)+(1))+(1)))=("K"),"false"),B3,K228),K228))</f>
        <v>#VALUE!</v>
      </c>
      <c r="L228" t="e">
        <f ca="1">IF((A1)=(2),"",IF((224)=(L4),IF(IF((INDEX(B1:XFD1,((A3)+(1))+(0)))=("store"),(INDEX(B1:XFD1,((A3)+(1))+(1)))=("L"),"false"),B3,L228),L228))</f>
        <v>#VALUE!</v>
      </c>
      <c r="M228" t="e">
        <f ca="1">IF((A1)=(2),"",IF((224)=(M4),IF(IF((INDEX(B1:XFD1,((A3)+(1))+(0)))=("store"),(INDEX(B1:XFD1,((A3)+(1))+(1)))=("M"),"false"),B3,M228),M228))</f>
        <v>#VALUE!</v>
      </c>
      <c r="N228" t="e">
        <f ca="1">IF((A1)=(2),"",IF((224)=(N4),IF(IF((INDEX(B1:XFD1,((A3)+(1))+(0)))=("store"),(INDEX(B1:XFD1,((A3)+(1))+(1)))=("N"),"false"),B3,N228),N228))</f>
        <v>#VALUE!</v>
      </c>
      <c r="O228" t="e">
        <f ca="1">IF((A1)=(2),"",IF((224)=(O4),IF(IF((INDEX(B1:XFD1,((A3)+(1))+(0)))=("store"),(INDEX(B1:XFD1,((A3)+(1))+(1)))=("O"),"false"),B3,O228),O228))</f>
        <v>#VALUE!</v>
      </c>
      <c r="P228" t="e">
        <f ca="1">IF((A1)=(2),"",IF((224)=(P4),IF(IF((INDEX(B1:XFD1,((A3)+(1))+(0)))=("store"),(INDEX(B1:XFD1,((A3)+(1))+(1)))=("P"),"false"),B3,P228),P228))</f>
        <v>#VALUE!</v>
      </c>
      <c r="Q228" t="e">
        <f ca="1">IF((A1)=(2),"",IF((224)=(Q4),IF(IF((INDEX(B1:XFD1,((A3)+(1))+(0)))=("store"),(INDEX(B1:XFD1,((A3)+(1))+(1)))=("Q"),"false"),B3,Q228),Q228))</f>
        <v>#VALUE!</v>
      </c>
      <c r="R228" t="e">
        <f ca="1">IF((A1)=(2),"",IF((224)=(R4),IF(IF((INDEX(B1:XFD1,((A3)+(1))+(0)))=("store"),(INDEX(B1:XFD1,((A3)+(1))+(1)))=("R"),"false"),B3,R228),R228))</f>
        <v>#VALUE!</v>
      </c>
      <c r="S228" t="e">
        <f ca="1">IF((A1)=(2),"",IF((224)=(S4),IF(IF((INDEX(B1:XFD1,((A3)+(1))+(0)))=("store"),(INDEX(B1:XFD1,((A3)+(1))+(1)))=("S"),"false"),B3,S228),S228))</f>
        <v>#VALUE!</v>
      </c>
      <c r="T228" t="e">
        <f ca="1">IF((A1)=(2),"",IF((224)=(T4),IF(IF((INDEX(B1:XFD1,((A3)+(1))+(0)))=("store"),(INDEX(B1:XFD1,((A3)+(1))+(1)))=("T"),"false"),B3,T228),T228))</f>
        <v>#VALUE!</v>
      </c>
      <c r="U228" t="e">
        <f ca="1">IF((A1)=(2),"",IF((224)=(U4),IF(IF((INDEX(B1:XFD1,((A3)+(1))+(0)))=("store"),(INDEX(B1:XFD1,((A3)+(1))+(1)))=("U"),"false"),B3,U228),U228))</f>
        <v>#VALUE!</v>
      </c>
      <c r="V228" t="e">
        <f ca="1">IF((A1)=(2),"",IF((224)=(V4),IF(IF((INDEX(B1:XFD1,((A3)+(1))+(0)))=("store"),(INDEX(B1:XFD1,((A3)+(1))+(1)))=("V"),"false"),B3,V228),V228))</f>
        <v>#VALUE!</v>
      </c>
      <c r="W228" t="e">
        <f ca="1">IF((A1)=(2),"",IF((224)=(W4),IF(IF((INDEX(B1:XFD1,((A3)+(1))+(0)))=("store"),(INDEX(B1:XFD1,((A3)+(1))+(1)))=("W"),"false"),B3,W228),W228))</f>
        <v>#VALUE!</v>
      </c>
      <c r="X228" t="e">
        <f ca="1">IF((A1)=(2),"",IF((224)=(X4),IF(IF((INDEX(B1:XFD1,((A3)+(1))+(0)))=("store"),(INDEX(B1:XFD1,((A3)+(1))+(1)))=("X"),"false"),B3,X228),X228))</f>
        <v>#VALUE!</v>
      </c>
      <c r="Y228" t="e">
        <f ca="1">IF((A1)=(2),"",IF((224)=(Y4),IF(IF((INDEX(B1:XFD1,((A3)+(1))+(0)))=("store"),(INDEX(B1:XFD1,((A3)+(1))+(1)))=("Y"),"false"),B3,Y228),Y228))</f>
        <v>#VALUE!</v>
      </c>
      <c r="Z228" t="e">
        <f ca="1">IF((A1)=(2),"",IF((224)=(Z4),IF(IF((INDEX(B1:XFD1,((A3)+(1))+(0)))=("store"),(INDEX(B1:XFD1,((A3)+(1))+(1)))=("Z"),"false"),B3,Z228),Z228))</f>
        <v>#VALUE!</v>
      </c>
      <c r="AA228" t="e">
        <f ca="1">IF((A1)=(2),"",IF((224)=(AA4),IF(IF((INDEX(B1:XFD1,((A3)+(1))+(0)))=("store"),(INDEX(B1:XFD1,((A3)+(1))+(1)))=("AA"),"false"),B3,AA228),AA228))</f>
        <v>#VALUE!</v>
      </c>
      <c r="AB228" t="e">
        <f ca="1">IF((A1)=(2),"",IF((224)=(AB4),IF(IF((INDEX(B1:XFD1,((A3)+(1))+(0)))=("store"),(INDEX(B1:XFD1,((A3)+(1))+(1)))=("AB"),"false"),B3,AB228),AB228))</f>
        <v>#VALUE!</v>
      </c>
      <c r="AC228" t="e">
        <f ca="1">IF((A1)=(2),"",IF((224)=(AC4),IF(IF((INDEX(B1:XFD1,((A3)+(1))+(0)))=("store"),(INDEX(B1:XFD1,((A3)+(1))+(1)))=("AC"),"false"),B3,AC228),AC228))</f>
        <v>#VALUE!</v>
      </c>
      <c r="AD228" t="e">
        <f ca="1">IF((A1)=(2),"",IF((224)=(AD4),IF(IF((INDEX(B1:XFD1,((A3)+(1))+(0)))=("store"),(INDEX(B1:XFD1,((A3)+(1))+(1)))=("AD"),"false"),B3,AD228),AD228))</f>
        <v>#VALUE!</v>
      </c>
    </row>
    <row r="229" spans="1:30" x14ac:dyDescent="0.25">
      <c r="A229" t="e">
        <f ca="1">IF((A1)=(2),"",IF((225)=(A4),IF(("call")=(INDEX(B1:XFD1,((A3)+(1))+(0))),(B3)*(2),IF(("goto")=(INDEX(B1:XFD1,((A3)+(1))+(0))),(INDEX(B1:XFD1,((A3)+(1))+(1)))*(2),IF(("gotoiftrue")=(INDEX(B1:XFD1,((A3)+(1))+(0))),IF(B3,(INDEX(B1:XFD1,((A3)+(1))+(1)))*(2),(A229)+(2)),(A229)+(2)))),A229))</f>
        <v>#VALUE!</v>
      </c>
      <c r="B229" t="e">
        <f ca="1">IF((A1)=(2),"",IF((225)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229)+(1)),IF(("add")=(INDEX(B1:XFD1,((A3)+(1))+(0))),(INDEX(B5:B405,(B4)+(1)))+(B229),IF(("equals")=(INDEX(B1:XFD1,((A3)+(1))+(0))),(INDEX(B5:B405,(B4)+(1)))=(B229),IF(("leq")=(INDEX(B1:XFD1,((A3)+(1))+(0))),(INDEX(B5:B405,(B4)+(1)))&lt;=(B229),IF(("greater")=(INDEX(B1:XFD1,((A3)+(1))+(0))),(INDEX(B5:B405,(B4)+(1)))&gt;(B229),IF(("mod")=(INDEX(B1:XFD1,((A3)+(1))+(0))),MOD(INDEX(B5:B405,(B4)+(1)),B229),B229))))))))),B229))</f>
        <v>#VALUE!</v>
      </c>
      <c r="C229" t="e">
        <f ca="1">IF((A1)=(2),1,IF(AND((INDEX(B1:XFD1,((A3)+(1))+(0)))=("writeheap"),(INDEX(B5:B405,(B4)+(1)))=(224)),INDEX(B5:B405,(B4)+(2)),IF((A1)=(2),"",IF((225)=(C4),C229,C229))))</f>
        <v>#VALUE!</v>
      </c>
      <c r="F229" t="e">
        <f ca="1">IF((A1)=(2),"",IF((225)=(F4),IF(IF((INDEX(B1:XFD1,((A3)+(1))+(0)))=("store"),(INDEX(B1:XFD1,((A3)+(1))+(1)))=("F"),"false"),B3,F229),F229))</f>
        <v>#VALUE!</v>
      </c>
      <c r="G229" t="e">
        <f ca="1">IF((A1)=(2),"",IF((225)=(G4),IF(IF((INDEX(B1:XFD1,((A3)+(1))+(0)))=("store"),(INDEX(B1:XFD1,((A3)+(1))+(1)))=("G"),"false"),B3,G229),G229))</f>
        <v>#VALUE!</v>
      </c>
      <c r="H229" t="e">
        <f ca="1">IF((A1)=(2),"",IF((225)=(H4),IF(IF((INDEX(B1:XFD1,((A3)+(1))+(0)))=("store"),(INDEX(B1:XFD1,((A3)+(1))+(1)))=("H"),"false"),B3,H229),H229))</f>
        <v>#VALUE!</v>
      </c>
      <c r="I229" t="e">
        <f ca="1">IF((A1)=(2),"",IF((225)=(I4),IF(IF((INDEX(B1:XFD1,((A3)+(1))+(0)))=("store"),(INDEX(B1:XFD1,((A3)+(1))+(1)))=("I"),"false"),B3,I229),I229))</f>
        <v>#VALUE!</v>
      </c>
      <c r="J229" t="e">
        <f ca="1">IF((A1)=(2),"",IF((225)=(J4),IF(IF((INDEX(B1:XFD1,((A3)+(1))+(0)))=("store"),(INDEX(B1:XFD1,((A3)+(1))+(1)))=("J"),"false"),B3,J229),J229))</f>
        <v>#VALUE!</v>
      </c>
      <c r="K229" t="e">
        <f ca="1">IF((A1)=(2),"",IF((225)=(K4),IF(IF((INDEX(B1:XFD1,((A3)+(1))+(0)))=("store"),(INDEX(B1:XFD1,((A3)+(1))+(1)))=("K"),"false"),B3,K229),K229))</f>
        <v>#VALUE!</v>
      </c>
      <c r="L229" t="e">
        <f ca="1">IF((A1)=(2),"",IF((225)=(L4),IF(IF((INDEX(B1:XFD1,((A3)+(1))+(0)))=("store"),(INDEX(B1:XFD1,((A3)+(1))+(1)))=("L"),"false"),B3,L229),L229))</f>
        <v>#VALUE!</v>
      </c>
      <c r="M229" t="e">
        <f ca="1">IF((A1)=(2),"",IF((225)=(M4),IF(IF((INDEX(B1:XFD1,((A3)+(1))+(0)))=("store"),(INDEX(B1:XFD1,((A3)+(1))+(1)))=("M"),"false"),B3,M229),M229))</f>
        <v>#VALUE!</v>
      </c>
      <c r="N229" t="e">
        <f ca="1">IF((A1)=(2),"",IF((225)=(N4),IF(IF((INDEX(B1:XFD1,((A3)+(1))+(0)))=("store"),(INDEX(B1:XFD1,((A3)+(1))+(1)))=("N"),"false"),B3,N229),N229))</f>
        <v>#VALUE!</v>
      </c>
      <c r="O229" t="e">
        <f ca="1">IF((A1)=(2),"",IF((225)=(O4),IF(IF((INDEX(B1:XFD1,((A3)+(1))+(0)))=("store"),(INDEX(B1:XFD1,((A3)+(1))+(1)))=("O"),"false"),B3,O229),O229))</f>
        <v>#VALUE!</v>
      </c>
      <c r="P229" t="e">
        <f ca="1">IF((A1)=(2),"",IF((225)=(P4),IF(IF((INDEX(B1:XFD1,((A3)+(1))+(0)))=("store"),(INDEX(B1:XFD1,((A3)+(1))+(1)))=("P"),"false"),B3,P229),P229))</f>
        <v>#VALUE!</v>
      </c>
      <c r="Q229" t="e">
        <f ca="1">IF((A1)=(2),"",IF((225)=(Q4),IF(IF((INDEX(B1:XFD1,((A3)+(1))+(0)))=("store"),(INDEX(B1:XFD1,((A3)+(1))+(1)))=("Q"),"false"),B3,Q229),Q229))</f>
        <v>#VALUE!</v>
      </c>
      <c r="R229" t="e">
        <f ca="1">IF((A1)=(2),"",IF((225)=(R4),IF(IF((INDEX(B1:XFD1,((A3)+(1))+(0)))=("store"),(INDEX(B1:XFD1,((A3)+(1))+(1)))=("R"),"false"),B3,R229),R229))</f>
        <v>#VALUE!</v>
      </c>
      <c r="S229" t="e">
        <f ca="1">IF((A1)=(2),"",IF((225)=(S4),IF(IF((INDEX(B1:XFD1,((A3)+(1))+(0)))=("store"),(INDEX(B1:XFD1,((A3)+(1))+(1)))=("S"),"false"),B3,S229),S229))</f>
        <v>#VALUE!</v>
      </c>
      <c r="T229" t="e">
        <f ca="1">IF((A1)=(2),"",IF((225)=(T4),IF(IF((INDEX(B1:XFD1,((A3)+(1))+(0)))=("store"),(INDEX(B1:XFD1,((A3)+(1))+(1)))=("T"),"false"),B3,T229),T229))</f>
        <v>#VALUE!</v>
      </c>
      <c r="U229" t="e">
        <f ca="1">IF((A1)=(2),"",IF((225)=(U4),IF(IF((INDEX(B1:XFD1,((A3)+(1))+(0)))=("store"),(INDEX(B1:XFD1,((A3)+(1))+(1)))=("U"),"false"),B3,U229),U229))</f>
        <v>#VALUE!</v>
      </c>
      <c r="V229" t="e">
        <f ca="1">IF((A1)=(2),"",IF((225)=(V4),IF(IF((INDEX(B1:XFD1,((A3)+(1))+(0)))=("store"),(INDEX(B1:XFD1,((A3)+(1))+(1)))=("V"),"false"),B3,V229),V229))</f>
        <v>#VALUE!</v>
      </c>
      <c r="W229" t="e">
        <f ca="1">IF((A1)=(2),"",IF((225)=(W4),IF(IF((INDEX(B1:XFD1,((A3)+(1))+(0)))=("store"),(INDEX(B1:XFD1,((A3)+(1))+(1)))=("W"),"false"),B3,W229),W229))</f>
        <v>#VALUE!</v>
      </c>
      <c r="X229" t="e">
        <f ca="1">IF((A1)=(2),"",IF((225)=(X4),IF(IF((INDEX(B1:XFD1,((A3)+(1))+(0)))=("store"),(INDEX(B1:XFD1,((A3)+(1))+(1)))=("X"),"false"),B3,X229),X229))</f>
        <v>#VALUE!</v>
      </c>
      <c r="Y229" t="e">
        <f ca="1">IF((A1)=(2),"",IF((225)=(Y4),IF(IF((INDEX(B1:XFD1,((A3)+(1))+(0)))=("store"),(INDEX(B1:XFD1,((A3)+(1))+(1)))=("Y"),"false"),B3,Y229),Y229))</f>
        <v>#VALUE!</v>
      </c>
      <c r="Z229" t="e">
        <f ca="1">IF((A1)=(2),"",IF((225)=(Z4),IF(IF((INDEX(B1:XFD1,((A3)+(1))+(0)))=("store"),(INDEX(B1:XFD1,((A3)+(1))+(1)))=("Z"),"false"),B3,Z229),Z229))</f>
        <v>#VALUE!</v>
      </c>
      <c r="AA229" t="e">
        <f ca="1">IF((A1)=(2),"",IF((225)=(AA4),IF(IF((INDEX(B1:XFD1,((A3)+(1))+(0)))=("store"),(INDEX(B1:XFD1,((A3)+(1))+(1)))=("AA"),"false"),B3,AA229),AA229))</f>
        <v>#VALUE!</v>
      </c>
      <c r="AB229" t="e">
        <f ca="1">IF((A1)=(2),"",IF((225)=(AB4),IF(IF((INDEX(B1:XFD1,((A3)+(1))+(0)))=("store"),(INDEX(B1:XFD1,((A3)+(1))+(1)))=("AB"),"false"),B3,AB229),AB229))</f>
        <v>#VALUE!</v>
      </c>
      <c r="AC229" t="e">
        <f ca="1">IF((A1)=(2),"",IF((225)=(AC4),IF(IF((INDEX(B1:XFD1,((A3)+(1))+(0)))=("store"),(INDEX(B1:XFD1,((A3)+(1))+(1)))=("AC"),"false"),B3,AC229),AC229))</f>
        <v>#VALUE!</v>
      </c>
      <c r="AD229" t="e">
        <f ca="1">IF((A1)=(2),"",IF((225)=(AD4),IF(IF((INDEX(B1:XFD1,((A3)+(1))+(0)))=("store"),(INDEX(B1:XFD1,((A3)+(1))+(1)))=("AD"),"false"),B3,AD229),AD229))</f>
        <v>#VALUE!</v>
      </c>
    </row>
    <row r="230" spans="1:30" x14ac:dyDescent="0.25">
      <c r="A230" t="e">
        <f ca="1">IF((A1)=(2),"",IF((226)=(A4),IF(("call")=(INDEX(B1:XFD1,((A3)+(1))+(0))),(B3)*(2),IF(("goto")=(INDEX(B1:XFD1,((A3)+(1))+(0))),(INDEX(B1:XFD1,((A3)+(1))+(1)))*(2),IF(("gotoiftrue")=(INDEX(B1:XFD1,((A3)+(1))+(0))),IF(B3,(INDEX(B1:XFD1,((A3)+(1))+(1)))*(2),(A230)+(2)),(A230)+(2)))),A230))</f>
        <v>#VALUE!</v>
      </c>
      <c r="B230" t="e">
        <f ca="1">IF((A1)=(2),"",IF((226)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230)+(1)),IF(("add")=(INDEX(B1:XFD1,((A3)+(1))+(0))),(INDEX(B5:B405,(B4)+(1)))+(B230),IF(("equals")=(INDEX(B1:XFD1,((A3)+(1))+(0))),(INDEX(B5:B405,(B4)+(1)))=(B230),IF(("leq")=(INDEX(B1:XFD1,((A3)+(1))+(0))),(INDEX(B5:B405,(B4)+(1)))&lt;=(B230),IF(("greater")=(INDEX(B1:XFD1,((A3)+(1))+(0))),(INDEX(B5:B405,(B4)+(1)))&gt;(B230),IF(("mod")=(INDEX(B1:XFD1,((A3)+(1))+(0))),MOD(INDEX(B5:B405,(B4)+(1)),B230),B230))))))))),B230))</f>
        <v>#VALUE!</v>
      </c>
      <c r="C230" t="e">
        <f ca="1">IF((A1)=(2),1,IF(AND((INDEX(B1:XFD1,((A3)+(1))+(0)))=("writeheap"),(INDEX(B5:B405,(B4)+(1)))=(225)),INDEX(B5:B405,(B4)+(2)),IF((A1)=(2),"",IF((226)=(C4),C230,C230))))</f>
        <v>#VALUE!</v>
      </c>
      <c r="F230" t="e">
        <f ca="1">IF((A1)=(2),"",IF((226)=(F4),IF(IF((INDEX(B1:XFD1,((A3)+(1))+(0)))=("store"),(INDEX(B1:XFD1,((A3)+(1))+(1)))=("F"),"false"),B3,F230),F230))</f>
        <v>#VALUE!</v>
      </c>
      <c r="G230" t="e">
        <f ca="1">IF((A1)=(2),"",IF((226)=(G4),IF(IF((INDEX(B1:XFD1,((A3)+(1))+(0)))=("store"),(INDEX(B1:XFD1,((A3)+(1))+(1)))=("G"),"false"),B3,G230),G230))</f>
        <v>#VALUE!</v>
      </c>
      <c r="H230" t="e">
        <f ca="1">IF((A1)=(2),"",IF((226)=(H4),IF(IF((INDEX(B1:XFD1,((A3)+(1))+(0)))=("store"),(INDEX(B1:XFD1,((A3)+(1))+(1)))=("H"),"false"),B3,H230),H230))</f>
        <v>#VALUE!</v>
      </c>
      <c r="I230" t="e">
        <f ca="1">IF((A1)=(2),"",IF((226)=(I4),IF(IF((INDEX(B1:XFD1,((A3)+(1))+(0)))=("store"),(INDEX(B1:XFD1,((A3)+(1))+(1)))=("I"),"false"),B3,I230),I230))</f>
        <v>#VALUE!</v>
      </c>
      <c r="J230" t="e">
        <f ca="1">IF((A1)=(2),"",IF((226)=(J4),IF(IF((INDEX(B1:XFD1,((A3)+(1))+(0)))=("store"),(INDEX(B1:XFD1,((A3)+(1))+(1)))=("J"),"false"),B3,J230),J230))</f>
        <v>#VALUE!</v>
      </c>
      <c r="K230" t="e">
        <f ca="1">IF((A1)=(2),"",IF((226)=(K4),IF(IF((INDEX(B1:XFD1,((A3)+(1))+(0)))=("store"),(INDEX(B1:XFD1,((A3)+(1))+(1)))=("K"),"false"),B3,K230),K230))</f>
        <v>#VALUE!</v>
      </c>
      <c r="L230" t="e">
        <f ca="1">IF((A1)=(2),"",IF((226)=(L4),IF(IF((INDEX(B1:XFD1,((A3)+(1))+(0)))=("store"),(INDEX(B1:XFD1,((A3)+(1))+(1)))=("L"),"false"),B3,L230),L230))</f>
        <v>#VALUE!</v>
      </c>
      <c r="M230" t="e">
        <f ca="1">IF((A1)=(2),"",IF((226)=(M4),IF(IF((INDEX(B1:XFD1,((A3)+(1))+(0)))=("store"),(INDEX(B1:XFD1,((A3)+(1))+(1)))=("M"),"false"),B3,M230),M230))</f>
        <v>#VALUE!</v>
      </c>
      <c r="N230" t="e">
        <f ca="1">IF((A1)=(2),"",IF((226)=(N4),IF(IF((INDEX(B1:XFD1,((A3)+(1))+(0)))=("store"),(INDEX(B1:XFD1,((A3)+(1))+(1)))=("N"),"false"),B3,N230),N230))</f>
        <v>#VALUE!</v>
      </c>
      <c r="O230" t="e">
        <f ca="1">IF((A1)=(2),"",IF((226)=(O4),IF(IF((INDEX(B1:XFD1,((A3)+(1))+(0)))=("store"),(INDEX(B1:XFD1,((A3)+(1))+(1)))=("O"),"false"),B3,O230),O230))</f>
        <v>#VALUE!</v>
      </c>
      <c r="P230" t="e">
        <f ca="1">IF((A1)=(2),"",IF((226)=(P4),IF(IF((INDEX(B1:XFD1,((A3)+(1))+(0)))=("store"),(INDEX(B1:XFD1,((A3)+(1))+(1)))=("P"),"false"),B3,P230),P230))</f>
        <v>#VALUE!</v>
      </c>
      <c r="Q230" t="e">
        <f ca="1">IF((A1)=(2),"",IF((226)=(Q4),IF(IF((INDEX(B1:XFD1,((A3)+(1))+(0)))=("store"),(INDEX(B1:XFD1,((A3)+(1))+(1)))=("Q"),"false"),B3,Q230),Q230))</f>
        <v>#VALUE!</v>
      </c>
      <c r="R230" t="e">
        <f ca="1">IF((A1)=(2),"",IF((226)=(R4),IF(IF((INDEX(B1:XFD1,((A3)+(1))+(0)))=("store"),(INDEX(B1:XFD1,((A3)+(1))+(1)))=("R"),"false"),B3,R230),R230))</f>
        <v>#VALUE!</v>
      </c>
      <c r="S230" t="e">
        <f ca="1">IF((A1)=(2),"",IF((226)=(S4),IF(IF((INDEX(B1:XFD1,((A3)+(1))+(0)))=("store"),(INDEX(B1:XFD1,((A3)+(1))+(1)))=("S"),"false"),B3,S230),S230))</f>
        <v>#VALUE!</v>
      </c>
      <c r="T230" t="e">
        <f ca="1">IF((A1)=(2),"",IF((226)=(T4),IF(IF((INDEX(B1:XFD1,((A3)+(1))+(0)))=("store"),(INDEX(B1:XFD1,((A3)+(1))+(1)))=("T"),"false"),B3,T230),T230))</f>
        <v>#VALUE!</v>
      </c>
      <c r="U230" t="e">
        <f ca="1">IF((A1)=(2),"",IF((226)=(U4),IF(IF((INDEX(B1:XFD1,((A3)+(1))+(0)))=("store"),(INDEX(B1:XFD1,((A3)+(1))+(1)))=("U"),"false"),B3,U230),U230))</f>
        <v>#VALUE!</v>
      </c>
      <c r="V230" t="e">
        <f ca="1">IF((A1)=(2),"",IF((226)=(V4),IF(IF((INDEX(B1:XFD1,((A3)+(1))+(0)))=("store"),(INDEX(B1:XFD1,((A3)+(1))+(1)))=("V"),"false"),B3,V230),V230))</f>
        <v>#VALUE!</v>
      </c>
      <c r="W230" t="e">
        <f ca="1">IF((A1)=(2),"",IF((226)=(W4),IF(IF((INDEX(B1:XFD1,((A3)+(1))+(0)))=("store"),(INDEX(B1:XFD1,((A3)+(1))+(1)))=("W"),"false"),B3,W230),W230))</f>
        <v>#VALUE!</v>
      </c>
      <c r="X230" t="e">
        <f ca="1">IF((A1)=(2),"",IF((226)=(X4),IF(IF((INDEX(B1:XFD1,((A3)+(1))+(0)))=("store"),(INDEX(B1:XFD1,((A3)+(1))+(1)))=("X"),"false"),B3,X230),X230))</f>
        <v>#VALUE!</v>
      </c>
      <c r="Y230" t="e">
        <f ca="1">IF((A1)=(2),"",IF((226)=(Y4),IF(IF((INDEX(B1:XFD1,((A3)+(1))+(0)))=("store"),(INDEX(B1:XFD1,((A3)+(1))+(1)))=("Y"),"false"),B3,Y230),Y230))</f>
        <v>#VALUE!</v>
      </c>
      <c r="Z230" t="e">
        <f ca="1">IF((A1)=(2),"",IF((226)=(Z4),IF(IF((INDEX(B1:XFD1,((A3)+(1))+(0)))=("store"),(INDEX(B1:XFD1,((A3)+(1))+(1)))=("Z"),"false"),B3,Z230),Z230))</f>
        <v>#VALUE!</v>
      </c>
      <c r="AA230" t="e">
        <f ca="1">IF((A1)=(2),"",IF((226)=(AA4),IF(IF((INDEX(B1:XFD1,((A3)+(1))+(0)))=("store"),(INDEX(B1:XFD1,((A3)+(1))+(1)))=("AA"),"false"),B3,AA230),AA230))</f>
        <v>#VALUE!</v>
      </c>
      <c r="AB230" t="e">
        <f ca="1">IF((A1)=(2),"",IF((226)=(AB4),IF(IF((INDEX(B1:XFD1,((A3)+(1))+(0)))=("store"),(INDEX(B1:XFD1,((A3)+(1))+(1)))=("AB"),"false"),B3,AB230),AB230))</f>
        <v>#VALUE!</v>
      </c>
      <c r="AC230" t="e">
        <f ca="1">IF((A1)=(2),"",IF((226)=(AC4),IF(IF((INDEX(B1:XFD1,((A3)+(1))+(0)))=("store"),(INDEX(B1:XFD1,((A3)+(1))+(1)))=("AC"),"false"),B3,AC230),AC230))</f>
        <v>#VALUE!</v>
      </c>
      <c r="AD230" t="e">
        <f ca="1">IF((A1)=(2),"",IF((226)=(AD4),IF(IF((INDEX(B1:XFD1,((A3)+(1))+(0)))=("store"),(INDEX(B1:XFD1,((A3)+(1))+(1)))=("AD"),"false"),B3,AD230),AD230))</f>
        <v>#VALUE!</v>
      </c>
    </row>
    <row r="231" spans="1:30" x14ac:dyDescent="0.25">
      <c r="A231" t="e">
        <f ca="1">IF((A1)=(2),"",IF((227)=(A4),IF(("call")=(INDEX(B1:XFD1,((A3)+(1))+(0))),(B3)*(2),IF(("goto")=(INDEX(B1:XFD1,((A3)+(1))+(0))),(INDEX(B1:XFD1,((A3)+(1))+(1)))*(2),IF(("gotoiftrue")=(INDEX(B1:XFD1,((A3)+(1))+(0))),IF(B3,(INDEX(B1:XFD1,((A3)+(1))+(1)))*(2),(A231)+(2)),(A231)+(2)))),A231))</f>
        <v>#VALUE!</v>
      </c>
      <c r="B231" t="e">
        <f ca="1">IF((A1)=(2),"",IF((227)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231)+(1)),IF(("add")=(INDEX(B1:XFD1,((A3)+(1))+(0))),(INDEX(B5:B405,(B4)+(1)))+(B231),IF(("equals")=(INDEX(B1:XFD1,((A3)+(1))+(0))),(INDEX(B5:B405,(B4)+(1)))=(B231),IF(("leq")=(INDEX(B1:XFD1,((A3)+(1))+(0))),(INDEX(B5:B405,(B4)+(1)))&lt;=(B231),IF(("greater")=(INDEX(B1:XFD1,((A3)+(1))+(0))),(INDEX(B5:B405,(B4)+(1)))&gt;(B231),IF(("mod")=(INDEX(B1:XFD1,((A3)+(1))+(0))),MOD(INDEX(B5:B405,(B4)+(1)),B231),B231))))))))),B231))</f>
        <v>#VALUE!</v>
      </c>
      <c r="C231" t="e">
        <f ca="1">IF((A1)=(2),1,IF(AND((INDEX(B1:XFD1,((A3)+(1))+(0)))=("writeheap"),(INDEX(B5:B405,(B4)+(1)))=(226)),INDEX(B5:B405,(B4)+(2)),IF((A1)=(2),"",IF((227)=(C4),C231,C231))))</f>
        <v>#VALUE!</v>
      </c>
      <c r="F231" t="e">
        <f ca="1">IF((A1)=(2),"",IF((227)=(F4),IF(IF((INDEX(B1:XFD1,((A3)+(1))+(0)))=("store"),(INDEX(B1:XFD1,((A3)+(1))+(1)))=("F"),"false"),B3,F231),F231))</f>
        <v>#VALUE!</v>
      </c>
      <c r="G231" t="e">
        <f ca="1">IF((A1)=(2),"",IF((227)=(G4),IF(IF((INDEX(B1:XFD1,((A3)+(1))+(0)))=("store"),(INDEX(B1:XFD1,((A3)+(1))+(1)))=("G"),"false"),B3,G231),G231))</f>
        <v>#VALUE!</v>
      </c>
      <c r="H231" t="e">
        <f ca="1">IF((A1)=(2),"",IF((227)=(H4),IF(IF((INDEX(B1:XFD1,((A3)+(1))+(0)))=("store"),(INDEX(B1:XFD1,((A3)+(1))+(1)))=("H"),"false"),B3,H231),H231))</f>
        <v>#VALUE!</v>
      </c>
      <c r="I231" t="e">
        <f ca="1">IF((A1)=(2),"",IF((227)=(I4),IF(IF((INDEX(B1:XFD1,((A3)+(1))+(0)))=("store"),(INDEX(B1:XFD1,((A3)+(1))+(1)))=("I"),"false"),B3,I231),I231))</f>
        <v>#VALUE!</v>
      </c>
      <c r="J231" t="e">
        <f ca="1">IF((A1)=(2),"",IF((227)=(J4),IF(IF((INDEX(B1:XFD1,((A3)+(1))+(0)))=("store"),(INDEX(B1:XFD1,((A3)+(1))+(1)))=("J"),"false"),B3,J231),J231))</f>
        <v>#VALUE!</v>
      </c>
      <c r="K231" t="e">
        <f ca="1">IF((A1)=(2),"",IF((227)=(K4),IF(IF((INDEX(B1:XFD1,((A3)+(1))+(0)))=("store"),(INDEX(B1:XFD1,((A3)+(1))+(1)))=("K"),"false"),B3,K231),K231))</f>
        <v>#VALUE!</v>
      </c>
      <c r="L231" t="e">
        <f ca="1">IF((A1)=(2),"",IF((227)=(L4),IF(IF((INDEX(B1:XFD1,((A3)+(1))+(0)))=("store"),(INDEX(B1:XFD1,((A3)+(1))+(1)))=("L"),"false"),B3,L231),L231))</f>
        <v>#VALUE!</v>
      </c>
      <c r="M231" t="e">
        <f ca="1">IF((A1)=(2),"",IF((227)=(M4),IF(IF((INDEX(B1:XFD1,((A3)+(1))+(0)))=("store"),(INDEX(B1:XFD1,((A3)+(1))+(1)))=("M"),"false"),B3,M231),M231))</f>
        <v>#VALUE!</v>
      </c>
      <c r="N231" t="e">
        <f ca="1">IF((A1)=(2),"",IF((227)=(N4),IF(IF((INDEX(B1:XFD1,((A3)+(1))+(0)))=("store"),(INDEX(B1:XFD1,((A3)+(1))+(1)))=("N"),"false"),B3,N231),N231))</f>
        <v>#VALUE!</v>
      </c>
      <c r="O231" t="e">
        <f ca="1">IF((A1)=(2),"",IF((227)=(O4),IF(IF((INDEX(B1:XFD1,((A3)+(1))+(0)))=("store"),(INDEX(B1:XFD1,((A3)+(1))+(1)))=("O"),"false"),B3,O231),O231))</f>
        <v>#VALUE!</v>
      </c>
      <c r="P231" t="e">
        <f ca="1">IF((A1)=(2),"",IF((227)=(P4),IF(IF((INDEX(B1:XFD1,((A3)+(1))+(0)))=("store"),(INDEX(B1:XFD1,((A3)+(1))+(1)))=("P"),"false"),B3,P231),P231))</f>
        <v>#VALUE!</v>
      </c>
      <c r="Q231" t="e">
        <f ca="1">IF((A1)=(2),"",IF((227)=(Q4),IF(IF((INDEX(B1:XFD1,((A3)+(1))+(0)))=("store"),(INDEX(B1:XFD1,((A3)+(1))+(1)))=("Q"),"false"),B3,Q231),Q231))</f>
        <v>#VALUE!</v>
      </c>
      <c r="R231" t="e">
        <f ca="1">IF((A1)=(2),"",IF((227)=(R4),IF(IF((INDEX(B1:XFD1,((A3)+(1))+(0)))=("store"),(INDEX(B1:XFD1,((A3)+(1))+(1)))=("R"),"false"),B3,R231),R231))</f>
        <v>#VALUE!</v>
      </c>
      <c r="S231" t="e">
        <f ca="1">IF((A1)=(2),"",IF((227)=(S4),IF(IF((INDEX(B1:XFD1,((A3)+(1))+(0)))=("store"),(INDEX(B1:XFD1,((A3)+(1))+(1)))=("S"),"false"),B3,S231),S231))</f>
        <v>#VALUE!</v>
      </c>
      <c r="T231" t="e">
        <f ca="1">IF((A1)=(2),"",IF((227)=(T4),IF(IF((INDEX(B1:XFD1,((A3)+(1))+(0)))=("store"),(INDEX(B1:XFD1,((A3)+(1))+(1)))=("T"),"false"),B3,T231),T231))</f>
        <v>#VALUE!</v>
      </c>
      <c r="U231" t="e">
        <f ca="1">IF((A1)=(2),"",IF((227)=(U4),IF(IF((INDEX(B1:XFD1,((A3)+(1))+(0)))=("store"),(INDEX(B1:XFD1,((A3)+(1))+(1)))=("U"),"false"),B3,U231),U231))</f>
        <v>#VALUE!</v>
      </c>
      <c r="V231" t="e">
        <f ca="1">IF((A1)=(2),"",IF((227)=(V4),IF(IF((INDEX(B1:XFD1,((A3)+(1))+(0)))=("store"),(INDEX(B1:XFD1,((A3)+(1))+(1)))=("V"),"false"),B3,V231),V231))</f>
        <v>#VALUE!</v>
      </c>
      <c r="W231" t="e">
        <f ca="1">IF((A1)=(2),"",IF((227)=(W4),IF(IF((INDEX(B1:XFD1,((A3)+(1))+(0)))=("store"),(INDEX(B1:XFD1,((A3)+(1))+(1)))=("W"),"false"),B3,W231),W231))</f>
        <v>#VALUE!</v>
      </c>
      <c r="X231" t="e">
        <f ca="1">IF((A1)=(2),"",IF((227)=(X4),IF(IF((INDEX(B1:XFD1,((A3)+(1))+(0)))=("store"),(INDEX(B1:XFD1,((A3)+(1))+(1)))=("X"),"false"),B3,X231),X231))</f>
        <v>#VALUE!</v>
      </c>
      <c r="Y231" t="e">
        <f ca="1">IF((A1)=(2),"",IF((227)=(Y4),IF(IF((INDEX(B1:XFD1,((A3)+(1))+(0)))=("store"),(INDEX(B1:XFD1,((A3)+(1))+(1)))=("Y"),"false"),B3,Y231),Y231))</f>
        <v>#VALUE!</v>
      </c>
      <c r="Z231" t="e">
        <f ca="1">IF((A1)=(2),"",IF((227)=(Z4),IF(IF((INDEX(B1:XFD1,((A3)+(1))+(0)))=("store"),(INDEX(B1:XFD1,((A3)+(1))+(1)))=("Z"),"false"),B3,Z231),Z231))</f>
        <v>#VALUE!</v>
      </c>
      <c r="AA231" t="e">
        <f ca="1">IF((A1)=(2),"",IF((227)=(AA4),IF(IF((INDEX(B1:XFD1,((A3)+(1))+(0)))=("store"),(INDEX(B1:XFD1,((A3)+(1))+(1)))=("AA"),"false"),B3,AA231),AA231))</f>
        <v>#VALUE!</v>
      </c>
      <c r="AB231" t="e">
        <f ca="1">IF((A1)=(2),"",IF((227)=(AB4),IF(IF((INDEX(B1:XFD1,((A3)+(1))+(0)))=("store"),(INDEX(B1:XFD1,((A3)+(1))+(1)))=("AB"),"false"),B3,AB231),AB231))</f>
        <v>#VALUE!</v>
      </c>
      <c r="AC231" t="e">
        <f ca="1">IF((A1)=(2),"",IF((227)=(AC4),IF(IF((INDEX(B1:XFD1,((A3)+(1))+(0)))=("store"),(INDEX(B1:XFD1,((A3)+(1))+(1)))=("AC"),"false"),B3,AC231),AC231))</f>
        <v>#VALUE!</v>
      </c>
      <c r="AD231" t="e">
        <f ca="1">IF((A1)=(2),"",IF((227)=(AD4),IF(IF((INDEX(B1:XFD1,((A3)+(1))+(0)))=("store"),(INDEX(B1:XFD1,((A3)+(1))+(1)))=("AD"),"false"),B3,AD231),AD231))</f>
        <v>#VALUE!</v>
      </c>
    </row>
    <row r="232" spans="1:30" x14ac:dyDescent="0.25">
      <c r="A232" t="e">
        <f ca="1">IF((A1)=(2),"",IF((228)=(A4),IF(("call")=(INDEX(B1:XFD1,((A3)+(1))+(0))),(B3)*(2),IF(("goto")=(INDEX(B1:XFD1,((A3)+(1))+(0))),(INDEX(B1:XFD1,((A3)+(1))+(1)))*(2),IF(("gotoiftrue")=(INDEX(B1:XFD1,((A3)+(1))+(0))),IF(B3,(INDEX(B1:XFD1,((A3)+(1))+(1)))*(2),(A232)+(2)),(A232)+(2)))),A232))</f>
        <v>#VALUE!</v>
      </c>
      <c r="B232" t="e">
        <f ca="1">IF((A1)=(2),"",IF((228)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232)+(1)),IF(("add")=(INDEX(B1:XFD1,((A3)+(1))+(0))),(INDEX(B5:B405,(B4)+(1)))+(B232),IF(("equals")=(INDEX(B1:XFD1,((A3)+(1))+(0))),(INDEX(B5:B405,(B4)+(1)))=(B232),IF(("leq")=(INDEX(B1:XFD1,((A3)+(1))+(0))),(INDEX(B5:B405,(B4)+(1)))&lt;=(B232),IF(("greater")=(INDEX(B1:XFD1,((A3)+(1))+(0))),(INDEX(B5:B405,(B4)+(1)))&gt;(B232),IF(("mod")=(INDEX(B1:XFD1,((A3)+(1))+(0))),MOD(INDEX(B5:B405,(B4)+(1)),B232),B232))))))))),B232))</f>
        <v>#VALUE!</v>
      </c>
      <c r="C232" t="e">
        <f ca="1">IF((A1)=(2),1,IF(AND((INDEX(B1:XFD1,((A3)+(1))+(0)))=("writeheap"),(INDEX(B5:B405,(B4)+(1)))=(227)),INDEX(B5:B405,(B4)+(2)),IF((A1)=(2),"",IF((228)=(C4),C232,C232))))</f>
        <v>#VALUE!</v>
      </c>
      <c r="F232" t="e">
        <f ca="1">IF((A1)=(2),"",IF((228)=(F4),IF(IF((INDEX(B1:XFD1,((A3)+(1))+(0)))=("store"),(INDEX(B1:XFD1,((A3)+(1))+(1)))=("F"),"false"),B3,F232),F232))</f>
        <v>#VALUE!</v>
      </c>
      <c r="G232" t="e">
        <f ca="1">IF((A1)=(2),"",IF((228)=(G4),IF(IF((INDEX(B1:XFD1,((A3)+(1))+(0)))=("store"),(INDEX(B1:XFD1,((A3)+(1))+(1)))=("G"),"false"),B3,G232),G232))</f>
        <v>#VALUE!</v>
      </c>
      <c r="H232" t="e">
        <f ca="1">IF((A1)=(2),"",IF((228)=(H4),IF(IF((INDEX(B1:XFD1,((A3)+(1))+(0)))=("store"),(INDEX(B1:XFD1,((A3)+(1))+(1)))=("H"),"false"),B3,H232),H232))</f>
        <v>#VALUE!</v>
      </c>
      <c r="I232" t="e">
        <f ca="1">IF((A1)=(2),"",IF((228)=(I4),IF(IF((INDEX(B1:XFD1,((A3)+(1))+(0)))=("store"),(INDEX(B1:XFD1,((A3)+(1))+(1)))=("I"),"false"),B3,I232),I232))</f>
        <v>#VALUE!</v>
      </c>
      <c r="J232" t="e">
        <f ca="1">IF((A1)=(2),"",IF((228)=(J4),IF(IF((INDEX(B1:XFD1,((A3)+(1))+(0)))=("store"),(INDEX(B1:XFD1,((A3)+(1))+(1)))=("J"),"false"),B3,J232),J232))</f>
        <v>#VALUE!</v>
      </c>
      <c r="K232" t="e">
        <f ca="1">IF((A1)=(2),"",IF((228)=(K4),IF(IF((INDEX(B1:XFD1,((A3)+(1))+(0)))=("store"),(INDEX(B1:XFD1,((A3)+(1))+(1)))=("K"),"false"),B3,K232),K232))</f>
        <v>#VALUE!</v>
      </c>
      <c r="L232" t="e">
        <f ca="1">IF((A1)=(2),"",IF((228)=(L4),IF(IF((INDEX(B1:XFD1,((A3)+(1))+(0)))=("store"),(INDEX(B1:XFD1,((A3)+(1))+(1)))=("L"),"false"),B3,L232),L232))</f>
        <v>#VALUE!</v>
      </c>
      <c r="M232" t="e">
        <f ca="1">IF((A1)=(2),"",IF((228)=(M4),IF(IF((INDEX(B1:XFD1,((A3)+(1))+(0)))=("store"),(INDEX(B1:XFD1,((A3)+(1))+(1)))=("M"),"false"),B3,M232),M232))</f>
        <v>#VALUE!</v>
      </c>
      <c r="N232" t="e">
        <f ca="1">IF((A1)=(2),"",IF((228)=(N4),IF(IF((INDEX(B1:XFD1,((A3)+(1))+(0)))=("store"),(INDEX(B1:XFD1,((A3)+(1))+(1)))=("N"),"false"),B3,N232),N232))</f>
        <v>#VALUE!</v>
      </c>
      <c r="O232" t="e">
        <f ca="1">IF((A1)=(2),"",IF((228)=(O4),IF(IF((INDEX(B1:XFD1,((A3)+(1))+(0)))=("store"),(INDEX(B1:XFD1,((A3)+(1))+(1)))=("O"),"false"),B3,O232),O232))</f>
        <v>#VALUE!</v>
      </c>
      <c r="P232" t="e">
        <f ca="1">IF((A1)=(2),"",IF((228)=(P4),IF(IF((INDEX(B1:XFD1,((A3)+(1))+(0)))=("store"),(INDEX(B1:XFD1,((A3)+(1))+(1)))=("P"),"false"),B3,P232),P232))</f>
        <v>#VALUE!</v>
      </c>
      <c r="Q232" t="e">
        <f ca="1">IF((A1)=(2),"",IF((228)=(Q4),IF(IF((INDEX(B1:XFD1,((A3)+(1))+(0)))=("store"),(INDEX(B1:XFD1,((A3)+(1))+(1)))=("Q"),"false"),B3,Q232),Q232))</f>
        <v>#VALUE!</v>
      </c>
      <c r="R232" t="e">
        <f ca="1">IF((A1)=(2),"",IF((228)=(R4),IF(IF((INDEX(B1:XFD1,((A3)+(1))+(0)))=("store"),(INDEX(B1:XFD1,((A3)+(1))+(1)))=("R"),"false"),B3,R232),R232))</f>
        <v>#VALUE!</v>
      </c>
      <c r="S232" t="e">
        <f ca="1">IF((A1)=(2),"",IF((228)=(S4),IF(IF((INDEX(B1:XFD1,((A3)+(1))+(0)))=("store"),(INDEX(B1:XFD1,((A3)+(1))+(1)))=("S"),"false"),B3,S232),S232))</f>
        <v>#VALUE!</v>
      </c>
      <c r="T232" t="e">
        <f ca="1">IF((A1)=(2),"",IF((228)=(T4),IF(IF((INDEX(B1:XFD1,((A3)+(1))+(0)))=("store"),(INDEX(B1:XFD1,((A3)+(1))+(1)))=("T"),"false"),B3,T232),T232))</f>
        <v>#VALUE!</v>
      </c>
      <c r="U232" t="e">
        <f ca="1">IF((A1)=(2),"",IF((228)=(U4),IF(IF((INDEX(B1:XFD1,((A3)+(1))+(0)))=("store"),(INDEX(B1:XFD1,((A3)+(1))+(1)))=("U"),"false"),B3,U232),U232))</f>
        <v>#VALUE!</v>
      </c>
      <c r="V232" t="e">
        <f ca="1">IF((A1)=(2),"",IF((228)=(V4),IF(IF((INDEX(B1:XFD1,((A3)+(1))+(0)))=("store"),(INDEX(B1:XFD1,((A3)+(1))+(1)))=("V"),"false"),B3,V232),V232))</f>
        <v>#VALUE!</v>
      </c>
      <c r="W232" t="e">
        <f ca="1">IF((A1)=(2),"",IF((228)=(W4),IF(IF((INDEX(B1:XFD1,((A3)+(1))+(0)))=("store"),(INDEX(B1:XFD1,((A3)+(1))+(1)))=("W"),"false"),B3,W232),W232))</f>
        <v>#VALUE!</v>
      </c>
      <c r="X232" t="e">
        <f ca="1">IF((A1)=(2),"",IF((228)=(X4),IF(IF((INDEX(B1:XFD1,((A3)+(1))+(0)))=("store"),(INDEX(B1:XFD1,((A3)+(1))+(1)))=("X"),"false"),B3,X232),X232))</f>
        <v>#VALUE!</v>
      </c>
      <c r="Y232" t="e">
        <f ca="1">IF((A1)=(2),"",IF((228)=(Y4),IF(IF((INDEX(B1:XFD1,((A3)+(1))+(0)))=("store"),(INDEX(B1:XFD1,((A3)+(1))+(1)))=("Y"),"false"),B3,Y232),Y232))</f>
        <v>#VALUE!</v>
      </c>
      <c r="Z232" t="e">
        <f ca="1">IF((A1)=(2),"",IF((228)=(Z4),IF(IF((INDEX(B1:XFD1,((A3)+(1))+(0)))=("store"),(INDEX(B1:XFD1,((A3)+(1))+(1)))=("Z"),"false"),B3,Z232),Z232))</f>
        <v>#VALUE!</v>
      </c>
      <c r="AA232" t="e">
        <f ca="1">IF((A1)=(2),"",IF((228)=(AA4),IF(IF((INDEX(B1:XFD1,((A3)+(1))+(0)))=("store"),(INDEX(B1:XFD1,((A3)+(1))+(1)))=("AA"),"false"),B3,AA232),AA232))</f>
        <v>#VALUE!</v>
      </c>
      <c r="AB232" t="e">
        <f ca="1">IF((A1)=(2),"",IF((228)=(AB4),IF(IF((INDEX(B1:XFD1,((A3)+(1))+(0)))=("store"),(INDEX(B1:XFD1,((A3)+(1))+(1)))=("AB"),"false"),B3,AB232),AB232))</f>
        <v>#VALUE!</v>
      </c>
      <c r="AC232" t="e">
        <f ca="1">IF((A1)=(2),"",IF((228)=(AC4),IF(IF((INDEX(B1:XFD1,((A3)+(1))+(0)))=("store"),(INDEX(B1:XFD1,((A3)+(1))+(1)))=("AC"),"false"),B3,AC232),AC232))</f>
        <v>#VALUE!</v>
      </c>
      <c r="AD232" t="e">
        <f ca="1">IF((A1)=(2),"",IF((228)=(AD4),IF(IF((INDEX(B1:XFD1,((A3)+(1))+(0)))=("store"),(INDEX(B1:XFD1,((A3)+(1))+(1)))=("AD"),"false"),B3,AD232),AD232))</f>
        <v>#VALUE!</v>
      </c>
    </row>
    <row r="233" spans="1:30" x14ac:dyDescent="0.25">
      <c r="A233" t="e">
        <f ca="1">IF((A1)=(2),"",IF((229)=(A4),IF(("call")=(INDEX(B1:XFD1,((A3)+(1))+(0))),(B3)*(2),IF(("goto")=(INDEX(B1:XFD1,((A3)+(1))+(0))),(INDEX(B1:XFD1,((A3)+(1))+(1)))*(2),IF(("gotoiftrue")=(INDEX(B1:XFD1,((A3)+(1))+(0))),IF(B3,(INDEX(B1:XFD1,((A3)+(1))+(1)))*(2),(A233)+(2)),(A233)+(2)))),A233))</f>
        <v>#VALUE!</v>
      </c>
      <c r="B233" t="e">
        <f ca="1">IF((A1)=(2),"",IF((229)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233)+(1)),IF(("add")=(INDEX(B1:XFD1,((A3)+(1))+(0))),(INDEX(B5:B405,(B4)+(1)))+(B233),IF(("equals")=(INDEX(B1:XFD1,((A3)+(1))+(0))),(INDEX(B5:B405,(B4)+(1)))=(B233),IF(("leq")=(INDEX(B1:XFD1,((A3)+(1))+(0))),(INDEX(B5:B405,(B4)+(1)))&lt;=(B233),IF(("greater")=(INDEX(B1:XFD1,((A3)+(1))+(0))),(INDEX(B5:B405,(B4)+(1)))&gt;(B233),IF(("mod")=(INDEX(B1:XFD1,((A3)+(1))+(0))),MOD(INDEX(B5:B405,(B4)+(1)),B233),B233))))))))),B233))</f>
        <v>#VALUE!</v>
      </c>
      <c r="C233" t="e">
        <f ca="1">IF((A1)=(2),1,IF(AND((INDEX(B1:XFD1,((A3)+(1))+(0)))=("writeheap"),(INDEX(B5:B405,(B4)+(1)))=(228)),INDEX(B5:B405,(B4)+(2)),IF((A1)=(2),"",IF((229)=(C4),C233,C233))))</f>
        <v>#VALUE!</v>
      </c>
      <c r="F233" t="e">
        <f ca="1">IF((A1)=(2),"",IF((229)=(F4),IF(IF((INDEX(B1:XFD1,((A3)+(1))+(0)))=("store"),(INDEX(B1:XFD1,((A3)+(1))+(1)))=("F"),"false"),B3,F233),F233))</f>
        <v>#VALUE!</v>
      </c>
      <c r="G233" t="e">
        <f ca="1">IF((A1)=(2),"",IF((229)=(G4),IF(IF((INDEX(B1:XFD1,((A3)+(1))+(0)))=("store"),(INDEX(B1:XFD1,((A3)+(1))+(1)))=("G"),"false"),B3,G233),G233))</f>
        <v>#VALUE!</v>
      </c>
      <c r="H233" t="e">
        <f ca="1">IF((A1)=(2),"",IF((229)=(H4),IF(IF((INDEX(B1:XFD1,((A3)+(1))+(0)))=("store"),(INDEX(B1:XFD1,((A3)+(1))+(1)))=("H"),"false"),B3,H233),H233))</f>
        <v>#VALUE!</v>
      </c>
      <c r="I233" t="e">
        <f ca="1">IF((A1)=(2),"",IF((229)=(I4),IF(IF((INDEX(B1:XFD1,((A3)+(1))+(0)))=("store"),(INDEX(B1:XFD1,((A3)+(1))+(1)))=("I"),"false"),B3,I233),I233))</f>
        <v>#VALUE!</v>
      </c>
      <c r="J233" t="e">
        <f ca="1">IF((A1)=(2),"",IF((229)=(J4),IF(IF((INDEX(B1:XFD1,((A3)+(1))+(0)))=("store"),(INDEX(B1:XFD1,((A3)+(1))+(1)))=("J"),"false"),B3,J233),J233))</f>
        <v>#VALUE!</v>
      </c>
      <c r="K233" t="e">
        <f ca="1">IF((A1)=(2),"",IF((229)=(K4),IF(IF((INDEX(B1:XFD1,((A3)+(1))+(0)))=("store"),(INDEX(B1:XFD1,((A3)+(1))+(1)))=("K"),"false"),B3,K233),K233))</f>
        <v>#VALUE!</v>
      </c>
      <c r="L233" t="e">
        <f ca="1">IF((A1)=(2),"",IF((229)=(L4),IF(IF((INDEX(B1:XFD1,((A3)+(1))+(0)))=("store"),(INDEX(B1:XFD1,((A3)+(1))+(1)))=("L"),"false"),B3,L233),L233))</f>
        <v>#VALUE!</v>
      </c>
      <c r="M233" t="e">
        <f ca="1">IF((A1)=(2),"",IF((229)=(M4),IF(IF((INDEX(B1:XFD1,((A3)+(1))+(0)))=("store"),(INDEX(B1:XFD1,((A3)+(1))+(1)))=("M"),"false"),B3,M233),M233))</f>
        <v>#VALUE!</v>
      </c>
      <c r="N233" t="e">
        <f ca="1">IF((A1)=(2),"",IF((229)=(N4),IF(IF((INDEX(B1:XFD1,((A3)+(1))+(0)))=("store"),(INDEX(B1:XFD1,((A3)+(1))+(1)))=("N"),"false"),B3,N233),N233))</f>
        <v>#VALUE!</v>
      </c>
      <c r="O233" t="e">
        <f ca="1">IF((A1)=(2),"",IF((229)=(O4),IF(IF((INDEX(B1:XFD1,((A3)+(1))+(0)))=("store"),(INDEX(B1:XFD1,((A3)+(1))+(1)))=("O"),"false"),B3,O233),O233))</f>
        <v>#VALUE!</v>
      </c>
      <c r="P233" t="e">
        <f ca="1">IF((A1)=(2),"",IF((229)=(P4),IF(IF((INDEX(B1:XFD1,((A3)+(1))+(0)))=("store"),(INDEX(B1:XFD1,((A3)+(1))+(1)))=("P"),"false"),B3,P233),P233))</f>
        <v>#VALUE!</v>
      </c>
      <c r="Q233" t="e">
        <f ca="1">IF((A1)=(2),"",IF((229)=(Q4),IF(IF((INDEX(B1:XFD1,((A3)+(1))+(0)))=("store"),(INDEX(B1:XFD1,((A3)+(1))+(1)))=("Q"),"false"),B3,Q233),Q233))</f>
        <v>#VALUE!</v>
      </c>
      <c r="R233" t="e">
        <f ca="1">IF((A1)=(2),"",IF((229)=(R4),IF(IF((INDEX(B1:XFD1,((A3)+(1))+(0)))=("store"),(INDEX(B1:XFD1,((A3)+(1))+(1)))=("R"),"false"),B3,R233),R233))</f>
        <v>#VALUE!</v>
      </c>
      <c r="S233" t="e">
        <f ca="1">IF((A1)=(2),"",IF((229)=(S4),IF(IF((INDEX(B1:XFD1,((A3)+(1))+(0)))=("store"),(INDEX(B1:XFD1,((A3)+(1))+(1)))=("S"),"false"),B3,S233),S233))</f>
        <v>#VALUE!</v>
      </c>
      <c r="T233" t="e">
        <f ca="1">IF((A1)=(2),"",IF((229)=(T4),IF(IF((INDEX(B1:XFD1,((A3)+(1))+(0)))=("store"),(INDEX(B1:XFD1,((A3)+(1))+(1)))=("T"),"false"),B3,T233),T233))</f>
        <v>#VALUE!</v>
      </c>
      <c r="U233" t="e">
        <f ca="1">IF((A1)=(2),"",IF((229)=(U4),IF(IF((INDEX(B1:XFD1,((A3)+(1))+(0)))=("store"),(INDEX(B1:XFD1,((A3)+(1))+(1)))=("U"),"false"),B3,U233),U233))</f>
        <v>#VALUE!</v>
      </c>
      <c r="V233" t="e">
        <f ca="1">IF((A1)=(2),"",IF((229)=(V4),IF(IF((INDEX(B1:XFD1,((A3)+(1))+(0)))=("store"),(INDEX(B1:XFD1,((A3)+(1))+(1)))=("V"),"false"),B3,V233),V233))</f>
        <v>#VALUE!</v>
      </c>
      <c r="W233" t="e">
        <f ca="1">IF((A1)=(2),"",IF((229)=(W4),IF(IF((INDEX(B1:XFD1,((A3)+(1))+(0)))=("store"),(INDEX(B1:XFD1,((A3)+(1))+(1)))=("W"),"false"),B3,W233),W233))</f>
        <v>#VALUE!</v>
      </c>
      <c r="X233" t="e">
        <f ca="1">IF((A1)=(2),"",IF((229)=(X4),IF(IF((INDEX(B1:XFD1,((A3)+(1))+(0)))=("store"),(INDEX(B1:XFD1,((A3)+(1))+(1)))=("X"),"false"),B3,X233),X233))</f>
        <v>#VALUE!</v>
      </c>
      <c r="Y233" t="e">
        <f ca="1">IF((A1)=(2),"",IF((229)=(Y4),IF(IF((INDEX(B1:XFD1,((A3)+(1))+(0)))=("store"),(INDEX(B1:XFD1,((A3)+(1))+(1)))=("Y"),"false"),B3,Y233),Y233))</f>
        <v>#VALUE!</v>
      </c>
      <c r="Z233" t="e">
        <f ca="1">IF((A1)=(2),"",IF((229)=(Z4),IF(IF((INDEX(B1:XFD1,((A3)+(1))+(0)))=("store"),(INDEX(B1:XFD1,((A3)+(1))+(1)))=("Z"),"false"),B3,Z233),Z233))</f>
        <v>#VALUE!</v>
      </c>
      <c r="AA233" t="e">
        <f ca="1">IF((A1)=(2),"",IF((229)=(AA4),IF(IF((INDEX(B1:XFD1,((A3)+(1))+(0)))=("store"),(INDEX(B1:XFD1,((A3)+(1))+(1)))=("AA"),"false"),B3,AA233),AA233))</f>
        <v>#VALUE!</v>
      </c>
      <c r="AB233" t="e">
        <f ca="1">IF((A1)=(2),"",IF((229)=(AB4),IF(IF((INDEX(B1:XFD1,((A3)+(1))+(0)))=("store"),(INDEX(B1:XFD1,((A3)+(1))+(1)))=("AB"),"false"),B3,AB233),AB233))</f>
        <v>#VALUE!</v>
      </c>
      <c r="AC233" t="e">
        <f ca="1">IF((A1)=(2),"",IF((229)=(AC4),IF(IF((INDEX(B1:XFD1,((A3)+(1))+(0)))=("store"),(INDEX(B1:XFD1,((A3)+(1))+(1)))=("AC"),"false"),B3,AC233),AC233))</f>
        <v>#VALUE!</v>
      </c>
      <c r="AD233" t="e">
        <f ca="1">IF((A1)=(2),"",IF((229)=(AD4),IF(IF((INDEX(B1:XFD1,((A3)+(1))+(0)))=("store"),(INDEX(B1:XFD1,((A3)+(1))+(1)))=("AD"),"false"),B3,AD233),AD233))</f>
        <v>#VALUE!</v>
      </c>
    </row>
    <row r="234" spans="1:30" x14ac:dyDescent="0.25">
      <c r="A234" t="e">
        <f ca="1">IF((A1)=(2),"",IF((230)=(A4),IF(("call")=(INDEX(B1:XFD1,((A3)+(1))+(0))),(B3)*(2),IF(("goto")=(INDEX(B1:XFD1,((A3)+(1))+(0))),(INDEX(B1:XFD1,((A3)+(1))+(1)))*(2),IF(("gotoiftrue")=(INDEX(B1:XFD1,((A3)+(1))+(0))),IF(B3,(INDEX(B1:XFD1,((A3)+(1))+(1)))*(2),(A234)+(2)),(A234)+(2)))),A234))</f>
        <v>#VALUE!</v>
      </c>
      <c r="B234" t="e">
        <f ca="1">IF((A1)=(2),"",IF((230)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234)+(1)),IF(("add")=(INDEX(B1:XFD1,((A3)+(1))+(0))),(INDEX(B5:B405,(B4)+(1)))+(B234),IF(("equals")=(INDEX(B1:XFD1,((A3)+(1))+(0))),(INDEX(B5:B405,(B4)+(1)))=(B234),IF(("leq")=(INDEX(B1:XFD1,((A3)+(1))+(0))),(INDEX(B5:B405,(B4)+(1)))&lt;=(B234),IF(("greater")=(INDEX(B1:XFD1,((A3)+(1))+(0))),(INDEX(B5:B405,(B4)+(1)))&gt;(B234),IF(("mod")=(INDEX(B1:XFD1,((A3)+(1))+(0))),MOD(INDEX(B5:B405,(B4)+(1)),B234),B234))))))))),B234))</f>
        <v>#VALUE!</v>
      </c>
      <c r="C234" t="e">
        <f ca="1">IF((A1)=(2),1,IF(AND((INDEX(B1:XFD1,((A3)+(1))+(0)))=("writeheap"),(INDEX(B5:B405,(B4)+(1)))=(229)),INDEX(B5:B405,(B4)+(2)),IF((A1)=(2),"",IF((230)=(C4),C234,C234))))</f>
        <v>#VALUE!</v>
      </c>
      <c r="F234" t="e">
        <f ca="1">IF((A1)=(2),"",IF((230)=(F4),IF(IF((INDEX(B1:XFD1,((A3)+(1))+(0)))=("store"),(INDEX(B1:XFD1,((A3)+(1))+(1)))=("F"),"false"),B3,F234),F234))</f>
        <v>#VALUE!</v>
      </c>
      <c r="G234" t="e">
        <f ca="1">IF((A1)=(2),"",IF((230)=(G4),IF(IF((INDEX(B1:XFD1,((A3)+(1))+(0)))=("store"),(INDEX(B1:XFD1,((A3)+(1))+(1)))=("G"),"false"),B3,G234),G234))</f>
        <v>#VALUE!</v>
      </c>
      <c r="H234" t="e">
        <f ca="1">IF((A1)=(2),"",IF((230)=(H4),IF(IF((INDEX(B1:XFD1,((A3)+(1))+(0)))=("store"),(INDEX(B1:XFD1,((A3)+(1))+(1)))=("H"),"false"),B3,H234),H234))</f>
        <v>#VALUE!</v>
      </c>
      <c r="I234" t="e">
        <f ca="1">IF((A1)=(2),"",IF((230)=(I4),IF(IF((INDEX(B1:XFD1,((A3)+(1))+(0)))=("store"),(INDEX(B1:XFD1,((A3)+(1))+(1)))=("I"),"false"),B3,I234),I234))</f>
        <v>#VALUE!</v>
      </c>
      <c r="J234" t="e">
        <f ca="1">IF((A1)=(2),"",IF((230)=(J4),IF(IF((INDEX(B1:XFD1,((A3)+(1))+(0)))=("store"),(INDEX(B1:XFD1,((A3)+(1))+(1)))=("J"),"false"),B3,J234),J234))</f>
        <v>#VALUE!</v>
      </c>
      <c r="K234" t="e">
        <f ca="1">IF((A1)=(2),"",IF((230)=(K4),IF(IF((INDEX(B1:XFD1,((A3)+(1))+(0)))=("store"),(INDEX(B1:XFD1,((A3)+(1))+(1)))=("K"),"false"),B3,K234),K234))</f>
        <v>#VALUE!</v>
      </c>
      <c r="L234" t="e">
        <f ca="1">IF((A1)=(2),"",IF((230)=(L4),IF(IF((INDEX(B1:XFD1,((A3)+(1))+(0)))=("store"),(INDEX(B1:XFD1,((A3)+(1))+(1)))=("L"),"false"),B3,L234),L234))</f>
        <v>#VALUE!</v>
      </c>
      <c r="M234" t="e">
        <f ca="1">IF((A1)=(2),"",IF((230)=(M4),IF(IF((INDEX(B1:XFD1,((A3)+(1))+(0)))=("store"),(INDEX(B1:XFD1,((A3)+(1))+(1)))=("M"),"false"),B3,M234),M234))</f>
        <v>#VALUE!</v>
      </c>
      <c r="N234" t="e">
        <f ca="1">IF((A1)=(2),"",IF((230)=(N4),IF(IF((INDEX(B1:XFD1,((A3)+(1))+(0)))=("store"),(INDEX(B1:XFD1,((A3)+(1))+(1)))=("N"),"false"),B3,N234),N234))</f>
        <v>#VALUE!</v>
      </c>
      <c r="O234" t="e">
        <f ca="1">IF((A1)=(2),"",IF((230)=(O4),IF(IF((INDEX(B1:XFD1,((A3)+(1))+(0)))=("store"),(INDEX(B1:XFD1,((A3)+(1))+(1)))=("O"),"false"),B3,O234),O234))</f>
        <v>#VALUE!</v>
      </c>
      <c r="P234" t="e">
        <f ca="1">IF((A1)=(2),"",IF((230)=(P4),IF(IF((INDEX(B1:XFD1,((A3)+(1))+(0)))=("store"),(INDEX(B1:XFD1,((A3)+(1))+(1)))=("P"),"false"),B3,P234),P234))</f>
        <v>#VALUE!</v>
      </c>
      <c r="Q234" t="e">
        <f ca="1">IF((A1)=(2),"",IF((230)=(Q4),IF(IF((INDEX(B1:XFD1,((A3)+(1))+(0)))=("store"),(INDEX(B1:XFD1,((A3)+(1))+(1)))=("Q"),"false"),B3,Q234),Q234))</f>
        <v>#VALUE!</v>
      </c>
      <c r="R234" t="e">
        <f ca="1">IF((A1)=(2),"",IF((230)=(R4),IF(IF((INDEX(B1:XFD1,((A3)+(1))+(0)))=("store"),(INDEX(B1:XFD1,((A3)+(1))+(1)))=("R"),"false"),B3,R234),R234))</f>
        <v>#VALUE!</v>
      </c>
      <c r="S234" t="e">
        <f ca="1">IF((A1)=(2),"",IF((230)=(S4),IF(IF((INDEX(B1:XFD1,((A3)+(1))+(0)))=("store"),(INDEX(B1:XFD1,((A3)+(1))+(1)))=("S"),"false"),B3,S234),S234))</f>
        <v>#VALUE!</v>
      </c>
      <c r="T234" t="e">
        <f ca="1">IF((A1)=(2),"",IF((230)=(T4),IF(IF((INDEX(B1:XFD1,((A3)+(1))+(0)))=("store"),(INDEX(B1:XFD1,((A3)+(1))+(1)))=("T"),"false"),B3,T234),T234))</f>
        <v>#VALUE!</v>
      </c>
      <c r="U234" t="e">
        <f ca="1">IF((A1)=(2),"",IF((230)=(U4),IF(IF((INDEX(B1:XFD1,((A3)+(1))+(0)))=("store"),(INDEX(B1:XFD1,((A3)+(1))+(1)))=("U"),"false"),B3,U234),U234))</f>
        <v>#VALUE!</v>
      </c>
      <c r="V234" t="e">
        <f ca="1">IF((A1)=(2),"",IF((230)=(V4),IF(IF((INDEX(B1:XFD1,((A3)+(1))+(0)))=("store"),(INDEX(B1:XFD1,((A3)+(1))+(1)))=("V"),"false"),B3,V234),V234))</f>
        <v>#VALUE!</v>
      </c>
      <c r="W234" t="e">
        <f ca="1">IF((A1)=(2),"",IF((230)=(W4),IF(IF((INDEX(B1:XFD1,((A3)+(1))+(0)))=("store"),(INDEX(B1:XFD1,((A3)+(1))+(1)))=("W"),"false"),B3,W234),W234))</f>
        <v>#VALUE!</v>
      </c>
      <c r="X234" t="e">
        <f ca="1">IF((A1)=(2),"",IF((230)=(X4),IF(IF((INDEX(B1:XFD1,((A3)+(1))+(0)))=("store"),(INDEX(B1:XFD1,((A3)+(1))+(1)))=("X"),"false"),B3,X234),X234))</f>
        <v>#VALUE!</v>
      </c>
      <c r="Y234" t="e">
        <f ca="1">IF((A1)=(2),"",IF((230)=(Y4),IF(IF((INDEX(B1:XFD1,((A3)+(1))+(0)))=("store"),(INDEX(B1:XFD1,((A3)+(1))+(1)))=("Y"),"false"),B3,Y234),Y234))</f>
        <v>#VALUE!</v>
      </c>
      <c r="Z234" t="e">
        <f ca="1">IF((A1)=(2),"",IF((230)=(Z4),IF(IF((INDEX(B1:XFD1,((A3)+(1))+(0)))=("store"),(INDEX(B1:XFD1,((A3)+(1))+(1)))=("Z"),"false"),B3,Z234),Z234))</f>
        <v>#VALUE!</v>
      </c>
      <c r="AA234" t="e">
        <f ca="1">IF((A1)=(2),"",IF((230)=(AA4),IF(IF((INDEX(B1:XFD1,((A3)+(1))+(0)))=("store"),(INDEX(B1:XFD1,((A3)+(1))+(1)))=("AA"),"false"),B3,AA234),AA234))</f>
        <v>#VALUE!</v>
      </c>
      <c r="AB234" t="e">
        <f ca="1">IF((A1)=(2),"",IF((230)=(AB4),IF(IF((INDEX(B1:XFD1,((A3)+(1))+(0)))=("store"),(INDEX(B1:XFD1,((A3)+(1))+(1)))=("AB"),"false"),B3,AB234),AB234))</f>
        <v>#VALUE!</v>
      </c>
      <c r="AC234" t="e">
        <f ca="1">IF((A1)=(2),"",IF((230)=(AC4),IF(IF((INDEX(B1:XFD1,((A3)+(1))+(0)))=("store"),(INDEX(B1:XFD1,((A3)+(1))+(1)))=("AC"),"false"),B3,AC234),AC234))</f>
        <v>#VALUE!</v>
      </c>
      <c r="AD234" t="e">
        <f ca="1">IF((A1)=(2),"",IF((230)=(AD4),IF(IF((INDEX(B1:XFD1,((A3)+(1))+(0)))=("store"),(INDEX(B1:XFD1,((A3)+(1))+(1)))=("AD"),"false"),B3,AD234),AD234))</f>
        <v>#VALUE!</v>
      </c>
    </row>
    <row r="235" spans="1:30" x14ac:dyDescent="0.25">
      <c r="A235" t="e">
        <f ca="1">IF((A1)=(2),"",IF((231)=(A4),IF(("call")=(INDEX(B1:XFD1,((A3)+(1))+(0))),(B3)*(2),IF(("goto")=(INDEX(B1:XFD1,((A3)+(1))+(0))),(INDEX(B1:XFD1,((A3)+(1))+(1)))*(2),IF(("gotoiftrue")=(INDEX(B1:XFD1,((A3)+(1))+(0))),IF(B3,(INDEX(B1:XFD1,((A3)+(1))+(1)))*(2),(A235)+(2)),(A235)+(2)))),A235))</f>
        <v>#VALUE!</v>
      </c>
      <c r="B235" t="e">
        <f ca="1">IF((A1)=(2),"",IF((231)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235)+(1)),IF(("add")=(INDEX(B1:XFD1,((A3)+(1))+(0))),(INDEX(B5:B405,(B4)+(1)))+(B235),IF(("equals")=(INDEX(B1:XFD1,((A3)+(1))+(0))),(INDEX(B5:B405,(B4)+(1)))=(B235),IF(("leq")=(INDEX(B1:XFD1,((A3)+(1))+(0))),(INDEX(B5:B405,(B4)+(1)))&lt;=(B235),IF(("greater")=(INDEX(B1:XFD1,((A3)+(1))+(0))),(INDEX(B5:B405,(B4)+(1)))&gt;(B235),IF(("mod")=(INDEX(B1:XFD1,((A3)+(1))+(0))),MOD(INDEX(B5:B405,(B4)+(1)),B235),B235))))))))),B235))</f>
        <v>#VALUE!</v>
      </c>
      <c r="C235" t="e">
        <f ca="1">IF((A1)=(2),1,IF(AND((INDEX(B1:XFD1,((A3)+(1))+(0)))=("writeheap"),(INDEX(B5:B405,(B4)+(1)))=(230)),INDEX(B5:B405,(B4)+(2)),IF((A1)=(2),"",IF((231)=(C4),C235,C235))))</f>
        <v>#VALUE!</v>
      </c>
      <c r="F235" t="e">
        <f ca="1">IF((A1)=(2),"",IF((231)=(F4),IF(IF((INDEX(B1:XFD1,((A3)+(1))+(0)))=("store"),(INDEX(B1:XFD1,((A3)+(1))+(1)))=("F"),"false"),B3,F235),F235))</f>
        <v>#VALUE!</v>
      </c>
      <c r="G235" t="e">
        <f ca="1">IF((A1)=(2),"",IF((231)=(G4),IF(IF((INDEX(B1:XFD1,((A3)+(1))+(0)))=("store"),(INDEX(B1:XFD1,((A3)+(1))+(1)))=("G"),"false"),B3,G235),G235))</f>
        <v>#VALUE!</v>
      </c>
      <c r="H235" t="e">
        <f ca="1">IF((A1)=(2),"",IF((231)=(H4),IF(IF((INDEX(B1:XFD1,((A3)+(1))+(0)))=("store"),(INDEX(B1:XFD1,((A3)+(1))+(1)))=("H"),"false"),B3,H235),H235))</f>
        <v>#VALUE!</v>
      </c>
      <c r="I235" t="e">
        <f ca="1">IF((A1)=(2),"",IF((231)=(I4),IF(IF((INDEX(B1:XFD1,((A3)+(1))+(0)))=("store"),(INDEX(B1:XFD1,((A3)+(1))+(1)))=("I"),"false"),B3,I235),I235))</f>
        <v>#VALUE!</v>
      </c>
      <c r="J235" t="e">
        <f ca="1">IF((A1)=(2),"",IF((231)=(J4),IF(IF((INDEX(B1:XFD1,((A3)+(1))+(0)))=("store"),(INDEX(B1:XFD1,((A3)+(1))+(1)))=("J"),"false"),B3,J235),J235))</f>
        <v>#VALUE!</v>
      </c>
      <c r="K235" t="e">
        <f ca="1">IF((A1)=(2),"",IF((231)=(K4),IF(IF((INDEX(B1:XFD1,((A3)+(1))+(0)))=("store"),(INDEX(B1:XFD1,((A3)+(1))+(1)))=("K"),"false"),B3,K235),K235))</f>
        <v>#VALUE!</v>
      </c>
      <c r="L235" t="e">
        <f ca="1">IF((A1)=(2),"",IF((231)=(L4),IF(IF((INDEX(B1:XFD1,((A3)+(1))+(0)))=("store"),(INDEX(B1:XFD1,((A3)+(1))+(1)))=("L"),"false"),B3,L235),L235))</f>
        <v>#VALUE!</v>
      </c>
      <c r="M235" t="e">
        <f ca="1">IF((A1)=(2),"",IF((231)=(M4),IF(IF((INDEX(B1:XFD1,((A3)+(1))+(0)))=("store"),(INDEX(B1:XFD1,((A3)+(1))+(1)))=("M"),"false"),B3,M235),M235))</f>
        <v>#VALUE!</v>
      </c>
      <c r="N235" t="e">
        <f ca="1">IF((A1)=(2),"",IF((231)=(N4),IF(IF((INDEX(B1:XFD1,((A3)+(1))+(0)))=("store"),(INDEX(B1:XFD1,((A3)+(1))+(1)))=("N"),"false"),B3,N235),N235))</f>
        <v>#VALUE!</v>
      </c>
      <c r="O235" t="e">
        <f ca="1">IF((A1)=(2),"",IF((231)=(O4),IF(IF((INDEX(B1:XFD1,((A3)+(1))+(0)))=("store"),(INDEX(B1:XFD1,((A3)+(1))+(1)))=("O"),"false"),B3,O235),O235))</f>
        <v>#VALUE!</v>
      </c>
      <c r="P235" t="e">
        <f ca="1">IF((A1)=(2),"",IF((231)=(P4),IF(IF((INDEX(B1:XFD1,((A3)+(1))+(0)))=("store"),(INDEX(B1:XFD1,((A3)+(1))+(1)))=("P"),"false"),B3,P235),P235))</f>
        <v>#VALUE!</v>
      </c>
      <c r="Q235" t="e">
        <f ca="1">IF((A1)=(2),"",IF((231)=(Q4),IF(IF((INDEX(B1:XFD1,((A3)+(1))+(0)))=("store"),(INDEX(B1:XFD1,((A3)+(1))+(1)))=("Q"),"false"),B3,Q235),Q235))</f>
        <v>#VALUE!</v>
      </c>
      <c r="R235" t="e">
        <f ca="1">IF((A1)=(2),"",IF((231)=(R4),IF(IF((INDEX(B1:XFD1,((A3)+(1))+(0)))=("store"),(INDEX(B1:XFD1,((A3)+(1))+(1)))=("R"),"false"),B3,R235),R235))</f>
        <v>#VALUE!</v>
      </c>
      <c r="S235" t="e">
        <f ca="1">IF((A1)=(2),"",IF((231)=(S4),IF(IF((INDEX(B1:XFD1,((A3)+(1))+(0)))=("store"),(INDEX(B1:XFD1,((A3)+(1))+(1)))=("S"),"false"),B3,S235),S235))</f>
        <v>#VALUE!</v>
      </c>
      <c r="T235" t="e">
        <f ca="1">IF((A1)=(2),"",IF((231)=(T4),IF(IF((INDEX(B1:XFD1,((A3)+(1))+(0)))=("store"),(INDEX(B1:XFD1,((A3)+(1))+(1)))=("T"),"false"),B3,T235),T235))</f>
        <v>#VALUE!</v>
      </c>
      <c r="U235" t="e">
        <f ca="1">IF((A1)=(2),"",IF((231)=(U4),IF(IF((INDEX(B1:XFD1,((A3)+(1))+(0)))=("store"),(INDEX(B1:XFD1,((A3)+(1))+(1)))=("U"),"false"),B3,U235),U235))</f>
        <v>#VALUE!</v>
      </c>
      <c r="V235" t="e">
        <f ca="1">IF((A1)=(2),"",IF((231)=(V4),IF(IF((INDEX(B1:XFD1,((A3)+(1))+(0)))=("store"),(INDEX(B1:XFD1,((A3)+(1))+(1)))=("V"),"false"),B3,V235),V235))</f>
        <v>#VALUE!</v>
      </c>
      <c r="W235" t="e">
        <f ca="1">IF((A1)=(2),"",IF((231)=(W4),IF(IF((INDEX(B1:XFD1,((A3)+(1))+(0)))=("store"),(INDEX(B1:XFD1,((A3)+(1))+(1)))=("W"),"false"),B3,W235),W235))</f>
        <v>#VALUE!</v>
      </c>
      <c r="X235" t="e">
        <f ca="1">IF((A1)=(2),"",IF((231)=(X4),IF(IF((INDEX(B1:XFD1,((A3)+(1))+(0)))=("store"),(INDEX(B1:XFD1,((A3)+(1))+(1)))=("X"),"false"),B3,X235),X235))</f>
        <v>#VALUE!</v>
      </c>
      <c r="Y235" t="e">
        <f ca="1">IF((A1)=(2),"",IF((231)=(Y4),IF(IF((INDEX(B1:XFD1,((A3)+(1))+(0)))=("store"),(INDEX(B1:XFD1,((A3)+(1))+(1)))=("Y"),"false"),B3,Y235),Y235))</f>
        <v>#VALUE!</v>
      </c>
      <c r="Z235" t="e">
        <f ca="1">IF((A1)=(2),"",IF((231)=(Z4),IF(IF((INDEX(B1:XFD1,((A3)+(1))+(0)))=("store"),(INDEX(B1:XFD1,((A3)+(1))+(1)))=("Z"),"false"),B3,Z235),Z235))</f>
        <v>#VALUE!</v>
      </c>
      <c r="AA235" t="e">
        <f ca="1">IF((A1)=(2),"",IF((231)=(AA4),IF(IF((INDEX(B1:XFD1,((A3)+(1))+(0)))=("store"),(INDEX(B1:XFD1,((A3)+(1))+(1)))=("AA"),"false"),B3,AA235),AA235))</f>
        <v>#VALUE!</v>
      </c>
      <c r="AB235" t="e">
        <f ca="1">IF((A1)=(2),"",IF((231)=(AB4),IF(IF((INDEX(B1:XFD1,((A3)+(1))+(0)))=("store"),(INDEX(B1:XFD1,((A3)+(1))+(1)))=("AB"),"false"),B3,AB235),AB235))</f>
        <v>#VALUE!</v>
      </c>
      <c r="AC235" t="e">
        <f ca="1">IF((A1)=(2),"",IF((231)=(AC4),IF(IF((INDEX(B1:XFD1,((A3)+(1))+(0)))=("store"),(INDEX(B1:XFD1,((A3)+(1))+(1)))=("AC"),"false"),B3,AC235),AC235))</f>
        <v>#VALUE!</v>
      </c>
      <c r="AD235" t="e">
        <f ca="1">IF((A1)=(2),"",IF((231)=(AD4),IF(IF((INDEX(B1:XFD1,((A3)+(1))+(0)))=("store"),(INDEX(B1:XFD1,((A3)+(1))+(1)))=("AD"),"false"),B3,AD235),AD235))</f>
        <v>#VALUE!</v>
      </c>
    </row>
    <row r="236" spans="1:30" x14ac:dyDescent="0.25">
      <c r="A236" t="e">
        <f ca="1">IF((A1)=(2),"",IF((232)=(A4),IF(("call")=(INDEX(B1:XFD1,((A3)+(1))+(0))),(B3)*(2),IF(("goto")=(INDEX(B1:XFD1,((A3)+(1))+(0))),(INDEX(B1:XFD1,((A3)+(1))+(1)))*(2),IF(("gotoiftrue")=(INDEX(B1:XFD1,((A3)+(1))+(0))),IF(B3,(INDEX(B1:XFD1,((A3)+(1))+(1)))*(2),(A236)+(2)),(A236)+(2)))),A236))</f>
        <v>#VALUE!</v>
      </c>
      <c r="B236" t="e">
        <f ca="1">IF((A1)=(2),"",IF((232)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236)+(1)),IF(("add")=(INDEX(B1:XFD1,((A3)+(1))+(0))),(INDEX(B5:B405,(B4)+(1)))+(B236),IF(("equals")=(INDEX(B1:XFD1,((A3)+(1))+(0))),(INDEX(B5:B405,(B4)+(1)))=(B236),IF(("leq")=(INDEX(B1:XFD1,((A3)+(1))+(0))),(INDEX(B5:B405,(B4)+(1)))&lt;=(B236),IF(("greater")=(INDEX(B1:XFD1,((A3)+(1))+(0))),(INDEX(B5:B405,(B4)+(1)))&gt;(B236),IF(("mod")=(INDEX(B1:XFD1,((A3)+(1))+(0))),MOD(INDEX(B5:B405,(B4)+(1)),B236),B236))))))))),B236))</f>
        <v>#VALUE!</v>
      </c>
      <c r="C236" t="e">
        <f ca="1">IF((A1)=(2),1,IF(AND((INDEX(B1:XFD1,((A3)+(1))+(0)))=("writeheap"),(INDEX(B5:B405,(B4)+(1)))=(231)),INDEX(B5:B405,(B4)+(2)),IF((A1)=(2),"",IF((232)=(C4),C236,C236))))</f>
        <v>#VALUE!</v>
      </c>
      <c r="F236" t="e">
        <f ca="1">IF((A1)=(2),"",IF((232)=(F4),IF(IF((INDEX(B1:XFD1,((A3)+(1))+(0)))=("store"),(INDEX(B1:XFD1,((A3)+(1))+(1)))=("F"),"false"),B3,F236),F236))</f>
        <v>#VALUE!</v>
      </c>
      <c r="G236" t="e">
        <f ca="1">IF((A1)=(2),"",IF((232)=(G4),IF(IF((INDEX(B1:XFD1,((A3)+(1))+(0)))=("store"),(INDEX(B1:XFD1,((A3)+(1))+(1)))=("G"),"false"),B3,G236),G236))</f>
        <v>#VALUE!</v>
      </c>
      <c r="H236" t="e">
        <f ca="1">IF((A1)=(2),"",IF((232)=(H4),IF(IF((INDEX(B1:XFD1,((A3)+(1))+(0)))=("store"),(INDEX(B1:XFD1,((A3)+(1))+(1)))=("H"),"false"),B3,H236),H236))</f>
        <v>#VALUE!</v>
      </c>
      <c r="I236" t="e">
        <f ca="1">IF((A1)=(2),"",IF((232)=(I4),IF(IF((INDEX(B1:XFD1,((A3)+(1))+(0)))=("store"),(INDEX(B1:XFD1,((A3)+(1))+(1)))=("I"),"false"),B3,I236),I236))</f>
        <v>#VALUE!</v>
      </c>
      <c r="J236" t="e">
        <f ca="1">IF((A1)=(2),"",IF((232)=(J4),IF(IF((INDEX(B1:XFD1,((A3)+(1))+(0)))=("store"),(INDEX(B1:XFD1,((A3)+(1))+(1)))=("J"),"false"),B3,J236),J236))</f>
        <v>#VALUE!</v>
      </c>
      <c r="K236" t="e">
        <f ca="1">IF((A1)=(2),"",IF((232)=(K4),IF(IF((INDEX(B1:XFD1,((A3)+(1))+(0)))=("store"),(INDEX(B1:XFD1,((A3)+(1))+(1)))=("K"),"false"),B3,K236),K236))</f>
        <v>#VALUE!</v>
      </c>
      <c r="L236" t="e">
        <f ca="1">IF((A1)=(2),"",IF((232)=(L4),IF(IF((INDEX(B1:XFD1,((A3)+(1))+(0)))=("store"),(INDEX(B1:XFD1,((A3)+(1))+(1)))=("L"),"false"),B3,L236),L236))</f>
        <v>#VALUE!</v>
      </c>
      <c r="M236" t="e">
        <f ca="1">IF((A1)=(2),"",IF((232)=(M4),IF(IF((INDEX(B1:XFD1,((A3)+(1))+(0)))=("store"),(INDEX(B1:XFD1,((A3)+(1))+(1)))=("M"),"false"),B3,M236),M236))</f>
        <v>#VALUE!</v>
      </c>
      <c r="N236" t="e">
        <f ca="1">IF((A1)=(2),"",IF((232)=(N4),IF(IF((INDEX(B1:XFD1,((A3)+(1))+(0)))=("store"),(INDEX(B1:XFD1,((A3)+(1))+(1)))=("N"),"false"),B3,N236),N236))</f>
        <v>#VALUE!</v>
      </c>
      <c r="O236" t="e">
        <f ca="1">IF((A1)=(2),"",IF((232)=(O4),IF(IF((INDEX(B1:XFD1,((A3)+(1))+(0)))=("store"),(INDEX(B1:XFD1,((A3)+(1))+(1)))=("O"),"false"),B3,O236),O236))</f>
        <v>#VALUE!</v>
      </c>
      <c r="P236" t="e">
        <f ca="1">IF((A1)=(2),"",IF((232)=(P4),IF(IF((INDEX(B1:XFD1,((A3)+(1))+(0)))=("store"),(INDEX(B1:XFD1,((A3)+(1))+(1)))=("P"),"false"),B3,P236),P236))</f>
        <v>#VALUE!</v>
      </c>
      <c r="Q236" t="e">
        <f ca="1">IF((A1)=(2),"",IF((232)=(Q4),IF(IF((INDEX(B1:XFD1,((A3)+(1))+(0)))=("store"),(INDEX(B1:XFD1,((A3)+(1))+(1)))=("Q"),"false"),B3,Q236),Q236))</f>
        <v>#VALUE!</v>
      </c>
      <c r="R236" t="e">
        <f ca="1">IF((A1)=(2),"",IF((232)=(R4),IF(IF((INDEX(B1:XFD1,((A3)+(1))+(0)))=("store"),(INDEX(B1:XFD1,((A3)+(1))+(1)))=("R"),"false"),B3,R236),R236))</f>
        <v>#VALUE!</v>
      </c>
      <c r="S236" t="e">
        <f ca="1">IF((A1)=(2),"",IF((232)=(S4),IF(IF((INDEX(B1:XFD1,((A3)+(1))+(0)))=("store"),(INDEX(B1:XFD1,((A3)+(1))+(1)))=("S"),"false"),B3,S236),S236))</f>
        <v>#VALUE!</v>
      </c>
      <c r="T236" t="e">
        <f ca="1">IF((A1)=(2),"",IF((232)=(T4),IF(IF((INDEX(B1:XFD1,((A3)+(1))+(0)))=("store"),(INDEX(B1:XFD1,((A3)+(1))+(1)))=("T"),"false"),B3,T236),T236))</f>
        <v>#VALUE!</v>
      </c>
      <c r="U236" t="e">
        <f ca="1">IF((A1)=(2),"",IF((232)=(U4),IF(IF((INDEX(B1:XFD1,((A3)+(1))+(0)))=("store"),(INDEX(B1:XFD1,((A3)+(1))+(1)))=("U"),"false"),B3,U236),U236))</f>
        <v>#VALUE!</v>
      </c>
      <c r="V236" t="e">
        <f ca="1">IF((A1)=(2),"",IF((232)=(V4),IF(IF((INDEX(B1:XFD1,((A3)+(1))+(0)))=("store"),(INDEX(B1:XFD1,((A3)+(1))+(1)))=("V"),"false"),B3,V236),V236))</f>
        <v>#VALUE!</v>
      </c>
      <c r="W236" t="e">
        <f ca="1">IF((A1)=(2),"",IF((232)=(W4),IF(IF((INDEX(B1:XFD1,((A3)+(1))+(0)))=("store"),(INDEX(B1:XFD1,((A3)+(1))+(1)))=("W"),"false"),B3,W236),W236))</f>
        <v>#VALUE!</v>
      </c>
      <c r="X236" t="e">
        <f ca="1">IF((A1)=(2),"",IF((232)=(X4),IF(IF((INDEX(B1:XFD1,((A3)+(1))+(0)))=("store"),(INDEX(B1:XFD1,((A3)+(1))+(1)))=("X"),"false"),B3,X236),X236))</f>
        <v>#VALUE!</v>
      </c>
      <c r="Y236" t="e">
        <f ca="1">IF((A1)=(2),"",IF((232)=(Y4),IF(IF((INDEX(B1:XFD1,((A3)+(1))+(0)))=("store"),(INDEX(B1:XFD1,((A3)+(1))+(1)))=("Y"),"false"),B3,Y236),Y236))</f>
        <v>#VALUE!</v>
      </c>
      <c r="Z236" t="e">
        <f ca="1">IF((A1)=(2),"",IF((232)=(Z4),IF(IF((INDEX(B1:XFD1,((A3)+(1))+(0)))=("store"),(INDEX(B1:XFD1,((A3)+(1))+(1)))=("Z"),"false"),B3,Z236),Z236))</f>
        <v>#VALUE!</v>
      </c>
      <c r="AA236" t="e">
        <f ca="1">IF((A1)=(2),"",IF((232)=(AA4),IF(IF((INDEX(B1:XFD1,((A3)+(1))+(0)))=("store"),(INDEX(B1:XFD1,((A3)+(1))+(1)))=("AA"),"false"),B3,AA236),AA236))</f>
        <v>#VALUE!</v>
      </c>
      <c r="AB236" t="e">
        <f ca="1">IF((A1)=(2),"",IF((232)=(AB4),IF(IF((INDEX(B1:XFD1,((A3)+(1))+(0)))=("store"),(INDEX(B1:XFD1,((A3)+(1))+(1)))=("AB"),"false"),B3,AB236),AB236))</f>
        <v>#VALUE!</v>
      </c>
      <c r="AC236" t="e">
        <f ca="1">IF((A1)=(2),"",IF((232)=(AC4),IF(IF((INDEX(B1:XFD1,((A3)+(1))+(0)))=("store"),(INDEX(B1:XFD1,((A3)+(1))+(1)))=("AC"),"false"),B3,AC236),AC236))</f>
        <v>#VALUE!</v>
      </c>
      <c r="AD236" t="e">
        <f ca="1">IF((A1)=(2),"",IF((232)=(AD4),IF(IF((INDEX(B1:XFD1,((A3)+(1))+(0)))=("store"),(INDEX(B1:XFD1,((A3)+(1))+(1)))=("AD"),"false"),B3,AD236),AD236))</f>
        <v>#VALUE!</v>
      </c>
    </row>
    <row r="237" spans="1:30" x14ac:dyDescent="0.25">
      <c r="A237" t="e">
        <f ca="1">IF((A1)=(2),"",IF((233)=(A4),IF(("call")=(INDEX(B1:XFD1,((A3)+(1))+(0))),(B3)*(2),IF(("goto")=(INDEX(B1:XFD1,((A3)+(1))+(0))),(INDEX(B1:XFD1,((A3)+(1))+(1)))*(2),IF(("gotoiftrue")=(INDEX(B1:XFD1,((A3)+(1))+(0))),IF(B3,(INDEX(B1:XFD1,((A3)+(1))+(1)))*(2),(A237)+(2)),(A237)+(2)))),A237))</f>
        <v>#VALUE!</v>
      </c>
      <c r="B237" t="e">
        <f ca="1">IF((A1)=(2),"",IF((233)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237)+(1)),IF(("add")=(INDEX(B1:XFD1,((A3)+(1))+(0))),(INDEX(B5:B405,(B4)+(1)))+(B237),IF(("equals")=(INDEX(B1:XFD1,((A3)+(1))+(0))),(INDEX(B5:B405,(B4)+(1)))=(B237),IF(("leq")=(INDEX(B1:XFD1,((A3)+(1))+(0))),(INDEX(B5:B405,(B4)+(1)))&lt;=(B237),IF(("greater")=(INDEX(B1:XFD1,((A3)+(1))+(0))),(INDEX(B5:B405,(B4)+(1)))&gt;(B237),IF(("mod")=(INDEX(B1:XFD1,((A3)+(1))+(0))),MOD(INDEX(B5:B405,(B4)+(1)),B237),B237))))))))),B237))</f>
        <v>#VALUE!</v>
      </c>
      <c r="C237" t="e">
        <f ca="1">IF((A1)=(2),1,IF(AND((INDEX(B1:XFD1,((A3)+(1))+(0)))=("writeheap"),(INDEX(B5:B405,(B4)+(1)))=(232)),INDEX(B5:B405,(B4)+(2)),IF((A1)=(2),"",IF((233)=(C4),C237,C237))))</f>
        <v>#VALUE!</v>
      </c>
      <c r="F237" t="e">
        <f ca="1">IF((A1)=(2),"",IF((233)=(F4),IF(IF((INDEX(B1:XFD1,((A3)+(1))+(0)))=("store"),(INDEX(B1:XFD1,((A3)+(1))+(1)))=("F"),"false"),B3,F237),F237))</f>
        <v>#VALUE!</v>
      </c>
      <c r="G237" t="e">
        <f ca="1">IF((A1)=(2),"",IF((233)=(G4),IF(IF((INDEX(B1:XFD1,((A3)+(1))+(0)))=("store"),(INDEX(B1:XFD1,((A3)+(1))+(1)))=("G"),"false"),B3,G237),G237))</f>
        <v>#VALUE!</v>
      </c>
      <c r="H237" t="e">
        <f ca="1">IF((A1)=(2),"",IF((233)=(H4),IF(IF((INDEX(B1:XFD1,((A3)+(1))+(0)))=("store"),(INDEX(B1:XFD1,((A3)+(1))+(1)))=("H"),"false"),B3,H237),H237))</f>
        <v>#VALUE!</v>
      </c>
      <c r="I237" t="e">
        <f ca="1">IF((A1)=(2),"",IF((233)=(I4),IF(IF((INDEX(B1:XFD1,((A3)+(1))+(0)))=("store"),(INDEX(B1:XFD1,((A3)+(1))+(1)))=("I"),"false"),B3,I237),I237))</f>
        <v>#VALUE!</v>
      </c>
      <c r="J237" t="e">
        <f ca="1">IF((A1)=(2),"",IF((233)=(J4),IF(IF((INDEX(B1:XFD1,((A3)+(1))+(0)))=("store"),(INDEX(B1:XFD1,((A3)+(1))+(1)))=("J"),"false"),B3,J237),J237))</f>
        <v>#VALUE!</v>
      </c>
      <c r="K237" t="e">
        <f ca="1">IF((A1)=(2),"",IF((233)=(K4),IF(IF((INDEX(B1:XFD1,((A3)+(1))+(0)))=("store"),(INDEX(B1:XFD1,((A3)+(1))+(1)))=("K"),"false"),B3,K237),K237))</f>
        <v>#VALUE!</v>
      </c>
      <c r="L237" t="e">
        <f ca="1">IF((A1)=(2),"",IF((233)=(L4),IF(IF((INDEX(B1:XFD1,((A3)+(1))+(0)))=("store"),(INDEX(B1:XFD1,((A3)+(1))+(1)))=("L"),"false"),B3,L237),L237))</f>
        <v>#VALUE!</v>
      </c>
      <c r="M237" t="e">
        <f ca="1">IF((A1)=(2),"",IF((233)=(M4),IF(IF((INDEX(B1:XFD1,((A3)+(1))+(0)))=("store"),(INDEX(B1:XFD1,((A3)+(1))+(1)))=("M"),"false"),B3,M237),M237))</f>
        <v>#VALUE!</v>
      </c>
      <c r="N237" t="e">
        <f ca="1">IF((A1)=(2),"",IF((233)=(N4),IF(IF((INDEX(B1:XFD1,((A3)+(1))+(0)))=("store"),(INDEX(B1:XFD1,((A3)+(1))+(1)))=("N"),"false"),B3,N237),N237))</f>
        <v>#VALUE!</v>
      </c>
      <c r="O237" t="e">
        <f ca="1">IF((A1)=(2),"",IF((233)=(O4),IF(IF((INDEX(B1:XFD1,((A3)+(1))+(0)))=("store"),(INDEX(B1:XFD1,((A3)+(1))+(1)))=("O"),"false"),B3,O237),O237))</f>
        <v>#VALUE!</v>
      </c>
      <c r="P237" t="e">
        <f ca="1">IF((A1)=(2),"",IF((233)=(P4),IF(IF((INDEX(B1:XFD1,((A3)+(1))+(0)))=("store"),(INDEX(B1:XFD1,((A3)+(1))+(1)))=("P"),"false"),B3,P237),P237))</f>
        <v>#VALUE!</v>
      </c>
      <c r="Q237" t="e">
        <f ca="1">IF((A1)=(2),"",IF((233)=(Q4),IF(IF((INDEX(B1:XFD1,((A3)+(1))+(0)))=("store"),(INDEX(B1:XFD1,((A3)+(1))+(1)))=("Q"),"false"),B3,Q237),Q237))</f>
        <v>#VALUE!</v>
      </c>
      <c r="R237" t="e">
        <f ca="1">IF((A1)=(2),"",IF((233)=(R4),IF(IF((INDEX(B1:XFD1,((A3)+(1))+(0)))=("store"),(INDEX(B1:XFD1,((A3)+(1))+(1)))=("R"),"false"),B3,R237),R237))</f>
        <v>#VALUE!</v>
      </c>
      <c r="S237" t="e">
        <f ca="1">IF((A1)=(2),"",IF((233)=(S4),IF(IF((INDEX(B1:XFD1,((A3)+(1))+(0)))=("store"),(INDEX(B1:XFD1,((A3)+(1))+(1)))=("S"),"false"),B3,S237),S237))</f>
        <v>#VALUE!</v>
      </c>
      <c r="T237" t="e">
        <f ca="1">IF((A1)=(2),"",IF((233)=(T4),IF(IF((INDEX(B1:XFD1,((A3)+(1))+(0)))=("store"),(INDEX(B1:XFD1,((A3)+(1))+(1)))=("T"),"false"),B3,T237),T237))</f>
        <v>#VALUE!</v>
      </c>
      <c r="U237" t="e">
        <f ca="1">IF((A1)=(2),"",IF((233)=(U4),IF(IF((INDEX(B1:XFD1,((A3)+(1))+(0)))=("store"),(INDEX(B1:XFD1,((A3)+(1))+(1)))=("U"),"false"),B3,U237),U237))</f>
        <v>#VALUE!</v>
      </c>
      <c r="V237" t="e">
        <f ca="1">IF((A1)=(2),"",IF((233)=(V4),IF(IF((INDEX(B1:XFD1,((A3)+(1))+(0)))=("store"),(INDEX(B1:XFD1,((A3)+(1))+(1)))=("V"),"false"),B3,V237),V237))</f>
        <v>#VALUE!</v>
      </c>
      <c r="W237" t="e">
        <f ca="1">IF((A1)=(2),"",IF((233)=(W4),IF(IF((INDEX(B1:XFD1,((A3)+(1))+(0)))=("store"),(INDEX(B1:XFD1,((A3)+(1))+(1)))=("W"),"false"),B3,W237),W237))</f>
        <v>#VALUE!</v>
      </c>
      <c r="X237" t="e">
        <f ca="1">IF((A1)=(2),"",IF((233)=(X4),IF(IF((INDEX(B1:XFD1,((A3)+(1))+(0)))=("store"),(INDEX(B1:XFD1,((A3)+(1))+(1)))=("X"),"false"),B3,X237),X237))</f>
        <v>#VALUE!</v>
      </c>
      <c r="Y237" t="e">
        <f ca="1">IF((A1)=(2),"",IF((233)=(Y4),IF(IF((INDEX(B1:XFD1,((A3)+(1))+(0)))=("store"),(INDEX(B1:XFD1,((A3)+(1))+(1)))=("Y"),"false"),B3,Y237),Y237))</f>
        <v>#VALUE!</v>
      </c>
      <c r="Z237" t="e">
        <f ca="1">IF((A1)=(2),"",IF((233)=(Z4),IF(IF((INDEX(B1:XFD1,((A3)+(1))+(0)))=("store"),(INDEX(B1:XFD1,((A3)+(1))+(1)))=("Z"),"false"),B3,Z237),Z237))</f>
        <v>#VALUE!</v>
      </c>
      <c r="AA237" t="e">
        <f ca="1">IF((A1)=(2),"",IF((233)=(AA4),IF(IF((INDEX(B1:XFD1,((A3)+(1))+(0)))=("store"),(INDEX(B1:XFD1,((A3)+(1))+(1)))=("AA"),"false"),B3,AA237),AA237))</f>
        <v>#VALUE!</v>
      </c>
      <c r="AB237" t="e">
        <f ca="1">IF((A1)=(2),"",IF((233)=(AB4),IF(IF((INDEX(B1:XFD1,((A3)+(1))+(0)))=("store"),(INDEX(B1:XFD1,((A3)+(1))+(1)))=("AB"),"false"),B3,AB237),AB237))</f>
        <v>#VALUE!</v>
      </c>
      <c r="AC237" t="e">
        <f ca="1">IF((A1)=(2),"",IF((233)=(AC4),IF(IF((INDEX(B1:XFD1,((A3)+(1))+(0)))=("store"),(INDEX(B1:XFD1,((A3)+(1))+(1)))=("AC"),"false"),B3,AC237),AC237))</f>
        <v>#VALUE!</v>
      </c>
      <c r="AD237" t="e">
        <f ca="1">IF((A1)=(2),"",IF((233)=(AD4),IF(IF((INDEX(B1:XFD1,((A3)+(1))+(0)))=("store"),(INDEX(B1:XFD1,((A3)+(1))+(1)))=("AD"),"false"),B3,AD237),AD237))</f>
        <v>#VALUE!</v>
      </c>
    </row>
    <row r="238" spans="1:30" x14ac:dyDescent="0.25">
      <c r="A238" t="e">
        <f ca="1">IF((A1)=(2),"",IF((234)=(A4),IF(("call")=(INDEX(B1:XFD1,((A3)+(1))+(0))),(B3)*(2),IF(("goto")=(INDEX(B1:XFD1,((A3)+(1))+(0))),(INDEX(B1:XFD1,((A3)+(1))+(1)))*(2),IF(("gotoiftrue")=(INDEX(B1:XFD1,((A3)+(1))+(0))),IF(B3,(INDEX(B1:XFD1,((A3)+(1))+(1)))*(2),(A238)+(2)),(A238)+(2)))),A238))</f>
        <v>#VALUE!</v>
      </c>
      <c r="B238" t="e">
        <f ca="1">IF((A1)=(2),"",IF((234)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238)+(1)),IF(("add")=(INDEX(B1:XFD1,((A3)+(1))+(0))),(INDEX(B5:B405,(B4)+(1)))+(B238),IF(("equals")=(INDEX(B1:XFD1,((A3)+(1))+(0))),(INDEX(B5:B405,(B4)+(1)))=(B238),IF(("leq")=(INDEX(B1:XFD1,((A3)+(1))+(0))),(INDEX(B5:B405,(B4)+(1)))&lt;=(B238),IF(("greater")=(INDEX(B1:XFD1,((A3)+(1))+(0))),(INDEX(B5:B405,(B4)+(1)))&gt;(B238),IF(("mod")=(INDEX(B1:XFD1,((A3)+(1))+(0))),MOD(INDEX(B5:B405,(B4)+(1)),B238),B238))))))))),B238))</f>
        <v>#VALUE!</v>
      </c>
      <c r="C238" t="e">
        <f ca="1">IF((A1)=(2),1,IF(AND((INDEX(B1:XFD1,((A3)+(1))+(0)))=("writeheap"),(INDEX(B5:B405,(B4)+(1)))=(233)),INDEX(B5:B405,(B4)+(2)),IF((A1)=(2),"",IF((234)=(C4),C238,C238))))</f>
        <v>#VALUE!</v>
      </c>
      <c r="F238" t="e">
        <f ca="1">IF((A1)=(2),"",IF((234)=(F4),IF(IF((INDEX(B1:XFD1,((A3)+(1))+(0)))=("store"),(INDEX(B1:XFD1,((A3)+(1))+(1)))=("F"),"false"),B3,F238),F238))</f>
        <v>#VALUE!</v>
      </c>
      <c r="G238" t="e">
        <f ca="1">IF((A1)=(2),"",IF((234)=(G4),IF(IF((INDEX(B1:XFD1,((A3)+(1))+(0)))=("store"),(INDEX(B1:XFD1,((A3)+(1))+(1)))=("G"),"false"),B3,G238),G238))</f>
        <v>#VALUE!</v>
      </c>
      <c r="H238" t="e">
        <f ca="1">IF((A1)=(2),"",IF((234)=(H4),IF(IF((INDEX(B1:XFD1,((A3)+(1))+(0)))=("store"),(INDEX(B1:XFD1,((A3)+(1))+(1)))=("H"),"false"),B3,H238),H238))</f>
        <v>#VALUE!</v>
      </c>
      <c r="I238" t="e">
        <f ca="1">IF((A1)=(2),"",IF((234)=(I4),IF(IF((INDEX(B1:XFD1,((A3)+(1))+(0)))=("store"),(INDEX(B1:XFD1,((A3)+(1))+(1)))=("I"),"false"),B3,I238),I238))</f>
        <v>#VALUE!</v>
      </c>
      <c r="J238" t="e">
        <f ca="1">IF((A1)=(2),"",IF((234)=(J4),IF(IF((INDEX(B1:XFD1,((A3)+(1))+(0)))=("store"),(INDEX(B1:XFD1,((A3)+(1))+(1)))=("J"),"false"),B3,J238),J238))</f>
        <v>#VALUE!</v>
      </c>
      <c r="K238" t="e">
        <f ca="1">IF((A1)=(2),"",IF((234)=(K4),IF(IF((INDEX(B1:XFD1,((A3)+(1))+(0)))=("store"),(INDEX(B1:XFD1,((A3)+(1))+(1)))=("K"),"false"),B3,K238),K238))</f>
        <v>#VALUE!</v>
      </c>
      <c r="L238" t="e">
        <f ca="1">IF((A1)=(2),"",IF((234)=(L4),IF(IF((INDEX(B1:XFD1,((A3)+(1))+(0)))=("store"),(INDEX(B1:XFD1,((A3)+(1))+(1)))=("L"),"false"),B3,L238),L238))</f>
        <v>#VALUE!</v>
      </c>
      <c r="M238" t="e">
        <f ca="1">IF((A1)=(2),"",IF((234)=(M4),IF(IF((INDEX(B1:XFD1,((A3)+(1))+(0)))=("store"),(INDEX(B1:XFD1,((A3)+(1))+(1)))=("M"),"false"),B3,M238),M238))</f>
        <v>#VALUE!</v>
      </c>
      <c r="N238" t="e">
        <f ca="1">IF((A1)=(2),"",IF((234)=(N4),IF(IF((INDEX(B1:XFD1,((A3)+(1))+(0)))=("store"),(INDEX(B1:XFD1,((A3)+(1))+(1)))=("N"),"false"),B3,N238),N238))</f>
        <v>#VALUE!</v>
      </c>
      <c r="O238" t="e">
        <f ca="1">IF((A1)=(2),"",IF((234)=(O4),IF(IF((INDEX(B1:XFD1,((A3)+(1))+(0)))=("store"),(INDEX(B1:XFD1,((A3)+(1))+(1)))=("O"),"false"),B3,O238),O238))</f>
        <v>#VALUE!</v>
      </c>
      <c r="P238" t="e">
        <f ca="1">IF((A1)=(2),"",IF((234)=(P4),IF(IF((INDEX(B1:XFD1,((A3)+(1))+(0)))=("store"),(INDEX(B1:XFD1,((A3)+(1))+(1)))=("P"),"false"),B3,P238),P238))</f>
        <v>#VALUE!</v>
      </c>
      <c r="Q238" t="e">
        <f ca="1">IF((A1)=(2),"",IF((234)=(Q4),IF(IF((INDEX(B1:XFD1,((A3)+(1))+(0)))=("store"),(INDEX(B1:XFD1,((A3)+(1))+(1)))=("Q"),"false"),B3,Q238),Q238))</f>
        <v>#VALUE!</v>
      </c>
      <c r="R238" t="e">
        <f ca="1">IF((A1)=(2),"",IF((234)=(R4),IF(IF((INDEX(B1:XFD1,((A3)+(1))+(0)))=("store"),(INDEX(B1:XFD1,((A3)+(1))+(1)))=("R"),"false"),B3,R238),R238))</f>
        <v>#VALUE!</v>
      </c>
      <c r="S238" t="e">
        <f ca="1">IF((A1)=(2),"",IF((234)=(S4),IF(IF((INDEX(B1:XFD1,((A3)+(1))+(0)))=("store"),(INDEX(B1:XFD1,((A3)+(1))+(1)))=("S"),"false"),B3,S238),S238))</f>
        <v>#VALUE!</v>
      </c>
      <c r="T238" t="e">
        <f ca="1">IF((A1)=(2),"",IF((234)=(T4),IF(IF((INDEX(B1:XFD1,((A3)+(1))+(0)))=("store"),(INDEX(B1:XFD1,((A3)+(1))+(1)))=("T"),"false"),B3,T238),T238))</f>
        <v>#VALUE!</v>
      </c>
      <c r="U238" t="e">
        <f ca="1">IF((A1)=(2),"",IF((234)=(U4),IF(IF((INDEX(B1:XFD1,((A3)+(1))+(0)))=("store"),(INDEX(B1:XFD1,((A3)+(1))+(1)))=("U"),"false"),B3,U238),U238))</f>
        <v>#VALUE!</v>
      </c>
      <c r="V238" t="e">
        <f ca="1">IF((A1)=(2),"",IF((234)=(V4),IF(IF((INDEX(B1:XFD1,((A3)+(1))+(0)))=("store"),(INDEX(B1:XFD1,((A3)+(1))+(1)))=("V"),"false"),B3,V238),V238))</f>
        <v>#VALUE!</v>
      </c>
      <c r="W238" t="e">
        <f ca="1">IF((A1)=(2),"",IF((234)=(W4),IF(IF((INDEX(B1:XFD1,((A3)+(1))+(0)))=("store"),(INDEX(B1:XFD1,((A3)+(1))+(1)))=("W"),"false"),B3,W238),W238))</f>
        <v>#VALUE!</v>
      </c>
      <c r="X238" t="e">
        <f ca="1">IF((A1)=(2),"",IF((234)=(X4),IF(IF((INDEX(B1:XFD1,((A3)+(1))+(0)))=("store"),(INDEX(B1:XFD1,((A3)+(1))+(1)))=("X"),"false"),B3,X238),X238))</f>
        <v>#VALUE!</v>
      </c>
      <c r="Y238" t="e">
        <f ca="1">IF((A1)=(2),"",IF((234)=(Y4),IF(IF((INDEX(B1:XFD1,((A3)+(1))+(0)))=("store"),(INDEX(B1:XFD1,((A3)+(1))+(1)))=("Y"),"false"),B3,Y238),Y238))</f>
        <v>#VALUE!</v>
      </c>
      <c r="Z238" t="e">
        <f ca="1">IF((A1)=(2),"",IF((234)=(Z4),IF(IF((INDEX(B1:XFD1,((A3)+(1))+(0)))=("store"),(INDEX(B1:XFD1,((A3)+(1))+(1)))=("Z"),"false"),B3,Z238),Z238))</f>
        <v>#VALUE!</v>
      </c>
      <c r="AA238" t="e">
        <f ca="1">IF((A1)=(2),"",IF((234)=(AA4),IF(IF((INDEX(B1:XFD1,((A3)+(1))+(0)))=("store"),(INDEX(B1:XFD1,((A3)+(1))+(1)))=("AA"),"false"),B3,AA238),AA238))</f>
        <v>#VALUE!</v>
      </c>
      <c r="AB238" t="e">
        <f ca="1">IF((A1)=(2),"",IF((234)=(AB4),IF(IF((INDEX(B1:XFD1,((A3)+(1))+(0)))=("store"),(INDEX(B1:XFD1,((A3)+(1))+(1)))=("AB"),"false"),B3,AB238),AB238))</f>
        <v>#VALUE!</v>
      </c>
      <c r="AC238" t="e">
        <f ca="1">IF((A1)=(2),"",IF((234)=(AC4),IF(IF((INDEX(B1:XFD1,((A3)+(1))+(0)))=("store"),(INDEX(B1:XFD1,((A3)+(1))+(1)))=("AC"),"false"),B3,AC238),AC238))</f>
        <v>#VALUE!</v>
      </c>
      <c r="AD238" t="e">
        <f ca="1">IF((A1)=(2),"",IF((234)=(AD4),IF(IF((INDEX(B1:XFD1,((A3)+(1))+(0)))=("store"),(INDEX(B1:XFD1,((A3)+(1))+(1)))=("AD"),"false"),B3,AD238),AD238))</f>
        <v>#VALUE!</v>
      </c>
    </row>
    <row r="239" spans="1:30" x14ac:dyDescent="0.25">
      <c r="A239" t="e">
        <f ca="1">IF((A1)=(2),"",IF((235)=(A4),IF(("call")=(INDEX(B1:XFD1,((A3)+(1))+(0))),(B3)*(2),IF(("goto")=(INDEX(B1:XFD1,((A3)+(1))+(0))),(INDEX(B1:XFD1,((A3)+(1))+(1)))*(2),IF(("gotoiftrue")=(INDEX(B1:XFD1,((A3)+(1))+(0))),IF(B3,(INDEX(B1:XFD1,((A3)+(1))+(1)))*(2),(A239)+(2)),(A239)+(2)))),A239))</f>
        <v>#VALUE!</v>
      </c>
      <c r="B239" t="e">
        <f ca="1">IF((A1)=(2),"",IF((235)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239)+(1)),IF(("add")=(INDEX(B1:XFD1,((A3)+(1))+(0))),(INDEX(B5:B405,(B4)+(1)))+(B239),IF(("equals")=(INDEX(B1:XFD1,((A3)+(1))+(0))),(INDEX(B5:B405,(B4)+(1)))=(B239),IF(("leq")=(INDEX(B1:XFD1,((A3)+(1))+(0))),(INDEX(B5:B405,(B4)+(1)))&lt;=(B239),IF(("greater")=(INDEX(B1:XFD1,((A3)+(1))+(0))),(INDEX(B5:B405,(B4)+(1)))&gt;(B239),IF(("mod")=(INDEX(B1:XFD1,((A3)+(1))+(0))),MOD(INDEX(B5:B405,(B4)+(1)),B239),B239))))))))),B239))</f>
        <v>#VALUE!</v>
      </c>
      <c r="C239" t="e">
        <f ca="1">IF((A1)=(2),1,IF(AND((INDEX(B1:XFD1,((A3)+(1))+(0)))=("writeheap"),(INDEX(B5:B405,(B4)+(1)))=(234)),INDEX(B5:B405,(B4)+(2)),IF((A1)=(2),"",IF((235)=(C4),C239,C239))))</f>
        <v>#VALUE!</v>
      </c>
      <c r="F239" t="e">
        <f ca="1">IF((A1)=(2),"",IF((235)=(F4),IF(IF((INDEX(B1:XFD1,((A3)+(1))+(0)))=("store"),(INDEX(B1:XFD1,((A3)+(1))+(1)))=("F"),"false"),B3,F239),F239))</f>
        <v>#VALUE!</v>
      </c>
      <c r="G239" t="e">
        <f ca="1">IF((A1)=(2),"",IF((235)=(G4),IF(IF((INDEX(B1:XFD1,((A3)+(1))+(0)))=("store"),(INDEX(B1:XFD1,((A3)+(1))+(1)))=("G"),"false"),B3,G239),G239))</f>
        <v>#VALUE!</v>
      </c>
      <c r="H239" t="e">
        <f ca="1">IF((A1)=(2),"",IF((235)=(H4),IF(IF((INDEX(B1:XFD1,((A3)+(1))+(0)))=("store"),(INDEX(B1:XFD1,((A3)+(1))+(1)))=("H"),"false"),B3,H239),H239))</f>
        <v>#VALUE!</v>
      </c>
      <c r="I239" t="e">
        <f ca="1">IF((A1)=(2),"",IF((235)=(I4),IF(IF((INDEX(B1:XFD1,((A3)+(1))+(0)))=("store"),(INDEX(B1:XFD1,((A3)+(1))+(1)))=("I"),"false"),B3,I239),I239))</f>
        <v>#VALUE!</v>
      </c>
      <c r="J239" t="e">
        <f ca="1">IF((A1)=(2),"",IF((235)=(J4),IF(IF((INDEX(B1:XFD1,((A3)+(1))+(0)))=("store"),(INDEX(B1:XFD1,((A3)+(1))+(1)))=("J"),"false"),B3,J239),J239))</f>
        <v>#VALUE!</v>
      </c>
      <c r="K239" t="e">
        <f ca="1">IF((A1)=(2),"",IF((235)=(K4),IF(IF((INDEX(B1:XFD1,((A3)+(1))+(0)))=("store"),(INDEX(B1:XFD1,((A3)+(1))+(1)))=("K"),"false"),B3,K239),K239))</f>
        <v>#VALUE!</v>
      </c>
      <c r="L239" t="e">
        <f ca="1">IF((A1)=(2),"",IF((235)=(L4),IF(IF((INDEX(B1:XFD1,((A3)+(1))+(0)))=("store"),(INDEX(B1:XFD1,((A3)+(1))+(1)))=("L"),"false"),B3,L239),L239))</f>
        <v>#VALUE!</v>
      </c>
      <c r="M239" t="e">
        <f ca="1">IF((A1)=(2),"",IF((235)=(M4),IF(IF((INDEX(B1:XFD1,((A3)+(1))+(0)))=("store"),(INDEX(B1:XFD1,((A3)+(1))+(1)))=("M"),"false"),B3,M239),M239))</f>
        <v>#VALUE!</v>
      </c>
      <c r="N239" t="e">
        <f ca="1">IF((A1)=(2),"",IF((235)=(N4),IF(IF((INDEX(B1:XFD1,((A3)+(1))+(0)))=("store"),(INDEX(B1:XFD1,((A3)+(1))+(1)))=("N"),"false"),B3,N239),N239))</f>
        <v>#VALUE!</v>
      </c>
      <c r="O239" t="e">
        <f ca="1">IF((A1)=(2),"",IF((235)=(O4),IF(IF((INDEX(B1:XFD1,((A3)+(1))+(0)))=("store"),(INDEX(B1:XFD1,((A3)+(1))+(1)))=("O"),"false"),B3,O239),O239))</f>
        <v>#VALUE!</v>
      </c>
      <c r="P239" t="e">
        <f ca="1">IF((A1)=(2),"",IF((235)=(P4),IF(IF((INDEX(B1:XFD1,((A3)+(1))+(0)))=("store"),(INDEX(B1:XFD1,((A3)+(1))+(1)))=("P"),"false"),B3,P239),P239))</f>
        <v>#VALUE!</v>
      </c>
      <c r="Q239" t="e">
        <f ca="1">IF((A1)=(2),"",IF((235)=(Q4),IF(IF((INDEX(B1:XFD1,((A3)+(1))+(0)))=("store"),(INDEX(B1:XFD1,((A3)+(1))+(1)))=("Q"),"false"),B3,Q239),Q239))</f>
        <v>#VALUE!</v>
      </c>
      <c r="R239" t="e">
        <f ca="1">IF((A1)=(2),"",IF((235)=(R4),IF(IF((INDEX(B1:XFD1,((A3)+(1))+(0)))=("store"),(INDEX(B1:XFD1,((A3)+(1))+(1)))=("R"),"false"),B3,R239),R239))</f>
        <v>#VALUE!</v>
      </c>
      <c r="S239" t="e">
        <f ca="1">IF((A1)=(2),"",IF((235)=(S4),IF(IF((INDEX(B1:XFD1,((A3)+(1))+(0)))=("store"),(INDEX(B1:XFD1,((A3)+(1))+(1)))=("S"),"false"),B3,S239),S239))</f>
        <v>#VALUE!</v>
      </c>
      <c r="T239" t="e">
        <f ca="1">IF((A1)=(2),"",IF((235)=(T4),IF(IF((INDEX(B1:XFD1,((A3)+(1))+(0)))=("store"),(INDEX(B1:XFD1,((A3)+(1))+(1)))=("T"),"false"),B3,T239),T239))</f>
        <v>#VALUE!</v>
      </c>
      <c r="U239" t="e">
        <f ca="1">IF((A1)=(2),"",IF((235)=(U4),IF(IF((INDEX(B1:XFD1,((A3)+(1))+(0)))=("store"),(INDEX(B1:XFD1,((A3)+(1))+(1)))=("U"),"false"),B3,U239),U239))</f>
        <v>#VALUE!</v>
      </c>
      <c r="V239" t="e">
        <f ca="1">IF((A1)=(2),"",IF((235)=(V4),IF(IF((INDEX(B1:XFD1,((A3)+(1))+(0)))=("store"),(INDEX(B1:XFD1,((A3)+(1))+(1)))=("V"),"false"),B3,V239),V239))</f>
        <v>#VALUE!</v>
      </c>
      <c r="W239" t="e">
        <f ca="1">IF((A1)=(2),"",IF((235)=(W4),IF(IF((INDEX(B1:XFD1,((A3)+(1))+(0)))=("store"),(INDEX(B1:XFD1,((A3)+(1))+(1)))=("W"),"false"),B3,W239),W239))</f>
        <v>#VALUE!</v>
      </c>
      <c r="X239" t="e">
        <f ca="1">IF((A1)=(2),"",IF((235)=(X4),IF(IF((INDEX(B1:XFD1,((A3)+(1))+(0)))=("store"),(INDEX(B1:XFD1,((A3)+(1))+(1)))=("X"),"false"),B3,X239),X239))</f>
        <v>#VALUE!</v>
      </c>
      <c r="Y239" t="e">
        <f ca="1">IF((A1)=(2),"",IF((235)=(Y4),IF(IF((INDEX(B1:XFD1,((A3)+(1))+(0)))=("store"),(INDEX(B1:XFD1,((A3)+(1))+(1)))=("Y"),"false"),B3,Y239),Y239))</f>
        <v>#VALUE!</v>
      </c>
      <c r="Z239" t="e">
        <f ca="1">IF((A1)=(2),"",IF((235)=(Z4),IF(IF((INDEX(B1:XFD1,((A3)+(1))+(0)))=("store"),(INDEX(B1:XFD1,((A3)+(1))+(1)))=("Z"),"false"),B3,Z239),Z239))</f>
        <v>#VALUE!</v>
      </c>
      <c r="AA239" t="e">
        <f ca="1">IF((A1)=(2),"",IF((235)=(AA4),IF(IF((INDEX(B1:XFD1,((A3)+(1))+(0)))=("store"),(INDEX(B1:XFD1,((A3)+(1))+(1)))=("AA"),"false"),B3,AA239),AA239))</f>
        <v>#VALUE!</v>
      </c>
      <c r="AB239" t="e">
        <f ca="1">IF((A1)=(2),"",IF((235)=(AB4),IF(IF((INDEX(B1:XFD1,((A3)+(1))+(0)))=("store"),(INDEX(B1:XFD1,((A3)+(1))+(1)))=("AB"),"false"),B3,AB239),AB239))</f>
        <v>#VALUE!</v>
      </c>
      <c r="AC239" t="e">
        <f ca="1">IF((A1)=(2),"",IF((235)=(AC4),IF(IF((INDEX(B1:XFD1,((A3)+(1))+(0)))=("store"),(INDEX(B1:XFD1,((A3)+(1))+(1)))=("AC"),"false"),B3,AC239),AC239))</f>
        <v>#VALUE!</v>
      </c>
      <c r="AD239" t="e">
        <f ca="1">IF((A1)=(2),"",IF((235)=(AD4),IF(IF((INDEX(B1:XFD1,((A3)+(1))+(0)))=("store"),(INDEX(B1:XFD1,((A3)+(1))+(1)))=("AD"),"false"),B3,AD239),AD239))</f>
        <v>#VALUE!</v>
      </c>
    </row>
    <row r="240" spans="1:30" x14ac:dyDescent="0.25">
      <c r="A240" t="e">
        <f ca="1">IF((A1)=(2),"",IF((236)=(A4),IF(("call")=(INDEX(B1:XFD1,((A3)+(1))+(0))),(B3)*(2),IF(("goto")=(INDEX(B1:XFD1,((A3)+(1))+(0))),(INDEX(B1:XFD1,((A3)+(1))+(1)))*(2),IF(("gotoiftrue")=(INDEX(B1:XFD1,((A3)+(1))+(0))),IF(B3,(INDEX(B1:XFD1,((A3)+(1))+(1)))*(2),(A240)+(2)),(A240)+(2)))),A240))</f>
        <v>#VALUE!</v>
      </c>
      <c r="B240" t="e">
        <f ca="1">IF((A1)=(2),"",IF((236)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240)+(1)),IF(("add")=(INDEX(B1:XFD1,((A3)+(1))+(0))),(INDEX(B5:B405,(B4)+(1)))+(B240),IF(("equals")=(INDEX(B1:XFD1,((A3)+(1))+(0))),(INDEX(B5:B405,(B4)+(1)))=(B240),IF(("leq")=(INDEX(B1:XFD1,((A3)+(1))+(0))),(INDEX(B5:B405,(B4)+(1)))&lt;=(B240),IF(("greater")=(INDEX(B1:XFD1,((A3)+(1))+(0))),(INDEX(B5:B405,(B4)+(1)))&gt;(B240),IF(("mod")=(INDEX(B1:XFD1,((A3)+(1))+(0))),MOD(INDEX(B5:B405,(B4)+(1)),B240),B240))))))))),B240))</f>
        <v>#VALUE!</v>
      </c>
      <c r="C240" t="e">
        <f ca="1">IF((A1)=(2),1,IF(AND((INDEX(B1:XFD1,((A3)+(1))+(0)))=("writeheap"),(INDEX(B5:B405,(B4)+(1)))=(235)),INDEX(B5:B405,(B4)+(2)),IF((A1)=(2),"",IF((236)=(C4),C240,C240))))</f>
        <v>#VALUE!</v>
      </c>
      <c r="F240" t="e">
        <f ca="1">IF((A1)=(2),"",IF((236)=(F4),IF(IF((INDEX(B1:XFD1,((A3)+(1))+(0)))=("store"),(INDEX(B1:XFD1,((A3)+(1))+(1)))=("F"),"false"),B3,F240),F240))</f>
        <v>#VALUE!</v>
      </c>
      <c r="G240" t="e">
        <f ca="1">IF((A1)=(2),"",IF((236)=(G4),IF(IF((INDEX(B1:XFD1,((A3)+(1))+(0)))=("store"),(INDEX(B1:XFD1,((A3)+(1))+(1)))=("G"),"false"),B3,G240),G240))</f>
        <v>#VALUE!</v>
      </c>
      <c r="H240" t="e">
        <f ca="1">IF((A1)=(2),"",IF((236)=(H4),IF(IF((INDEX(B1:XFD1,((A3)+(1))+(0)))=("store"),(INDEX(B1:XFD1,((A3)+(1))+(1)))=("H"),"false"),B3,H240),H240))</f>
        <v>#VALUE!</v>
      </c>
      <c r="I240" t="e">
        <f ca="1">IF((A1)=(2),"",IF((236)=(I4),IF(IF((INDEX(B1:XFD1,((A3)+(1))+(0)))=("store"),(INDEX(B1:XFD1,((A3)+(1))+(1)))=("I"),"false"),B3,I240),I240))</f>
        <v>#VALUE!</v>
      </c>
      <c r="J240" t="e">
        <f ca="1">IF((A1)=(2),"",IF((236)=(J4),IF(IF((INDEX(B1:XFD1,((A3)+(1))+(0)))=("store"),(INDEX(B1:XFD1,((A3)+(1))+(1)))=("J"),"false"),B3,J240),J240))</f>
        <v>#VALUE!</v>
      </c>
      <c r="K240" t="e">
        <f ca="1">IF((A1)=(2),"",IF((236)=(K4),IF(IF((INDEX(B1:XFD1,((A3)+(1))+(0)))=("store"),(INDEX(B1:XFD1,((A3)+(1))+(1)))=("K"),"false"),B3,K240),K240))</f>
        <v>#VALUE!</v>
      </c>
      <c r="L240" t="e">
        <f ca="1">IF((A1)=(2),"",IF((236)=(L4),IF(IF((INDEX(B1:XFD1,((A3)+(1))+(0)))=("store"),(INDEX(B1:XFD1,((A3)+(1))+(1)))=("L"),"false"),B3,L240),L240))</f>
        <v>#VALUE!</v>
      </c>
      <c r="M240" t="e">
        <f ca="1">IF((A1)=(2),"",IF((236)=(M4),IF(IF((INDEX(B1:XFD1,((A3)+(1))+(0)))=("store"),(INDEX(B1:XFD1,((A3)+(1))+(1)))=("M"),"false"),B3,M240),M240))</f>
        <v>#VALUE!</v>
      </c>
      <c r="N240" t="e">
        <f ca="1">IF((A1)=(2),"",IF((236)=(N4),IF(IF((INDEX(B1:XFD1,((A3)+(1))+(0)))=("store"),(INDEX(B1:XFD1,((A3)+(1))+(1)))=("N"),"false"),B3,N240),N240))</f>
        <v>#VALUE!</v>
      </c>
      <c r="O240" t="e">
        <f ca="1">IF((A1)=(2),"",IF((236)=(O4),IF(IF((INDEX(B1:XFD1,((A3)+(1))+(0)))=("store"),(INDEX(B1:XFD1,((A3)+(1))+(1)))=("O"),"false"),B3,O240),O240))</f>
        <v>#VALUE!</v>
      </c>
      <c r="P240" t="e">
        <f ca="1">IF((A1)=(2),"",IF((236)=(P4),IF(IF((INDEX(B1:XFD1,((A3)+(1))+(0)))=("store"),(INDEX(B1:XFD1,((A3)+(1))+(1)))=("P"),"false"),B3,P240),P240))</f>
        <v>#VALUE!</v>
      </c>
      <c r="Q240" t="e">
        <f ca="1">IF((A1)=(2),"",IF((236)=(Q4),IF(IF((INDEX(B1:XFD1,((A3)+(1))+(0)))=("store"),(INDEX(B1:XFD1,((A3)+(1))+(1)))=("Q"),"false"),B3,Q240),Q240))</f>
        <v>#VALUE!</v>
      </c>
      <c r="R240" t="e">
        <f ca="1">IF((A1)=(2),"",IF((236)=(R4),IF(IF((INDEX(B1:XFD1,((A3)+(1))+(0)))=("store"),(INDEX(B1:XFD1,((A3)+(1))+(1)))=("R"),"false"),B3,R240),R240))</f>
        <v>#VALUE!</v>
      </c>
      <c r="S240" t="e">
        <f ca="1">IF((A1)=(2),"",IF((236)=(S4),IF(IF((INDEX(B1:XFD1,((A3)+(1))+(0)))=("store"),(INDEX(B1:XFD1,((A3)+(1))+(1)))=("S"),"false"),B3,S240),S240))</f>
        <v>#VALUE!</v>
      </c>
      <c r="T240" t="e">
        <f ca="1">IF((A1)=(2),"",IF((236)=(T4),IF(IF((INDEX(B1:XFD1,((A3)+(1))+(0)))=("store"),(INDEX(B1:XFD1,((A3)+(1))+(1)))=("T"),"false"),B3,T240),T240))</f>
        <v>#VALUE!</v>
      </c>
      <c r="U240" t="e">
        <f ca="1">IF((A1)=(2),"",IF((236)=(U4),IF(IF((INDEX(B1:XFD1,((A3)+(1))+(0)))=("store"),(INDEX(B1:XFD1,((A3)+(1))+(1)))=("U"),"false"),B3,U240),U240))</f>
        <v>#VALUE!</v>
      </c>
      <c r="V240" t="e">
        <f ca="1">IF((A1)=(2),"",IF((236)=(V4),IF(IF((INDEX(B1:XFD1,((A3)+(1))+(0)))=("store"),(INDEX(B1:XFD1,((A3)+(1))+(1)))=("V"),"false"),B3,V240),V240))</f>
        <v>#VALUE!</v>
      </c>
      <c r="W240" t="e">
        <f ca="1">IF((A1)=(2),"",IF((236)=(W4),IF(IF((INDEX(B1:XFD1,((A3)+(1))+(0)))=("store"),(INDEX(B1:XFD1,((A3)+(1))+(1)))=("W"),"false"),B3,W240),W240))</f>
        <v>#VALUE!</v>
      </c>
      <c r="X240" t="e">
        <f ca="1">IF((A1)=(2),"",IF((236)=(X4),IF(IF((INDEX(B1:XFD1,((A3)+(1))+(0)))=("store"),(INDEX(B1:XFD1,((A3)+(1))+(1)))=("X"),"false"),B3,X240),X240))</f>
        <v>#VALUE!</v>
      </c>
      <c r="Y240" t="e">
        <f ca="1">IF((A1)=(2),"",IF((236)=(Y4),IF(IF((INDEX(B1:XFD1,((A3)+(1))+(0)))=("store"),(INDEX(B1:XFD1,((A3)+(1))+(1)))=("Y"),"false"),B3,Y240),Y240))</f>
        <v>#VALUE!</v>
      </c>
      <c r="Z240" t="e">
        <f ca="1">IF((A1)=(2),"",IF((236)=(Z4),IF(IF((INDEX(B1:XFD1,((A3)+(1))+(0)))=("store"),(INDEX(B1:XFD1,((A3)+(1))+(1)))=("Z"),"false"),B3,Z240),Z240))</f>
        <v>#VALUE!</v>
      </c>
      <c r="AA240" t="e">
        <f ca="1">IF((A1)=(2),"",IF((236)=(AA4),IF(IF((INDEX(B1:XFD1,((A3)+(1))+(0)))=("store"),(INDEX(B1:XFD1,((A3)+(1))+(1)))=("AA"),"false"),B3,AA240),AA240))</f>
        <v>#VALUE!</v>
      </c>
      <c r="AB240" t="e">
        <f ca="1">IF((A1)=(2),"",IF((236)=(AB4),IF(IF((INDEX(B1:XFD1,((A3)+(1))+(0)))=("store"),(INDEX(B1:XFD1,((A3)+(1))+(1)))=("AB"),"false"),B3,AB240),AB240))</f>
        <v>#VALUE!</v>
      </c>
      <c r="AC240" t="e">
        <f ca="1">IF((A1)=(2),"",IF((236)=(AC4),IF(IF((INDEX(B1:XFD1,((A3)+(1))+(0)))=("store"),(INDEX(B1:XFD1,((A3)+(1))+(1)))=("AC"),"false"),B3,AC240),AC240))</f>
        <v>#VALUE!</v>
      </c>
      <c r="AD240" t="e">
        <f ca="1">IF((A1)=(2),"",IF((236)=(AD4),IF(IF((INDEX(B1:XFD1,((A3)+(1))+(0)))=("store"),(INDEX(B1:XFD1,((A3)+(1))+(1)))=("AD"),"false"),B3,AD240),AD240))</f>
        <v>#VALUE!</v>
      </c>
    </row>
    <row r="241" spans="1:30" x14ac:dyDescent="0.25">
      <c r="A241" t="e">
        <f ca="1">IF((A1)=(2),"",IF((237)=(A4),IF(("call")=(INDEX(B1:XFD1,((A3)+(1))+(0))),(B3)*(2),IF(("goto")=(INDEX(B1:XFD1,((A3)+(1))+(0))),(INDEX(B1:XFD1,((A3)+(1))+(1)))*(2),IF(("gotoiftrue")=(INDEX(B1:XFD1,((A3)+(1))+(0))),IF(B3,(INDEX(B1:XFD1,((A3)+(1))+(1)))*(2),(A241)+(2)),(A241)+(2)))),A241))</f>
        <v>#VALUE!</v>
      </c>
      <c r="B241" t="e">
        <f ca="1">IF((A1)=(2),"",IF((237)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241)+(1)),IF(("add")=(INDEX(B1:XFD1,((A3)+(1))+(0))),(INDEX(B5:B405,(B4)+(1)))+(B241),IF(("equals")=(INDEX(B1:XFD1,((A3)+(1))+(0))),(INDEX(B5:B405,(B4)+(1)))=(B241),IF(("leq")=(INDEX(B1:XFD1,((A3)+(1))+(0))),(INDEX(B5:B405,(B4)+(1)))&lt;=(B241),IF(("greater")=(INDEX(B1:XFD1,((A3)+(1))+(0))),(INDEX(B5:B405,(B4)+(1)))&gt;(B241),IF(("mod")=(INDEX(B1:XFD1,((A3)+(1))+(0))),MOD(INDEX(B5:B405,(B4)+(1)),B241),B241))))))))),B241))</f>
        <v>#VALUE!</v>
      </c>
      <c r="C241" t="e">
        <f ca="1">IF((A1)=(2),1,IF(AND((INDEX(B1:XFD1,((A3)+(1))+(0)))=("writeheap"),(INDEX(B5:B405,(B4)+(1)))=(236)),INDEX(B5:B405,(B4)+(2)),IF((A1)=(2),"",IF((237)=(C4),C241,C241))))</f>
        <v>#VALUE!</v>
      </c>
      <c r="F241" t="e">
        <f ca="1">IF((A1)=(2),"",IF((237)=(F4),IF(IF((INDEX(B1:XFD1,((A3)+(1))+(0)))=("store"),(INDEX(B1:XFD1,((A3)+(1))+(1)))=("F"),"false"),B3,F241),F241))</f>
        <v>#VALUE!</v>
      </c>
      <c r="G241" t="e">
        <f ca="1">IF((A1)=(2),"",IF((237)=(G4),IF(IF((INDEX(B1:XFD1,((A3)+(1))+(0)))=("store"),(INDEX(B1:XFD1,((A3)+(1))+(1)))=("G"),"false"),B3,G241),G241))</f>
        <v>#VALUE!</v>
      </c>
      <c r="H241" t="e">
        <f ca="1">IF((A1)=(2),"",IF((237)=(H4),IF(IF((INDEX(B1:XFD1,((A3)+(1))+(0)))=("store"),(INDEX(B1:XFD1,((A3)+(1))+(1)))=("H"),"false"),B3,H241),H241))</f>
        <v>#VALUE!</v>
      </c>
      <c r="I241" t="e">
        <f ca="1">IF((A1)=(2),"",IF((237)=(I4),IF(IF((INDEX(B1:XFD1,((A3)+(1))+(0)))=("store"),(INDEX(B1:XFD1,((A3)+(1))+(1)))=("I"),"false"),B3,I241),I241))</f>
        <v>#VALUE!</v>
      </c>
      <c r="J241" t="e">
        <f ca="1">IF((A1)=(2),"",IF((237)=(J4),IF(IF((INDEX(B1:XFD1,((A3)+(1))+(0)))=("store"),(INDEX(B1:XFD1,((A3)+(1))+(1)))=("J"),"false"),B3,J241),J241))</f>
        <v>#VALUE!</v>
      </c>
      <c r="K241" t="e">
        <f ca="1">IF((A1)=(2),"",IF((237)=(K4),IF(IF((INDEX(B1:XFD1,((A3)+(1))+(0)))=("store"),(INDEX(B1:XFD1,((A3)+(1))+(1)))=("K"),"false"),B3,K241),K241))</f>
        <v>#VALUE!</v>
      </c>
      <c r="L241" t="e">
        <f ca="1">IF((A1)=(2),"",IF((237)=(L4),IF(IF((INDEX(B1:XFD1,((A3)+(1))+(0)))=("store"),(INDEX(B1:XFD1,((A3)+(1))+(1)))=("L"),"false"),B3,L241),L241))</f>
        <v>#VALUE!</v>
      </c>
      <c r="M241" t="e">
        <f ca="1">IF((A1)=(2),"",IF((237)=(M4),IF(IF((INDEX(B1:XFD1,((A3)+(1))+(0)))=("store"),(INDEX(B1:XFD1,((A3)+(1))+(1)))=("M"),"false"),B3,M241),M241))</f>
        <v>#VALUE!</v>
      </c>
      <c r="N241" t="e">
        <f ca="1">IF((A1)=(2),"",IF((237)=(N4),IF(IF((INDEX(B1:XFD1,((A3)+(1))+(0)))=("store"),(INDEX(B1:XFD1,((A3)+(1))+(1)))=("N"),"false"),B3,N241),N241))</f>
        <v>#VALUE!</v>
      </c>
      <c r="O241" t="e">
        <f ca="1">IF((A1)=(2),"",IF((237)=(O4),IF(IF((INDEX(B1:XFD1,((A3)+(1))+(0)))=("store"),(INDEX(B1:XFD1,((A3)+(1))+(1)))=("O"),"false"),B3,O241),O241))</f>
        <v>#VALUE!</v>
      </c>
      <c r="P241" t="e">
        <f ca="1">IF((A1)=(2),"",IF((237)=(P4),IF(IF((INDEX(B1:XFD1,((A3)+(1))+(0)))=("store"),(INDEX(B1:XFD1,((A3)+(1))+(1)))=("P"),"false"),B3,P241),P241))</f>
        <v>#VALUE!</v>
      </c>
      <c r="Q241" t="e">
        <f ca="1">IF((A1)=(2),"",IF((237)=(Q4),IF(IF((INDEX(B1:XFD1,((A3)+(1))+(0)))=("store"),(INDEX(B1:XFD1,((A3)+(1))+(1)))=("Q"),"false"),B3,Q241),Q241))</f>
        <v>#VALUE!</v>
      </c>
      <c r="R241" t="e">
        <f ca="1">IF((A1)=(2),"",IF((237)=(R4),IF(IF((INDEX(B1:XFD1,((A3)+(1))+(0)))=("store"),(INDEX(B1:XFD1,((A3)+(1))+(1)))=("R"),"false"),B3,R241),R241))</f>
        <v>#VALUE!</v>
      </c>
      <c r="S241" t="e">
        <f ca="1">IF((A1)=(2),"",IF((237)=(S4),IF(IF((INDEX(B1:XFD1,((A3)+(1))+(0)))=("store"),(INDEX(B1:XFD1,((A3)+(1))+(1)))=("S"),"false"),B3,S241),S241))</f>
        <v>#VALUE!</v>
      </c>
      <c r="T241" t="e">
        <f ca="1">IF((A1)=(2),"",IF((237)=(T4),IF(IF((INDEX(B1:XFD1,((A3)+(1))+(0)))=("store"),(INDEX(B1:XFD1,((A3)+(1))+(1)))=("T"),"false"),B3,T241),T241))</f>
        <v>#VALUE!</v>
      </c>
      <c r="U241" t="e">
        <f ca="1">IF((A1)=(2),"",IF((237)=(U4),IF(IF((INDEX(B1:XFD1,((A3)+(1))+(0)))=("store"),(INDEX(B1:XFD1,((A3)+(1))+(1)))=("U"),"false"),B3,U241),U241))</f>
        <v>#VALUE!</v>
      </c>
      <c r="V241" t="e">
        <f ca="1">IF((A1)=(2),"",IF((237)=(V4),IF(IF((INDEX(B1:XFD1,((A3)+(1))+(0)))=("store"),(INDEX(B1:XFD1,((A3)+(1))+(1)))=("V"),"false"),B3,V241),V241))</f>
        <v>#VALUE!</v>
      </c>
      <c r="W241" t="e">
        <f ca="1">IF((A1)=(2),"",IF((237)=(W4),IF(IF((INDEX(B1:XFD1,((A3)+(1))+(0)))=("store"),(INDEX(B1:XFD1,((A3)+(1))+(1)))=("W"),"false"),B3,W241),W241))</f>
        <v>#VALUE!</v>
      </c>
      <c r="X241" t="e">
        <f ca="1">IF((A1)=(2),"",IF((237)=(X4),IF(IF((INDEX(B1:XFD1,((A3)+(1))+(0)))=("store"),(INDEX(B1:XFD1,((A3)+(1))+(1)))=("X"),"false"),B3,X241),X241))</f>
        <v>#VALUE!</v>
      </c>
      <c r="Y241" t="e">
        <f ca="1">IF((A1)=(2),"",IF((237)=(Y4),IF(IF((INDEX(B1:XFD1,((A3)+(1))+(0)))=("store"),(INDEX(B1:XFD1,((A3)+(1))+(1)))=("Y"),"false"),B3,Y241),Y241))</f>
        <v>#VALUE!</v>
      </c>
      <c r="Z241" t="e">
        <f ca="1">IF((A1)=(2),"",IF((237)=(Z4),IF(IF((INDEX(B1:XFD1,((A3)+(1))+(0)))=("store"),(INDEX(B1:XFD1,((A3)+(1))+(1)))=("Z"),"false"),B3,Z241),Z241))</f>
        <v>#VALUE!</v>
      </c>
      <c r="AA241" t="e">
        <f ca="1">IF((A1)=(2),"",IF((237)=(AA4),IF(IF((INDEX(B1:XFD1,((A3)+(1))+(0)))=("store"),(INDEX(B1:XFD1,((A3)+(1))+(1)))=("AA"),"false"),B3,AA241),AA241))</f>
        <v>#VALUE!</v>
      </c>
      <c r="AB241" t="e">
        <f ca="1">IF((A1)=(2),"",IF((237)=(AB4),IF(IF((INDEX(B1:XFD1,((A3)+(1))+(0)))=("store"),(INDEX(B1:XFD1,((A3)+(1))+(1)))=("AB"),"false"),B3,AB241),AB241))</f>
        <v>#VALUE!</v>
      </c>
      <c r="AC241" t="e">
        <f ca="1">IF((A1)=(2),"",IF((237)=(AC4),IF(IF((INDEX(B1:XFD1,((A3)+(1))+(0)))=("store"),(INDEX(B1:XFD1,((A3)+(1))+(1)))=("AC"),"false"),B3,AC241),AC241))</f>
        <v>#VALUE!</v>
      </c>
      <c r="AD241" t="e">
        <f ca="1">IF((A1)=(2),"",IF((237)=(AD4),IF(IF((INDEX(B1:XFD1,((A3)+(1))+(0)))=("store"),(INDEX(B1:XFD1,((A3)+(1))+(1)))=("AD"),"false"),B3,AD241),AD241))</f>
        <v>#VALUE!</v>
      </c>
    </row>
    <row r="242" spans="1:30" x14ac:dyDescent="0.25">
      <c r="A242" t="e">
        <f ca="1">IF((A1)=(2),"",IF((238)=(A4),IF(("call")=(INDEX(B1:XFD1,((A3)+(1))+(0))),(B3)*(2),IF(("goto")=(INDEX(B1:XFD1,((A3)+(1))+(0))),(INDEX(B1:XFD1,((A3)+(1))+(1)))*(2),IF(("gotoiftrue")=(INDEX(B1:XFD1,((A3)+(1))+(0))),IF(B3,(INDEX(B1:XFD1,((A3)+(1))+(1)))*(2),(A242)+(2)),(A242)+(2)))),A242))</f>
        <v>#VALUE!</v>
      </c>
      <c r="B242" t="e">
        <f ca="1">IF((A1)=(2),"",IF((238)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242)+(1)),IF(("add")=(INDEX(B1:XFD1,((A3)+(1))+(0))),(INDEX(B5:B405,(B4)+(1)))+(B242),IF(("equals")=(INDEX(B1:XFD1,((A3)+(1))+(0))),(INDEX(B5:B405,(B4)+(1)))=(B242),IF(("leq")=(INDEX(B1:XFD1,((A3)+(1))+(0))),(INDEX(B5:B405,(B4)+(1)))&lt;=(B242),IF(("greater")=(INDEX(B1:XFD1,((A3)+(1))+(0))),(INDEX(B5:B405,(B4)+(1)))&gt;(B242),IF(("mod")=(INDEX(B1:XFD1,((A3)+(1))+(0))),MOD(INDEX(B5:B405,(B4)+(1)),B242),B242))))))))),B242))</f>
        <v>#VALUE!</v>
      </c>
      <c r="C242" t="e">
        <f ca="1">IF((A1)=(2),1,IF(AND((INDEX(B1:XFD1,((A3)+(1))+(0)))=("writeheap"),(INDEX(B5:B405,(B4)+(1)))=(237)),INDEX(B5:B405,(B4)+(2)),IF((A1)=(2),"",IF((238)=(C4),C242,C242))))</f>
        <v>#VALUE!</v>
      </c>
      <c r="F242" t="e">
        <f ca="1">IF((A1)=(2),"",IF((238)=(F4),IF(IF((INDEX(B1:XFD1,((A3)+(1))+(0)))=("store"),(INDEX(B1:XFD1,((A3)+(1))+(1)))=("F"),"false"),B3,F242),F242))</f>
        <v>#VALUE!</v>
      </c>
      <c r="G242" t="e">
        <f ca="1">IF((A1)=(2),"",IF((238)=(G4),IF(IF((INDEX(B1:XFD1,((A3)+(1))+(0)))=("store"),(INDEX(B1:XFD1,((A3)+(1))+(1)))=("G"),"false"),B3,G242),G242))</f>
        <v>#VALUE!</v>
      </c>
      <c r="H242" t="e">
        <f ca="1">IF((A1)=(2),"",IF((238)=(H4),IF(IF((INDEX(B1:XFD1,((A3)+(1))+(0)))=("store"),(INDEX(B1:XFD1,((A3)+(1))+(1)))=("H"),"false"),B3,H242),H242))</f>
        <v>#VALUE!</v>
      </c>
      <c r="I242" t="e">
        <f ca="1">IF((A1)=(2),"",IF((238)=(I4),IF(IF((INDEX(B1:XFD1,((A3)+(1))+(0)))=("store"),(INDEX(B1:XFD1,((A3)+(1))+(1)))=("I"),"false"),B3,I242),I242))</f>
        <v>#VALUE!</v>
      </c>
      <c r="J242" t="e">
        <f ca="1">IF((A1)=(2),"",IF((238)=(J4),IF(IF((INDEX(B1:XFD1,((A3)+(1))+(0)))=("store"),(INDEX(B1:XFD1,((A3)+(1))+(1)))=("J"),"false"),B3,J242),J242))</f>
        <v>#VALUE!</v>
      </c>
      <c r="K242" t="e">
        <f ca="1">IF((A1)=(2),"",IF((238)=(K4),IF(IF((INDEX(B1:XFD1,((A3)+(1))+(0)))=("store"),(INDEX(B1:XFD1,((A3)+(1))+(1)))=("K"),"false"),B3,K242),K242))</f>
        <v>#VALUE!</v>
      </c>
      <c r="L242" t="e">
        <f ca="1">IF((A1)=(2),"",IF((238)=(L4),IF(IF((INDEX(B1:XFD1,((A3)+(1))+(0)))=("store"),(INDEX(B1:XFD1,((A3)+(1))+(1)))=("L"),"false"),B3,L242),L242))</f>
        <v>#VALUE!</v>
      </c>
      <c r="M242" t="e">
        <f ca="1">IF((A1)=(2),"",IF((238)=(M4),IF(IF((INDEX(B1:XFD1,((A3)+(1))+(0)))=("store"),(INDEX(B1:XFD1,((A3)+(1))+(1)))=("M"),"false"),B3,M242),M242))</f>
        <v>#VALUE!</v>
      </c>
      <c r="N242" t="e">
        <f ca="1">IF((A1)=(2),"",IF((238)=(N4),IF(IF((INDEX(B1:XFD1,((A3)+(1))+(0)))=("store"),(INDEX(B1:XFD1,((A3)+(1))+(1)))=("N"),"false"),B3,N242),N242))</f>
        <v>#VALUE!</v>
      </c>
      <c r="O242" t="e">
        <f ca="1">IF((A1)=(2),"",IF((238)=(O4),IF(IF((INDEX(B1:XFD1,((A3)+(1))+(0)))=("store"),(INDEX(B1:XFD1,((A3)+(1))+(1)))=("O"),"false"),B3,O242),O242))</f>
        <v>#VALUE!</v>
      </c>
      <c r="P242" t="e">
        <f ca="1">IF((A1)=(2),"",IF((238)=(P4),IF(IF((INDEX(B1:XFD1,((A3)+(1))+(0)))=("store"),(INDEX(B1:XFD1,((A3)+(1))+(1)))=("P"),"false"),B3,P242),P242))</f>
        <v>#VALUE!</v>
      </c>
      <c r="Q242" t="e">
        <f ca="1">IF((A1)=(2),"",IF((238)=(Q4),IF(IF((INDEX(B1:XFD1,((A3)+(1))+(0)))=("store"),(INDEX(B1:XFD1,((A3)+(1))+(1)))=("Q"),"false"),B3,Q242),Q242))</f>
        <v>#VALUE!</v>
      </c>
      <c r="R242" t="e">
        <f ca="1">IF((A1)=(2),"",IF((238)=(R4),IF(IF((INDEX(B1:XFD1,((A3)+(1))+(0)))=("store"),(INDEX(B1:XFD1,((A3)+(1))+(1)))=("R"),"false"),B3,R242),R242))</f>
        <v>#VALUE!</v>
      </c>
      <c r="S242" t="e">
        <f ca="1">IF((A1)=(2),"",IF((238)=(S4),IF(IF((INDEX(B1:XFD1,((A3)+(1))+(0)))=("store"),(INDEX(B1:XFD1,((A3)+(1))+(1)))=("S"),"false"),B3,S242),S242))</f>
        <v>#VALUE!</v>
      </c>
      <c r="T242" t="e">
        <f ca="1">IF((A1)=(2),"",IF((238)=(T4),IF(IF((INDEX(B1:XFD1,((A3)+(1))+(0)))=("store"),(INDEX(B1:XFD1,((A3)+(1))+(1)))=("T"),"false"),B3,T242),T242))</f>
        <v>#VALUE!</v>
      </c>
      <c r="U242" t="e">
        <f ca="1">IF((A1)=(2),"",IF((238)=(U4),IF(IF((INDEX(B1:XFD1,((A3)+(1))+(0)))=("store"),(INDEX(B1:XFD1,((A3)+(1))+(1)))=("U"),"false"),B3,U242),U242))</f>
        <v>#VALUE!</v>
      </c>
      <c r="V242" t="e">
        <f ca="1">IF((A1)=(2),"",IF((238)=(V4),IF(IF((INDEX(B1:XFD1,((A3)+(1))+(0)))=("store"),(INDEX(B1:XFD1,((A3)+(1))+(1)))=("V"),"false"),B3,V242),V242))</f>
        <v>#VALUE!</v>
      </c>
      <c r="W242" t="e">
        <f ca="1">IF((A1)=(2),"",IF((238)=(W4),IF(IF((INDEX(B1:XFD1,((A3)+(1))+(0)))=("store"),(INDEX(B1:XFD1,((A3)+(1))+(1)))=("W"),"false"),B3,W242),W242))</f>
        <v>#VALUE!</v>
      </c>
      <c r="X242" t="e">
        <f ca="1">IF((A1)=(2),"",IF((238)=(X4),IF(IF((INDEX(B1:XFD1,((A3)+(1))+(0)))=("store"),(INDEX(B1:XFD1,((A3)+(1))+(1)))=("X"),"false"),B3,X242),X242))</f>
        <v>#VALUE!</v>
      </c>
      <c r="Y242" t="e">
        <f ca="1">IF((A1)=(2),"",IF((238)=(Y4),IF(IF((INDEX(B1:XFD1,((A3)+(1))+(0)))=("store"),(INDEX(B1:XFD1,((A3)+(1))+(1)))=("Y"),"false"),B3,Y242),Y242))</f>
        <v>#VALUE!</v>
      </c>
      <c r="Z242" t="e">
        <f ca="1">IF((A1)=(2),"",IF((238)=(Z4),IF(IF((INDEX(B1:XFD1,((A3)+(1))+(0)))=("store"),(INDEX(B1:XFD1,((A3)+(1))+(1)))=("Z"),"false"),B3,Z242),Z242))</f>
        <v>#VALUE!</v>
      </c>
      <c r="AA242" t="e">
        <f ca="1">IF((A1)=(2),"",IF((238)=(AA4),IF(IF((INDEX(B1:XFD1,((A3)+(1))+(0)))=("store"),(INDEX(B1:XFD1,((A3)+(1))+(1)))=("AA"),"false"),B3,AA242),AA242))</f>
        <v>#VALUE!</v>
      </c>
      <c r="AB242" t="e">
        <f ca="1">IF((A1)=(2),"",IF((238)=(AB4),IF(IF((INDEX(B1:XFD1,((A3)+(1))+(0)))=("store"),(INDEX(B1:XFD1,((A3)+(1))+(1)))=("AB"),"false"),B3,AB242),AB242))</f>
        <v>#VALUE!</v>
      </c>
      <c r="AC242" t="e">
        <f ca="1">IF((A1)=(2),"",IF((238)=(AC4),IF(IF((INDEX(B1:XFD1,((A3)+(1))+(0)))=("store"),(INDEX(B1:XFD1,((A3)+(1))+(1)))=("AC"),"false"),B3,AC242),AC242))</f>
        <v>#VALUE!</v>
      </c>
      <c r="AD242" t="e">
        <f ca="1">IF((A1)=(2),"",IF((238)=(AD4),IF(IF((INDEX(B1:XFD1,((A3)+(1))+(0)))=("store"),(INDEX(B1:XFD1,((A3)+(1))+(1)))=("AD"),"false"),B3,AD242),AD242))</f>
        <v>#VALUE!</v>
      </c>
    </row>
    <row r="243" spans="1:30" x14ac:dyDescent="0.25">
      <c r="A243" t="e">
        <f ca="1">IF((A1)=(2),"",IF((239)=(A4),IF(("call")=(INDEX(B1:XFD1,((A3)+(1))+(0))),(B3)*(2),IF(("goto")=(INDEX(B1:XFD1,((A3)+(1))+(0))),(INDEX(B1:XFD1,((A3)+(1))+(1)))*(2),IF(("gotoiftrue")=(INDEX(B1:XFD1,((A3)+(1))+(0))),IF(B3,(INDEX(B1:XFD1,((A3)+(1))+(1)))*(2),(A243)+(2)),(A243)+(2)))),A243))</f>
        <v>#VALUE!</v>
      </c>
      <c r="B243" t="e">
        <f ca="1">IF((A1)=(2),"",IF((239)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243)+(1)),IF(("add")=(INDEX(B1:XFD1,((A3)+(1))+(0))),(INDEX(B5:B405,(B4)+(1)))+(B243),IF(("equals")=(INDEX(B1:XFD1,((A3)+(1))+(0))),(INDEX(B5:B405,(B4)+(1)))=(B243),IF(("leq")=(INDEX(B1:XFD1,((A3)+(1))+(0))),(INDEX(B5:B405,(B4)+(1)))&lt;=(B243),IF(("greater")=(INDEX(B1:XFD1,((A3)+(1))+(0))),(INDEX(B5:B405,(B4)+(1)))&gt;(B243),IF(("mod")=(INDEX(B1:XFD1,((A3)+(1))+(0))),MOD(INDEX(B5:B405,(B4)+(1)),B243),B243))))))))),B243))</f>
        <v>#VALUE!</v>
      </c>
      <c r="C243" t="e">
        <f ca="1">IF((A1)=(2),1,IF(AND((INDEX(B1:XFD1,((A3)+(1))+(0)))=("writeheap"),(INDEX(B5:B405,(B4)+(1)))=(238)),INDEX(B5:B405,(B4)+(2)),IF((A1)=(2),"",IF((239)=(C4),C243,C243))))</f>
        <v>#VALUE!</v>
      </c>
      <c r="F243" t="e">
        <f ca="1">IF((A1)=(2),"",IF((239)=(F4),IF(IF((INDEX(B1:XFD1,((A3)+(1))+(0)))=("store"),(INDEX(B1:XFD1,((A3)+(1))+(1)))=("F"),"false"),B3,F243),F243))</f>
        <v>#VALUE!</v>
      </c>
      <c r="G243" t="e">
        <f ca="1">IF((A1)=(2),"",IF((239)=(G4),IF(IF((INDEX(B1:XFD1,((A3)+(1))+(0)))=("store"),(INDEX(B1:XFD1,((A3)+(1))+(1)))=("G"),"false"),B3,G243),G243))</f>
        <v>#VALUE!</v>
      </c>
      <c r="H243" t="e">
        <f ca="1">IF((A1)=(2),"",IF((239)=(H4),IF(IF((INDEX(B1:XFD1,((A3)+(1))+(0)))=("store"),(INDEX(B1:XFD1,((A3)+(1))+(1)))=("H"),"false"),B3,H243),H243))</f>
        <v>#VALUE!</v>
      </c>
      <c r="I243" t="e">
        <f ca="1">IF((A1)=(2),"",IF((239)=(I4),IF(IF((INDEX(B1:XFD1,((A3)+(1))+(0)))=("store"),(INDEX(B1:XFD1,((A3)+(1))+(1)))=("I"),"false"),B3,I243),I243))</f>
        <v>#VALUE!</v>
      </c>
      <c r="J243" t="e">
        <f ca="1">IF((A1)=(2),"",IF((239)=(J4),IF(IF((INDEX(B1:XFD1,((A3)+(1))+(0)))=("store"),(INDEX(B1:XFD1,((A3)+(1))+(1)))=("J"),"false"),B3,J243),J243))</f>
        <v>#VALUE!</v>
      </c>
      <c r="K243" t="e">
        <f ca="1">IF((A1)=(2),"",IF((239)=(K4),IF(IF((INDEX(B1:XFD1,((A3)+(1))+(0)))=("store"),(INDEX(B1:XFD1,((A3)+(1))+(1)))=("K"),"false"),B3,K243),K243))</f>
        <v>#VALUE!</v>
      </c>
      <c r="L243" t="e">
        <f ca="1">IF((A1)=(2),"",IF((239)=(L4),IF(IF((INDEX(B1:XFD1,((A3)+(1))+(0)))=("store"),(INDEX(B1:XFD1,((A3)+(1))+(1)))=("L"),"false"),B3,L243),L243))</f>
        <v>#VALUE!</v>
      </c>
      <c r="M243" t="e">
        <f ca="1">IF((A1)=(2),"",IF((239)=(M4),IF(IF((INDEX(B1:XFD1,((A3)+(1))+(0)))=("store"),(INDEX(B1:XFD1,((A3)+(1))+(1)))=("M"),"false"),B3,M243),M243))</f>
        <v>#VALUE!</v>
      </c>
      <c r="N243" t="e">
        <f ca="1">IF((A1)=(2),"",IF((239)=(N4),IF(IF((INDEX(B1:XFD1,((A3)+(1))+(0)))=("store"),(INDEX(B1:XFD1,((A3)+(1))+(1)))=("N"),"false"),B3,N243),N243))</f>
        <v>#VALUE!</v>
      </c>
      <c r="O243" t="e">
        <f ca="1">IF((A1)=(2),"",IF((239)=(O4),IF(IF((INDEX(B1:XFD1,((A3)+(1))+(0)))=("store"),(INDEX(B1:XFD1,((A3)+(1))+(1)))=("O"),"false"),B3,O243),O243))</f>
        <v>#VALUE!</v>
      </c>
      <c r="P243" t="e">
        <f ca="1">IF((A1)=(2),"",IF((239)=(P4),IF(IF((INDEX(B1:XFD1,((A3)+(1))+(0)))=("store"),(INDEX(B1:XFD1,((A3)+(1))+(1)))=("P"),"false"),B3,P243),P243))</f>
        <v>#VALUE!</v>
      </c>
      <c r="Q243" t="e">
        <f ca="1">IF((A1)=(2),"",IF((239)=(Q4),IF(IF((INDEX(B1:XFD1,((A3)+(1))+(0)))=("store"),(INDEX(B1:XFD1,((A3)+(1))+(1)))=("Q"),"false"),B3,Q243),Q243))</f>
        <v>#VALUE!</v>
      </c>
      <c r="R243" t="e">
        <f ca="1">IF((A1)=(2),"",IF((239)=(R4),IF(IF((INDEX(B1:XFD1,((A3)+(1))+(0)))=("store"),(INDEX(B1:XFD1,((A3)+(1))+(1)))=("R"),"false"),B3,R243),R243))</f>
        <v>#VALUE!</v>
      </c>
      <c r="S243" t="e">
        <f ca="1">IF((A1)=(2),"",IF((239)=(S4),IF(IF((INDEX(B1:XFD1,((A3)+(1))+(0)))=("store"),(INDEX(B1:XFD1,((A3)+(1))+(1)))=("S"),"false"),B3,S243),S243))</f>
        <v>#VALUE!</v>
      </c>
      <c r="T243" t="e">
        <f ca="1">IF((A1)=(2),"",IF((239)=(T4),IF(IF((INDEX(B1:XFD1,((A3)+(1))+(0)))=("store"),(INDEX(B1:XFD1,((A3)+(1))+(1)))=("T"),"false"),B3,T243),T243))</f>
        <v>#VALUE!</v>
      </c>
      <c r="U243" t="e">
        <f ca="1">IF((A1)=(2),"",IF((239)=(U4),IF(IF((INDEX(B1:XFD1,((A3)+(1))+(0)))=("store"),(INDEX(B1:XFD1,((A3)+(1))+(1)))=("U"),"false"),B3,U243),U243))</f>
        <v>#VALUE!</v>
      </c>
      <c r="V243" t="e">
        <f ca="1">IF((A1)=(2),"",IF((239)=(V4),IF(IF((INDEX(B1:XFD1,((A3)+(1))+(0)))=("store"),(INDEX(B1:XFD1,((A3)+(1))+(1)))=("V"),"false"),B3,V243),V243))</f>
        <v>#VALUE!</v>
      </c>
      <c r="W243" t="e">
        <f ca="1">IF((A1)=(2),"",IF((239)=(W4),IF(IF((INDEX(B1:XFD1,((A3)+(1))+(0)))=("store"),(INDEX(B1:XFD1,((A3)+(1))+(1)))=("W"),"false"),B3,W243),W243))</f>
        <v>#VALUE!</v>
      </c>
      <c r="X243" t="e">
        <f ca="1">IF((A1)=(2),"",IF((239)=(X4),IF(IF((INDEX(B1:XFD1,((A3)+(1))+(0)))=("store"),(INDEX(B1:XFD1,((A3)+(1))+(1)))=("X"),"false"),B3,X243),X243))</f>
        <v>#VALUE!</v>
      </c>
      <c r="Y243" t="e">
        <f ca="1">IF((A1)=(2),"",IF((239)=(Y4),IF(IF((INDEX(B1:XFD1,((A3)+(1))+(0)))=("store"),(INDEX(B1:XFD1,((A3)+(1))+(1)))=("Y"),"false"),B3,Y243),Y243))</f>
        <v>#VALUE!</v>
      </c>
      <c r="Z243" t="e">
        <f ca="1">IF((A1)=(2),"",IF((239)=(Z4),IF(IF((INDEX(B1:XFD1,((A3)+(1))+(0)))=("store"),(INDEX(B1:XFD1,((A3)+(1))+(1)))=("Z"),"false"),B3,Z243),Z243))</f>
        <v>#VALUE!</v>
      </c>
      <c r="AA243" t="e">
        <f ca="1">IF((A1)=(2),"",IF((239)=(AA4),IF(IF((INDEX(B1:XFD1,((A3)+(1))+(0)))=("store"),(INDEX(B1:XFD1,((A3)+(1))+(1)))=("AA"),"false"),B3,AA243),AA243))</f>
        <v>#VALUE!</v>
      </c>
      <c r="AB243" t="e">
        <f ca="1">IF((A1)=(2),"",IF((239)=(AB4),IF(IF((INDEX(B1:XFD1,((A3)+(1))+(0)))=("store"),(INDEX(B1:XFD1,((A3)+(1))+(1)))=("AB"),"false"),B3,AB243),AB243))</f>
        <v>#VALUE!</v>
      </c>
      <c r="AC243" t="e">
        <f ca="1">IF((A1)=(2),"",IF((239)=(AC4),IF(IF((INDEX(B1:XFD1,((A3)+(1))+(0)))=("store"),(INDEX(B1:XFD1,((A3)+(1))+(1)))=("AC"),"false"),B3,AC243),AC243))</f>
        <v>#VALUE!</v>
      </c>
      <c r="AD243" t="e">
        <f ca="1">IF((A1)=(2),"",IF((239)=(AD4),IF(IF((INDEX(B1:XFD1,((A3)+(1))+(0)))=("store"),(INDEX(B1:XFD1,((A3)+(1))+(1)))=("AD"),"false"),B3,AD243),AD243))</f>
        <v>#VALUE!</v>
      </c>
    </row>
    <row r="244" spans="1:30" x14ac:dyDescent="0.25">
      <c r="A244" t="e">
        <f ca="1">IF((A1)=(2),"",IF((240)=(A4),IF(("call")=(INDEX(B1:XFD1,((A3)+(1))+(0))),(B3)*(2),IF(("goto")=(INDEX(B1:XFD1,((A3)+(1))+(0))),(INDEX(B1:XFD1,((A3)+(1))+(1)))*(2),IF(("gotoiftrue")=(INDEX(B1:XFD1,((A3)+(1))+(0))),IF(B3,(INDEX(B1:XFD1,((A3)+(1))+(1)))*(2),(A244)+(2)),(A244)+(2)))),A244))</f>
        <v>#VALUE!</v>
      </c>
      <c r="B244" t="e">
        <f ca="1">IF((A1)=(2),"",IF((240)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244)+(1)),IF(("add")=(INDEX(B1:XFD1,((A3)+(1))+(0))),(INDEX(B5:B405,(B4)+(1)))+(B244),IF(("equals")=(INDEX(B1:XFD1,((A3)+(1))+(0))),(INDEX(B5:B405,(B4)+(1)))=(B244),IF(("leq")=(INDEX(B1:XFD1,((A3)+(1))+(0))),(INDEX(B5:B405,(B4)+(1)))&lt;=(B244),IF(("greater")=(INDEX(B1:XFD1,((A3)+(1))+(0))),(INDEX(B5:B405,(B4)+(1)))&gt;(B244),IF(("mod")=(INDEX(B1:XFD1,((A3)+(1))+(0))),MOD(INDEX(B5:B405,(B4)+(1)),B244),B244))))))))),B244))</f>
        <v>#VALUE!</v>
      </c>
      <c r="C244" t="e">
        <f ca="1">IF((A1)=(2),1,IF(AND((INDEX(B1:XFD1,((A3)+(1))+(0)))=("writeheap"),(INDEX(B5:B405,(B4)+(1)))=(239)),INDEX(B5:B405,(B4)+(2)),IF((A1)=(2),"",IF((240)=(C4),C244,C244))))</f>
        <v>#VALUE!</v>
      </c>
      <c r="F244" t="e">
        <f ca="1">IF((A1)=(2),"",IF((240)=(F4),IF(IF((INDEX(B1:XFD1,((A3)+(1))+(0)))=("store"),(INDEX(B1:XFD1,((A3)+(1))+(1)))=("F"),"false"),B3,F244),F244))</f>
        <v>#VALUE!</v>
      </c>
      <c r="G244" t="e">
        <f ca="1">IF((A1)=(2),"",IF((240)=(G4),IF(IF((INDEX(B1:XFD1,((A3)+(1))+(0)))=("store"),(INDEX(B1:XFD1,((A3)+(1))+(1)))=("G"),"false"),B3,G244),G244))</f>
        <v>#VALUE!</v>
      </c>
      <c r="H244" t="e">
        <f ca="1">IF((A1)=(2),"",IF((240)=(H4),IF(IF((INDEX(B1:XFD1,((A3)+(1))+(0)))=("store"),(INDEX(B1:XFD1,((A3)+(1))+(1)))=("H"),"false"),B3,H244),H244))</f>
        <v>#VALUE!</v>
      </c>
      <c r="I244" t="e">
        <f ca="1">IF((A1)=(2),"",IF((240)=(I4),IF(IF((INDEX(B1:XFD1,((A3)+(1))+(0)))=("store"),(INDEX(B1:XFD1,((A3)+(1))+(1)))=("I"),"false"),B3,I244),I244))</f>
        <v>#VALUE!</v>
      </c>
      <c r="J244" t="e">
        <f ca="1">IF((A1)=(2),"",IF((240)=(J4),IF(IF((INDEX(B1:XFD1,((A3)+(1))+(0)))=("store"),(INDEX(B1:XFD1,((A3)+(1))+(1)))=("J"),"false"),B3,J244),J244))</f>
        <v>#VALUE!</v>
      </c>
      <c r="K244" t="e">
        <f ca="1">IF((A1)=(2),"",IF((240)=(K4),IF(IF((INDEX(B1:XFD1,((A3)+(1))+(0)))=("store"),(INDEX(B1:XFD1,((A3)+(1))+(1)))=("K"),"false"),B3,K244),K244))</f>
        <v>#VALUE!</v>
      </c>
      <c r="L244" t="e">
        <f ca="1">IF((A1)=(2),"",IF((240)=(L4),IF(IF((INDEX(B1:XFD1,((A3)+(1))+(0)))=("store"),(INDEX(B1:XFD1,((A3)+(1))+(1)))=("L"),"false"),B3,L244),L244))</f>
        <v>#VALUE!</v>
      </c>
      <c r="M244" t="e">
        <f ca="1">IF((A1)=(2),"",IF((240)=(M4),IF(IF((INDEX(B1:XFD1,((A3)+(1))+(0)))=("store"),(INDEX(B1:XFD1,((A3)+(1))+(1)))=("M"),"false"),B3,M244),M244))</f>
        <v>#VALUE!</v>
      </c>
      <c r="N244" t="e">
        <f ca="1">IF((A1)=(2),"",IF((240)=(N4),IF(IF((INDEX(B1:XFD1,((A3)+(1))+(0)))=("store"),(INDEX(B1:XFD1,((A3)+(1))+(1)))=("N"),"false"),B3,N244),N244))</f>
        <v>#VALUE!</v>
      </c>
      <c r="O244" t="e">
        <f ca="1">IF((A1)=(2),"",IF((240)=(O4),IF(IF((INDEX(B1:XFD1,((A3)+(1))+(0)))=("store"),(INDEX(B1:XFD1,((A3)+(1))+(1)))=("O"),"false"),B3,O244),O244))</f>
        <v>#VALUE!</v>
      </c>
      <c r="P244" t="e">
        <f ca="1">IF((A1)=(2),"",IF((240)=(P4),IF(IF((INDEX(B1:XFD1,((A3)+(1))+(0)))=("store"),(INDEX(B1:XFD1,((A3)+(1))+(1)))=("P"),"false"),B3,P244),P244))</f>
        <v>#VALUE!</v>
      </c>
      <c r="Q244" t="e">
        <f ca="1">IF((A1)=(2),"",IF((240)=(Q4),IF(IF((INDEX(B1:XFD1,((A3)+(1))+(0)))=("store"),(INDEX(B1:XFD1,((A3)+(1))+(1)))=("Q"),"false"),B3,Q244),Q244))</f>
        <v>#VALUE!</v>
      </c>
      <c r="R244" t="e">
        <f ca="1">IF((A1)=(2),"",IF((240)=(R4),IF(IF((INDEX(B1:XFD1,((A3)+(1))+(0)))=("store"),(INDEX(B1:XFD1,((A3)+(1))+(1)))=("R"),"false"),B3,R244),R244))</f>
        <v>#VALUE!</v>
      </c>
      <c r="S244" t="e">
        <f ca="1">IF((A1)=(2),"",IF((240)=(S4),IF(IF((INDEX(B1:XFD1,((A3)+(1))+(0)))=("store"),(INDEX(B1:XFD1,((A3)+(1))+(1)))=("S"),"false"),B3,S244),S244))</f>
        <v>#VALUE!</v>
      </c>
      <c r="T244" t="e">
        <f ca="1">IF((A1)=(2),"",IF((240)=(T4),IF(IF((INDEX(B1:XFD1,((A3)+(1))+(0)))=("store"),(INDEX(B1:XFD1,((A3)+(1))+(1)))=("T"),"false"),B3,T244),T244))</f>
        <v>#VALUE!</v>
      </c>
      <c r="U244" t="e">
        <f ca="1">IF((A1)=(2),"",IF((240)=(U4),IF(IF((INDEX(B1:XFD1,((A3)+(1))+(0)))=("store"),(INDEX(B1:XFD1,((A3)+(1))+(1)))=("U"),"false"),B3,U244),U244))</f>
        <v>#VALUE!</v>
      </c>
      <c r="V244" t="e">
        <f ca="1">IF((A1)=(2),"",IF((240)=(V4),IF(IF((INDEX(B1:XFD1,((A3)+(1))+(0)))=("store"),(INDEX(B1:XFD1,((A3)+(1))+(1)))=("V"),"false"),B3,V244),V244))</f>
        <v>#VALUE!</v>
      </c>
      <c r="W244" t="e">
        <f ca="1">IF((A1)=(2),"",IF((240)=(W4),IF(IF((INDEX(B1:XFD1,((A3)+(1))+(0)))=("store"),(INDEX(B1:XFD1,((A3)+(1))+(1)))=("W"),"false"),B3,W244),W244))</f>
        <v>#VALUE!</v>
      </c>
      <c r="X244" t="e">
        <f ca="1">IF((A1)=(2),"",IF((240)=(X4),IF(IF((INDEX(B1:XFD1,((A3)+(1))+(0)))=("store"),(INDEX(B1:XFD1,((A3)+(1))+(1)))=("X"),"false"),B3,X244),X244))</f>
        <v>#VALUE!</v>
      </c>
      <c r="Y244" t="e">
        <f ca="1">IF((A1)=(2),"",IF((240)=(Y4),IF(IF((INDEX(B1:XFD1,((A3)+(1))+(0)))=("store"),(INDEX(B1:XFD1,((A3)+(1))+(1)))=("Y"),"false"),B3,Y244),Y244))</f>
        <v>#VALUE!</v>
      </c>
      <c r="Z244" t="e">
        <f ca="1">IF((A1)=(2),"",IF((240)=(Z4),IF(IF((INDEX(B1:XFD1,((A3)+(1))+(0)))=("store"),(INDEX(B1:XFD1,((A3)+(1))+(1)))=("Z"),"false"),B3,Z244),Z244))</f>
        <v>#VALUE!</v>
      </c>
      <c r="AA244" t="e">
        <f ca="1">IF((A1)=(2),"",IF((240)=(AA4),IF(IF((INDEX(B1:XFD1,((A3)+(1))+(0)))=("store"),(INDEX(B1:XFD1,((A3)+(1))+(1)))=("AA"),"false"),B3,AA244),AA244))</f>
        <v>#VALUE!</v>
      </c>
      <c r="AB244" t="e">
        <f ca="1">IF((A1)=(2),"",IF((240)=(AB4),IF(IF((INDEX(B1:XFD1,((A3)+(1))+(0)))=("store"),(INDEX(B1:XFD1,((A3)+(1))+(1)))=("AB"),"false"),B3,AB244),AB244))</f>
        <v>#VALUE!</v>
      </c>
      <c r="AC244" t="e">
        <f ca="1">IF((A1)=(2),"",IF((240)=(AC4),IF(IF((INDEX(B1:XFD1,((A3)+(1))+(0)))=("store"),(INDEX(B1:XFD1,((A3)+(1))+(1)))=("AC"),"false"),B3,AC244),AC244))</f>
        <v>#VALUE!</v>
      </c>
      <c r="AD244" t="e">
        <f ca="1">IF((A1)=(2),"",IF((240)=(AD4),IF(IF((INDEX(B1:XFD1,((A3)+(1))+(0)))=("store"),(INDEX(B1:XFD1,((A3)+(1))+(1)))=("AD"),"false"),B3,AD244),AD244))</f>
        <v>#VALUE!</v>
      </c>
    </row>
    <row r="245" spans="1:30" x14ac:dyDescent="0.25">
      <c r="A245" t="e">
        <f ca="1">IF((A1)=(2),"",IF((241)=(A4),IF(("call")=(INDEX(B1:XFD1,((A3)+(1))+(0))),(B3)*(2),IF(("goto")=(INDEX(B1:XFD1,((A3)+(1))+(0))),(INDEX(B1:XFD1,((A3)+(1))+(1)))*(2),IF(("gotoiftrue")=(INDEX(B1:XFD1,((A3)+(1))+(0))),IF(B3,(INDEX(B1:XFD1,((A3)+(1))+(1)))*(2),(A245)+(2)),(A245)+(2)))),A245))</f>
        <v>#VALUE!</v>
      </c>
      <c r="B245" t="e">
        <f ca="1">IF((A1)=(2),"",IF((241)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245)+(1)),IF(("add")=(INDEX(B1:XFD1,((A3)+(1))+(0))),(INDEX(B5:B405,(B4)+(1)))+(B245),IF(("equals")=(INDEX(B1:XFD1,((A3)+(1))+(0))),(INDEX(B5:B405,(B4)+(1)))=(B245),IF(("leq")=(INDEX(B1:XFD1,((A3)+(1))+(0))),(INDEX(B5:B405,(B4)+(1)))&lt;=(B245),IF(("greater")=(INDEX(B1:XFD1,((A3)+(1))+(0))),(INDEX(B5:B405,(B4)+(1)))&gt;(B245),IF(("mod")=(INDEX(B1:XFD1,((A3)+(1))+(0))),MOD(INDEX(B5:B405,(B4)+(1)),B245),B245))))))))),B245))</f>
        <v>#VALUE!</v>
      </c>
      <c r="C245" t="e">
        <f ca="1">IF((A1)=(2),1,IF(AND((INDEX(B1:XFD1,((A3)+(1))+(0)))=("writeheap"),(INDEX(B5:B405,(B4)+(1)))=(240)),INDEX(B5:B405,(B4)+(2)),IF((A1)=(2),"",IF((241)=(C4),C245,C245))))</f>
        <v>#VALUE!</v>
      </c>
      <c r="F245" t="e">
        <f ca="1">IF((A1)=(2),"",IF((241)=(F4),IF(IF((INDEX(B1:XFD1,((A3)+(1))+(0)))=("store"),(INDEX(B1:XFD1,((A3)+(1))+(1)))=("F"),"false"),B3,F245),F245))</f>
        <v>#VALUE!</v>
      </c>
      <c r="G245" t="e">
        <f ca="1">IF((A1)=(2),"",IF((241)=(G4),IF(IF((INDEX(B1:XFD1,((A3)+(1))+(0)))=("store"),(INDEX(B1:XFD1,((A3)+(1))+(1)))=("G"),"false"),B3,G245),G245))</f>
        <v>#VALUE!</v>
      </c>
      <c r="H245" t="e">
        <f ca="1">IF((A1)=(2),"",IF((241)=(H4),IF(IF((INDEX(B1:XFD1,((A3)+(1))+(0)))=("store"),(INDEX(B1:XFD1,((A3)+(1))+(1)))=("H"),"false"),B3,H245),H245))</f>
        <v>#VALUE!</v>
      </c>
      <c r="I245" t="e">
        <f ca="1">IF((A1)=(2),"",IF((241)=(I4),IF(IF((INDEX(B1:XFD1,((A3)+(1))+(0)))=("store"),(INDEX(B1:XFD1,((A3)+(1))+(1)))=("I"),"false"),B3,I245),I245))</f>
        <v>#VALUE!</v>
      </c>
      <c r="J245" t="e">
        <f ca="1">IF((A1)=(2),"",IF((241)=(J4),IF(IF((INDEX(B1:XFD1,((A3)+(1))+(0)))=("store"),(INDEX(B1:XFD1,((A3)+(1))+(1)))=("J"),"false"),B3,J245),J245))</f>
        <v>#VALUE!</v>
      </c>
      <c r="K245" t="e">
        <f ca="1">IF((A1)=(2),"",IF((241)=(K4),IF(IF((INDEX(B1:XFD1,((A3)+(1))+(0)))=("store"),(INDEX(B1:XFD1,((A3)+(1))+(1)))=("K"),"false"),B3,K245),K245))</f>
        <v>#VALUE!</v>
      </c>
      <c r="L245" t="e">
        <f ca="1">IF((A1)=(2),"",IF((241)=(L4),IF(IF((INDEX(B1:XFD1,((A3)+(1))+(0)))=("store"),(INDEX(B1:XFD1,((A3)+(1))+(1)))=("L"),"false"),B3,L245),L245))</f>
        <v>#VALUE!</v>
      </c>
      <c r="M245" t="e">
        <f ca="1">IF((A1)=(2),"",IF((241)=(M4),IF(IF((INDEX(B1:XFD1,((A3)+(1))+(0)))=("store"),(INDEX(B1:XFD1,((A3)+(1))+(1)))=("M"),"false"),B3,M245),M245))</f>
        <v>#VALUE!</v>
      </c>
      <c r="N245" t="e">
        <f ca="1">IF((A1)=(2),"",IF((241)=(N4),IF(IF((INDEX(B1:XFD1,((A3)+(1))+(0)))=("store"),(INDEX(B1:XFD1,((A3)+(1))+(1)))=("N"),"false"),B3,N245),N245))</f>
        <v>#VALUE!</v>
      </c>
      <c r="O245" t="e">
        <f ca="1">IF((A1)=(2),"",IF((241)=(O4),IF(IF((INDEX(B1:XFD1,((A3)+(1))+(0)))=("store"),(INDEX(B1:XFD1,((A3)+(1))+(1)))=("O"),"false"),B3,O245),O245))</f>
        <v>#VALUE!</v>
      </c>
      <c r="P245" t="e">
        <f ca="1">IF((A1)=(2),"",IF((241)=(P4),IF(IF((INDEX(B1:XFD1,((A3)+(1))+(0)))=("store"),(INDEX(B1:XFD1,((A3)+(1))+(1)))=("P"),"false"),B3,P245),P245))</f>
        <v>#VALUE!</v>
      </c>
      <c r="Q245" t="e">
        <f ca="1">IF((A1)=(2),"",IF((241)=(Q4),IF(IF((INDEX(B1:XFD1,((A3)+(1))+(0)))=("store"),(INDEX(B1:XFD1,((A3)+(1))+(1)))=("Q"),"false"),B3,Q245),Q245))</f>
        <v>#VALUE!</v>
      </c>
      <c r="R245" t="e">
        <f ca="1">IF((A1)=(2),"",IF((241)=(R4),IF(IF((INDEX(B1:XFD1,((A3)+(1))+(0)))=("store"),(INDEX(B1:XFD1,((A3)+(1))+(1)))=("R"),"false"),B3,R245),R245))</f>
        <v>#VALUE!</v>
      </c>
      <c r="S245" t="e">
        <f ca="1">IF((A1)=(2),"",IF((241)=(S4),IF(IF((INDEX(B1:XFD1,((A3)+(1))+(0)))=("store"),(INDEX(B1:XFD1,((A3)+(1))+(1)))=("S"),"false"),B3,S245),S245))</f>
        <v>#VALUE!</v>
      </c>
      <c r="T245" t="e">
        <f ca="1">IF((A1)=(2),"",IF((241)=(T4),IF(IF((INDEX(B1:XFD1,((A3)+(1))+(0)))=("store"),(INDEX(B1:XFD1,((A3)+(1))+(1)))=("T"),"false"),B3,T245),T245))</f>
        <v>#VALUE!</v>
      </c>
      <c r="U245" t="e">
        <f ca="1">IF((A1)=(2),"",IF((241)=(U4),IF(IF((INDEX(B1:XFD1,((A3)+(1))+(0)))=("store"),(INDEX(B1:XFD1,((A3)+(1))+(1)))=("U"),"false"),B3,U245),U245))</f>
        <v>#VALUE!</v>
      </c>
      <c r="V245" t="e">
        <f ca="1">IF((A1)=(2),"",IF((241)=(V4),IF(IF((INDEX(B1:XFD1,((A3)+(1))+(0)))=("store"),(INDEX(B1:XFD1,((A3)+(1))+(1)))=("V"),"false"),B3,V245),V245))</f>
        <v>#VALUE!</v>
      </c>
      <c r="W245" t="e">
        <f ca="1">IF((A1)=(2),"",IF((241)=(W4),IF(IF((INDEX(B1:XFD1,((A3)+(1))+(0)))=("store"),(INDEX(B1:XFD1,((A3)+(1))+(1)))=("W"),"false"),B3,W245),W245))</f>
        <v>#VALUE!</v>
      </c>
      <c r="X245" t="e">
        <f ca="1">IF((A1)=(2),"",IF((241)=(X4),IF(IF((INDEX(B1:XFD1,((A3)+(1))+(0)))=("store"),(INDEX(B1:XFD1,((A3)+(1))+(1)))=("X"),"false"),B3,X245),X245))</f>
        <v>#VALUE!</v>
      </c>
      <c r="Y245" t="e">
        <f ca="1">IF((A1)=(2),"",IF((241)=(Y4),IF(IF((INDEX(B1:XFD1,((A3)+(1))+(0)))=("store"),(INDEX(B1:XFD1,((A3)+(1))+(1)))=("Y"),"false"),B3,Y245),Y245))</f>
        <v>#VALUE!</v>
      </c>
      <c r="Z245" t="e">
        <f ca="1">IF((A1)=(2),"",IF((241)=(Z4),IF(IF((INDEX(B1:XFD1,((A3)+(1))+(0)))=("store"),(INDEX(B1:XFD1,((A3)+(1))+(1)))=("Z"),"false"),B3,Z245),Z245))</f>
        <v>#VALUE!</v>
      </c>
      <c r="AA245" t="e">
        <f ca="1">IF((A1)=(2),"",IF((241)=(AA4),IF(IF((INDEX(B1:XFD1,((A3)+(1))+(0)))=("store"),(INDEX(B1:XFD1,((A3)+(1))+(1)))=("AA"),"false"),B3,AA245),AA245))</f>
        <v>#VALUE!</v>
      </c>
      <c r="AB245" t="e">
        <f ca="1">IF((A1)=(2),"",IF((241)=(AB4),IF(IF((INDEX(B1:XFD1,((A3)+(1))+(0)))=("store"),(INDEX(B1:XFD1,((A3)+(1))+(1)))=("AB"),"false"),B3,AB245),AB245))</f>
        <v>#VALUE!</v>
      </c>
      <c r="AC245" t="e">
        <f ca="1">IF((A1)=(2),"",IF((241)=(AC4),IF(IF((INDEX(B1:XFD1,((A3)+(1))+(0)))=("store"),(INDEX(B1:XFD1,((A3)+(1))+(1)))=("AC"),"false"),B3,AC245),AC245))</f>
        <v>#VALUE!</v>
      </c>
      <c r="AD245" t="e">
        <f ca="1">IF((A1)=(2),"",IF((241)=(AD4),IF(IF((INDEX(B1:XFD1,((A3)+(1))+(0)))=("store"),(INDEX(B1:XFD1,((A3)+(1))+(1)))=("AD"),"false"),B3,AD245),AD245))</f>
        <v>#VALUE!</v>
      </c>
    </row>
    <row r="246" spans="1:30" x14ac:dyDescent="0.25">
      <c r="A246" t="e">
        <f ca="1">IF((A1)=(2),"",IF((242)=(A4),IF(("call")=(INDEX(B1:XFD1,((A3)+(1))+(0))),(B3)*(2),IF(("goto")=(INDEX(B1:XFD1,((A3)+(1))+(0))),(INDEX(B1:XFD1,((A3)+(1))+(1)))*(2),IF(("gotoiftrue")=(INDEX(B1:XFD1,((A3)+(1))+(0))),IF(B3,(INDEX(B1:XFD1,((A3)+(1))+(1)))*(2),(A246)+(2)),(A246)+(2)))),A246))</f>
        <v>#VALUE!</v>
      </c>
      <c r="B246" t="e">
        <f ca="1">IF((A1)=(2),"",IF((242)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246)+(1)),IF(("add")=(INDEX(B1:XFD1,((A3)+(1))+(0))),(INDEX(B5:B405,(B4)+(1)))+(B246),IF(("equals")=(INDEX(B1:XFD1,((A3)+(1))+(0))),(INDEX(B5:B405,(B4)+(1)))=(B246),IF(("leq")=(INDEX(B1:XFD1,((A3)+(1))+(0))),(INDEX(B5:B405,(B4)+(1)))&lt;=(B246),IF(("greater")=(INDEX(B1:XFD1,((A3)+(1))+(0))),(INDEX(B5:B405,(B4)+(1)))&gt;(B246),IF(("mod")=(INDEX(B1:XFD1,((A3)+(1))+(0))),MOD(INDEX(B5:B405,(B4)+(1)),B246),B246))))))))),B246))</f>
        <v>#VALUE!</v>
      </c>
      <c r="C246" t="e">
        <f ca="1">IF((A1)=(2),1,IF(AND((INDEX(B1:XFD1,((A3)+(1))+(0)))=("writeheap"),(INDEX(B5:B405,(B4)+(1)))=(241)),INDEX(B5:B405,(B4)+(2)),IF((A1)=(2),"",IF((242)=(C4),C246,C246))))</f>
        <v>#VALUE!</v>
      </c>
      <c r="F246" t="e">
        <f ca="1">IF((A1)=(2),"",IF((242)=(F4),IF(IF((INDEX(B1:XFD1,((A3)+(1))+(0)))=("store"),(INDEX(B1:XFD1,((A3)+(1))+(1)))=("F"),"false"),B3,F246),F246))</f>
        <v>#VALUE!</v>
      </c>
      <c r="G246" t="e">
        <f ca="1">IF((A1)=(2),"",IF((242)=(G4),IF(IF((INDEX(B1:XFD1,((A3)+(1))+(0)))=("store"),(INDEX(B1:XFD1,((A3)+(1))+(1)))=("G"),"false"),B3,G246),G246))</f>
        <v>#VALUE!</v>
      </c>
      <c r="H246" t="e">
        <f ca="1">IF((A1)=(2),"",IF((242)=(H4),IF(IF((INDEX(B1:XFD1,((A3)+(1))+(0)))=("store"),(INDEX(B1:XFD1,((A3)+(1))+(1)))=("H"),"false"),B3,H246),H246))</f>
        <v>#VALUE!</v>
      </c>
      <c r="I246" t="e">
        <f ca="1">IF((A1)=(2),"",IF((242)=(I4),IF(IF((INDEX(B1:XFD1,((A3)+(1))+(0)))=("store"),(INDEX(B1:XFD1,((A3)+(1))+(1)))=("I"),"false"),B3,I246),I246))</f>
        <v>#VALUE!</v>
      </c>
      <c r="J246" t="e">
        <f ca="1">IF((A1)=(2),"",IF((242)=(J4),IF(IF((INDEX(B1:XFD1,((A3)+(1))+(0)))=("store"),(INDEX(B1:XFD1,((A3)+(1))+(1)))=("J"),"false"),B3,J246),J246))</f>
        <v>#VALUE!</v>
      </c>
      <c r="K246" t="e">
        <f ca="1">IF((A1)=(2),"",IF((242)=(K4),IF(IF((INDEX(B1:XFD1,((A3)+(1))+(0)))=("store"),(INDEX(B1:XFD1,((A3)+(1))+(1)))=("K"),"false"),B3,K246),K246))</f>
        <v>#VALUE!</v>
      </c>
      <c r="L246" t="e">
        <f ca="1">IF((A1)=(2),"",IF((242)=(L4),IF(IF((INDEX(B1:XFD1,((A3)+(1))+(0)))=("store"),(INDEX(B1:XFD1,((A3)+(1))+(1)))=("L"),"false"),B3,L246),L246))</f>
        <v>#VALUE!</v>
      </c>
      <c r="M246" t="e">
        <f ca="1">IF((A1)=(2),"",IF((242)=(M4),IF(IF((INDEX(B1:XFD1,((A3)+(1))+(0)))=("store"),(INDEX(B1:XFD1,((A3)+(1))+(1)))=("M"),"false"),B3,M246),M246))</f>
        <v>#VALUE!</v>
      </c>
      <c r="N246" t="e">
        <f ca="1">IF((A1)=(2),"",IF((242)=(N4),IF(IF((INDEX(B1:XFD1,((A3)+(1))+(0)))=("store"),(INDEX(B1:XFD1,((A3)+(1))+(1)))=("N"),"false"),B3,N246),N246))</f>
        <v>#VALUE!</v>
      </c>
      <c r="O246" t="e">
        <f ca="1">IF((A1)=(2),"",IF((242)=(O4),IF(IF((INDEX(B1:XFD1,((A3)+(1))+(0)))=("store"),(INDEX(B1:XFD1,((A3)+(1))+(1)))=("O"),"false"),B3,O246),O246))</f>
        <v>#VALUE!</v>
      </c>
      <c r="P246" t="e">
        <f ca="1">IF((A1)=(2),"",IF((242)=(P4),IF(IF((INDEX(B1:XFD1,((A3)+(1))+(0)))=("store"),(INDEX(B1:XFD1,((A3)+(1))+(1)))=("P"),"false"),B3,P246),P246))</f>
        <v>#VALUE!</v>
      </c>
      <c r="Q246" t="e">
        <f ca="1">IF((A1)=(2),"",IF((242)=(Q4),IF(IF((INDEX(B1:XFD1,((A3)+(1))+(0)))=("store"),(INDEX(B1:XFD1,((A3)+(1))+(1)))=("Q"),"false"),B3,Q246),Q246))</f>
        <v>#VALUE!</v>
      </c>
      <c r="R246" t="e">
        <f ca="1">IF((A1)=(2),"",IF((242)=(R4),IF(IF((INDEX(B1:XFD1,((A3)+(1))+(0)))=("store"),(INDEX(B1:XFD1,((A3)+(1))+(1)))=("R"),"false"),B3,R246),R246))</f>
        <v>#VALUE!</v>
      </c>
      <c r="S246" t="e">
        <f ca="1">IF((A1)=(2),"",IF((242)=(S4),IF(IF((INDEX(B1:XFD1,((A3)+(1))+(0)))=("store"),(INDEX(B1:XFD1,((A3)+(1))+(1)))=("S"),"false"),B3,S246),S246))</f>
        <v>#VALUE!</v>
      </c>
      <c r="T246" t="e">
        <f ca="1">IF((A1)=(2),"",IF((242)=(T4),IF(IF((INDEX(B1:XFD1,((A3)+(1))+(0)))=("store"),(INDEX(B1:XFD1,((A3)+(1))+(1)))=("T"),"false"),B3,T246),T246))</f>
        <v>#VALUE!</v>
      </c>
      <c r="U246" t="e">
        <f ca="1">IF((A1)=(2),"",IF((242)=(U4),IF(IF((INDEX(B1:XFD1,((A3)+(1))+(0)))=("store"),(INDEX(B1:XFD1,((A3)+(1))+(1)))=("U"),"false"),B3,U246),U246))</f>
        <v>#VALUE!</v>
      </c>
      <c r="V246" t="e">
        <f ca="1">IF((A1)=(2),"",IF((242)=(V4),IF(IF((INDEX(B1:XFD1,((A3)+(1))+(0)))=("store"),(INDEX(B1:XFD1,((A3)+(1))+(1)))=("V"),"false"),B3,V246),V246))</f>
        <v>#VALUE!</v>
      </c>
      <c r="W246" t="e">
        <f ca="1">IF((A1)=(2),"",IF((242)=(W4),IF(IF((INDEX(B1:XFD1,((A3)+(1))+(0)))=("store"),(INDEX(B1:XFD1,((A3)+(1))+(1)))=("W"),"false"),B3,W246),W246))</f>
        <v>#VALUE!</v>
      </c>
      <c r="X246" t="e">
        <f ca="1">IF((A1)=(2),"",IF((242)=(X4),IF(IF((INDEX(B1:XFD1,((A3)+(1))+(0)))=("store"),(INDEX(B1:XFD1,((A3)+(1))+(1)))=("X"),"false"),B3,X246),X246))</f>
        <v>#VALUE!</v>
      </c>
      <c r="Y246" t="e">
        <f ca="1">IF((A1)=(2),"",IF((242)=(Y4),IF(IF((INDEX(B1:XFD1,((A3)+(1))+(0)))=("store"),(INDEX(B1:XFD1,((A3)+(1))+(1)))=("Y"),"false"),B3,Y246),Y246))</f>
        <v>#VALUE!</v>
      </c>
      <c r="Z246" t="e">
        <f ca="1">IF((A1)=(2),"",IF((242)=(Z4),IF(IF((INDEX(B1:XFD1,((A3)+(1))+(0)))=("store"),(INDEX(B1:XFD1,((A3)+(1))+(1)))=("Z"),"false"),B3,Z246),Z246))</f>
        <v>#VALUE!</v>
      </c>
      <c r="AA246" t="e">
        <f ca="1">IF((A1)=(2),"",IF((242)=(AA4),IF(IF((INDEX(B1:XFD1,((A3)+(1))+(0)))=("store"),(INDEX(B1:XFD1,((A3)+(1))+(1)))=("AA"),"false"),B3,AA246),AA246))</f>
        <v>#VALUE!</v>
      </c>
      <c r="AB246" t="e">
        <f ca="1">IF((A1)=(2),"",IF((242)=(AB4),IF(IF((INDEX(B1:XFD1,((A3)+(1))+(0)))=("store"),(INDEX(B1:XFD1,((A3)+(1))+(1)))=("AB"),"false"),B3,AB246),AB246))</f>
        <v>#VALUE!</v>
      </c>
      <c r="AC246" t="e">
        <f ca="1">IF((A1)=(2),"",IF((242)=(AC4),IF(IF((INDEX(B1:XFD1,((A3)+(1))+(0)))=("store"),(INDEX(B1:XFD1,((A3)+(1))+(1)))=("AC"),"false"),B3,AC246),AC246))</f>
        <v>#VALUE!</v>
      </c>
      <c r="AD246" t="e">
        <f ca="1">IF((A1)=(2),"",IF((242)=(AD4),IF(IF((INDEX(B1:XFD1,((A3)+(1))+(0)))=("store"),(INDEX(B1:XFD1,((A3)+(1))+(1)))=("AD"),"false"),B3,AD246),AD246))</f>
        <v>#VALUE!</v>
      </c>
    </row>
    <row r="247" spans="1:30" x14ac:dyDescent="0.25">
      <c r="A247" t="e">
        <f ca="1">IF((A1)=(2),"",IF((243)=(A4),IF(("call")=(INDEX(B1:XFD1,((A3)+(1))+(0))),(B3)*(2),IF(("goto")=(INDEX(B1:XFD1,((A3)+(1))+(0))),(INDEX(B1:XFD1,((A3)+(1))+(1)))*(2),IF(("gotoiftrue")=(INDEX(B1:XFD1,((A3)+(1))+(0))),IF(B3,(INDEX(B1:XFD1,((A3)+(1))+(1)))*(2),(A247)+(2)),(A247)+(2)))),A247))</f>
        <v>#VALUE!</v>
      </c>
      <c r="B247" t="e">
        <f ca="1">IF((A1)=(2),"",IF((243)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247)+(1)),IF(("add")=(INDEX(B1:XFD1,((A3)+(1))+(0))),(INDEX(B5:B405,(B4)+(1)))+(B247),IF(("equals")=(INDEX(B1:XFD1,((A3)+(1))+(0))),(INDEX(B5:B405,(B4)+(1)))=(B247),IF(("leq")=(INDEX(B1:XFD1,((A3)+(1))+(0))),(INDEX(B5:B405,(B4)+(1)))&lt;=(B247),IF(("greater")=(INDEX(B1:XFD1,((A3)+(1))+(0))),(INDEX(B5:B405,(B4)+(1)))&gt;(B247),IF(("mod")=(INDEX(B1:XFD1,((A3)+(1))+(0))),MOD(INDEX(B5:B405,(B4)+(1)),B247),B247))))))))),B247))</f>
        <v>#VALUE!</v>
      </c>
      <c r="C247" t="e">
        <f ca="1">IF((A1)=(2),1,IF(AND((INDEX(B1:XFD1,((A3)+(1))+(0)))=("writeheap"),(INDEX(B5:B405,(B4)+(1)))=(242)),INDEX(B5:B405,(B4)+(2)),IF((A1)=(2),"",IF((243)=(C4),C247,C247))))</f>
        <v>#VALUE!</v>
      </c>
      <c r="F247" t="e">
        <f ca="1">IF((A1)=(2),"",IF((243)=(F4),IF(IF((INDEX(B1:XFD1,((A3)+(1))+(0)))=("store"),(INDEX(B1:XFD1,((A3)+(1))+(1)))=("F"),"false"),B3,F247),F247))</f>
        <v>#VALUE!</v>
      </c>
      <c r="G247" t="e">
        <f ca="1">IF((A1)=(2),"",IF((243)=(G4),IF(IF((INDEX(B1:XFD1,((A3)+(1))+(0)))=("store"),(INDEX(B1:XFD1,((A3)+(1))+(1)))=("G"),"false"),B3,G247),G247))</f>
        <v>#VALUE!</v>
      </c>
      <c r="H247" t="e">
        <f ca="1">IF((A1)=(2),"",IF((243)=(H4),IF(IF((INDEX(B1:XFD1,((A3)+(1))+(0)))=("store"),(INDEX(B1:XFD1,((A3)+(1))+(1)))=("H"),"false"),B3,H247),H247))</f>
        <v>#VALUE!</v>
      </c>
      <c r="I247" t="e">
        <f ca="1">IF((A1)=(2),"",IF((243)=(I4),IF(IF((INDEX(B1:XFD1,((A3)+(1))+(0)))=("store"),(INDEX(B1:XFD1,((A3)+(1))+(1)))=("I"),"false"),B3,I247),I247))</f>
        <v>#VALUE!</v>
      </c>
      <c r="J247" t="e">
        <f ca="1">IF((A1)=(2),"",IF((243)=(J4),IF(IF((INDEX(B1:XFD1,((A3)+(1))+(0)))=("store"),(INDEX(B1:XFD1,((A3)+(1))+(1)))=("J"),"false"),B3,J247),J247))</f>
        <v>#VALUE!</v>
      </c>
      <c r="K247" t="e">
        <f ca="1">IF((A1)=(2),"",IF((243)=(K4),IF(IF((INDEX(B1:XFD1,((A3)+(1))+(0)))=("store"),(INDEX(B1:XFD1,((A3)+(1))+(1)))=("K"),"false"),B3,K247),K247))</f>
        <v>#VALUE!</v>
      </c>
      <c r="L247" t="e">
        <f ca="1">IF((A1)=(2),"",IF((243)=(L4),IF(IF((INDEX(B1:XFD1,((A3)+(1))+(0)))=("store"),(INDEX(B1:XFD1,((A3)+(1))+(1)))=("L"),"false"),B3,L247),L247))</f>
        <v>#VALUE!</v>
      </c>
      <c r="M247" t="e">
        <f ca="1">IF((A1)=(2),"",IF((243)=(M4),IF(IF((INDEX(B1:XFD1,((A3)+(1))+(0)))=("store"),(INDEX(B1:XFD1,((A3)+(1))+(1)))=("M"),"false"),B3,M247),M247))</f>
        <v>#VALUE!</v>
      </c>
      <c r="N247" t="e">
        <f ca="1">IF((A1)=(2),"",IF((243)=(N4),IF(IF((INDEX(B1:XFD1,((A3)+(1))+(0)))=("store"),(INDEX(B1:XFD1,((A3)+(1))+(1)))=("N"),"false"),B3,N247),N247))</f>
        <v>#VALUE!</v>
      </c>
      <c r="O247" t="e">
        <f ca="1">IF((A1)=(2),"",IF((243)=(O4),IF(IF((INDEX(B1:XFD1,((A3)+(1))+(0)))=("store"),(INDEX(B1:XFD1,((A3)+(1))+(1)))=("O"),"false"),B3,O247),O247))</f>
        <v>#VALUE!</v>
      </c>
      <c r="P247" t="e">
        <f ca="1">IF((A1)=(2),"",IF((243)=(P4),IF(IF((INDEX(B1:XFD1,((A3)+(1))+(0)))=("store"),(INDEX(B1:XFD1,((A3)+(1))+(1)))=("P"),"false"),B3,P247),P247))</f>
        <v>#VALUE!</v>
      </c>
      <c r="Q247" t="e">
        <f ca="1">IF((A1)=(2),"",IF((243)=(Q4),IF(IF((INDEX(B1:XFD1,((A3)+(1))+(0)))=("store"),(INDEX(B1:XFD1,((A3)+(1))+(1)))=("Q"),"false"),B3,Q247),Q247))</f>
        <v>#VALUE!</v>
      </c>
      <c r="R247" t="e">
        <f ca="1">IF((A1)=(2),"",IF((243)=(R4),IF(IF((INDEX(B1:XFD1,((A3)+(1))+(0)))=("store"),(INDEX(B1:XFD1,((A3)+(1))+(1)))=("R"),"false"),B3,R247),R247))</f>
        <v>#VALUE!</v>
      </c>
      <c r="S247" t="e">
        <f ca="1">IF((A1)=(2),"",IF((243)=(S4),IF(IF((INDEX(B1:XFD1,((A3)+(1))+(0)))=("store"),(INDEX(B1:XFD1,((A3)+(1))+(1)))=("S"),"false"),B3,S247),S247))</f>
        <v>#VALUE!</v>
      </c>
      <c r="T247" t="e">
        <f ca="1">IF((A1)=(2),"",IF((243)=(T4),IF(IF((INDEX(B1:XFD1,((A3)+(1))+(0)))=("store"),(INDEX(B1:XFD1,((A3)+(1))+(1)))=("T"),"false"),B3,T247),T247))</f>
        <v>#VALUE!</v>
      </c>
      <c r="U247" t="e">
        <f ca="1">IF((A1)=(2),"",IF((243)=(U4),IF(IF((INDEX(B1:XFD1,((A3)+(1))+(0)))=("store"),(INDEX(B1:XFD1,((A3)+(1))+(1)))=("U"),"false"),B3,U247),U247))</f>
        <v>#VALUE!</v>
      </c>
      <c r="V247" t="e">
        <f ca="1">IF((A1)=(2),"",IF((243)=(V4),IF(IF((INDEX(B1:XFD1,((A3)+(1))+(0)))=("store"),(INDEX(B1:XFD1,((A3)+(1))+(1)))=("V"),"false"),B3,V247),V247))</f>
        <v>#VALUE!</v>
      </c>
      <c r="W247" t="e">
        <f ca="1">IF((A1)=(2),"",IF((243)=(W4),IF(IF((INDEX(B1:XFD1,((A3)+(1))+(0)))=("store"),(INDEX(B1:XFD1,((A3)+(1))+(1)))=("W"),"false"),B3,W247),W247))</f>
        <v>#VALUE!</v>
      </c>
      <c r="X247" t="e">
        <f ca="1">IF((A1)=(2),"",IF((243)=(X4),IF(IF((INDEX(B1:XFD1,((A3)+(1))+(0)))=("store"),(INDEX(B1:XFD1,((A3)+(1))+(1)))=("X"),"false"),B3,X247),X247))</f>
        <v>#VALUE!</v>
      </c>
      <c r="Y247" t="e">
        <f ca="1">IF((A1)=(2),"",IF((243)=(Y4),IF(IF((INDEX(B1:XFD1,((A3)+(1))+(0)))=("store"),(INDEX(B1:XFD1,((A3)+(1))+(1)))=("Y"),"false"),B3,Y247),Y247))</f>
        <v>#VALUE!</v>
      </c>
      <c r="Z247" t="e">
        <f ca="1">IF((A1)=(2),"",IF((243)=(Z4),IF(IF((INDEX(B1:XFD1,((A3)+(1))+(0)))=("store"),(INDEX(B1:XFD1,((A3)+(1))+(1)))=("Z"),"false"),B3,Z247),Z247))</f>
        <v>#VALUE!</v>
      </c>
      <c r="AA247" t="e">
        <f ca="1">IF((A1)=(2),"",IF((243)=(AA4),IF(IF((INDEX(B1:XFD1,((A3)+(1))+(0)))=("store"),(INDEX(B1:XFD1,((A3)+(1))+(1)))=("AA"),"false"),B3,AA247),AA247))</f>
        <v>#VALUE!</v>
      </c>
      <c r="AB247" t="e">
        <f ca="1">IF((A1)=(2),"",IF((243)=(AB4),IF(IF((INDEX(B1:XFD1,((A3)+(1))+(0)))=("store"),(INDEX(B1:XFD1,((A3)+(1))+(1)))=("AB"),"false"),B3,AB247),AB247))</f>
        <v>#VALUE!</v>
      </c>
      <c r="AC247" t="e">
        <f ca="1">IF((A1)=(2),"",IF((243)=(AC4),IF(IF((INDEX(B1:XFD1,((A3)+(1))+(0)))=("store"),(INDEX(B1:XFD1,((A3)+(1))+(1)))=("AC"),"false"),B3,AC247),AC247))</f>
        <v>#VALUE!</v>
      </c>
      <c r="AD247" t="e">
        <f ca="1">IF((A1)=(2),"",IF((243)=(AD4),IF(IF((INDEX(B1:XFD1,((A3)+(1))+(0)))=("store"),(INDEX(B1:XFD1,((A3)+(1))+(1)))=("AD"),"false"),B3,AD247),AD247))</f>
        <v>#VALUE!</v>
      </c>
    </row>
    <row r="248" spans="1:30" x14ac:dyDescent="0.25">
      <c r="A248" t="e">
        <f ca="1">IF((A1)=(2),"",IF((244)=(A4),IF(("call")=(INDEX(B1:XFD1,((A3)+(1))+(0))),(B3)*(2),IF(("goto")=(INDEX(B1:XFD1,((A3)+(1))+(0))),(INDEX(B1:XFD1,((A3)+(1))+(1)))*(2),IF(("gotoiftrue")=(INDEX(B1:XFD1,((A3)+(1))+(0))),IF(B3,(INDEX(B1:XFD1,((A3)+(1))+(1)))*(2),(A248)+(2)),(A248)+(2)))),A248))</f>
        <v>#VALUE!</v>
      </c>
      <c r="B248" t="e">
        <f ca="1">IF((A1)=(2),"",IF((244)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248)+(1)),IF(("add")=(INDEX(B1:XFD1,((A3)+(1))+(0))),(INDEX(B5:B405,(B4)+(1)))+(B248),IF(("equals")=(INDEX(B1:XFD1,((A3)+(1))+(0))),(INDEX(B5:B405,(B4)+(1)))=(B248),IF(("leq")=(INDEX(B1:XFD1,((A3)+(1))+(0))),(INDEX(B5:B405,(B4)+(1)))&lt;=(B248),IF(("greater")=(INDEX(B1:XFD1,((A3)+(1))+(0))),(INDEX(B5:B405,(B4)+(1)))&gt;(B248),IF(("mod")=(INDEX(B1:XFD1,((A3)+(1))+(0))),MOD(INDEX(B5:B405,(B4)+(1)),B248),B248))))))))),B248))</f>
        <v>#VALUE!</v>
      </c>
      <c r="C248" t="e">
        <f ca="1">IF((A1)=(2),1,IF(AND((INDEX(B1:XFD1,((A3)+(1))+(0)))=("writeheap"),(INDEX(B5:B405,(B4)+(1)))=(243)),INDEX(B5:B405,(B4)+(2)),IF((A1)=(2),"",IF((244)=(C4),C248,C248))))</f>
        <v>#VALUE!</v>
      </c>
      <c r="F248" t="e">
        <f ca="1">IF((A1)=(2),"",IF((244)=(F4),IF(IF((INDEX(B1:XFD1,((A3)+(1))+(0)))=("store"),(INDEX(B1:XFD1,((A3)+(1))+(1)))=("F"),"false"),B3,F248),F248))</f>
        <v>#VALUE!</v>
      </c>
      <c r="G248" t="e">
        <f ca="1">IF((A1)=(2),"",IF((244)=(G4),IF(IF((INDEX(B1:XFD1,((A3)+(1))+(0)))=("store"),(INDEX(B1:XFD1,((A3)+(1))+(1)))=("G"),"false"),B3,G248),G248))</f>
        <v>#VALUE!</v>
      </c>
      <c r="H248" t="e">
        <f ca="1">IF((A1)=(2),"",IF((244)=(H4),IF(IF((INDEX(B1:XFD1,((A3)+(1))+(0)))=("store"),(INDEX(B1:XFD1,((A3)+(1))+(1)))=("H"),"false"),B3,H248),H248))</f>
        <v>#VALUE!</v>
      </c>
      <c r="I248" t="e">
        <f ca="1">IF((A1)=(2),"",IF((244)=(I4),IF(IF((INDEX(B1:XFD1,((A3)+(1))+(0)))=("store"),(INDEX(B1:XFD1,((A3)+(1))+(1)))=("I"),"false"),B3,I248),I248))</f>
        <v>#VALUE!</v>
      </c>
      <c r="J248" t="e">
        <f ca="1">IF((A1)=(2),"",IF((244)=(J4),IF(IF((INDEX(B1:XFD1,((A3)+(1))+(0)))=("store"),(INDEX(B1:XFD1,((A3)+(1))+(1)))=("J"),"false"),B3,J248),J248))</f>
        <v>#VALUE!</v>
      </c>
      <c r="K248" t="e">
        <f ca="1">IF((A1)=(2),"",IF((244)=(K4),IF(IF((INDEX(B1:XFD1,((A3)+(1))+(0)))=("store"),(INDEX(B1:XFD1,((A3)+(1))+(1)))=("K"),"false"),B3,K248),K248))</f>
        <v>#VALUE!</v>
      </c>
      <c r="L248" t="e">
        <f ca="1">IF((A1)=(2),"",IF((244)=(L4),IF(IF((INDEX(B1:XFD1,((A3)+(1))+(0)))=("store"),(INDEX(B1:XFD1,((A3)+(1))+(1)))=("L"),"false"),B3,L248),L248))</f>
        <v>#VALUE!</v>
      </c>
      <c r="M248" t="e">
        <f ca="1">IF((A1)=(2),"",IF((244)=(M4),IF(IF((INDEX(B1:XFD1,((A3)+(1))+(0)))=("store"),(INDEX(B1:XFD1,((A3)+(1))+(1)))=("M"),"false"),B3,M248),M248))</f>
        <v>#VALUE!</v>
      </c>
      <c r="N248" t="e">
        <f ca="1">IF((A1)=(2),"",IF((244)=(N4),IF(IF((INDEX(B1:XFD1,((A3)+(1))+(0)))=("store"),(INDEX(B1:XFD1,((A3)+(1))+(1)))=("N"),"false"),B3,N248),N248))</f>
        <v>#VALUE!</v>
      </c>
      <c r="O248" t="e">
        <f ca="1">IF((A1)=(2),"",IF((244)=(O4),IF(IF((INDEX(B1:XFD1,((A3)+(1))+(0)))=("store"),(INDEX(B1:XFD1,((A3)+(1))+(1)))=("O"),"false"),B3,O248),O248))</f>
        <v>#VALUE!</v>
      </c>
      <c r="P248" t="e">
        <f ca="1">IF((A1)=(2),"",IF((244)=(P4),IF(IF((INDEX(B1:XFD1,((A3)+(1))+(0)))=("store"),(INDEX(B1:XFD1,((A3)+(1))+(1)))=("P"),"false"),B3,P248),P248))</f>
        <v>#VALUE!</v>
      </c>
      <c r="Q248" t="e">
        <f ca="1">IF((A1)=(2),"",IF((244)=(Q4),IF(IF((INDEX(B1:XFD1,((A3)+(1))+(0)))=("store"),(INDEX(B1:XFD1,((A3)+(1))+(1)))=("Q"),"false"),B3,Q248),Q248))</f>
        <v>#VALUE!</v>
      </c>
      <c r="R248" t="e">
        <f ca="1">IF((A1)=(2),"",IF((244)=(R4),IF(IF((INDEX(B1:XFD1,((A3)+(1))+(0)))=("store"),(INDEX(B1:XFD1,((A3)+(1))+(1)))=("R"),"false"),B3,R248),R248))</f>
        <v>#VALUE!</v>
      </c>
      <c r="S248" t="e">
        <f ca="1">IF((A1)=(2),"",IF((244)=(S4),IF(IF((INDEX(B1:XFD1,((A3)+(1))+(0)))=("store"),(INDEX(B1:XFD1,((A3)+(1))+(1)))=("S"),"false"),B3,S248),S248))</f>
        <v>#VALUE!</v>
      </c>
      <c r="T248" t="e">
        <f ca="1">IF((A1)=(2),"",IF((244)=(T4),IF(IF((INDEX(B1:XFD1,((A3)+(1))+(0)))=("store"),(INDEX(B1:XFD1,((A3)+(1))+(1)))=("T"),"false"),B3,T248),T248))</f>
        <v>#VALUE!</v>
      </c>
      <c r="U248" t="e">
        <f ca="1">IF((A1)=(2),"",IF((244)=(U4),IF(IF((INDEX(B1:XFD1,((A3)+(1))+(0)))=("store"),(INDEX(B1:XFD1,((A3)+(1))+(1)))=("U"),"false"),B3,U248),U248))</f>
        <v>#VALUE!</v>
      </c>
      <c r="V248" t="e">
        <f ca="1">IF((A1)=(2),"",IF((244)=(V4),IF(IF((INDEX(B1:XFD1,((A3)+(1))+(0)))=("store"),(INDEX(B1:XFD1,((A3)+(1))+(1)))=("V"),"false"),B3,V248),V248))</f>
        <v>#VALUE!</v>
      </c>
      <c r="W248" t="e">
        <f ca="1">IF((A1)=(2),"",IF((244)=(W4),IF(IF((INDEX(B1:XFD1,((A3)+(1))+(0)))=("store"),(INDEX(B1:XFD1,((A3)+(1))+(1)))=("W"),"false"),B3,W248),W248))</f>
        <v>#VALUE!</v>
      </c>
      <c r="X248" t="e">
        <f ca="1">IF((A1)=(2),"",IF((244)=(X4),IF(IF((INDEX(B1:XFD1,((A3)+(1))+(0)))=("store"),(INDEX(B1:XFD1,((A3)+(1))+(1)))=("X"),"false"),B3,X248),X248))</f>
        <v>#VALUE!</v>
      </c>
      <c r="Y248" t="e">
        <f ca="1">IF((A1)=(2),"",IF((244)=(Y4),IF(IF((INDEX(B1:XFD1,((A3)+(1))+(0)))=("store"),(INDEX(B1:XFD1,((A3)+(1))+(1)))=("Y"),"false"),B3,Y248),Y248))</f>
        <v>#VALUE!</v>
      </c>
      <c r="Z248" t="e">
        <f ca="1">IF((A1)=(2),"",IF((244)=(Z4),IF(IF((INDEX(B1:XFD1,((A3)+(1))+(0)))=("store"),(INDEX(B1:XFD1,((A3)+(1))+(1)))=("Z"),"false"),B3,Z248),Z248))</f>
        <v>#VALUE!</v>
      </c>
      <c r="AA248" t="e">
        <f ca="1">IF((A1)=(2),"",IF((244)=(AA4),IF(IF((INDEX(B1:XFD1,((A3)+(1))+(0)))=("store"),(INDEX(B1:XFD1,((A3)+(1))+(1)))=("AA"),"false"),B3,AA248),AA248))</f>
        <v>#VALUE!</v>
      </c>
      <c r="AB248" t="e">
        <f ca="1">IF((A1)=(2),"",IF((244)=(AB4),IF(IF((INDEX(B1:XFD1,((A3)+(1))+(0)))=("store"),(INDEX(B1:XFD1,((A3)+(1))+(1)))=("AB"),"false"),B3,AB248),AB248))</f>
        <v>#VALUE!</v>
      </c>
      <c r="AC248" t="e">
        <f ca="1">IF((A1)=(2),"",IF((244)=(AC4),IF(IF((INDEX(B1:XFD1,((A3)+(1))+(0)))=("store"),(INDEX(B1:XFD1,((A3)+(1))+(1)))=("AC"),"false"),B3,AC248),AC248))</f>
        <v>#VALUE!</v>
      </c>
      <c r="AD248" t="e">
        <f ca="1">IF((A1)=(2),"",IF((244)=(AD4),IF(IF((INDEX(B1:XFD1,((A3)+(1))+(0)))=("store"),(INDEX(B1:XFD1,((A3)+(1))+(1)))=("AD"),"false"),B3,AD248),AD248))</f>
        <v>#VALUE!</v>
      </c>
    </row>
    <row r="249" spans="1:30" x14ac:dyDescent="0.25">
      <c r="A249" t="e">
        <f ca="1">IF((A1)=(2),"",IF((245)=(A4),IF(("call")=(INDEX(B1:XFD1,((A3)+(1))+(0))),(B3)*(2),IF(("goto")=(INDEX(B1:XFD1,((A3)+(1))+(0))),(INDEX(B1:XFD1,((A3)+(1))+(1)))*(2),IF(("gotoiftrue")=(INDEX(B1:XFD1,((A3)+(1))+(0))),IF(B3,(INDEX(B1:XFD1,((A3)+(1))+(1)))*(2),(A249)+(2)),(A249)+(2)))),A249))</f>
        <v>#VALUE!</v>
      </c>
      <c r="B249" t="e">
        <f ca="1">IF((A1)=(2),"",IF((245)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249)+(1)),IF(("add")=(INDEX(B1:XFD1,((A3)+(1))+(0))),(INDEX(B5:B405,(B4)+(1)))+(B249),IF(("equals")=(INDEX(B1:XFD1,((A3)+(1))+(0))),(INDEX(B5:B405,(B4)+(1)))=(B249),IF(("leq")=(INDEX(B1:XFD1,((A3)+(1))+(0))),(INDEX(B5:B405,(B4)+(1)))&lt;=(B249),IF(("greater")=(INDEX(B1:XFD1,((A3)+(1))+(0))),(INDEX(B5:B405,(B4)+(1)))&gt;(B249),IF(("mod")=(INDEX(B1:XFD1,((A3)+(1))+(0))),MOD(INDEX(B5:B405,(B4)+(1)),B249),B249))))))))),B249))</f>
        <v>#VALUE!</v>
      </c>
      <c r="C249" t="e">
        <f ca="1">IF((A1)=(2),1,IF(AND((INDEX(B1:XFD1,((A3)+(1))+(0)))=("writeheap"),(INDEX(B5:B405,(B4)+(1)))=(244)),INDEX(B5:B405,(B4)+(2)),IF((A1)=(2),"",IF((245)=(C4),C249,C249))))</f>
        <v>#VALUE!</v>
      </c>
      <c r="F249" t="e">
        <f ca="1">IF((A1)=(2),"",IF((245)=(F4),IF(IF((INDEX(B1:XFD1,((A3)+(1))+(0)))=("store"),(INDEX(B1:XFD1,((A3)+(1))+(1)))=("F"),"false"),B3,F249),F249))</f>
        <v>#VALUE!</v>
      </c>
      <c r="G249" t="e">
        <f ca="1">IF((A1)=(2),"",IF((245)=(G4),IF(IF((INDEX(B1:XFD1,((A3)+(1))+(0)))=("store"),(INDEX(B1:XFD1,((A3)+(1))+(1)))=("G"),"false"),B3,G249),G249))</f>
        <v>#VALUE!</v>
      </c>
      <c r="H249" t="e">
        <f ca="1">IF((A1)=(2),"",IF((245)=(H4),IF(IF((INDEX(B1:XFD1,((A3)+(1))+(0)))=("store"),(INDEX(B1:XFD1,((A3)+(1))+(1)))=("H"),"false"),B3,H249),H249))</f>
        <v>#VALUE!</v>
      </c>
      <c r="I249" t="e">
        <f ca="1">IF((A1)=(2),"",IF((245)=(I4),IF(IF((INDEX(B1:XFD1,((A3)+(1))+(0)))=("store"),(INDEX(B1:XFD1,((A3)+(1))+(1)))=("I"),"false"),B3,I249),I249))</f>
        <v>#VALUE!</v>
      </c>
      <c r="J249" t="e">
        <f ca="1">IF((A1)=(2),"",IF((245)=(J4),IF(IF((INDEX(B1:XFD1,((A3)+(1))+(0)))=("store"),(INDEX(B1:XFD1,((A3)+(1))+(1)))=("J"),"false"),B3,J249),J249))</f>
        <v>#VALUE!</v>
      </c>
      <c r="K249" t="e">
        <f ca="1">IF((A1)=(2),"",IF((245)=(K4),IF(IF((INDEX(B1:XFD1,((A3)+(1))+(0)))=("store"),(INDEX(B1:XFD1,((A3)+(1))+(1)))=("K"),"false"),B3,K249),K249))</f>
        <v>#VALUE!</v>
      </c>
      <c r="L249" t="e">
        <f ca="1">IF((A1)=(2),"",IF((245)=(L4),IF(IF((INDEX(B1:XFD1,((A3)+(1))+(0)))=("store"),(INDEX(B1:XFD1,((A3)+(1))+(1)))=("L"),"false"),B3,L249),L249))</f>
        <v>#VALUE!</v>
      </c>
      <c r="M249" t="e">
        <f ca="1">IF((A1)=(2),"",IF((245)=(M4),IF(IF((INDEX(B1:XFD1,((A3)+(1))+(0)))=("store"),(INDEX(B1:XFD1,((A3)+(1))+(1)))=("M"),"false"),B3,M249),M249))</f>
        <v>#VALUE!</v>
      </c>
      <c r="N249" t="e">
        <f ca="1">IF((A1)=(2),"",IF((245)=(N4),IF(IF((INDEX(B1:XFD1,((A3)+(1))+(0)))=("store"),(INDEX(B1:XFD1,((A3)+(1))+(1)))=("N"),"false"),B3,N249),N249))</f>
        <v>#VALUE!</v>
      </c>
      <c r="O249" t="e">
        <f ca="1">IF((A1)=(2),"",IF((245)=(O4),IF(IF((INDEX(B1:XFD1,((A3)+(1))+(0)))=("store"),(INDEX(B1:XFD1,((A3)+(1))+(1)))=("O"),"false"),B3,O249),O249))</f>
        <v>#VALUE!</v>
      </c>
      <c r="P249" t="e">
        <f ca="1">IF((A1)=(2),"",IF((245)=(P4),IF(IF((INDEX(B1:XFD1,((A3)+(1))+(0)))=("store"),(INDEX(B1:XFD1,((A3)+(1))+(1)))=("P"),"false"),B3,P249),P249))</f>
        <v>#VALUE!</v>
      </c>
      <c r="Q249" t="e">
        <f ca="1">IF((A1)=(2),"",IF((245)=(Q4),IF(IF((INDEX(B1:XFD1,((A3)+(1))+(0)))=("store"),(INDEX(B1:XFD1,((A3)+(1))+(1)))=("Q"),"false"),B3,Q249),Q249))</f>
        <v>#VALUE!</v>
      </c>
      <c r="R249" t="e">
        <f ca="1">IF((A1)=(2),"",IF((245)=(R4),IF(IF((INDEX(B1:XFD1,((A3)+(1))+(0)))=("store"),(INDEX(B1:XFD1,((A3)+(1))+(1)))=("R"),"false"),B3,R249),R249))</f>
        <v>#VALUE!</v>
      </c>
      <c r="S249" t="e">
        <f ca="1">IF((A1)=(2),"",IF((245)=(S4),IF(IF((INDEX(B1:XFD1,((A3)+(1))+(0)))=("store"),(INDEX(B1:XFD1,((A3)+(1))+(1)))=("S"),"false"),B3,S249),S249))</f>
        <v>#VALUE!</v>
      </c>
      <c r="T249" t="e">
        <f ca="1">IF((A1)=(2),"",IF((245)=(T4),IF(IF((INDEX(B1:XFD1,((A3)+(1))+(0)))=("store"),(INDEX(B1:XFD1,((A3)+(1))+(1)))=("T"),"false"),B3,T249),T249))</f>
        <v>#VALUE!</v>
      </c>
      <c r="U249" t="e">
        <f ca="1">IF((A1)=(2),"",IF((245)=(U4),IF(IF((INDEX(B1:XFD1,((A3)+(1))+(0)))=("store"),(INDEX(B1:XFD1,((A3)+(1))+(1)))=("U"),"false"),B3,U249),U249))</f>
        <v>#VALUE!</v>
      </c>
      <c r="V249" t="e">
        <f ca="1">IF((A1)=(2),"",IF((245)=(V4),IF(IF((INDEX(B1:XFD1,((A3)+(1))+(0)))=("store"),(INDEX(B1:XFD1,((A3)+(1))+(1)))=("V"),"false"),B3,V249),V249))</f>
        <v>#VALUE!</v>
      </c>
      <c r="W249" t="e">
        <f ca="1">IF((A1)=(2),"",IF((245)=(W4),IF(IF((INDEX(B1:XFD1,((A3)+(1))+(0)))=("store"),(INDEX(B1:XFD1,((A3)+(1))+(1)))=("W"),"false"),B3,W249),W249))</f>
        <v>#VALUE!</v>
      </c>
      <c r="X249" t="e">
        <f ca="1">IF((A1)=(2),"",IF((245)=(X4),IF(IF((INDEX(B1:XFD1,((A3)+(1))+(0)))=("store"),(INDEX(B1:XFD1,((A3)+(1))+(1)))=("X"),"false"),B3,X249),X249))</f>
        <v>#VALUE!</v>
      </c>
      <c r="Y249" t="e">
        <f ca="1">IF((A1)=(2),"",IF((245)=(Y4),IF(IF((INDEX(B1:XFD1,((A3)+(1))+(0)))=("store"),(INDEX(B1:XFD1,((A3)+(1))+(1)))=("Y"),"false"),B3,Y249),Y249))</f>
        <v>#VALUE!</v>
      </c>
      <c r="Z249" t="e">
        <f ca="1">IF((A1)=(2),"",IF((245)=(Z4),IF(IF((INDEX(B1:XFD1,((A3)+(1))+(0)))=("store"),(INDEX(B1:XFD1,((A3)+(1))+(1)))=("Z"),"false"),B3,Z249),Z249))</f>
        <v>#VALUE!</v>
      </c>
      <c r="AA249" t="e">
        <f ca="1">IF((A1)=(2),"",IF((245)=(AA4),IF(IF((INDEX(B1:XFD1,((A3)+(1))+(0)))=("store"),(INDEX(B1:XFD1,((A3)+(1))+(1)))=("AA"),"false"),B3,AA249),AA249))</f>
        <v>#VALUE!</v>
      </c>
      <c r="AB249" t="e">
        <f ca="1">IF((A1)=(2),"",IF((245)=(AB4),IF(IF((INDEX(B1:XFD1,((A3)+(1))+(0)))=("store"),(INDEX(B1:XFD1,((A3)+(1))+(1)))=("AB"),"false"),B3,AB249),AB249))</f>
        <v>#VALUE!</v>
      </c>
      <c r="AC249" t="e">
        <f ca="1">IF((A1)=(2),"",IF((245)=(AC4),IF(IF((INDEX(B1:XFD1,((A3)+(1))+(0)))=("store"),(INDEX(B1:XFD1,((A3)+(1))+(1)))=("AC"),"false"),B3,AC249),AC249))</f>
        <v>#VALUE!</v>
      </c>
      <c r="AD249" t="e">
        <f ca="1">IF((A1)=(2),"",IF((245)=(AD4),IF(IF((INDEX(B1:XFD1,((A3)+(1))+(0)))=("store"),(INDEX(B1:XFD1,((A3)+(1))+(1)))=("AD"),"false"),B3,AD249),AD249))</f>
        <v>#VALUE!</v>
      </c>
    </row>
    <row r="250" spans="1:30" x14ac:dyDescent="0.25">
      <c r="A250" t="e">
        <f ca="1">IF((A1)=(2),"",IF((246)=(A4),IF(("call")=(INDEX(B1:XFD1,((A3)+(1))+(0))),(B3)*(2),IF(("goto")=(INDEX(B1:XFD1,((A3)+(1))+(0))),(INDEX(B1:XFD1,((A3)+(1))+(1)))*(2),IF(("gotoiftrue")=(INDEX(B1:XFD1,((A3)+(1))+(0))),IF(B3,(INDEX(B1:XFD1,((A3)+(1))+(1)))*(2),(A250)+(2)),(A250)+(2)))),A250))</f>
        <v>#VALUE!</v>
      </c>
      <c r="B250" t="e">
        <f ca="1">IF((A1)=(2),"",IF((246)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250)+(1)),IF(("add")=(INDEX(B1:XFD1,((A3)+(1))+(0))),(INDEX(B5:B405,(B4)+(1)))+(B250),IF(("equals")=(INDEX(B1:XFD1,((A3)+(1))+(0))),(INDEX(B5:B405,(B4)+(1)))=(B250),IF(("leq")=(INDEX(B1:XFD1,((A3)+(1))+(0))),(INDEX(B5:B405,(B4)+(1)))&lt;=(B250),IF(("greater")=(INDEX(B1:XFD1,((A3)+(1))+(0))),(INDEX(B5:B405,(B4)+(1)))&gt;(B250),IF(("mod")=(INDEX(B1:XFD1,((A3)+(1))+(0))),MOD(INDEX(B5:B405,(B4)+(1)),B250),B250))))))))),B250))</f>
        <v>#VALUE!</v>
      </c>
      <c r="C250" t="e">
        <f ca="1">IF((A1)=(2),1,IF(AND((INDEX(B1:XFD1,((A3)+(1))+(0)))=("writeheap"),(INDEX(B5:B405,(B4)+(1)))=(245)),INDEX(B5:B405,(B4)+(2)),IF((A1)=(2),"",IF((246)=(C4),C250,C250))))</f>
        <v>#VALUE!</v>
      </c>
      <c r="F250" t="e">
        <f ca="1">IF((A1)=(2),"",IF((246)=(F4),IF(IF((INDEX(B1:XFD1,((A3)+(1))+(0)))=("store"),(INDEX(B1:XFD1,((A3)+(1))+(1)))=("F"),"false"),B3,F250),F250))</f>
        <v>#VALUE!</v>
      </c>
      <c r="G250" t="e">
        <f ca="1">IF((A1)=(2),"",IF((246)=(G4),IF(IF((INDEX(B1:XFD1,((A3)+(1))+(0)))=("store"),(INDEX(B1:XFD1,((A3)+(1))+(1)))=("G"),"false"),B3,G250),G250))</f>
        <v>#VALUE!</v>
      </c>
      <c r="H250" t="e">
        <f ca="1">IF((A1)=(2),"",IF((246)=(H4),IF(IF((INDEX(B1:XFD1,((A3)+(1))+(0)))=("store"),(INDEX(B1:XFD1,((A3)+(1))+(1)))=("H"),"false"),B3,H250),H250))</f>
        <v>#VALUE!</v>
      </c>
      <c r="I250" t="e">
        <f ca="1">IF((A1)=(2),"",IF((246)=(I4),IF(IF((INDEX(B1:XFD1,((A3)+(1))+(0)))=("store"),(INDEX(B1:XFD1,((A3)+(1))+(1)))=("I"),"false"),B3,I250),I250))</f>
        <v>#VALUE!</v>
      </c>
      <c r="J250" t="e">
        <f ca="1">IF((A1)=(2),"",IF((246)=(J4),IF(IF((INDEX(B1:XFD1,((A3)+(1))+(0)))=("store"),(INDEX(B1:XFD1,((A3)+(1))+(1)))=("J"),"false"),B3,J250),J250))</f>
        <v>#VALUE!</v>
      </c>
      <c r="K250" t="e">
        <f ca="1">IF((A1)=(2),"",IF((246)=(K4),IF(IF((INDEX(B1:XFD1,((A3)+(1))+(0)))=("store"),(INDEX(B1:XFD1,((A3)+(1))+(1)))=("K"),"false"),B3,K250),K250))</f>
        <v>#VALUE!</v>
      </c>
      <c r="L250" t="e">
        <f ca="1">IF((A1)=(2),"",IF((246)=(L4),IF(IF((INDEX(B1:XFD1,((A3)+(1))+(0)))=("store"),(INDEX(B1:XFD1,((A3)+(1))+(1)))=("L"),"false"),B3,L250),L250))</f>
        <v>#VALUE!</v>
      </c>
      <c r="M250" t="e">
        <f ca="1">IF((A1)=(2),"",IF((246)=(M4),IF(IF((INDEX(B1:XFD1,((A3)+(1))+(0)))=("store"),(INDEX(B1:XFD1,((A3)+(1))+(1)))=("M"),"false"),B3,M250),M250))</f>
        <v>#VALUE!</v>
      </c>
      <c r="N250" t="e">
        <f ca="1">IF((A1)=(2),"",IF((246)=(N4),IF(IF((INDEX(B1:XFD1,((A3)+(1))+(0)))=("store"),(INDEX(B1:XFD1,((A3)+(1))+(1)))=("N"),"false"),B3,N250),N250))</f>
        <v>#VALUE!</v>
      </c>
      <c r="O250" t="e">
        <f ca="1">IF((A1)=(2),"",IF((246)=(O4),IF(IF((INDEX(B1:XFD1,((A3)+(1))+(0)))=("store"),(INDEX(B1:XFD1,((A3)+(1))+(1)))=("O"),"false"),B3,O250),O250))</f>
        <v>#VALUE!</v>
      </c>
      <c r="P250" t="e">
        <f ca="1">IF((A1)=(2),"",IF((246)=(P4),IF(IF((INDEX(B1:XFD1,((A3)+(1))+(0)))=("store"),(INDEX(B1:XFD1,((A3)+(1))+(1)))=("P"),"false"),B3,P250),P250))</f>
        <v>#VALUE!</v>
      </c>
      <c r="Q250" t="e">
        <f ca="1">IF((A1)=(2),"",IF((246)=(Q4),IF(IF((INDEX(B1:XFD1,((A3)+(1))+(0)))=("store"),(INDEX(B1:XFD1,((A3)+(1))+(1)))=("Q"),"false"),B3,Q250),Q250))</f>
        <v>#VALUE!</v>
      </c>
      <c r="R250" t="e">
        <f ca="1">IF((A1)=(2),"",IF((246)=(R4),IF(IF((INDEX(B1:XFD1,((A3)+(1))+(0)))=("store"),(INDEX(B1:XFD1,((A3)+(1))+(1)))=("R"),"false"),B3,R250),R250))</f>
        <v>#VALUE!</v>
      </c>
      <c r="S250" t="e">
        <f ca="1">IF((A1)=(2),"",IF((246)=(S4),IF(IF((INDEX(B1:XFD1,((A3)+(1))+(0)))=("store"),(INDEX(B1:XFD1,((A3)+(1))+(1)))=("S"),"false"),B3,S250),S250))</f>
        <v>#VALUE!</v>
      </c>
      <c r="T250" t="e">
        <f ca="1">IF((A1)=(2),"",IF((246)=(T4),IF(IF((INDEX(B1:XFD1,((A3)+(1))+(0)))=("store"),(INDEX(B1:XFD1,((A3)+(1))+(1)))=("T"),"false"),B3,T250),T250))</f>
        <v>#VALUE!</v>
      </c>
      <c r="U250" t="e">
        <f ca="1">IF((A1)=(2),"",IF((246)=(U4),IF(IF((INDEX(B1:XFD1,((A3)+(1))+(0)))=("store"),(INDEX(B1:XFD1,((A3)+(1))+(1)))=("U"),"false"),B3,U250),U250))</f>
        <v>#VALUE!</v>
      </c>
      <c r="V250" t="e">
        <f ca="1">IF((A1)=(2),"",IF((246)=(V4),IF(IF((INDEX(B1:XFD1,((A3)+(1))+(0)))=("store"),(INDEX(B1:XFD1,((A3)+(1))+(1)))=("V"),"false"),B3,V250),V250))</f>
        <v>#VALUE!</v>
      </c>
      <c r="W250" t="e">
        <f ca="1">IF((A1)=(2),"",IF((246)=(W4),IF(IF((INDEX(B1:XFD1,((A3)+(1))+(0)))=("store"),(INDEX(B1:XFD1,((A3)+(1))+(1)))=("W"),"false"),B3,W250),W250))</f>
        <v>#VALUE!</v>
      </c>
      <c r="X250" t="e">
        <f ca="1">IF((A1)=(2),"",IF((246)=(X4),IF(IF((INDEX(B1:XFD1,((A3)+(1))+(0)))=("store"),(INDEX(B1:XFD1,((A3)+(1))+(1)))=("X"),"false"),B3,X250),X250))</f>
        <v>#VALUE!</v>
      </c>
      <c r="Y250" t="e">
        <f ca="1">IF((A1)=(2),"",IF((246)=(Y4),IF(IF((INDEX(B1:XFD1,((A3)+(1))+(0)))=("store"),(INDEX(B1:XFD1,((A3)+(1))+(1)))=("Y"),"false"),B3,Y250),Y250))</f>
        <v>#VALUE!</v>
      </c>
      <c r="Z250" t="e">
        <f ca="1">IF((A1)=(2),"",IF((246)=(Z4),IF(IF((INDEX(B1:XFD1,((A3)+(1))+(0)))=("store"),(INDEX(B1:XFD1,((A3)+(1))+(1)))=("Z"),"false"),B3,Z250),Z250))</f>
        <v>#VALUE!</v>
      </c>
      <c r="AA250" t="e">
        <f ca="1">IF((A1)=(2),"",IF((246)=(AA4),IF(IF((INDEX(B1:XFD1,((A3)+(1))+(0)))=("store"),(INDEX(B1:XFD1,((A3)+(1))+(1)))=("AA"),"false"),B3,AA250),AA250))</f>
        <v>#VALUE!</v>
      </c>
      <c r="AB250" t="e">
        <f ca="1">IF((A1)=(2),"",IF((246)=(AB4),IF(IF((INDEX(B1:XFD1,((A3)+(1))+(0)))=("store"),(INDEX(B1:XFD1,((A3)+(1))+(1)))=("AB"),"false"),B3,AB250),AB250))</f>
        <v>#VALUE!</v>
      </c>
      <c r="AC250" t="e">
        <f ca="1">IF((A1)=(2),"",IF((246)=(AC4),IF(IF((INDEX(B1:XFD1,((A3)+(1))+(0)))=("store"),(INDEX(B1:XFD1,((A3)+(1))+(1)))=("AC"),"false"),B3,AC250),AC250))</f>
        <v>#VALUE!</v>
      </c>
      <c r="AD250" t="e">
        <f ca="1">IF((A1)=(2),"",IF((246)=(AD4),IF(IF((INDEX(B1:XFD1,((A3)+(1))+(0)))=("store"),(INDEX(B1:XFD1,((A3)+(1))+(1)))=("AD"),"false"),B3,AD250),AD250))</f>
        <v>#VALUE!</v>
      </c>
    </row>
    <row r="251" spans="1:30" x14ac:dyDescent="0.25">
      <c r="A251" t="e">
        <f ca="1">IF((A1)=(2),"",IF((247)=(A4),IF(("call")=(INDEX(B1:XFD1,((A3)+(1))+(0))),(B3)*(2),IF(("goto")=(INDEX(B1:XFD1,((A3)+(1))+(0))),(INDEX(B1:XFD1,((A3)+(1))+(1)))*(2),IF(("gotoiftrue")=(INDEX(B1:XFD1,((A3)+(1))+(0))),IF(B3,(INDEX(B1:XFD1,((A3)+(1))+(1)))*(2),(A251)+(2)),(A251)+(2)))),A251))</f>
        <v>#VALUE!</v>
      </c>
      <c r="B251" t="e">
        <f ca="1">IF((A1)=(2),"",IF((247)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251)+(1)),IF(("add")=(INDEX(B1:XFD1,((A3)+(1))+(0))),(INDEX(B5:B405,(B4)+(1)))+(B251),IF(("equals")=(INDEX(B1:XFD1,((A3)+(1))+(0))),(INDEX(B5:B405,(B4)+(1)))=(B251),IF(("leq")=(INDEX(B1:XFD1,((A3)+(1))+(0))),(INDEX(B5:B405,(B4)+(1)))&lt;=(B251),IF(("greater")=(INDEX(B1:XFD1,((A3)+(1))+(0))),(INDEX(B5:B405,(B4)+(1)))&gt;(B251),IF(("mod")=(INDEX(B1:XFD1,((A3)+(1))+(0))),MOD(INDEX(B5:B405,(B4)+(1)),B251),B251))))))))),B251))</f>
        <v>#VALUE!</v>
      </c>
      <c r="C251" t="e">
        <f ca="1">IF((A1)=(2),1,IF(AND((INDEX(B1:XFD1,((A3)+(1))+(0)))=("writeheap"),(INDEX(B5:B405,(B4)+(1)))=(246)),INDEX(B5:B405,(B4)+(2)),IF((A1)=(2),"",IF((247)=(C4),C251,C251))))</f>
        <v>#VALUE!</v>
      </c>
      <c r="F251" t="e">
        <f ca="1">IF((A1)=(2),"",IF((247)=(F4),IF(IF((INDEX(B1:XFD1,((A3)+(1))+(0)))=("store"),(INDEX(B1:XFD1,((A3)+(1))+(1)))=("F"),"false"),B3,F251),F251))</f>
        <v>#VALUE!</v>
      </c>
      <c r="G251" t="e">
        <f ca="1">IF((A1)=(2),"",IF((247)=(G4),IF(IF((INDEX(B1:XFD1,((A3)+(1))+(0)))=("store"),(INDEX(B1:XFD1,((A3)+(1))+(1)))=("G"),"false"),B3,G251),G251))</f>
        <v>#VALUE!</v>
      </c>
      <c r="H251" t="e">
        <f ca="1">IF((A1)=(2),"",IF((247)=(H4),IF(IF((INDEX(B1:XFD1,((A3)+(1))+(0)))=("store"),(INDEX(B1:XFD1,((A3)+(1))+(1)))=("H"),"false"),B3,H251),H251))</f>
        <v>#VALUE!</v>
      </c>
      <c r="I251" t="e">
        <f ca="1">IF((A1)=(2),"",IF((247)=(I4),IF(IF((INDEX(B1:XFD1,((A3)+(1))+(0)))=("store"),(INDEX(B1:XFD1,((A3)+(1))+(1)))=("I"),"false"),B3,I251),I251))</f>
        <v>#VALUE!</v>
      </c>
      <c r="J251" t="e">
        <f ca="1">IF((A1)=(2),"",IF((247)=(J4),IF(IF((INDEX(B1:XFD1,((A3)+(1))+(0)))=("store"),(INDEX(B1:XFD1,((A3)+(1))+(1)))=("J"),"false"),B3,J251),J251))</f>
        <v>#VALUE!</v>
      </c>
      <c r="K251" t="e">
        <f ca="1">IF((A1)=(2),"",IF((247)=(K4),IF(IF((INDEX(B1:XFD1,((A3)+(1))+(0)))=("store"),(INDEX(B1:XFD1,((A3)+(1))+(1)))=("K"),"false"),B3,K251),K251))</f>
        <v>#VALUE!</v>
      </c>
      <c r="L251" t="e">
        <f ca="1">IF((A1)=(2),"",IF((247)=(L4),IF(IF((INDEX(B1:XFD1,((A3)+(1))+(0)))=("store"),(INDEX(B1:XFD1,((A3)+(1))+(1)))=("L"),"false"),B3,L251),L251))</f>
        <v>#VALUE!</v>
      </c>
      <c r="M251" t="e">
        <f ca="1">IF((A1)=(2),"",IF((247)=(M4),IF(IF((INDEX(B1:XFD1,((A3)+(1))+(0)))=("store"),(INDEX(B1:XFD1,((A3)+(1))+(1)))=("M"),"false"),B3,M251),M251))</f>
        <v>#VALUE!</v>
      </c>
      <c r="N251" t="e">
        <f ca="1">IF((A1)=(2),"",IF((247)=(N4),IF(IF((INDEX(B1:XFD1,((A3)+(1))+(0)))=("store"),(INDEX(B1:XFD1,((A3)+(1))+(1)))=("N"),"false"),B3,N251),N251))</f>
        <v>#VALUE!</v>
      </c>
      <c r="O251" t="e">
        <f ca="1">IF((A1)=(2),"",IF((247)=(O4),IF(IF((INDEX(B1:XFD1,((A3)+(1))+(0)))=("store"),(INDEX(B1:XFD1,((A3)+(1))+(1)))=("O"),"false"),B3,O251),O251))</f>
        <v>#VALUE!</v>
      </c>
      <c r="P251" t="e">
        <f ca="1">IF((A1)=(2),"",IF((247)=(P4),IF(IF((INDEX(B1:XFD1,((A3)+(1))+(0)))=("store"),(INDEX(B1:XFD1,((A3)+(1))+(1)))=("P"),"false"),B3,P251),P251))</f>
        <v>#VALUE!</v>
      </c>
      <c r="Q251" t="e">
        <f ca="1">IF((A1)=(2),"",IF((247)=(Q4),IF(IF((INDEX(B1:XFD1,((A3)+(1))+(0)))=("store"),(INDEX(B1:XFD1,((A3)+(1))+(1)))=("Q"),"false"),B3,Q251),Q251))</f>
        <v>#VALUE!</v>
      </c>
      <c r="R251" t="e">
        <f ca="1">IF((A1)=(2),"",IF((247)=(R4),IF(IF((INDEX(B1:XFD1,((A3)+(1))+(0)))=("store"),(INDEX(B1:XFD1,((A3)+(1))+(1)))=("R"),"false"),B3,R251),R251))</f>
        <v>#VALUE!</v>
      </c>
      <c r="S251" t="e">
        <f ca="1">IF((A1)=(2),"",IF((247)=(S4),IF(IF((INDEX(B1:XFD1,((A3)+(1))+(0)))=("store"),(INDEX(B1:XFD1,((A3)+(1))+(1)))=("S"),"false"),B3,S251),S251))</f>
        <v>#VALUE!</v>
      </c>
      <c r="T251" t="e">
        <f ca="1">IF((A1)=(2),"",IF((247)=(T4),IF(IF((INDEX(B1:XFD1,((A3)+(1))+(0)))=("store"),(INDEX(B1:XFD1,((A3)+(1))+(1)))=("T"),"false"),B3,T251),T251))</f>
        <v>#VALUE!</v>
      </c>
      <c r="U251" t="e">
        <f ca="1">IF((A1)=(2),"",IF((247)=(U4),IF(IF((INDEX(B1:XFD1,((A3)+(1))+(0)))=("store"),(INDEX(B1:XFD1,((A3)+(1))+(1)))=("U"),"false"),B3,U251),U251))</f>
        <v>#VALUE!</v>
      </c>
      <c r="V251" t="e">
        <f ca="1">IF((A1)=(2),"",IF((247)=(V4),IF(IF((INDEX(B1:XFD1,((A3)+(1))+(0)))=("store"),(INDEX(B1:XFD1,((A3)+(1))+(1)))=("V"),"false"),B3,V251),V251))</f>
        <v>#VALUE!</v>
      </c>
      <c r="W251" t="e">
        <f ca="1">IF((A1)=(2),"",IF((247)=(W4),IF(IF((INDEX(B1:XFD1,((A3)+(1))+(0)))=("store"),(INDEX(B1:XFD1,((A3)+(1))+(1)))=("W"),"false"),B3,W251),W251))</f>
        <v>#VALUE!</v>
      </c>
      <c r="X251" t="e">
        <f ca="1">IF((A1)=(2),"",IF((247)=(X4),IF(IF((INDEX(B1:XFD1,((A3)+(1))+(0)))=("store"),(INDEX(B1:XFD1,((A3)+(1))+(1)))=("X"),"false"),B3,X251),X251))</f>
        <v>#VALUE!</v>
      </c>
      <c r="Y251" t="e">
        <f ca="1">IF((A1)=(2),"",IF((247)=(Y4),IF(IF((INDEX(B1:XFD1,((A3)+(1))+(0)))=("store"),(INDEX(B1:XFD1,((A3)+(1))+(1)))=("Y"),"false"),B3,Y251),Y251))</f>
        <v>#VALUE!</v>
      </c>
      <c r="Z251" t="e">
        <f ca="1">IF((A1)=(2),"",IF((247)=(Z4),IF(IF((INDEX(B1:XFD1,((A3)+(1))+(0)))=("store"),(INDEX(B1:XFD1,((A3)+(1))+(1)))=("Z"),"false"),B3,Z251),Z251))</f>
        <v>#VALUE!</v>
      </c>
      <c r="AA251" t="e">
        <f ca="1">IF((A1)=(2),"",IF((247)=(AA4),IF(IF((INDEX(B1:XFD1,((A3)+(1))+(0)))=("store"),(INDEX(B1:XFD1,((A3)+(1))+(1)))=("AA"),"false"),B3,AA251),AA251))</f>
        <v>#VALUE!</v>
      </c>
      <c r="AB251" t="e">
        <f ca="1">IF((A1)=(2),"",IF((247)=(AB4),IF(IF((INDEX(B1:XFD1,((A3)+(1))+(0)))=("store"),(INDEX(B1:XFD1,((A3)+(1))+(1)))=("AB"),"false"),B3,AB251),AB251))</f>
        <v>#VALUE!</v>
      </c>
      <c r="AC251" t="e">
        <f ca="1">IF((A1)=(2),"",IF((247)=(AC4),IF(IF((INDEX(B1:XFD1,((A3)+(1))+(0)))=("store"),(INDEX(B1:XFD1,((A3)+(1))+(1)))=("AC"),"false"),B3,AC251),AC251))</f>
        <v>#VALUE!</v>
      </c>
      <c r="AD251" t="e">
        <f ca="1">IF((A1)=(2),"",IF((247)=(AD4),IF(IF((INDEX(B1:XFD1,((A3)+(1))+(0)))=("store"),(INDEX(B1:XFD1,((A3)+(1))+(1)))=("AD"),"false"),B3,AD251),AD251))</f>
        <v>#VALUE!</v>
      </c>
    </row>
    <row r="252" spans="1:30" x14ac:dyDescent="0.25">
      <c r="A252" t="e">
        <f ca="1">IF((A1)=(2),"",IF((248)=(A4),IF(("call")=(INDEX(B1:XFD1,((A3)+(1))+(0))),(B3)*(2),IF(("goto")=(INDEX(B1:XFD1,((A3)+(1))+(0))),(INDEX(B1:XFD1,((A3)+(1))+(1)))*(2),IF(("gotoiftrue")=(INDEX(B1:XFD1,((A3)+(1))+(0))),IF(B3,(INDEX(B1:XFD1,((A3)+(1))+(1)))*(2),(A252)+(2)),(A252)+(2)))),A252))</f>
        <v>#VALUE!</v>
      </c>
      <c r="B252" t="e">
        <f ca="1">IF((A1)=(2),"",IF((248)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252)+(1)),IF(("add")=(INDEX(B1:XFD1,((A3)+(1))+(0))),(INDEX(B5:B405,(B4)+(1)))+(B252),IF(("equals")=(INDEX(B1:XFD1,((A3)+(1))+(0))),(INDEX(B5:B405,(B4)+(1)))=(B252),IF(("leq")=(INDEX(B1:XFD1,((A3)+(1))+(0))),(INDEX(B5:B405,(B4)+(1)))&lt;=(B252),IF(("greater")=(INDEX(B1:XFD1,((A3)+(1))+(0))),(INDEX(B5:B405,(B4)+(1)))&gt;(B252),IF(("mod")=(INDEX(B1:XFD1,((A3)+(1))+(0))),MOD(INDEX(B5:B405,(B4)+(1)),B252),B252))))))))),B252))</f>
        <v>#VALUE!</v>
      </c>
      <c r="C252" t="e">
        <f ca="1">IF((A1)=(2),1,IF(AND((INDEX(B1:XFD1,((A3)+(1))+(0)))=("writeheap"),(INDEX(B5:B405,(B4)+(1)))=(247)),INDEX(B5:B405,(B4)+(2)),IF((A1)=(2),"",IF((248)=(C4),C252,C252))))</f>
        <v>#VALUE!</v>
      </c>
      <c r="F252" t="e">
        <f ca="1">IF((A1)=(2),"",IF((248)=(F4),IF(IF((INDEX(B1:XFD1,((A3)+(1))+(0)))=("store"),(INDEX(B1:XFD1,((A3)+(1))+(1)))=("F"),"false"),B3,F252),F252))</f>
        <v>#VALUE!</v>
      </c>
      <c r="G252" t="e">
        <f ca="1">IF((A1)=(2),"",IF((248)=(G4),IF(IF((INDEX(B1:XFD1,((A3)+(1))+(0)))=("store"),(INDEX(B1:XFD1,((A3)+(1))+(1)))=("G"),"false"),B3,G252),G252))</f>
        <v>#VALUE!</v>
      </c>
      <c r="H252" t="e">
        <f ca="1">IF((A1)=(2),"",IF((248)=(H4),IF(IF((INDEX(B1:XFD1,((A3)+(1))+(0)))=("store"),(INDEX(B1:XFD1,((A3)+(1))+(1)))=("H"),"false"),B3,H252),H252))</f>
        <v>#VALUE!</v>
      </c>
      <c r="I252" t="e">
        <f ca="1">IF((A1)=(2),"",IF((248)=(I4),IF(IF((INDEX(B1:XFD1,((A3)+(1))+(0)))=("store"),(INDEX(B1:XFD1,((A3)+(1))+(1)))=("I"),"false"),B3,I252),I252))</f>
        <v>#VALUE!</v>
      </c>
      <c r="J252" t="e">
        <f ca="1">IF((A1)=(2),"",IF((248)=(J4),IF(IF((INDEX(B1:XFD1,((A3)+(1))+(0)))=("store"),(INDEX(B1:XFD1,((A3)+(1))+(1)))=("J"),"false"),B3,J252),J252))</f>
        <v>#VALUE!</v>
      </c>
      <c r="K252" t="e">
        <f ca="1">IF((A1)=(2),"",IF((248)=(K4),IF(IF((INDEX(B1:XFD1,((A3)+(1))+(0)))=("store"),(INDEX(B1:XFD1,((A3)+(1))+(1)))=("K"),"false"),B3,K252),K252))</f>
        <v>#VALUE!</v>
      </c>
      <c r="L252" t="e">
        <f ca="1">IF((A1)=(2),"",IF((248)=(L4),IF(IF((INDEX(B1:XFD1,((A3)+(1))+(0)))=("store"),(INDEX(B1:XFD1,((A3)+(1))+(1)))=("L"),"false"),B3,L252),L252))</f>
        <v>#VALUE!</v>
      </c>
      <c r="M252" t="e">
        <f ca="1">IF((A1)=(2),"",IF((248)=(M4),IF(IF((INDEX(B1:XFD1,((A3)+(1))+(0)))=("store"),(INDEX(B1:XFD1,((A3)+(1))+(1)))=("M"),"false"),B3,M252),M252))</f>
        <v>#VALUE!</v>
      </c>
      <c r="N252" t="e">
        <f ca="1">IF((A1)=(2),"",IF((248)=(N4),IF(IF((INDEX(B1:XFD1,((A3)+(1))+(0)))=("store"),(INDEX(B1:XFD1,((A3)+(1))+(1)))=("N"),"false"),B3,N252),N252))</f>
        <v>#VALUE!</v>
      </c>
      <c r="O252" t="e">
        <f ca="1">IF((A1)=(2),"",IF((248)=(O4),IF(IF((INDEX(B1:XFD1,((A3)+(1))+(0)))=("store"),(INDEX(B1:XFD1,((A3)+(1))+(1)))=("O"),"false"),B3,O252),O252))</f>
        <v>#VALUE!</v>
      </c>
      <c r="P252" t="e">
        <f ca="1">IF((A1)=(2),"",IF((248)=(P4),IF(IF((INDEX(B1:XFD1,((A3)+(1))+(0)))=("store"),(INDEX(B1:XFD1,((A3)+(1))+(1)))=("P"),"false"),B3,P252),P252))</f>
        <v>#VALUE!</v>
      </c>
      <c r="Q252" t="e">
        <f ca="1">IF((A1)=(2),"",IF((248)=(Q4),IF(IF((INDEX(B1:XFD1,((A3)+(1))+(0)))=("store"),(INDEX(B1:XFD1,((A3)+(1))+(1)))=("Q"),"false"),B3,Q252),Q252))</f>
        <v>#VALUE!</v>
      </c>
      <c r="R252" t="e">
        <f ca="1">IF((A1)=(2),"",IF((248)=(R4),IF(IF((INDEX(B1:XFD1,((A3)+(1))+(0)))=("store"),(INDEX(B1:XFD1,((A3)+(1))+(1)))=("R"),"false"),B3,R252),R252))</f>
        <v>#VALUE!</v>
      </c>
      <c r="S252" t="e">
        <f ca="1">IF((A1)=(2),"",IF((248)=(S4),IF(IF((INDEX(B1:XFD1,((A3)+(1))+(0)))=("store"),(INDEX(B1:XFD1,((A3)+(1))+(1)))=("S"),"false"),B3,S252),S252))</f>
        <v>#VALUE!</v>
      </c>
      <c r="T252" t="e">
        <f ca="1">IF((A1)=(2),"",IF((248)=(T4),IF(IF((INDEX(B1:XFD1,((A3)+(1))+(0)))=("store"),(INDEX(B1:XFD1,((A3)+(1))+(1)))=("T"),"false"),B3,T252),T252))</f>
        <v>#VALUE!</v>
      </c>
      <c r="U252" t="e">
        <f ca="1">IF((A1)=(2),"",IF((248)=(U4),IF(IF((INDEX(B1:XFD1,((A3)+(1))+(0)))=("store"),(INDEX(B1:XFD1,((A3)+(1))+(1)))=("U"),"false"),B3,U252),U252))</f>
        <v>#VALUE!</v>
      </c>
      <c r="V252" t="e">
        <f ca="1">IF((A1)=(2),"",IF((248)=(V4),IF(IF((INDEX(B1:XFD1,((A3)+(1))+(0)))=("store"),(INDEX(B1:XFD1,((A3)+(1))+(1)))=("V"),"false"),B3,V252),V252))</f>
        <v>#VALUE!</v>
      </c>
      <c r="W252" t="e">
        <f ca="1">IF((A1)=(2),"",IF((248)=(W4),IF(IF((INDEX(B1:XFD1,((A3)+(1))+(0)))=("store"),(INDEX(B1:XFD1,((A3)+(1))+(1)))=("W"),"false"),B3,W252),W252))</f>
        <v>#VALUE!</v>
      </c>
      <c r="X252" t="e">
        <f ca="1">IF((A1)=(2),"",IF((248)=(X4),IF(IF((INDEX(B1:XFD1,((A3)+(1))+(0)))=("store"),(INDEX(B1:XFD1,((A3)+(1))+(1)))=("X"),"false"),B3,X252),X252))</f>
        <v>#VALUE!</v>
      </c>
      <c r="Y252" t="e">
        <f ca="1">IF((A1)=(2),"",IF((248)=(Y4),IF(IF((INDEX(B1:XFD1,((A3)+(1))+(0)))=("store"),(INDEX(B1:XFD1,((A3)+(1))+(1)))=("Y"),"false"),B3,Y252),Y252))</f>
        <v>#VALUE!</v>
      </c>
      <c r="Z252" t="e">
        <f ca="1">IF((A1)=(2),"",IF((248)=(Z4),IF(IF((INDEX(B1:XFD1,((A3)+(1))+(0)))=("store"),(INDEX(B1:XFD1,((A3)+(1))+(1)))=("Z"),"false"),B3,Z252),Z252))</f>
        <v>#VALUE!</v>
      </c>
      <c r="AA252" t="e">
        <f ca="1">IF((A1)=(2),"",IF((248)=(AA4),IF(IF((INDEX(B1:XFD1,((A3)+(1))+(0)))=("store"),(INDEX(B1:XFD1,((A3)+(1))+(1)))=("AA"),"false"),B3,AA252),AA252))</f>
        <v>#VALUE!</v>
      </c>
      <c r="AB252" t="e">
        <f ca="1">IF((A1)=(2),"",IF((248)=(AB4),IF(IF((INDEX(B1:XFD1,((A3)+(1))+(0)))=("store"),(INDEX(B1:XFD1,((A3)+(1))+(1)))=("AB"),"false"),B3,AB252),AB252))</f>
        <v>#VALUE!</v>
      </c>
      <c r="AC252" t="e">
        <f ca="1">IF((A1)=(2),"",IF((248)=(AC4),IF(IF((INDEX(B1:XFD1,((A3)+(1))+(0)))=("store"),(INDEX(B1:XFD1,((A3)+(1))+(1)))=("AC"),"false"),B3,AC252),AC252))</f>
        <v>#VALUE!</v>
      </c>
      <c r="AD252" t="e">
        <f ca="1">IF((A1)=(2),"",IF((248)=(AD4),IF(IF((INDEX(B1:XFD1,((A3)+(1))+(0)))=("store"),(INDEX(B1:XFD1,((A3)+(1))+(1)))=("AD"),"false"),B3,AD252),AD252))</f>
        <v>#VALUE!</v>
      </c>
    </row>
    <row r="253" spans="1:30" x14ac:dyDescent="0.25">
      <c r="A253" t="e">
        <f ca="1">IF((A1)=(2),"",IF((249)=(A4),IF(("call")=(INDEX(B1:XFD1,((A3)+(1))+(0))),(B3)*(2),IF(("goto")=(INDEX(B1:XFD1,((A3)+(1))+(0))),(INDEX(B1:XFD1,((A3)+(1))+(1)))*(2),IF(("gotoiftrue")=(INDEX(B1:XFD1,((A3)+(1))+(0))),IF(B3,(INDEX(B1:XFD1,((A3)+(1))+(1)))*(2),(A253)+(2)),(A253)+(2)))),A253))</f>
        <v>#VALUE!</v>
      </c>
      <c r="B253" t="e">
        <f ca="1">IF((A1)=(2),"",IF((249)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253)+(1)),IF(("add")=(INDEX(B1:XFD1,((A3)+(1))+(0))),(INDEX(B5:B405,(B4)+(1)))+(B253),IF(("equals")=(INDEX(B1:XFD1,((A3)+(1))+(0))),(INDEX(B5:B405,(B4)+(1)))=(B253),IF(("leq")=(INDEX(B1:XFD1,((A3)+(1))+(0))),(INDEX(B5:B405,(B4)+(1)))&lt;=(B253),IF(("greater")=(INDEX(B1:XFD1,((A3)+(1))+(0))),(INDEX(B5:B405,(B4)+(1)))&gt;(B253),IF(("mod")=(INDEX(B1:XFD1,((A3)+(1))+(0))),MOD(INDEX(B5:B405,(B4)+(1)),B253),B253))))))))),B253))</f>
        <v>#VALUE!</v>
      </c>
      <c r="C253" t="e">
        <f ca="1">IF((A1)=(2),1,IF(AND((INDEX(B1:XFD1,((A3)+(1))+(0)))=("writeheap"),(INDEX(B5:B405,(B4)+(1)))=(248)),INDEX(B5:B405,(B4)+(2)),IF((A1)=(2),"",IF((249)=(C4),C253,C253))))</f>
        <v>#VALUE!</v>
      </c>
      <c r="F253" t="e">
        <f ca="1">IF((A1)=(2),"",IF((249)=(F4),IF(IF((INDEX(B1:XFD1,((A3)+(1))+(0)))=("store"),(INDEX(B1:XFD1,((A3)+(1))+(1)))=("F"),"false"),B3,F253),F253))</f>
        <v>#VALUE!</v>
      </c>
      <c r="G253" t="e">
        <f ca="1">IF((A1)=(2),"",IF((249)=(G4),IF(IF((INDEX(B1:XFD1,((A3)+(1))+(0)))=("store"),(INDEX(B1:XFD1,((A3)+(1))+(1)))=("G"),"false"),B3,G253),G253))</f>
        <v>#VALUE!</v>
      </c>
      <c r="H253" t="e">
        <f ca="1">IF((A1)=(2),"",IF((249)=(H4),IF(IF((INDEX(B1:XFD1,((A3)+(1))+(0)))=("store"),(INDEX(B1:XFD1,((A3)+(1))+(1)))=("H"),"false"),B3,H253),H253))</f>
        <v>#VALUE!</v>
      </c>
      <c r="I253" t="e">
        <f ca="1">IF((A1)=(2),"",IF((249)=(I4),IF(IF((INDEX(B1:XFD1,((A3)+(1))+(0)))=("store"),(INDEX(B1:XFD1,((A3)+(1))+(1)))=("I"),"false"),B3,I253),I253))</f>
        <v>#VALUE!</v>
      </c>
      <c r="J253" t="e">
        <f ca="1">IF((A1)=(2),"",IF((249)=(J4),IF(IF((INDEX(B1:XFD1,((A3)+(1))+(0)))=("store"),(INDEX(B1:XFD1,((A3)+(1))+(1)))=("J"),"false"),B3,J253),J253))</f>
        <v>#VALUE!</v>
      </c>
      <c r="K253" t="e">
        <f ca="1">IF((A1)=(2),"",IF((249)=(K4),IF(IF((INDEX(B1:XFD1,((A3)+(1))+(0)))=("store"),(INDEX(B1:XFD1,((A3)+(1))+(1)))=("K"),"false"),B3,K253),K253))</f>
        <v>#VALUE!</v>
      </c>
      <c r="L253" t="e">
        <f ca="1">IF((A1)=(2),"",IF((249)=(L4),IF(IF((INDEX(B1:XFD1,((A3)+(1))+(0)))=("store"),(INDEX(B1:XFD1,((A3)+(1))+(1)))=("L"),"false"),B3,L253),L253))</f>
        <v>#VALUE!</v>
      </c>
      <c r="M253" t="e">
        <f ca="1">IF((A1)=(2),"",IF((249)=(M4),IF(IF((INDEX(B1:XFD1,((A3)+(1))+(0)))=("store"),(INDEX(B1:XFD1,((A3)+(1))+(1)))=("M"),"false"),B3,M253),M253))</f>
        <v>#VALUE!</v>
      </c>
      <c r="N253" t="e">
        <f ca="1">IF((A1)=(2),"",IF((249)=(N4),IF(IF((INDEX(B1:XFD1,((A3)+(1))+(0)))=("store"),(INDEX(B1:XFD1,((A3)+(1))+(1)))=("N"),"false"),B3,N253),N253))</f>
        <v>#VALUE!</v>
      </c>
      <c r="O253" t="e">
        <f ca="1">IF((A1)=(2),"",IF((249)=(O4),IF(IF((INDEX(B1:XFD1,((A3)+(1))+(0)))=("store"),(INDEX(B1:XFD1,((A3)+(1))+(1)))=("O"),"false"),B3,O253),O253))</f>
        <v>#VALUE!</v>
      </c>
      <c r="P253" t="e">
        <f ca="1">IF((A1)=(2),"",IF((249)=(P4),IF(IF((INDEX(B1:XFD1,((A3)+(1))+(0)))=("store"),(INDEX(B1:XFD1,((A3)+(1))+(1)))=("P"),"false"),B3,P253),P253))</f>
        <v>#VALUE!</v>
      </c>
      <c r="Q253" t="e">
        <f ca="1">IF((A1)=(2),"",IF((249)=(Q4),IF(IF((INDEX(B1:XFD1,((A3)+(1))+(0)))=("store"),(INDEX(B1:XFD1,((A3)+(1))+(1)))=("Q"),"false"),B3,Q253),Q253))</f>
        <v>#VALUE!</v>
      </c>
      <c r="R253" t="e">
        <f ca="1">IF((A1)=(2),"",IF((249)=(R4),IF(IF((INDEX(B1:XFD1,((A3)+(1))+(0)))=("store"),(INDEX(B1:XFD1,((A3)+(1))+(1)))=("R"),"false"),B3,R253),R253))</f>
        <v>#VALUE!</v>
      </c>
      <c r="S253" t="e">
        <f ca="1">IF((A1)=(2),"",IF((249)=(S4),IF(IF((INDEX(B1:XFD1,((A3)+(1))+(0)))=("store"),(INDEX(B1:XFD1,((A3)+(1))+(1)))=("S"),"false"),B3,S253),S253))</f>
        <v>#VALUE!</v>
      </c>
      <c r="T253" t="e">
        <f ca="1">IF((A1)=(2),"",IF((249)=(T4),IF(IF((INDEX(B1:XFD1,((A3)+(1))+(0)))=("store"),(INDEX(B1:XFD1,((A3)+(1))+(1)))=("T"),"false"),B3,T253),T253))</f>
        <v>#VALUE!</v>
      </c>
      <c r="U253" t="e">
        <f ca="1">IF((A1)=(2),"",IF((249)=(U4),IF(IF((INDEX(B1:XFD1,((A3)+(1))+(0)))=("store"),(INDEX(B1:XFD1,((A3)+(1))+(1)))=("U"),"false"),B3,U253),U253))</f>
        <v>#VALUE!</v>
      </c>
      <c r="V253" t="e">
        <f ca="1">IF((A1)=(2),"",IF((249)=(V4),IF(IF((INDEX(B1:XFD1,((A3)+(1))+(0)))=("store"),(INDEX(B1:XFD1,((A3)+(1))+(1)))=("V"),"false"),B3,V253),V253))</f>
        <v>#VALUE!</v>
      </c>
      <c r="W253" t="e">
        <f ca="1">IF((A1)=(2),"",IF((249)=(W4),IF(IF((INDEX(B1:XFD1,((A3)+(1))+(0)))=("store"),(INDEX(B1:XFD1,((A3)+(1))+(1)))=("W"),"false"),B3,W253),W253))</f>
        <v>#VALUE!</v>
      </c>
      <c r="X253" t="e">
        <f ca="1">IF((A1)=(2),"",IF((249)=(X4),IF(IF((INDEX(B1:XFD1,((A3)+(1))+(0)))=("store"),(INDEX(B1:XFD1,((A3)+(1))+(1)))=("X"),"false"),B3,X253),X253))</f>
        <v>#VALUE!</v>
      </c>
      <c r="Y253" t="e">
        <f ca="1">IF((A1)=(2),"",IF((249)=(Y4),IF(IF((INDEX(B1:XFD1,((A3)+(1))+(0)))=("store"),(INDEX(B1:XFD1,((A3)+(1))+(1)))=("Y"),"false"),B3,Y253),Y253))</f>
        <v>#VALUE!</v>
      </c>
      <c r="Z253" t="e">
        <f ca="1">IF((A1)=(2),"",IF((249)=(Z4),IF(IF((INDEX(B1:XFD1,((A3)+(1))+(0)))=("store"),(INDEX(B1:XFD1,((A3)+(1))+(1)))=("Z"),"false"),B3,Z253),Z253))</f>
        <v>#VALUE!</v>
      </c>
      <c r="AA253" t="e">
        <f ca="1">IF((A1)=(2),"",IF((249)=(AA4),IF(IF((INDEX(B1:XFD1,((A3)+(1))+(0)))=("store"),(INDEX(B1:XFD1,((A3)+(1))+(1)))=("AA"),"false"),B3,AA253),AA253))</f>
        <v>#VALUE!</v>
      </c>
      <c r="AB253" t="e">
        <f ca="1">IF((A1)=(2),"",IF((249)=(AB4),IF(IF((INDEX(B1:XFD1,((A3)+(1))+(0)))=("store"),(INDEX(B1:XFD1,((A3)+(1))+(1)))=("AB"),"false"),B3,AB253),AB253))</f>
        <v>#VALUE!</v>
      </c>
      <c r="AC253" t="e">
        <f ca="1">IF((A1)=(2),"",IF((249)=(AC4),IF(IF((INDEX(B1:XFD1,((A3)+(1))+(0)))=("store"),(INDEX(B1:XFD1,((A3)+(1))+(1)))=("AC"),"false"),B3,AC253),AC253))</f>
        <v>#VALUE!</v>
      </c>
      <c r="AD253" t="e">
        <f ca="1">IF((A1)=(2),"",IF((249)=(AD4),IF(IF((INDEX(B1:XFD1,((A3)+(1))+(0)))=("store"),(INDEX(B1:XFD1,((A3)+(1))+(1)))=("AD"),"false"),B3,AD253),AD253))</f>
        <v>#VALUE!</v>
      </c>
    </row>
    <row r="254" spans="1:30" x14ac:dyDescent="0.25">
      <c r="A254" t="e">
        <f ca="1">IF((A1)=(2),"",IF((250)=(A4),IF(("call")=(INDEX(B1:XFD1,((A3)+(1))+(0))),(B3)*(2),IF(("goto")=(INDEX(B1:XFD1,((A3)+(1))+(0))),(INDEX(B1:XFD1,((A3)+(1))+(1)))*(2),IF(("gotoiftrue")=(INDEX(B1:XFD1,((A3)+(1))+(0))),IF(B3,(INDEX(B1:XFD1,((A3)+(1))+(1)))*(2),(A254)+(2)),(A254)+(2)))),A254))</f>
        <v>#VALUE!</v>
      </c>
      <c r="B254" t="e">
        <f ca="1">IF((A1)=(2),"",IF((250)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254)+(1)),IF(("add")=(INDEX(B1:XFD1,((A3)+(1))+(0))),(INDEX(B5:B405,(B4)+(1)))+(B254),IF(("equals")=(INDEX(B1:XFD1,((A3)+(1))+(0))),(INDEX(B5:B405,(B4)+(1)))=(B254),IF(("leq")=(INDEX(B1:XFD1,((A3)+(1))+(0))),(INDEX(B5:B405,(B4)+(1)))&lt;=(B254),IF(("greater")=(INDEX(B1:XFD1,((A3)+(1))+(0))),(INDEX(B5:B405,(B4)+(1)))&gt;(B254),IF(("mod")=(INDEX(B1:XFD1,((A3)+(1))+(0))),MOD(INDEX(B5:B405,(B4)+(1)),B254),B254))))))))),B254))</f>
        <v>#VALUE!</v>
      </c>
      <c r="C254" t="e">
        <f ca="1">IF((A1)=(2),1,IF(AND((INDEX(B1:XFD1,((A3)+(1))+(0)))=("writeheap"),(INDEX(B5:B405,(B4)+(1)))=(249)),INDEX(B5:B405,(B4)+(2)),IF((A1)=(2),"",IF((250)=(C4),C254,C254))))</f>
        <v>#VALUE!</v>
      </c>
      <c r="F254" t="e">
        <f ca="1">IF((A1)=(2),"",IF((250)=(F4),IF(IF((INDEX(B1:XFD1,((A3)+(1))+(0)))=("store"),(INDEX(B1:XFD1,((A3)+(1))+(1)))=("F"),"false"),B3,F254),F254))</f>
        <v>#VALUE!</v>
      </c>
      <c r="G254" t="e">
        <f ca="1">IF((A1)=(2),"",IF((250)=(G4),IF(IF((INDEX(B1:XFD1,((A3)+(1))+(0)))=("store"),(INDEX(B1:XFD1,((A3)+(1))+(1)))=("G"),"false"),B3,G254),G254))</f>
        <v>#VALUE!</v>
      </c>
      <c r="H254" t="e">
        <f ca="1">IF((A1)=(2),"",IF((250)=(H4),IF(IF((INDEX(B1:XFD1,((A3)+(1))+(0)))=("store"),(INDEX(B1:XFD1,((A3)+(1))+(1)))=("H"),"false"),B3,H254),H254))</f>
        <v>#VALUE!</v>
      </c>
      <c r="I254" t="e">
        <f ca="1">IF((A1)=(2),"",IF((250)=(I4),IF(IF((INDEX(B1:XFD1,((A3)+(1))+(0)))=("store"),(INDEX(B1:XFD1,((A3)+(1))+(1)))=("I"),"false"),B3,I254),I254))</f>
        <v>#VALUE!</v>
      </c>
      <c r="J254" t="e">
        <f ca="1">IF((A1)=(2),"",IF((250)=(J4),IF(IF((INDEX(B1:XFD1,((A3)+(1))+(0)))=("store"),(INDEX(B1:XFD1,((A3)+(1))+(1)))=("J"),"false"),B3,J254),J254))</f>
        <v>#VALUE!</v>
      </c>
      <c r="K254" t="e">
        <f ca="1">IF((A1)=(2),"",IF((250)=(K4),IF(IF((INDEX(B1:XFD1,((A3)+(1))+(0)))=("store"),(INDEX(B1:XFD1,((A3)+(1))+(1)))=("K"),"false"),B3,K254),K254))</f>
        <v>#VALUE!</v>
      </c>
      <c r="L254" t="e">
        <f ca="1">IF((A1)=(2),"",IF((250)=(L4),IF(IF((INDEX(B1:XFD1,((A3)+(1))+(0)))=("store"),(INDEX(B1:XFD1,((A3)+(1))+(1)))=("L"),"false"),B3,L254),L254))</f>
        <v>#VALUE!</v>
      </c>
      <c r="M254" t="e">
        <f ca="1">IF((A1)=(2),"",IF((250)=(M4),IF(IF((INDEX(B1:XFD1,((A3)+(1))+(0)))=("store"),(INDEX(B1:XFD1,((A3)+(1))+(1)))=("M"),"false"),B3,M254),M254))</f>
        <v>#VALUE!</v>
      </c>
      <c r="N254" t="e">
        <f ca="1">IF((A1)=(2),"",IF((250)=(N4),IF(IF((INDEX(B1:XFD1,((A3)+(1))+(0)))=("store"),(INDEX(B1:XFD1,((A3)+(1))+(1)))=("N"),"false"),B3,N254),N254))</f>
        <v>#VALUE!</v>
      </c>
      <c r="O254" t="e">
        <f ca="1">IF((A1)=(2),"",IF((250)=(O4),IF(IF((INDEX(B1:XFD1,((A3)+(1))+(0)))=("store"),(INDEX(B1:XFD1,((A3)+(1))+(1)))=("O"),"false"),B3,O254),O254))</f>
        <v>#VALUE!</v>
      </c>
      <c r="P254" t="e">
        <f ca="1">IF((A1)=(2),"",IF((250)=(P4),IF(IF((INDEX(B1:XFD1,((A3)+(1))+(0)))=("store"),(INDEX(B1:XFD1,((A3)+(1))+(1)))=("P"),"false"),B3,P254),P254))</f>
        <v>#VALUE!</v>
      </c>
      <c r="Q254" t="e">
        <f ca="1">IF((A1)=(2),"",IF((250)=(Q4),IF(IF((INDEX(B1:XFD1,((A3)+(1))+(0)))=("store"),(INDEX(B1:XFD1,((A3)+(1))+(1)))=("Q"),"false"),B3,Q254),Q254))</f>
        <v>#VALUE!</v>
      </c>
      <c r="R254" t="e">
        <f ca="1">IF((A1)=(2),"",IF((250)=(R4),IF(IF((INDEX(B1:XFD1,((A3)+(1))+(0)))=("store"),(INDEX(B1:XFD1,((A3)+(1))+(1)))=("R"),"false"),B3,R254),R254))</f>
        <v>#VALUE!</v>
      </c>
      <c r="S254" t="e">
        <f ca="1">IF((A1)=(2),"",IF((250)=(S4),IF(IF((INDEX(B1:XFD1,((A3)+(1))+(0)))=("store"),(INDEX(B1:XFD1,((A3)+(1))+(1)))=("S"),"false"),B3,S254),S254))</f>
        <v>#VALUE!</v>
      </c>
      <c r="T254" t="e">
        <f ca="1">IF((A1)=(2),"",IF((250)=(T4),IF(IF((INDEX(B1:XFD1,((A3)+(1))+(0)))=("store"),(INDEX(B1:XFD1,((A3)+(1))+(1)))=("T"),"false"),B3,T254),T254))</f>
        <v>#VALUE!</v>
      </c>
      <c r="U254" t="e">
        <f ca="1">IF((A1)=(2),"",IF((250)=(U4),IF(IF((INDEX(B1:XFD1,((A3)+(1))+(0)))=("store"),(INDEX(B1:XFD1,((A3)+(1))+(1)))=("U"),"false"),B3,U254),U254))</f>
        <v>#VALUE!</v>
      </c>
      <c r="V254" t="e">
        <f ca="1">IF((A1)=(2),"",IF((250)=(V4),IF(IF((INDEX(B1:XFD1,((A3)+(1))+(0)))=("store"),(INDEX(B1:XFD1,((A3)+(1))+(1)))=("V"),"false"),B3,V254),V254))</f>
        <v>#VALUE!</v>
      </c>
      <c r="W254" t="e">
        <f ca="1">IF((A1)=(2),"",IF((250)=(W4),IF(IF((INDEX(B1:XFD1,((A3)+(1))+(0)))=("store"),(INDEX(B1:XFD1,((A3)+(1))+(1)))=("W"),"false"),B3,W254),W254))</f>
        <v>#VALUE!</v>
      </c>
      <c r="X254" t="e">
        <f ca="1">IF((A1)=(2),"",IF((250)=(X4),IF(IF((INDEX(B1:XFD1,((A3)+(1))+(0)))=("store"),(INDEX(B1:XFD1,((A3)+(1))+(1)))=("X"),"false"),B3,X254),X254))</f>
        <v>#VALUE!</v>
      </c>
      <c r="Y254" t="e">
        <f ca="1">IF((A1)=(2),"",IF((250)=(Y4),IF(IF((INDEX(B1:XFD1,((A3)+(1))+(0)))=("store"),(INDEX(B1:XFD1,((A3)+(1))+(1)))=("Y"),"false"),B3,Y254),Y254))</f>
        <v>#VALUE!</v>
      </c>
      <c r="Z254" t="e">
        <f ca="1">IF((A1)=(2),"",IF((250)=(Z4),IF(IF((INDEX(B1:XFD1,((A3)+(1))+(0)))=("store"),(INDEX(B1:XFD1,((A3)+(1))+(1)))=("Z"),"false"),B3,Z254),Z254))</f>
        <v>#VALUE!</v>
      </c>
      <c r="AA254" t="e">
        <f ca="1">IF((A1)=(2),"",IF((250)=(AA4),IF(IF((INDEX(B1:XFD1,((A3)+(1))+(0)))=("store"),(INDEX(B1:XFD1,((A3)+(1))+(1)))=("AA"),"false"),B3,AA254),AA254))</f>
        <v>#VALUE!</v>
      </c>
      <c r="AB254" t="e">
        <f ca="1">IF((A1)=(2),"",IF((250)=(AB4),IF(IF((INDEX(B1:XFD1,((A3)+(1))+(0)))=("store"),(INDEX(B1:XFD1,((A3)+(1))+(1)))=("AB"),"false"),B3,AB254),AB254))</f>
        <v>#VALUE!</v>
      </c>
      <c r="AC254" t="e">
        <f ca="1">IF((A1)=(2),"",IF((250)=(AC4),IF(IF((INDEX(B1:XFD1,((A3)+(1))+(0)))=("store"),(INDEX(B1:XFD1,((A3)+(1))+(1)))=("AC"),"false"),B3,AC254),AC254))</f>
        <v>#VALUE!</v>
      </c>
      <c r="AD254" t="e">
        <f ca="1">IF((A1)=(2),"",IF((250)=(AD4),IF(IF((INDEX(B1:XFD1,((A3)+(1))+(0)))=("store"),(INDEX(B1:XFD1,((A3)+(1))+(1)))=("AD"),"false"),B3,AD254),AD254))</f>
        <v>#VALUE!</v>
      </c>
    </row>
    <row r="255" spans="1:30" x14ac:dyDescent="0.25">
      <c r="A255" t="e">
        <f ca="1">IF((A1)=(2),"",IF((251)=(A4),IF(("call")=(INDEX(B1:XFD1,((A3)+(1))+(0))),(B3)*(2),IF(("goto")=(INDEX(B1:XFD1,((A3)+(1))+(0))),(INDEX(B1:XFD1,((A3)+(1))+(1)))*(2),IF(("gotoiftrue")=(INDEX(B1:XFD1,((A3)+(1))+(0))),IF(B3,(INDEX(B1:XFD1,((A3)+(1))+(1)))*(2),(A255)+(2)),(A255)+(2)))),A255))</f>
        <v>#VALUE!</v>
      </c>
      <c r="B255" t="e">
        <f ca="1">IF((A1)=(2),"",IF((251)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255)+(1)),IF(("add")=(INDEX(B1:XFD1,((A3)+(1))+(0))),(INDEX(B5:B405,(B4)+(1)))+(B255),IF(("equals")=(INDEX(B1:XFD1,((A3)+(1))+(0))),(INDEX(B5:B405,(B4)+(1)))=(B255),IF(("leq")=(INDEX(B1:XFD1,((A3)+(1))+(0))),(INDEX(B5:B405,(B4)+(1)))&lt;=(B255),IF(("greater")=(INDEX(B1:XFD1,((A3)+(1))+(0))),(INDEX(B5:B405,(B4)+(1)))&gt;(B255),IF(("mod")=(INDEX(B1:XFD1,((A3)+(1))+(0))),MOD(INDEX(B5:B405,(B4)+(1)),B255),B255))))))))),B255))</f>
        <v>#VALUE!</v>
      </c>
      <c r="C255" t="e">
        <f ca="1">IF((A1)=(2),1,IF(AND((INDEX(B1:XFD1,((A3)+(1))+(0)))=("writeheap"),(INDEX(B5:B405,(B4)+(1)))=(250)),INDEX(B5:B405,(B4)+(2)),IF((A1)=(2),"",IF((251)=(C4),C255,C255))))</f>
        <v>#VALUE!</v>
      </c>
      <c r="F255" t="e">
        <f ca="1">IF((A1)=(2),"",IF((251)=(F4),IF(IF((INDEX(B1:XFD1,((A3)+(1))+(0)))=("store"),(INDEX(B1:XFD1,((A3)+(1))+(1)))=("F"),"false"),B3,F255),F255))</f>
        <v>#VALUE!</v>
      </c>
      <c r="G255" t="e">
        <f ca="1">IF((A1)=(2),"",IF((251)=(G4),IF(IF((INDEX(B1:XFD1,((A3)+(1))+(0)))=("store"),(INDEX(B1:XFD1,((A3)+(1))+(1)))=("G"),"false"),B3,G255),G255))</f>
        <v>#VALUE!</v>
      </c>
      <c r="H255" t="e">
        <f ca="1">IF((A1)=(2),"",IF((251)=(H4),IF(IF((INDEX(B1:XFD1,((A3)+(1))+(0)))=("store"),(INDEX(B1:XFD1,((A3)+(1))+(1)))=("H"),"false"),B3,H255),H255))</f>
        <v>#VALUE!</v>
      </c>
      <c r="I255" t="e">
        <f ca="1">IF((A1)=(2),"",IF((251)=(I4),IF(IF((INDEX(B1:XFD1,((A3)+(1))+(0)))=("store"),(INDEX(B1:XFD1,((A3)+(1))+(1)))=("I"),"false"),B3,I255),I255))</f>
        <v>#VALUE!</v>
      </c>
      <c r="J255" t="e">
        <f ca="1">IF((A1)=(2),"",IF((251)=(J4),IF(IF((INDEX(B1:XFD1,((A3)+(1))+(0)))=("store"),(INDEX(B1:XFD1,((A3)+(1))+(1)))=("J"),"false"),B3,J255),J255))</f>
        <v>#VALUE!</v>
      </c>
      <c r="K255" t="e">
        <f ca="1">IF((A1)=(2),"",IF((251)=(K4),IF(IF((INDEX(B1:XFD1,((A3)+(1))+(0)))=("store"),(INDEX(B1:XFD1,((A3)+(1))+(1)))=("K"),"false"),B3,K255),K255))</f>
        <v>#VALUE!</v>
      </c>
      <c r="L255" t="e">
        <f ca="1">IF((A1)=(2),"",IF((251)=(L4),IF(IF((INDEX(B1:XFD1,((A3)+(1))+(0)))=("store"),(INDEX(B1:XFD1,((A3)+(1))+(1)))=("L"),"false"),B3,L255),L255))</f>
        <v>#VALUE!</v>
      </c>
      <c r="M255" t="e">
        <f ca="1">IF((A1)=(2),"",IF((251)=(M4),IF(IF((INDEX(B1:XFD1,((A3)+(1))+(0)))=("store"),(INDEX(B1:XFD1,((A3)+(1))+(1)))=("M"),"false"),B3,M255),M255))</f>
        <v>#VALUE!</v>
      </c>
      <c r="N255" t="e">
        <f ca="1">IF((A1)=(2),"",IF((251)=(N4),IF(IF((INDEX(B1:XFD1,((A3)+(1))+(0)))=("store"),(INDEX(B1:XFD1,((A3)+(1))+(1)))=("N"),"false"),B3,N255),N255))</f>
        <v>#VALUE!</v>
      </c>
      <c r="O255" t="e">
        <f ca="1">IF((A1)=(2),"",IF((251)=(O4),IF(IF((INDEX(B1:XFD1,((A3)+(1))+(0)))=("store"),(INDEX(B1:XFD1,((A3)+(1))+(1)))=("O"),"false"),B3,O255),O255))</f>
        <v>#VALUE!</v>
      </c>
      <c r="P255" t="e">
        <f ca="1">IF((A1)=(2),"",IF((251)=(P4),IF(IF((INDEX(B1:XFD1,((A3)+(1))+(0)))=("store"),(INDEX(B1:XFD1,((A3)+(1))+(1)))=("P"),"false"),B3,P255),P255))</f>
        <v>#VALUE!</v>
      </c>
      <c r="Q255" t="e">
        <f ca="1">IF((A1)=(2),"",IF((251)=(Q4),IF(IF((INDEX(B1:XFD1,((A3)+(1))+(0)))=("store"),(INDEX(B1:XFD1,((A3)+(1))+(1)))=("Q"),"false"),B3,Q255),Q255))</f>
        <v>#VALUE!</v>
      </c>
      <c r="R255" t="e">
        <f ca="1">IF((A1)=(2),"",IF((251)=(R4),IF(IF((INDEX(B1:XFD1,((A3)+(1))+(0)))=("store"),(INDEX(B1:XFD1,((A3)+(1))+(1)))=("R"),"false"),B3,R255),R255))</f>
        <v>#VALUE!</v>
      </c>
      <c r="S255" t="e">
        <f ca="1">IF((A1)=(2),"",IF((251)=(S4),IF(IF((INDEX(B1:XFD1,((A3)+(1))+(0)))=("store"),(INDEX(B1:XFD1,((A3)+(1))+(1)))=("S"),"false"),B3,S255),S255))</f>
        <v>#VALUE!</v>
      </c>
      <c r="T255" t="e">
        <f ca="1">IF((A1)=(2),"",IF((251)=(T4),IF(IF((INDEX(B1:XFD1,((A3)+(1))+(0)))=("store"),(INDEX(B1:XFD1,((A3)+(1))+(1)))=("T"),"false"),B3,T255),T255))</f>
        <v>#VALUE!</v>
      </c>
      <c r="U255" t="e">
        <f ca="1">IF((A1)=(2),"",IF((251)=(U4),IF(IF((INDEX(B1:XFD1,((A3)+(1))+(0)))=("store"),(INDEX(B1:XFD1,((A3)+(1))+(1)))=("U"),"false"),B3,U255),U255))</f>
        <v>#VALUE!</v>
      </c>
      <c r="V255" t="e">
        <f ca="1">IF((A1)=(2),"",IF((251)=(V4),IF(IF((INDEX(B1:XFD1,((A3)+(1))+(0)))=("store"),(INDEX(B1:XFD1,((A3)+(1))+(1)))=("V"),"false"),B3,V255),V255))</f>
        <v>#VALUE!</v>
      </c>
      <c r="W255" t="e">
        <f ca="1">IF((A1)=(2),"",IF((251)=(W4),IF(IF((INDEX(B1:XFD1,((A3)+(1))+(0)))=("store"),(INDEX(B1:XFD1,((A3)+(1))+(1)))=("W"),"false"),B3,W255),W255))</f>
        <v>#VALUE!</v>
      </c>
      <c r="X255" t="e">
        <f ca="1">IF((A1)=(2),"",IF((251)=(X4),IF(IF((INDEX(B1:XFD1,((A3)+(1))+(0)))=("store"),(INDEX(B1:XFD1,((A3)+(1))+(1)))=("X"),"false"),B3,X255),X255))</f>
        <v>#VALUE!</v>
      </c>
      <c r="Y255" t="e">
        <f ca="1">IF((A1)=(2),"",IF((251)=(Y4),IF(IF((INDEX(B1:XFD1,((A3)+(1))+(0)))=("store"),(INDEX(B1:XFD1,((A3)+(1))+(1)))=("Y"),"false"),B3,Y255),Y255))</f>
        <v>#VALUE!</v>
      </c>
      <c r="Z255" t="e">
        <f ca="1">IF((A1)=(2),"",IF((251)=(Z4),IF(IF((INDEX(B1:XFD1,((A3)+(1))+(0)))=("store"),(INDEX(B1:XFD1,((A3)+(1))+(1)))=("Z"),"false"),B3,Z255),Z255))</f>
        <v>#VALUE!</v>
      </c>
      <c r="AA255" t="e">
        <f ca="1">IF((A1)=(2),"",IF((251)=(AA4),IF(IF((INDEX(B1:XFD1,((A3)+(1))+(0)))=("store"),(INDEX(B1:XFD1,((A3)+(1))+(1)))=("AA"),"false"),B3,AA255),AA255))</f>
        <v>#VALUE!</v>
      </c>
      <c r="AB255" t="e">
        <f ca="1">IF((A1)=(2),"",IF((251)=(AB4),IF(IF((INDEX(B1:XFD1,((A3)+(1))+(0)))=("store"),(INDEX(B1:XFD1,((A3)+(1))+(1)))=("AB"),"false"),B3,AB255),AB255))</f>
        <v>#VALUE!</v>
      </c>
      <c r="AC255" t="e">
        <f ca="1">IF((A1)=(2),"",IF((251)=(AC4),IF(IF((INDEX(B1:XFD1,((A3)+(1))+(0)))=("store"),(INDEX(B1:XFD1,((A3)+(1))+(1)))=("AC"),"false"),B3,AC255),AC255))</f>
        <v>#VALUE!</v>
      </c>
      <c r="AD255" t="e">
        <f ca="1">IF((A1)=(2),"",IF((251)=(AD4),IF(IF((INDEX(B1:XFD1,((A3)+(1))+(0)))=("store"),(INDEX(B1:XFD1,((A3)+(1))+(1)))=("AD"),"false"),B3,AD255),AD255))</f>
        <v>#VALUE!</v>
      </c>
    </row>
    <row r="256" spans="1:30" x14ac:dyDescent="0.25">
      <c r="A256" t="e">
        <f ca="1">IF((A1)=(2),"",IF((252)=(A4),IF(("call")=(INDEX(B1:XFD1,((A3)+(1))+(0))),(B3)*(2),IF(("goto")=(INDEX(B1:XFD1,((A3)+(1))+(0))),(INDEX(B1:XFD1,((A3)+(1))+(1)))*(2),IF(("gotoiftrue")=(INDEX(B1:XFD1,((A3)+(1))+(0))),IF(B3,(INDEX(B1:XFD1,((A3)+(1))+(1)))*(2),(A256)+(2)),(A256)+(2)))),A256))</f>
        <v>#VALUE!</v>
      </c>
      <c r="B256" t="e">
        <f ca="1">IF((A1)=(2),"",IF((252)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256)+(1)),IF(("add")=(INDEX(B1:XFD1,((A3)+(1))+(0))),(INDEX(B5:B405,(B4)+(1)))+(B256),IF(("equals")=(INDEX(B1:XFD1,((A3)+(1))+(0))),(INDEX(B5:B405,(B4)+(1)))=(B256),IF(("leq")=(INDEX(B1:XFD1,((A3)+(1))+(0))),(INDEX(B5:B405,(B4)+(1)))&lt;=(B256),IF(("greater")=(INDEX(B1:XFD1,((A3)+(1))+(0))),(INDEX(B5:B405,(B4)+(1)))&gt;(B256),IF(("mod")=(INDEX(B1:XFD1,((A3)+(1))+(0))),MOD(INDEX(B5:B405,(B4)+(1)),B256),B256))))))))),B256))</f>
        <v>#VALUE!</v>
      </c>
      <c r="C256" t="e">
        <f ca="1">IF((A1)=(2),1,IF(AND((INDEX(B1:XFD1,((A3)+(1))+(0)))=("writeheap"),(INDEX(B5:B405,(B4)+(1)))=(251)),INDEX(B5:B405,(B4)+(2)),IF((A1)=(2),"",IF((252)=(C4),C256,C256))))</f>
        <v>#VALUE!</v>
      </c>
      <c r="F256" t="e">
        <f ca="1">IF((A1)=(2),"",IF((252)=(F4),IF(IF((INDEX(B1:XFD1,((A3)+(1))+(0)))=("store"),(INDEX(B1:XFD1,((A3)+(1))+(1)))=("F"),"false"),B3,F256),F256))</f>
        <v>#VALUE!</v>
      </c>
      <c r="G256" t="e">
        <f ca="1">IF((A1)=(2),"",IF((252)=(G4),IF(IF((INDEX(B1:XFD1,((A3)+(1))+(0)))=("store"),(INDEX(B1:XFD1,((A3)+(1))+(1)))=("G"),"false"),B3,G256),G256))</f>
        <v>#VALUE!</v>
      </c>
      <c r="H256" t="e">
        <f ca="1">IF((A1)=(2),"",IF((252)=(H4),IF(IF((INDEX(B1:XFD1,((A3)+(1))+(0)))=("store"),(INDEX(B1:XFD1,((A3)+(1))+(1)))=("H"),"false"),B3,H256),H256))</f>
        <v>#VALUE!</v>
      </c>
      <c r="I256" t="e">
        <f ca="1">IF((A1)=(2),"",IF((252)=(I4),IF(IF((INDEX(B1:XFD1,((A3)+(1))+(0)))=("store"),(INDEX(B1:XFD1,((A3)+(1))+(1)))=("I"),"false"),B3,I256),I256))</f>
        <v>#VALUE!</v>
      </c>
      <c r="J256" t="e">
        <f ca="1">IF((A1)=(2),"",IF((252)=(J4),IF(IF((INDEX(B1:XFD1,((A3)+(1))+(0)))=("store"),(INDEX(B1:XFD1,((A3)+(1))+(1)))=("J"),"false"),B3,J256),J256))</f>
        <v>#VALUE!</v>
      </c>
      <c r="K256" t="e">
        <f ca="1">IF((A1)=(2),"",IF((252)=(K4),IF(IF((INDEX(B1:XFD1,((A3)+(1))+(0)))=("store"),(INDEX(B1:XFD1,((A3)+(1))+(1)))=("K"),"false"),B3,K256),K256))</f>
        <v>#VALUE!</v>
      </c>
      <c r="L256" t="e">
        <f ca="1">IF((A1)=(2),"",IF((252)=(L4),IF(IF((INDEX(B1:XFD1,((A3)+(1))+(0)))=("store"),(INDEX(B1:XFD1,((A3)+(1))+(1)))=("L"),"false"),B3,L256),L256))</f>
        <v>#VALUE!</v>
      </c>
      <c r="M256" t="e">
        <f ca="1">IF((A1)=(2),"",IF((252)=(M4),IF(IF((INDEX(B1:XFD1,((A3)+(1))+(0)))=("store"),(INDEX(B1:XFD1,((A3)+(1))+(1)))=("M"),"false"),B3,M256),M256))</f>
        <v>#VALUE!</v>
      </c>
      <c r="N256" t="e">
        <f ca="1">IF((A1)=(2),"",IF((252)=(N4),IF(IF((INDEX(B1:XFD1,((A3)+(1))+(0)))=("store"),(INDEX(B1:XFD1,((A3)+(1))+(1)))=("N"),"false"),B3,N256),N256))</f>
        <v>#VALUE!</v>
      </c>
      <c r="O256" t="e">
        <f ca="1">IF((A1)=(2),"",IF((252)=(O4),IF(IF((INDEX(B1:XFD1,((A3)+(1))+(0)))=("store"),(INDEX(B1:XFD1,((A3)+(1))+(1)))=("O"),"false"),B3,O256),O256))</f>
        <v>#VALUE!</v>
      </c>
      <c r="P256" t="e">
        <f ca="1">IF((A1)=(2),"",IF((252)=(P4),IF(IF((INDEX(B1:XFD1,((A3)+(1))+(0)))=("store"),(INDEX(B1:XFD1,((A3)+(1))+(1)))=("P"),"false"),B3,P256),P256))</f>
        <v>#VALUE!</v>
      </c>
      <c r="Q256" t="e">
        <f ca="1">IF((A1)=(2),"",IF((252)=(Q4),IF(IF((INDEX(B1:XFD1,((A3)+(1))+(0)))=("store"),(INDEX(B1:XFD1,((A3)+(1))+(1)))=("Q"),"false"),B3,Q256),Q256))</f>
        <v>#VALUE!</v>
      </c>
      <c r="R256" t="e">
        <f ca="1">IF((A1)=(2),"",IF((252)=(R4),IF(IF((INDEX(B1:XFD1,((A3)+(1))+(0)))=("store"),(INDEX(B1:XFD1,((A3)+(1))+(1)))=("R"),"false"),B3,R256),R256))</f>
        <v>#VALUE!</v>
      </c>
      <c r="S256" t="e">
        <f ca="1">IF((A1)=(2),"",IF((252)=(S4),IF(IF((INDEX(B1:XFD1,((A3)+(1))+(0)))=("store"),(INDEX(B1:XFD1,((A3)+(1))+(1)))=("S"),"false"),B3,S256),S256))</f>
        <v>#VALUE!</v>
      </c>
      <c r="T256" t="e">
        <f ca="1">IF((A1)=(2),"",IF((252)=(T4),IF(IF((INDEX(B1:XFD1,((A3)+(1))+(0)))=("store"),(INDEX(B1:XFD1,((A3)+(1))+(1)))=("T"),"false"),B3,T256),T256))</f>
        <v>#VALUE!</v>
      </c>
      <c r="U256" t="e">
        <f ca="1">IF((A1)=(2),"",IF((252)=(U4),IF(IF((INDEX(B1:XFD1,((A3)+(1))+(0)))=("store"),(INDEX(B1:XFD1,((A3)+(1))+(1)))=("U"),"false"),B3,U256),U256))</f>
        <v>#VALUE!</v>
      </c>
      <c r="V256" t="e">
        <f ca="1">IF((A1)=(2),"",IF((252)=(V4),IF(IF((INDEX(B1:XFD1,((A3)+(1))+(0)))=("store"),(INDEX(B1:XFD1,((A3)+(1))+(1)))=("V"),"false"),B3,V256),V256))</f>
        <v>#VALUE!</v>
      </c>
      <c r="W256" t="e">
        <f ca="1">IF((A1)=(2),"",IF((252)=(W4),IF(IF((INDEX(B1:XFD1,((A3)+(1))+(0)))=("store"),(INDEX(B1:XFD1,((A3)+(1))+(1)))=("W"),"false"),B3,W256),W256))</f>
        <v>#VALUE!</v>
      </c>
      <c r="X256" t="e">
        <f ca="1">IF((A1)=(2),"",IF((252)=(X4),IF(IF((INDEX(B1:XFD1,((A3)+(1))+(0)))=("store"),(INDEX(B1:XFD1,((A3)+(1))+(1)))=("X"),"false"),B3,X256),X256))</f>
        <v>#VALUE!</v>
      </c>
      <c r="Y256" t="e">
        <f ca="1">IF((A1)=(2),"",IF((252)=(Y4),IF(IF((INDEX(B1:XFD1,((A3)+(1))+(0)))=("store"),(INDEX(B1:XFD1,((A3)+(1))+(1)))=("Y"),"false"),B3,Y256),Y256))</f>
        <v>#VALUE!</v>
      </c>
      <c r="Z256" t="e">
        <f ca="1">IF((A1)=(2),"",IF((252)=(Z4),IF(IF((INDEX(B1:XFD1,((A3)+(1))+(0)))=("store"),(INDEX(B1:XFD1,((A3)+(1))+(1)))=("Z"),"false"),B3,Z256),Z256))</f>
        <v>#VALUE!</v>
      </c>
      <c r="AA256" t="e">
        <f ca="1">IF((A1)=(2),"",IF((252)=(AA4),IF(IF((INDEX(B1:XFD1,((A3)+(1))+(0)))=("store"),(INDEX(B1:XFD1,((A3)+(1))+(1)))=("AA"),"false"),B3,AA256),AA256))</f>
        <v>#VALUE!</v>
      </c>
      <c r="AB256" t="e">
        <f ca="1">IF((A1)=(2),"",IF((252)=(AB4),IF(IF((INDEX(B1:XFD1,((A3)+(1))+(0)))=("store"),(INDEX(B1:XFD1,((A3)+(1))+(1)))=("AB"),"false"),B3,AB256),AB256))</f>
        <v>#VALUE!</v>
      </c>
      <c r="AC256" t="e">
        <f ca="1">IF((A1)=(2),"",IF((252)=(AC4),IF(IF((INDEX(B1:XFD1,((A3)+(1))+(0)))=("store"),(INDEX(B1:XFD1,((A3)+(1))+(1)))=("AC"),"false"),B3,AC256),AC256))</f>
        <v>#VALUE!</v>
      </c>
      <c r="AD256" t="e">
        <f ca="1">IF((A1)=(2),"",IF((252)=(AD4),IF(IF((INDEX(B1:XFD1,((A3)+(1))+(0)))=("store"),(INDEX(B1:XFD1,((A3)+(1))+(1)))=("AD"),"false"),B3,AD256),AD256))</f>
        <v>#VALUE!</v>
      </c>
    </row>
    <row r="257" spans="1:30" x14ac:dyDescent="0.25">
      <c r="A257" t="e">
        <f ca="1">IF((A1)=(2),"",IF((253)=(A4),IF(("call")=(INDEX(B1:XFD1,((A3)+(1))+(0))),(B3)*(2),IF(("goto")=(INDEX(B1:XFD1,((A3)+(1))+(0))),(INDEX(B1:XFD1,((A3)+(1))+(1)))*(2),IF(("gotoiftrue")=(INDEX(B1:XFD1,((A3)+(1))+(0))),IF(B3,(INDEX(B1:XFD1,((A3)+(1))+(1)))*(2),(A257)+(2)),(A257)+(2)))),A257))</f>
        <v>#VALUE!</v>
      </c>
      <c r="B257" t="e">
        <f ca="1">IF((A1)=(2),"",IF((253)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257)+(1)),IF(("add")=(INDEX(B1:XFD1,((A3)+(1))+(0))),(INDEX(B5:B405,(B4)+(1)))+(B257),IF(("equals")=(INDEX(B1:XFD1,((A3)+(1))+(0))),(INDEX(B5:B405,(B4)+(1)))=(B257),IF(("leq")=(INDEX(B1:XFD1,((A3)+(1))+(0))),(INDEX(B5:B405,(B4)+(1)))&lt;=(B257),IF(("greater")=(INDEX(B1:XFD1,((A3)+(1))+(0))),(INDEX(B5:B405,(B4)+(1)))&gt;(B257),IF(("mod")=(INDEX(B1:XFD1,((A3)+(1))+(0))),MOD(INDEX(B5:B405,(B4)+(1)),B257),B257))))))))),B257))</f>
        <v>#VALUE!</v>
      </c>
      <c r="C257" t="e">
        <f ca="1">IF((A1)=(2),1,IF(AND((INDEX(B1:XFD1,((A3)+(1))+(0)))=("writeheap"),(INDEX(B5:B405,(B4)+(1)))=(252)),INDEX(B5:B405,(B4)+(2)),IF((A1)=(2),"",IF((253)=(C4),C257,C257))))</f>
        <v>#VALUE!</v>
      </c>
      <c r="F257" t="e">
        <f ca="1">IF((A1)=(2),"",IF((253)=(F4),IF(IF((INDEX(B1:XFD1,((A3)+(1))+(0)))=("store"),(INDEX(B1:XFD1,((A3)+(1))+(1)))=("F"),"false"),B3,F257),F257))</f>
        <v>#VALUE!</v>
      </c>
      <c r="G257" t="e">
        <f ca="1">IF((A1)=(2),"",IF((253)=(G4),IF(IF((INDEX(B1:XFD1,((A3)+(1))+(0)))=("store"),(INDEX(B1:XFD1,((A3)+(1))+(1)))=("G"),"false"),B3,G257),G257))</f>
        <v>#VALUE!</v>
      </c>
      <c r="H257" t="e">
        <f ca="1">IF((A1)=(2),"",IF((253)=(H4),IF(IF((INDEX(B1:XFD1,((A3)+(1))+(0)))=("store"),(INDEX(B1:XFD1,((A3)+(1))+(1)))=("H"),"false"),B3,H257),H257))</f>
        <v>#VALUE!</v>
      </c>
      <c r="I257" t="e">
        <f ca="1">IF((A1)=(2),"",IF((253)=(I4),IF(IF((INDEX(B1:XFD1,((A3)+(1))+(0)))=("store"),(INDEX(B1:XFD1,((A3)+(1))+(1)))=("I"),"false"),B3,I257),I257))</f>
        <v>#VALUE!</v>
      </c>
      <c r="J257" t="e">
        <f ca="1">IF((A1)=(2),"",IF((253)=(J4),IF(IF((INDEX(B1:XFD1,((A3)+(1))+(0)))=("store"),(INDEX(B1:XFD1,((A3)+(1))+(1)))=("J"),"false"),B3,J257),J257))</f>
        <v>#VALUE!</v>
      </c>
      <c r="K257" t="e">
        <f ca="1">IF((A1)=(2),"",IF((253)=(K4),IF(IF((INDEX(B1:XFD1,((A3)+(1))+(0)))=("store"),(INDEX(B1:XFD1,((A3)+(1))+(1)))=("K"),"false"),B3,K257),K257))</f>
        <v>#VALUE!</v>
      </c>
      <c r="L257" t="e">
        <f ca="1">IF((A1)=(2),"",IF((253)=(L4),IF(IF((INDEX(B1:XFD1,((A3)+(1))+(0)))=("store"),(INDEX(B1:XFD1,((A3)+(1))+(1)))=("L"),"false"),B3,L257),L257))</f>
        <v>#VALUE!</v>
      </c>
      <c r="M257" t="e">
        <f ca="1">IF((A1)=(2),"",IF((253)=(M4),IF(IF((INDEX(B1:XFD1,((A3)+(1))+(0)))=("store"),(INDEX(B1:XFD1,((A3)+(1))+(1)))=("M"),"false"),B3,M257),M257))</f>
        <v>#VALUE!</v>
      </c>
      <c r="N257" t="e">
        <f ca="1">IF((A1)=(2),"",IF((253)=(N4),IF(IF((INDEX(B1:XFD1,((A3)+(1))+(0)))=("store"),(INDEX(B1:XFD1,((A3)+(1))+(1)))=("N"),"false"),B3,N257),N257))</f>
        <v>#VALUE!</v>
      </c>
      <c r="O257" t="e">
        <f ca="1">IF((A1)=(2),"",IF((253)=(O4),IF(IF((INDEX(B1:XFD1,((A3)+(1))+(0)))=("store"),(INDEX(B1:XFD1,((A3)+(1))+(1)))=("O"),"false"),B3,O257),O257))</f>
        <v>#VALUE!</v>
      </c>
      <c r="P257" t="e">
        <f ca="1">IF((A1)=(2),"",IF((253)=(P4),IF(IF((INDEX(B1:XFD1,((A3)+(1))+(0)))=("store"),(INDEX(B1:XFD1,((A3)+(1))+(1)))=("P"),"false"),B3,P257),P257))</f>
        <v>#VALUE!</v>
      </c>
      <c r="Q257" t="e">
        <f ca="1">IF((A1)=(2),"",IF((253)=(Q4),IF(IF((INDEX(B1:XFD1,((A3)+(1))+(0)))=("store"),(INDEX(B1:XFD1,((A3)+(1))+(1)))=("Q"),"false"),B3,Q257),Q257))</f>
        <v>#VALUE!</v>
      </c>
      <c r="R257" t="e">
        <f ca="1">IF((A1)=(2),"",IF((253)=(R4),IF(IF((INDEX(B1:XFD1,((A3)+(1))+(0)))=("store"),(INDEX(B1:XFD1,((A3)+(1))+(1)))=("R"),"false"),B3,R257),R257))</f>
        <v>#VALUE!</v>
      </c>
      <c r="S257" t="e">
        <f ca="1">IF((A1)=(2),"",IF((253)=(S4),IF(IF((INDEX(B1:XFD1,((A3)+(1))+(0)))=("store"),(INDEX(B1:XFD1,((A3)+(1))+(1)))=("S"),"false"),B3,S257),S257))</f>
        <v>#VALUE!</v>
      </c>
      <c r="T257" t="e">
        <f ca="1">IF((A1)=(2),"",IF((253)=(T4),IF(IF((INDEX(B1:XFD1,((A3)+(1))+(0)))=("store"),(INDEX(B1:XFD1,((A3)+(1))+(1)))=("T"),"false"),B3,T257),T257))</f>
        <v>#VALUE!</v>
      </c>
      <c r="U257" t="e">
        <f ca="1">IF((A1)=(2),"",IF((253)=(U4),IF(IF((INDEX(B1:XFD1,((A3)+(1))+(0)))=("store"),(INDEX(B1:XFD1,((A3)+(1))+(1)))=("U"),"false"),B3,U257),U257))</f>
        <v>#VALUE!</v>
      </c>
      <c r="V257" t="e">
        <f ca="1">IF((A1)=(2),"",IF((253)=(V4),IF(IF((INDEX(B1:XFD1,((A3)+(1))+(0)))=("store"),(INDEX(B1:XFD1,((A3)+(1))+(1)))=("V"),"false"),B3,V257),V257))</f>
        <v>#VALUE!</v>
      </c>
      <c r="W257" t="e">
        <f ca="1">IF((A1)=(2),"",IF((253)=(W4),IF(IF((INDEX(B1:XFD1,((A3)+(1))+(0)))=("store"),(INDEX(B1:XFD1,((A3)+(1))+(1)))=("W"),"false"),B3,W257),W257))</f>
        <v>#VALUE!</v>
      </c>
      <c r="X257" t="e">
        <f ca="1">IF((A1)=(2),"",IF((253)=(X4),IF(IF((INDEX(B1:XFD1,((A3)+(1))+(0)))=("store"),(INDEX(B1:XFD1,((A3)+(1))+(1)))=("X"),"false"),B3,X257),X257))</f>
        <v>#VALUE!</v>
      </c>
      <c r="Y257" t="e">
        <f ca="1">IF((A1)=(2),"",IF((253)=(Y4),IF(IF((INDEX(B1:XFD1,((A3)+(1))+(0)))=("store"),(INDEX(B1:XFD1,((A3)+(1))+(1)))=("Y"),"false"),B3,Y257),Y257))</f>
        <v>#VALUE!</v>
      </c>
      <c r="Z257" t="e">
        <f ca="1">IF((A1)=(2),"",IF((253)=(Z4),IF(IF((INDEX(B1:XFD1,((A3)+(1))+(0)))=("store"),(INDEX(B1:XFD1,((A3)+(1))+(1)))=("Z"),"false"),B3,Z257),Z257))</f>
        <v>#VALUE!</v>
      </c>
      <c r="AA257" t="e">
        <f ca="1">IF((A1)=(2),"",IF((253)=(AA4),IF(IF((INDEX(B1:XFD1,((A3)+(1))+(0)))=("store"),(INDEX(B1:XFD1,((A3)+(1))+(1)))=("AA"),"false"),B3,AA257),AA257))</f>
        <v>#VALUE!</v>
      </c>
      <c r="AB257" t="e">
        <f ca="1">IF((A1)=(2),"",IF((253)=(AB4),IF(IF((INDEX(B1:XFD1,((A3)+(1))+(0)))=("store"),(INDEX(B1:XFD1,((A3)+(1))+(1)))=("AB"),"false"),B3,AB257),AB257))</f>
        <v>#VALUE!</v>
      </c>
      <c r="AC257" t="e">
        <f ca="1">IF((A1)=(2),"",IF((253)=(AC4),IF(IF((INDEX(B1:XFD1,((A3)+(1))+(0)))=("store"),(INDEX(B1:XFD1,((A3)+(1))+(1)))=("AC"),"false"),B3,AC257),AC257))</f>
        <v>#VALUE!</v>
      </c>
      <c r="AD257" t="e">
        <f ca="1">IF((A1)=(2),"",IF((253)=(AD4),IF(IF((INDEX(B1:XFD1,((A3)+(1))+(0)))=("store"),(INDEX(B1:XFD1,((A3)+(1))+(1)))=("AD"),"false"),B3,AD257),AD257))</f>
        <v>#VALUE!</v>
      </c>
    </row>
    <row r="258" spans="1:30" x14ac:dyDescent="0.25">
      <c r="A258" t="e">
        <f ca="1">IF((A1)=(2),"",IF((254)=(A4),IF(("call")=(INDEX(B1:XFD1,((A3)+(1))+(0))),(B3)*(2),IF(("goto")=(INDEX(B1:XFD1,((A3)+(1))+(0))),(INDEX(B1:XFD1,((A3)+(1))+(1)))*(2),IF(("gotoiftrue")=(INDEX(B1:XFD1,((A3)+(1))+(0))),IF(B3,(INDEX(B1:XFD1,((A3)+(1))+(1)))*(2),(A258)+(2)),(A258)+(2)))),A258))</f>
        <v>#VALUE!</v>
      </c>
      <c r="B258" t="e">
        <f ca="1">IF((A1)=(2),"",IF((254)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258)+(1)),IF(("add")=(INDEX(B1:XFD1,((A3)+(1))+(0))),(INDEX(B5:B405,(B4)+(1)))+(B258),IF(("equals")=(INDEX(B1:XFD1,((A3)+(1))+(0))),(INDEX(B5:B405,(B4)+(1)))=(B258),IF(("leq")=(INDEX(B1:XFD1,((A3)+(1))+(0))),(INDEX(B5:B405,(B4)+(1)))&lt;=(B258),IF(("greater")=(INDEX(B1:XFD1,((A3)+(1))+(0))),(INDEX(B5:B405,(B4)+(1)))&gt;(B258),IF(("mod")=(INDEX(B1:XFD1,((A3)+(1))+(0))),MOD(INDEX(B5:B405,(B4)+(1)),B258),B258))))))))),B258))</f>
        <v>#VALUE!</v>
      </c>
      <c r="C258" t="e">
        <f ca="1">IF((A1)=(2),1,IF(AND((INDEX(B1:XFD1,((A3)+(1))+(0)))=("writeheap"),(INDEX(B5:B405,(B4)+(1)))=(253)),INDEX(B5:B405,(B4)+(2)),IF((A1)=(2),"",IF((254)=(C4),C258,C258))))</f>
        <v>#VALUE!</v>
      </c>
      <c r="F258" t="e">
        <f ca="1">IF((A1)=(2),"",IF((254)=(F4),IF(IF((INDEX(B1:XFD1,((A3)+(1))+(0)))=("store"),(INDEX(B1:XFD1,((A3)+(1))+(1)))=("F"),"false"),B3,F258),F258))</f>
        <v>#VALUE!</v>
      </c>
      <c r="G258" t="e">
        <f ca="1">IF((A1)=(2),"",IF((254)=(G4),IF(IF((INDEX(B1:XFD1,((A3)+(1))+(0)))=("store"),(INDEX(B1:XFD1,((A3)+(1))+(1)))=("G"),"false"),B3,G258),G258))</f>
        <v>#VALUE!</v>
      </c>
      <c r="H258" t="e">
        <f ca="1">IF((A1)=(2),"",IF((254)=(H4),IF(IF((INDEX(B1:XFD1,((A3)+(1))+(0)))=("store"),(INDEX(B1:XFD1,((A3)+(1))+(1)))=("H"),"false"),B3,H258),H258))</f>
        <v>#VALUE!</v>
      </c>
      <c r="I258" t="e">
        <f ca="1">IF((A1)=(2),"",IF((254)=(I4),IF(IF((INDEX(B1:XFD1,((A3)+(1))+(0)))=("store"),(INDEX(B1:XFD1,((A3)+(1))+(1)))=("I"),"false"),B3,I258),I258))</f>
        <v>#VALUE!</v>
      </c>
      <c r="J258" t="e">
        <f ca="1">IF((A1)=(2),"",IF((254)=(J4),IF(IF((INDEX(B1:XFD1,((A3)+(1))+(0)))=("store"),(INDEX(B1:XFD1,((A3)+(1))+(1)))=("J"),"false"),B3,J258),J258))</f>
        <v>#VALUE!</v>
      </c>
      <c r="K258" t="e">
        <f ca="1">IF((A1)=(2),"",IF((254)=(K4),IF(IF((INDEX(B1:XFD1,((A3)+(1))+(0)))=("store"),(INDEX(B1:XFD1,((A3)+(1))+(1)))=("K"),"false"),B3,K258),K258))</f>
        <v>#VALUE!</v>
      </c>
      <c r="L258" t="e">
        <f ca="1">IF((A1)=(2),"",IF((254)=(L4),IF(IF((INDEX(B1:XFD1,((A3)+(1))+(0)))=("store"),(INDEX(B1:XFD1,((A3)+(1))+(1)))=("L"),"false"),B3,L258),L258))</f>
        <v>#VALUE!</v>
      </c>
      <c r="M258" t="e">
        <f ca="1">IF((A1)=(2),"",IF((254)=(M4),IF(IF((INDEX(B1:XFD1,((A3)+(1))+(0)))=("store"),(INDEX(B1:XFD1,((A3)+(1))+(1)))=("M"),"false"),B3,M258),M258))</f>
        <v>#VALUE!</v>
      </c>
      <c r="N258" t="e">
        <f ca="1">IF((A1)=(2),"",IF((254)=(N4),IF(IF((INDEX(B1:XFD1,((A3)+(1))+(0)))=("store"),(INDEX(B1:XFD1,((A3)+(1))+(1)))=("N"),"false"),B3,N258),N258))</f>
        <v>#VALUE!</v>
      </c>
      <c r="O258" t="e">
        <f ca="1">IF((A1)=(2),"",IF((254)=(O4),IF(IF((INDEX(B1:XFD1,((A3)+(1))+(0)))=("store"),(INDEX(B1:XFD1,((A3)+(1))+(1)))=("O"),"false"),B3,O258),O258))</f>
        <v>#VALUE!</v>
      </c>
      <c r="P258" t="e">
        <f ca="1">IF((A1)=(2),"",IF((254)=(P4),IF(IF((INDEX(B1:XFD1,((A3)+(1))+(0)))=("store"),(INDEX(B1:XFD1,((A3)+(1))+(1)))=("P"),"false"),B3,P258),P258))</f>
        <v>#VALUE!</v>
      </c>
      <c r="Q258" t="e">
        <f ca="1">IF((A1)=(2),"",IF((254)=(Q4),IF(IF((INDEX(B1:XFD1,((A3)+(1))+(0)))=("store"),(INDEX(B1:XFD1,((A3)+(1))+(1)))=("Q"),"false"),B3,Q258),Q258))</f>
        <v>#VALUE!</v>
      </c>
      <c r="R258" t="e">
        <f ca="1">IF((A1)=(2),"",IF((254)=(R4),IF(IF((INDEX(B1:XFD1,((A3)+(1))+(0)))=("store"),(INDEX(B1:XFD1,((A3)+(1))+(1)))=("R"),"false"),B3,R258),R258))</f>
        <v>#VALUE!</v>
      </c>
      <c r="S258" t="e">
        <f ca="1">IF((A1)=(2),"",IF((254)=(S4),IF(IF((INDEX(B1:XFD1,((A3)+(1))+(0)))=("store"),(INDEX(B1:XFD1,((A3)+(1))+(1)))=("S"),"false"),B3,S258),S258))</f>
        <v>#VALUE!</v>
      </c>
      <c r="T258" t="e">
        <f ca="1">IF((A1)=(2),"",IF((254)=(T4),IF(IF((INDEX(B1:XFD1,((A3)+(1))+(0)))=("store"),(INDEX(B1:XFD1,((A3)+(1))+(1)))=("T"),"false"),B3,T258),T258))</f>
        <v>#VALUE!</v>
      </c>
      <c r="U258" t="e">
        <f ca="1">IF((A1)=(2),"",IF((254)=(U4),IF(IF((INDEX(B1:XFD1,((A3)+(1))+(0)))=("store"),(INDEX(B1:XFD1,((A3)+(1))+(1)))=("U"),"false"),B3,U258),U258))</f>
        <v>#VALUE!</v>
      </c>
      <c r="V258" t="e">
        <f ca="1">IF((A1)=(2),"",IF((254)=(V4),IF(IF((INDEX(B1:XFD1,((A3)+(1))+(0)))=("store"),(INDEX(B1:XFD1,((A3)+(1))+(1)))=("V"),"false"),B3,V258),V258))</f>
        <v>#VALUE!</v>
      </c>
      <c r="W258" t="e">
        <f ca="1">IF((A1)=(2),"",IF((254)=(W4),IF(IF((INDEX(B1:XFD1,((A3)+(1))+(0)))=("store"),(INDEX(B1:XFD1,((A3)+(1))+(1)))=("W"),"false"),B3,W258),W258))</f>
        <v>#VALUE!</v>
      </c>
      <c r="X258" t="e">
        <f ca="1">IF((A1)=(2),"",IF((254)=(X4),IF(IF((INDEX(B1:XFD1,((A3)+(1))+(0)))=("store"),(INDEX(B1:XFD1,((A3)+(1))+(1)))=("X"),"false"),B3,X258),X258))</f>
        <v>#VALUE!</v>
      </c>
      <c r="Y258" t="e">
        <f ca="1">IF((A1)=(2),"",IF((254)=(Y4),IF(IF((INDEX(B1:XFD1,((A3)+(1))+(0)))=("store"),(INDEX(B1:XFD1,((A3)+(1))+(1)))=("Y"),"false"),B3,Y258),Y258))</f>
        <v>#VALUE!</v>
      </c>
      <c r="Z258" t="e">
        <f ca="1">IF((A1)=(2),"",IF((254)=(Z4),IF(IF((INDEX(B1:XFD1,((A3)+(1))+(0)))=("store"),(INDEX(B1:XFD1,((A3)+(1))+(1)))=("Z"),"false"),B3,Z258),Z258))</f>
        <v>#VALUE!</v>
      </c>
      <c r="AA258" t="e">
        <f ca="1">IF((A1)=(2),"",IF((254)=(AA4),IF(IF((INDEX(B1:XFD1,((A3)+(1))+(0)))=("store"),(INDEX(B1:XFD1,((A3)+(1))+(1)))=("AA"),"false"),B3,AA258),AA258))</f>
        <v>#VALUE!</v>
      </c>
      <c r="AB258" t="e">
        <f ca="1">IF((A1)=(2),"",IF((254)=(AB4),IF(IF((INDEX(B1:XFD1,((A3)+(1))+(0)))=("store"),(INDEX(B1:XFD1,((A3)+(1))+(1)))=("AB"),"false"),B3,AB258),AB258))</f>
        <v>#VALUE!</v>
      </c>
      <c r="AC258" t="e">
        <f ca="1">IF((A1)=(2),"",IF((254)=(AC4),IF(IF((INDEX(B1:XFD1,((A3)+(1))+(0)))=("store"),(INDEX(B1:XFD1,((A3)+(1))+(1)))=("AC"),"false"),B3,AC258),AC258))</f>
        <v>#VALUE!</v>
      </c>
      <c r="AD258" t="e">
        <f ca="1">IF((A1)=(2),"",IF((254)=(AD4),IF(IF((INDEX(B1:XFD1,((A3)+(1))+(0)))=("store"),(INDEX(B1:XFD1,((A3)+(1))+(1)))=("AD"),"false"),B3,AD258),AD258))</f>
        <v>#VALUE!</v>
      </c>
    </row>
    <row r="259" spans="1:30" x14ac:dyDescent="0.25">
      <c r="A259" t="e">
        <f ca="1">IF((A1)=(2),"",IF((255)=(A4),IF(("call")=(INDEX(B1:XFD1,((A3)+(1))+(0))),(B3)*(2),IF(("goto")=(INDEX(B1:XFD1,((A3)+(1))+(0))),(INDEX(B1:XFD1,((A3)+(1))+(1)))*(2),IF(("gotoiftrue")=(INDEX(B1:XFD1,((A3)+(1))+(0))),IF(B3,(INDEX(B1:XFD1,((A3)+(1))+(1)))*(2),(A259)+(2)),(A259)+(2)))),A259))</f>
        <v>#VALUE!</v>
      </c>
      <c r="B259" t="e">
        <f ca="1">IF((A1)=(2),"",IF((255)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259)+(1)),IF(("add")=(INDEX(B1:XFD1,((A3)+(1))+(0))),(INDEX(B5:B405,(B4)+(1)))+(B259),IF(("equals")=(INDEX(B1:XFD1,((A3)+(1))+(0))),(INDEX(B5:B405,(B4)+(1)))=(B259),IF(("leq")=(INDEX(B1:XFD1,((A3)+(1))+(0))),(INDEX(B5:B405,(B4)+(1)))&lt;=(B259),IF(("greater")=(INDEX(B1:XFD1,((A3)+(1))+(0))),(INDEX(B5:B405,(B4)+(1)))&gt;(B259),IF(("mod")=(INDEX(B1:XFD1,((A3)+(1))+(0))),MOD(INDEX(B5:B405,(B4)+(1)),B259),B259))))))))),B259))</f>
        <v>#VALUE!</v>
      </c>
      <c r="C259" t="e">
        <f ca="1">IF((A1)=(2),1,IF(AND((INDEX(B1:XFD1,((A3)+(1))+(0)))=("writeheap"),(INDEX(B5:B405,(B4)+(1)))=(254)),INDEX(B5:B405,(B4)+(2)),IF((A1)=(2),"",IF((255)=(C4),C259,C259))))</f>
        <v>#VALUE!</v>
      </c>
      <c r="F259" t="e">
        <f ca="1">IF((A1)=(2),"",IF((255)=(F4),IF(IF((INDEX(B1:XFD1,((A3)+(1))+(0)))=("store"),(INDEX(B1:XFD1,((A3)+(1))+(1)))=("F"),"false"),B3,F259),F259))</f>
        <v>#VALUE!</v>
      </c>
      <c r="G259" t="e">
        <f ca="1">IF((A1)=(2),"",IF((255)=(G4),IF(IF((INDEX(B1:XFD1,((A3)+(1))+(0)))=("store"),(INDEX(B1:XFD1,((A3)+(1))+(1)))=("G"),"false"),B3,G259),G259))</f>
        <v>#VALUE!</v>
      </c>
      <c r="H259" t="e">
        <f ca="1">IF((A1)=(2),"",IF((255)=(H4),IF(IF((INDEX(B1:XFD1,((A3)+(1))+(0)))=("store"),(INDEX(B1:XFD1,((A3)+(1))+(1)))=("H"),"false"),B3,H259),H259))</f>
        <v>#VALUE!</v>
      </c>
      <c r="I259" t="e">
        <f ca="1">IF((A1)=(2),"",IF((255)=(I4),IF(IF((INDEX(B1:XFD1,((A3)+(1))+(0)))=("store"),(INDEX(B1:XFD1,((A3)+(1))+(1)))=("I"),"false"),B3,I259),I259))</f>
        <v>#VALUE!</v>
      </c>
      <c r="J259" t="e">
        <f ca="1">IF((A1)=(2),"",IF((255)=(J4),IF(IF((INDEX(B1:XFD1,((A3)+(1))+(0)))=("store"),(INDEX(B1:XFD1,((A3)+(1))+(1)))=("J"),"false"),B3,J259),J259))</f>
        <v>#VALUE!</v>
      </c>
      <c r="K259" t="e">
        <f ca="1">IF((A1)=(2),"",IF((255)=(K4),IF(IF((INDEX(B1:XFD1,((A3)+(1))+(0)))=("store"),(INDEX(B1:XFD1,((A3)+(1))+(1)))=("K"),"false"),B3,K259),K259))</f>
        <v>#VALUE!</v>
      </c>
      <c r="L259" t="e">
        <f ca="1">IF((A1)=(2),"",IF((255)=(L4),IF(IF((INDEX(B1:XFD1,((A3)+(1))+(0)))=("store"),(INDEX(B1:XFD1,((A3)+(1))+(1)))=("L"),"false"),B3,L259),L259))</f>
        <v>#VALUE!</v>
      </c>
      <c r="M259" t="e">
        <f ca="1">IF((A1)=(2),"",IF((255)=(M4),IF(IF((INDEX(B1:XFD1,((A3)+(1))+(0)))=("store"),(INDEX(B1:XFD1,((A3)+(1))+(1)))=("M"),"false"),B3,M259),M259))</f>
        <v>#VALUE!</v>
      </c>
      <c r="N259" t="e">
        <f ca="1">IF((A1)=(2),"",IF((255)=(N4),IF(IF((INDEX(B1:XFD1,((A3)+(1))+(0)))=("store"),(INDEX(B1:XFD1,((A3)+(1))+(1)))=("N"),"false"),B3,N259),N259))</f>
        <v>#VALUE!</v>
      </c>
      <c r="O259" t="e">
        <f ca="1">IF((A1)=(2),"",IF((255)=(O4),IF(IF((INDEX(B1:XFD1,((A3)+(1))+(0)))=("store"),(INDEX(B1:XFD1,((A3)+(1))+(1)))=("O"),"false"),B3,O259),O259))</f>
        <v>#VALUE!</v>
      </c>
      <c r="P259" t="e">
        <f ca="1">IF((A1)=(2),"",IF((255)=(P4),IF(IF((INDEX(B1:XFD1,((A3)+(1))+(0)))=("store"),(INDEX(B1:XFD1,((A3)+(1))+(1)))=("P"),"false"),B3,P259),P259))</f>
        <v>#VALUE!</v>
      </c>
      <c r="Q259" t="e">
        <f ca="1">IF((A1)=(2),"",IF((255)=(Q4),IF(IF((INDEX(B1:XFD1,((A3)+(1))+(0)))=("store"),(INDEX(B1:XFD1,((A3)+(1))+(1)))=("Q"),"false"),B3,Q259),Q259))</f>
        <v>#VALUE!</v>
      </c>
      <c r="R259" t="e">
        <f ca="1">IF((A1)=(2),"",IF((255)=(R4),IF(IF((INDEX(B1:XFD1,((A3)+(1))+(0)))=("store"),(INDEX(B1:XFD1,((A3)+(1))+(1)))=("R"),"false"),B3,R259),R259))</f>
        <v>#VALUE!</v>
      </c>
      <c r="S259" t="e">
        <f ca="1">IF((A1)=(2),"",IF((255)=(S4),IF(IF((INDEX(B1:XFD1,((A3)+(1))+(0)))=("store"),(INDEX(B1:XFD1,((A3)+(1))+(1)))=("S"),"false"),B3,S259),S259))</f>
        <v>#VALUE!</v>
      </c>
      <c r="T259" t="e">
        <f ca="1">IF((A1)=(2),"",IF((255)=(T4),IF(IF((INDEX(B1:XFD1,((A3)+(1))+(0)))=("store"),(INDEX(B1:XFD1,((A3)+(1))+(1)))=("T"),"false"),B3,T259),T259))</f>
        <v>#VALUE!</v>
      </c>
      <c r="U259" t="e">
        <f ca="1">IF((A1)=(2),"",IF((255)=(U4),IF(IF((INDEX(B1:XFD1,((A3)+(1))+(0)))=("store"),(INDEX(B1:XFD1,((A3)+(1))+(1)))=("U"),"false"),B3,U259),U259))</f>
        <v>#VALUE!</v>
      </c>
      <c r="V259" t="e">
        <f ca="1">IF((A1)=(2),"",IF((255)=(V4),IF(IF((INDEX(B1:XFD1,((A3)+(1))+(0)))=("store"),(INDEX(B1:XFD1,((A3)+(1))+(1)))=("V"),"false"),B3,V259),V259))</f>
        <v>#VALUE!</v>
      </c>
      <c r="W259" t="e">
        <f ca="1">IF((A1)=(2),"",IF((255)=(W4),IF(IF((INDEX(B1:XFD1,((A3)+(1))+(0)))=("store"),(INDEX(B1:XFD1,((A3)+(1))+(1)))=("W"),"false"),B3,W259),W259))</f>
        <v>#VALUE!</v>
      </c>
      <c r="X259" t="e">
        <f ca="1">IF((A1)=(2),"",IF((255)=(X4),IF(IF((INDEX(B1:XFD1,((A3)+(1))+(0)))=("store"),(INDEX(B1:XFD1,((A3)+(1))+(1)))=("X"),"false"),B3,X259),X259))</f>
        <v>#VALUE!</v>
      </c>
      <c r="Y259" t="e">
        <f ca="1">IF((A1)=(2),"",IF((255)=(Y4),IF(IF((INDEX(B1:XFD1,((A3)+(1))+(0)))=("store"),(INDEX(B1:XFD1,((A3)+(1))+(1)))=("Y"),"false"),B3,Y259),Y259))</f>
        <v>#VALUE!</v>
      </c>
      <c r="Z259" t="e">
        <f ca="1">IF((A1)=(2),"",IF((255)=(Z4),IF(IF((INDEX(B1:XFD1,((A3)+(1))+(0)))=("store"),(INDEX(B1:XFD1,((A3)+(1))+(1)))=("Z"),"false"),B3,Z259),Z259))</f>
        <v>#VALUE!</v>
      </c>
      <c r="AA259" t="e">
        <f ca="1">IF((A1)=(2),"",IF((255)=(AA4),IF(IF((INDEX(B1:XFD1,((A3)+(1))+(0)))=("store"),(INDEX(B1:XFD1,((A3)+(1))+(1)))=("AA"),"false"),B3,AA259),AA259))</f>
        <v>#VALUE!</v>
      </c>
      <c r="AB259" t="e">
        <f ca="1">IF((A1)=(2),"",IF((255)=(AB4),IF(IF((INDEX(B1:XFD1,((A3)+(1))+(0)))=("store"),(INDEX(B1:XFD1,((A3)+(1))+(1)))=("AB"),"false"),B3,AB259),AB259))</f>
        <v>#VALUE!</v>
      </c>
      <c r="AC259" t="e">
        <f ca="1">IF((A1)=(2),"",IF((255)=(AC4),IF(IF((INDEX(B1:XFD1,((A3)+(1))+(0)))=("store"),(INDEX(B1:XFD1,((A3)+(1))+(1)))=("AC"),"false"),B3,AC259),AC259))</f>
        <v>#VALUE!</v>
      </c>
      <c r="AD259" t="e">
        <f ca="1">IF((A1)=(2),"",IF((255)=(AD4),IF(IF((INDEX(B1:XFD1,((A3)+(1))+(0)))=("store"),(INDEX(B1:XFD1,((A3)+(1))+(1)))=("AD"),"false"),B3,AD259),AD259))</f>
        <v>#VALUE!</v>
      </c>
    </row>
    <row r="260" spans="1:30" x14ac:dyDescent="0.25">
      <c r="A260" t="e">
        <f ca="1">IF((A1)=(2),"",IF((256)=(A4),IF(("call")=(INDEX(B1:XFD1,((A3)+(1))+(0))),(B3)*(2),IF(("goto")=(INDEX(B1:XFD1,((A3)+(1))+(0))),(INDEX(B1:XFD1,((A3)+(1))+(1)))*(2),IF(("gotoiftrue")=(INDEX(B1:XFD1,((A3)+(1))+(0))),IF(B3,(INDEX(B1:XFD1,((A3)+(1))+(1)))*(2),(A260)+(2)),(A260)+(2)))),A260))</f>
        <v>#VALUE!</v>
      </c>
      <c r="B260" t="e">
        <f ca="1">IF((A1)=(2),"",IF((256)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260)+(1)),IF(("add")=(INDEX(B1:XFD1,((A3)+(1))+(0))),(INDEX(B5:B405,(B4)+(1)))+(B260),IF(("equals")=(INDEX(B1:XFD1,((A3)+(1))+(0))),(INDEX(B5:B405,(B4)+(1)))=(B260),IF(("leq")=(INDEX(B1:XFD1,((A3)+(1))+(0))),(INDEX(B5:B405,(B4)+(1)))&lt;=(B260),IF(("greater")=(INDEX(B1:XFD1,((A3)+(1))+(0))),(INDEX(B5:B405,(B4)+(1)))&gt;(B260),IF(("mod")=(INDEX(B1:XFD1,((A3)+(1))+(0))),MOD(INDEX(B5:B405,(B4)+(1)),B260),B260))))))))),B260))</f>
        <v>#VALUE!</v>
      </c>
      <c r="C260" t="e">
        <f ca="1">IF((A1)=(2),1,IF(AND((INDEX(B1:XFD1,((A3)+(1))+(0)))=("writeheap"),(INDEX(B5:B405,(B4)+(1)))=(255)),INDEX(B5:B405,(B4)+(2)),IF((A1)=(2),"",IF((256)=(C4),C260,C260))))</f>
        <v>#VALUE!</v>
      </c>
      <c r="F260" t="e">
        <f ca="1">IF((A1)=(2),"",IF((256)=(F4),IF(IF((INDEX(B1:XFD1,((A3)+(1))+(0)))=("store"),(INDEX(B1:XFD1,((A3)+(1))+(1)))=("F"),"false"),B3,F260),F260))</f>
        <v>#VALUE!</v>
      </c>
      <c r="G260" t="e">
        <f ca="1">IF((A1)=(2),"",IF((256)=(G4),IF(IF((INDEX(B1:XFD1,((A3)+(1))+(0)))=("store"),(INDEX(B1:XFD1,((A3)+(1))+(1)))=("G"),"false"),B3,G260),G260))</f>
        <v>#VALUE!</v>
      </c>
      <c r="H260" t="e">
        <f ca="1">IF((A1)=(2),"",IF((256)=(H4),IF(IF((INDEX(B1:XFD1,((A3)+(1))+(0)))=("store"),(INDEX(B1:XFD1,((A3)+(1))+(1)))=("H"),"false"),B3,H260),H260))</f>
        <v>#VALUE!</v>
      </c>
      <c r="I260" t="e">
        <f ca="1">IF((A1)=(2),"",IF((256)=(I4),IF(IF((INDEX(B1:XFD1,((A3)+(1))+(0)))=("store"),(INDEX(B1:XFD1,((A3)+(1))+(1)))=("I"),"false"),B3,I260),I260))</f>
        <v>#VALUE!</v>
      </c>
      <c r="J260" t="e">
        <f ca="1">IF((A1)=(2),"",IF((256)=(J4),IF(IF((INDEX(B1:XFD1,((A3)+(1))+(0)))=("store"),(INDEX(B1:XFD1,((A3)+(1))+(1)))=("J"),"false"),B3,J260),J260))</f>
        <v>#VALUE!</v>
      </c>
      <c r="K260" t="e">
        <f ca="1">IF((A1)=(2),"",IF((256)=(K4),IF(IF((INDEX(B1:XFD1,((A3)+(1))+(0)))=("store"),(INDEX(B1:XFD1,((A3)+(1))+(1)))=("K"),"false"),B3,K260),K260))</f>
        <v>#VALUE!</v>
      </c>
      <c r="L260" t="e">
        <f ca="1">IF((A1)=(2),"",IF((256)=(L4),IF(IF((INDEX(B1:XFD1,((A3)+(1))+(0)))=("store"),(INDEX(B1:XFD1,((A3)+(1))+(1)))=("L"),"false"),B3,L260),L260))</f>
        <v>#VALUE!</v>
      </c>
      <c r="M260" t="e">
        <f ca="1">IF((A1)=(2),"",IF((256)=(M4),IF(IF((INDEX(B1:XFD1,((A3)+(1))+(0)))=("store"),(INDEX(B1:XFD1,((A3)+(1))+(1)))=("M"),"false"),B3,M260),M260))</f>
        <v>#VALUE!</v>
      </c>
      <c r="N260" t="e">
        <f ca="1">IF((A1)=(2),"",IF((256)=(N4),IF(IF((INDEX(B1:XFD1,((A3)+(1))+(0)))=("store"),(INDEX(B1:XFD1,((A3)+(1))+(1)))=("N"),"false"),B3,N260),N260))</f>
        <v>#VALUE!</v>
      </c>
      <c r="O260" t="e">
        <f ca="1">IF((A1)=(2),"",IF((256)=(O4),IF(IF((INDEX(B1:XFD1,((A3)+(1))+(0)))=("store"),(INDEX(B1:XFD1,((A3)+(1))+(1)))=("O"),"false"),B3,O260),O260))</f>
        <v>#VALUE!</v>
      </c>
      <c r="P260" t="e">
        <f ca="1">IF((A1)=(2),"",IF((256)=(P4),IF(IF((INDEX(B1:XFD1,((A3)+(1))+(0)))=("store"),(INDEX(B1:XFD1,((A3)+(1))+(1)))=("P"),"false"),B3,P260),P260))</f>
        <v>#VALUE!</v>
      </c>
      <c r="Q260" t="e">
        <f ca="1">IF((A1)=(2),"",IF((256)=(Q4),IF(IF((INDEX(B1:XFD1,((A3)+(1))+(0)))=("store"),(INDEX(B1:XFD1,((A3)+(1))+(1)))=("Q"),"false"),B3,Q260),Q260))</f>
        <v>#VALUE!</v>
      </c>
      <c r="R260" t="e">
        <f ca="1">IF((A1)=(2),"",IF((256)=(R4),IF(IF((INDEX(B1:XFD1,((A3)+(1))+(0)))=("store"),(INDEX(B1:XFD1,((A3)+(1))+(1)))=("R"),"false"),B3,R260),R260))</f>
        <v>#VALUE!</v>
      </c>
      <c r="S260" t="e">
        <f ca="1">IF((A1)=(2),"",IF((256)=(S4),IF(IF((INDEX(B1:XFD1,((A3)+(1))+(0)))=("store"),(INDEX(B1:XFD1,((A3)+(1))+(1)))=("S"),"false"),B3,S260),S260))</f>
        <v>#VALUE!</v>
      </c>
      <c r="T260" t="e">
        <f ca="1">IF((A1)=(2),"",IF((256)=(T4),IF(IF((INDEX(B1:XFD1,((A3)+(1))+(0)))=("store"),(INDEX(B1:XFD1,((A3)+(1))+(1)))=("T"),"false"),B3,T260),T260))</f>
        <v>#VALUE!</v>
      </c>
      <c r="U260" t="e">
        <f ca="1">IF((A1)=(2),"",IF((256)=(U4),IF(IF((INDEX(B1:XFD1,((A3)+(1))+(0)))=("store"),(INDEX(B1:XFD1,((A3)+(1))+(1)))=("U"),"false"),B3,U260),U260))</f>
        <v>#VALUE!</v>
      </c>
      <c r="V260" t="e">
        <f ca="1">IF((A1)=(2),"",IF((256)=(V4),IF(IF((INDEX(B1:XFD1,((A3)+(1))+(0)))=("store"),(INDEX(B1:XFD1,((A3)+(1))+(1)))=("V"),"false"),B3,V260),V260))</f>
        <v>#VALUE!</v>
      </c>
      <c r="W260" t="e">
        <f ca="1">IF((A1)=(2),"",IF((256)=(W4),IF(IF((INDEX(B1:XFD1,((A3)+(1))+(0)))=("store"),(INDEX(B1:XFD1,((A3)+(1))+(1)))=("W"),"false"),B3,W260),W260))</f>
        <v>#VALUE!</v>
      </c>
      <c r="X260" t="e">
        <f ca="1">IF((A1)=(2),"",IF((256)=(X4),IF(IF((INDEX(B1:XFD1,((A3)+(1))+(0)))=("store"),(INDEX(B1:XFD1,((A3)+(1))+(1)))=("X"),"false"),B3,X260),X260))</f>
        <v>#VALUE!</v>
      </c>
      <c r="Y260" t="e">
        <f ca="1">IF((A1)=(2),"",IF((256)=(Y4),IF(IF((INDEX(B1:XFD1,((A3)+(1))+(0)))=("store"),(INDEX(B1:XFD1,((A3)+(1))+(1)))=("Y"),"false"),B3,Y260),Y260))</f>
        <v>#VALUE!</v>
      </c>
      <c r="Z260" t="e">
        <f ca="1">IF((A1)=(2),"",IF((256)=(Z4),IF(IF((INDEX(B1:XFD1,((A3)+(1))+(0)))=("store"),(INDEX(B1:XFD1,((A3)+(1))+(1)))=("Z"),"false"),B3,Z260),Z260))</f>
        <v>#VALUE!</v>
      </c>
      <c r="AA260" t="e">
        <f ca="1">IF((A1)=(2),"",IF((256)=(AA4),IF(IF((INDEX(B1:XFD1,((A3)+(1))+(0)))=("store"),(INDEX(B1:XFD1,((A3)+(1))+(1)))=("AA"),"false"),B3,AA260),AA260))</f>
        <v>#VALUE!</v>
      </c>
      <c r="AB260" t="e">
        <f ca="1">IF((A1)=(2),"",IF((256)=(AB4),IF(IF((INDEX(B1:XFD1,((A3)+(1))+(0)))=("store"),(INDEX(B1:XFD1,((A3)+(1))+(1)))=("AB"),"false"),B3,AB260),AB260))</f>
        <v>#VALUE!</v>
      </c>
      <c r="AC260" t="e">
        <f ca="1">IF((A1)=(2),"",IF((256)=(AC4),IF(IF((INDEX(B1:XFD1,((A3)+(1))+(0)))=("store"),(INDEX(B1:XFD1,((A3)+(1))+(1)))=("AC"),"false"),B3,AC260),AC260))</f>
        <v>#VALUE!</v>
      </c>
      <c r="AD260" t="e">
        <f ca="1">IF((A1)=(2),"",IF((256)=(AD4),IF(IF((INDEX(B1:XFD1,((A3)+(1))+(0)))=("store"),(INDEX(B1:XFD1,((A3)+(1))+(1)))=("AD"),"false"),B3,AD260),AD260))</f>
        <v>#VALUE!</v>
      </c>
    </row>
    <row r="261" spans="1:30" x14ac:dyDescent="0.25">
      <c r="A261" t="e">
        <f ca="1">IF((A1)=(2),"",IF((257)=(A4),IF(("call")=(INDEX(B1:XFD1,((A3)+(1))+(0))),(B3)*(2),IF(("goto")=(INDEX(B1:XFD1,((A3)+(1))+(0))),(INDEX(B1:XFD1,((A3)+(1))+(1)))*(2),IF(("gotoiftrue")=(INDEX(B1:XFD1,((A3)+(1))+(0))),IF(B3,(INDEX(B1:XFD1,((A3)+(1))+(1)))*(2),(A261)+(2)),(A261)+(2)))),A261))</f>
        <v>#VALUE!</v>
      </c>
      <c r="B261" t="e">
        <f ca="1">IF((A1)=(2),"",IF((257)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261)+(1)),IF(("add")=(INDEX(B1:XFD1,((A3)+(1))+(0))),(INDEX(B5:B405,(B4)+(1)))+(B261),IF(("equals")=(INDEX(B1:XFD1,((A3)+(1))+(0))),(INDEX(B5:B405,(B4)+(1)))=(B261),IF(("leq")=(INDEX(B1:XFD1,((A3)+(1))+(0))),(INDEX(B5:B405,(B4)+(1)))&lt;=(B261),IF(("greater")=(INDEX(B1:XFD1,((A3)+(1))+(0))),(INDEX(B5:B405,(B4)+(1)))&gt;(B261),IF(("mod")=(INDEX(B1:XFD1,((A3)+(1))+(0))),MOD(INDEX(B5:B405,(B4)+(1)),B261),B261))))))))),B261))</f>
        <v>#VALUE!</v>
      </c>
      <c r="C261" t="e">
        <f ca="1">IF((A1)=(2),1,IF(AND((INDEX(B1:XFD1,((A3)+(1))+(0)))=("writeheap"),(INDEX(B5:B405,(B4)+(1)))=(256)),INDEX(B5:B405,(B4)+(2)),IF((A1)=(2),"",IF((257)=(C4),C261,C261))))</f>
        <v>#VALUE!</v>
      </c>
      <c r="F261" t="e">
        <f ca="1">IF((A1)=(2),"",IF((257)=(F4),IF(IF((INDEX(B1:XFD1,((A3)+(1))+(0)))=("store"),(INDEX(B1:XFD1,((A3)+(1))+(1)))=("F"),"false"),B3,F261),F261))</f>
        <v>#VALUE!</v>
      </c>
      <c r="G261" t="e">
        <f ca="1">IF((A1)=(2),"",IF((257)=(G4),IF(IF((INDEX(B1:XFD1,((A3)+(1))+(0)))=("store"),(INDEX(B1:XFD1,((A3)+(1))+(1)))=("G"),"false"),B3,G261),G261))</f>
        <v>#VALUE!</v>
      </c>
      <c r="H261" t="e">
        <f ca="1">IF((A1)=(2),"",IF((257)=(H4),IF(IF((INDEX(B1:XFD1,((A3)+(1))+(0)))=("store"),(INDEX(B1:XFD1,((A3)+(1))+(1)))=("H"),"false"),B3,H261),H261))</f>
        <v>#VALUE!</v>
      </c>
      <c r="I261" t="e">
        <f ca="1">IF((A1)=(2),"",IF((257)=(I4),IF(IF((INDEX(B1:XFD1,((A3)+(1))+(0)))=("store"),(INDEX(B1:XFD1,((A3)+(1))+(1)))=("I"),"false"),B3,I261),I261))</f>
        <v>#VALUE!</v>
      </c>
      <c r="J261" t="e">
        <f ca="1">IF((A1)=(2),"",IF((257)=(J4),IF(IF((INDEX(B1:XFD1,((A3)+(1))+(0)))=("store"),(INDEX(B1:XFD1,((A3)+(1))+(1)))=("J"),"false"),B3,J261),J261))</f>
        <v>#VALUE!</v>
      </c>
      <c r="K261" t="e">
        <f ca="1">IF((A1)=(2),"",IF((257)=(K4),IF(IF((INDEX(B1:XFD1,((A3)+(1))+(0)))=("store"),(INDEX(B1:XFD1,((A3)+(1))+(1)))=("K"),"false"),B3,K261),K261))</f>
        <v>#VALUE!</v>
      </c>
      <c r="L261" t="e">
        <f ca="1">IF((A1)=(2),"",IF((257)=(L4),IF(IF((INDEX(B1:XFD1,((A3)+(1))+(0)))=("store"),(INDEX(B1:XFD1,((A3)+(1))+(1)))=("L"),"false"),B3,L261),L261))</f>
        <v>#VALUE!</v>
      </c>
      <c r="M261" t="e">
        <f ca="1">IF((A1)=(2),"",IF((257)=(M4),IF(IF((INDEX(B1:XFD1,((A3)+(1))+(0)))=("store"),(INDEX(B1:XFD1,((A3)+(1))+(1)))=("M"),"false"),B3,M261),M261))</f>
        <v>#VALUE!</v>
      </c>
      <c r="N261" t="e">
        <f ca="1">IF((A1)=(2),"",IF((257)=(N4),IF(IF((INDEX(B1:XFD1,((A3)+(1))+(0)))=("store"),(INDEX(B1:XFD1,((A3)+(1))+(1)))=("N"),"false"),B3,N261),N261))</f>
        <v>#VALUE!</v>
      </c>
      <c r="O261" t="e">
        <f ca="1">IF((A1)=(2),"",IF((257)=(O4),IF(IF((INDEX(B1:XFD1,((A3)+(1))+(0)))=("store"),(INDEX(B1:XFD1,((A3)+(1))+(1)))=("O"),"false"),B3,O261),O261))</f>
        <v>#VALUE!</v>
      </c>
      <c r="P261" t="e">
        <f ca="1">IF((A1)=(2),"",IF((257)=(P4),IF(IF((INDEX(B1:XFD1,((A3)+(1))+(0)))=("store"),(INDEX(B1:XFD1,((A3)+(1))+(1)))=("P"),"false"),B3,P261),P261))</f>
        <v>#VALUE!</v>
      </c>
      <c r="Q261" t="e">
        <f ca="1">IF((A1)=(2),"",IF((257)=(Q4),IF(IF((INDEX(B1:XFD1,((A3)+(1))+(0)))=("store"),(INDEX(B1:XFD1,((A3)+(1))+(1)))=("Q"),"false"),B3,Q261),Q261))</f>
        <v>#VALUE!</v>
      </c>
      <c r="R261" t="e">
        <f ca="1">IF((A1)=(2),"",IF((257)=(R4),IF(IF((INDEX(B1:XFD1,((A3)+(1))+(0)))=("store"),(INDEX(B1:XFD1,((A3)+(1))+(1)))=("R"),"false"),B3,R261),R261))</f>
        <v>#VALUE!</v>
      </c>
      <c r="S261" t="e">
        <f ca="1">IF((A1)=(2),"",IF((257)=(S4),IF(IF((INDEX(B1:XFD1,((A3)+(1))+(0)))=("store"),(INDEX(B1:XFD1,((A3)+(1))+(1)))=("S"),"false"),B3,S261),S261))</f>
        <v>#VALUE!</v>
      </c>
      <c r="T261" t="e">
        <f ca="1">IF((A1)=(2),"",IF((257)=(T4),IF(IF((INDEX(B1:XFD1,((A3)+(1))+(0)))=("store"),(INDEX(B1:XFD1,((A3)+(1))+(1)))=("T"),"false"),B3,T261),T261))</f>
        <v>#VALUE!</v>
      </c>
      <c r="U261" t="e">
        <f ca="1">IF((A1)=(2),"",IF((257)=(U4),IF(IF((INDEX(B1:XFD1,((A3)+(1))+(0)))=("store"),(INDEX(B1:XFD1,((A3)+(1))+(1)))=("U"),"false"),B3,U261),U261))</f>
        <v>#VALUE!</v>
      </c>
      <c r="V261" t="e">
        <f ca="1">IF((A1)=(2),"",IF((257)=(V4),IF(IF((INDEX(B1:XFD1,((A3)+(1))+(0)))=("store"),(INDEX(B1:XFD1,((A3)+(1))+(1)))=("V"),"false"),B3,V261),V261))</f>
        <v>#VALUE!</v>
      </c>
      <c r="W261" t="e">
        <f ca="1">IF((A1)=(2),"",IF((257)=(W4),IF(IF((INDEX(B1:XFD1,((A3)+(1))+(0)))=("store"),(INDEX(B1:XFD1,((A3)+(1))+(1)))=("W"),"false"),B3,W261),W261))</f>
        <v>#VALUE!</v>
      </c>
      <c r="X261" t="e">
        <f ca="1">IF((A1)=(2),"",IF((257)=(X4),IF(IF((INDEX(B1:XFD1,((A3)+(1))+(0)))=("store"),(INDEX(B1:XFD1,((A3)+(1))+(1)))=("X"),"false"),B3,X261),X261))</f>
        <v>#VALUE!</v>
      </c>
      <c r="Y261" t="e">
        <f ca="1">IF((A1)=(2),"",IF((257)=(Y4),IF(IF((INDEX(B1:XFD1,((A3)+(1))+(0)))=("store"),(INDEX(B1:XFD1,((A3)+(1))+(1)))=("Y"),"false"),B3,Y261),Y261))</f>
        <v>#VALUE!</v>
      </c>
      <c r="Z261" t="e">
        <f ca="1">IF((A1)=(2),"",IF((257)=(Z4),IF(IF((INDEX(B1:XFD1,((A3)+(1))+(0)))=("store"),(INDEX(B1:XFD1,((A3)+(1))+(1)))=("Z"),"false"),B3,Z261),Z261))</f>
        <v>#VALUE!</v>
      </c>
      <c r="AA261" t="e">
        <f ca="1">IF((A1)=(2),"",IF((257)=(AA4),IF(IF((INDEX(B1:XFD1,((A3)+(1))+(0)))=("store"),(INDEX(B1:XFD1,((A3)+(1))+(1)))=("AA"),"false"),B3,AA261),AA261))</f>
        <v>#VALUE!</v>
      </c>
      <c r="AB261" t="e">
        <f ca="1">IF((A1)=(2),"",IF((257)=(AB4),IF(IF((INDEX(B1:XFD1,((A3)+(1))+(0)))=("store"),(INDEX(B1:XFD1,((A3)+(1))+(1)))=("AB"),"false"),B3,AB261),AB261))</f>
        <v>#VALUE!</v>
      </c>
      <c r="AC261" t="e">
        <f ca="1">IF((A1)=(2),"",IF((257)=(AC4),IF(IF((INDEX(B1:XFD1,((A3)+(1))+(0)))=("store"),(INDEX(B1:XFD1,((A3)+(1))+(1)))=("AC"),"false"),B3,AC261),AC261))</f>
        <v>#VALUE!</v>
      </c>
      <c r="AD261" t="e">
        <f ca="1">IF((A1)=(2),"",IF((257)=(AD4),IF(IF((INDEX(B1:XFD1,((A3)+(1))+(0)))=("store"),(INDEX(B1:XFD1,((A3)+(1))+(1)))=("AD"),"false"),B3,AD261),AD261))</f>
        <v>#VALUE!</v>
      </c>
    </row>
    <row r="262" spans="1:30" x14ac:dyDescent="0.25">
      <c r="A262" t="e">
        <f ca="1">IF((A1)=(2),"",IF((258)=(A4),IF(("call")=(INDEX(B1:XFD1,((A3)+(1))+(0))),(B3)*(2),IF(("goto")=(INDEX(B1:XFD1,((A3)+(1))+(0))),(INDEX(B1:XFD1,((A3)+(1))+(1)))*(2),IF(("gotoiftrue")=(INDEX(B1:XFD1,((A3)+(1))+(0))),IF(B3,(INDEX(B1:XFD1,((A3)+(1))+(1)))*(2),(A262)+(2)),(A262)+(2)))),A262))</f>
        <v>#VALUE!</v>
      </c>
      <c r="B262" t="e">
        <f ca="1">IF((A1)=(2),"",IF((258)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262)+(1)),IF(("add")=(INDEX(B1:XFD1,((A3)+(1))+(0))),(INDEX(B5:B405,(B4)+(1)))+(B262),IF(("equals")=(INDEX(B1:XFD1,((A3)+(1))+(0))),(INDEX(B5:B405,(B4)+(1)))=(B262),IF(("leq")=(INDEX(B1:XFD1,((A3)+(1))+(0))),(INDEX(B5:B405,(B4)+(1)))&lt;=(B262),IF(("greater")=(INDEX(B1:XFD1,((A3)+(1))+(0))),(INDEX(B5:B405,(B4)+(1)))&gt;(B262),IF(("mod")=(INDEX(B1:XFD1,((A3)+(1))+(0))),MOD(INDEX(B5:B405,(B4)+(1)),B262),B262))))))))),B262))</f>
        <v>#VALUE!</v>
      </c>
      <c r="C262" t="e">
        <f ca="1">IF((A1)=(2),1,IF(AND((INDEX(B1:XFD1,((A3)+(1))+(0)))=("writeheap"),(INDEX(B5:B405,(B4)+(1)))=(257)),INDEX(B5:B405,(B4)+(2)),IF((A1)=(2),"",IF((258)=(C4),C262,C262))))</f>
        <v>#VALUE!</v>
      </c>
      <c r="F262" t="e">
        <f ca="1">IF((A1)=(2),"",IF((258)=(F4),IF(IF((INDEX(B1:XFD1,((A3)+(1))+(0)))=("store"),(INDEX(B1:XFD1,((A3)+(1))+(1)))=("F"),"false"),B3,F262),F262))</f>
        <v>#VALUE!</v>
      </c>
      <c r="G262" t="e">
        <f ca="1">IF((A1)=(2),"",IF((258)=(G4),IF(IF((INDEX(B1:XFD1,((A3)+(1))+(0)))=("store"),(INDEX(B1:XFD1,((A3)+(1))+(1)))=("G"),"false"),B3,G262),G262))</f>
        <v>#VALUE!</v>
      </c>
      <c r="H262" t="e">
        <f ca="1">IF((A1)=(2),"",IF((258)=(H4),IF(IF((INDEX(B1:XFD1,((A3)+(1))+(0)))=("store"),(INDEX(B1:XFD1,((A3)+(1))+(1)))=("H"),"false"),B3,H262),H262))</f>
        <v>#VALUE!</v>
      </c>
      <c r="I262" t="e">
        <f ca="1">IF((A1)=(2),"",IF((258)=(I4),IF(IF((INDEX(B1:XFD1,((A3)+(1))+(0)))=("store"),(INDEX(B1:XFD1,((A3)+(1))+(1)))=("I"),"false"),B3,I262),I262))</f>
        <v>#VALUE!</v>
      </c>
      <c r="J262" t="e">
        <f ca="1">IF((A1)=(2),"",IF((258)=(J4),IF(IF((INDEX(B1:XFD1,((A3)+(1))+(0)))=("store"),(INDEX(B1:XFD1,((A3)+(1))+(1)))=("J"),"false"),B3,J262),J262))</f>
        <v>#VALUE!</v>
      </c>
      <c r="K262" t="e">
        <f ca="1">IF((A1)=(2),"",IF((258)=(K4),IF(IF((INDEX(B1:XFD1,((A3)+(1))+(0)))=("store"),(INDEX(B1:XFD1,((A3)+(1))+(1)))=("K"),"false"),B3,K262),K262))</f>
        <v>#VALUE!</v>
      </c>
      <c r="L262" t="e">
        <f ca="1">IF((A1)=(2),"",IF((258)=(L4),IF(IF((INDEX(B1:XFD1,((A3)+(1))+(0)))=("store"),(INDEX(B1:XFD1,((A3)+(1))+(1)))=("L"),"false"),B3,L262),L262))</f>
        <v>#VALUE!</v>
      </c>
      <c r="M262" t="e">
        <f ca="1">IF((A1)=(2),"",IF((258)=(M4),IF(IF((INDEX(B1:XFD1,((A3)+(1))+(0)))=("store"),(INDEX(B1:XFD1,((A3)+(1))+(1)))=("M"),"false"),B3,M262),M262))</f>
        <v>#VALUE!</v>
      </c>
      <c r="N262" t="e">
        <f ca="1">IF((A1)=(2),"",IF((258)=(N4),IF(IF((INDEX(B1:XFD1,((A3)+(1))+(0)))=("store"),(INDEX(B1:XFD1,((A3)+(1))+(1)))=("N"),"false"),B3,N262),N262))</f>
        <v>#VALUE!</v>
      </c>
      <c r="O262" t="e">
        <f ca="1">IF((A1)=(2),"",IF((258)=(O4),IF(IF((INDEX(B1:XFD1,((A3)+(1))+(0)))=("store"),(INDEX(B1:XFD1,((A3)+(1))+(1)))=("O"),"false"),B3,O262),O262))</f>
        <v>#VALUE!</v>
      </c>
      <c r="P262" t="e">
        <f ca="1">IF((A1)=(2),"",IF((258)=(P4),IF(IF((INDEX(B1:XFD1,((A3)+(1))+(0)))=("store"),(INDEX(B1:XFD1,((A3)+(1))+(1)))=("P"),"false"),B3,P262),P262))</f>
        <v>#VALUE!</v>
      </c>
      <c r="Q262" t="e">
        <f ca="1">IF((A1)=(2),"",IF((258)=(Q4),IF(IF((INDEX(B1:XFD1,((A3)+(1))+(0)))=("store"),(INDEX(B1:XFD1,((A3)+(1))+(1)))=("Q"),"false"),B3,Q262),Q262))</f>
        <v>#VALUE!</v>
      </c>
      <c r="R262" t="e">
        <f ca="1">IF((A1)=(2),"",IF((258)=(R4),IF(IF((INDEX(B1:XFD1,((A3)+(1))+(0)))=("store"),(INDEX(B1:XFD1,((A3)+(1))+(1)))=("R"),"false"),B3,R262),R262))</f>
        <v>#VALUE!</v>
      </c>
      <c r="S262" t="e">
        <f ca="1">IF((A1)=(2),"",IF((258)=(S4),IF(IF((INDEX(B1:XFD1,((A3)+(1))+(0)))=("store"),(INDEX(B1:XFD1,((A3)+(1))+(1)))=("S"),"false"),B3,S262),S262))</f>
        <v>#VALUE!</v>
      </c>
      <c r="T262" t="e">
        <f ca="1">IF((A1)=(2),"",IF((258)=(T4),IF(IF((INDEX(B1:XFD1,((A3)+(1))+(0)))=("store"),(INDEX(B1:XFD1,((A3)+(1))+(1)))=("T"),"false"),B3,T262),T262))</f>
        <v>#VALUE!</v>
      </c>
      <c r="U262" t="e">
        <f ca="1">IF((A1)=(2),"",IF((258)=(U4),IF(IF((INDEX(B1:XFD1,((A3)+(1))+(0)))=("store"),(INDEX(B1:XFD1,((A3)+(1))+(1)))=("U"),"false"),B3,U262),U262))</f>
        <v>#VALUE!</v>
      </c>
      <c r="V262" t="e">
        <f ca="1">IF((A1)=(2),"",IF((258)=(V4),IF(IF((INDEX(B1:XFD1,((A3)+(1))+(0)))=("store"),(INDEX(B1:XFD1,((A3)+(1))+(1)))=("V"),"false"),B3,V262),V262))</f>
        <v>#VALUE!</v>
      </c>
      <c r="W262" t="e">
        <f ca="1">IF((A1)=(2),"",IF((258)=(W4),IF(IF((INDEX(B1:XFD1,((A3)+(1))+(0)))=("store"),(INDEX(B1:XFD1,((A3)+(1))+(1)))=("W"),"false"),B3,W262),W262))</f>
        <v>#VALUE!</v>
      </c>
      <c r="X262" t="e">
        <f ca="1">IF((A1)=(2),"",IF((258)=(X4),IF(IF((INDEX(B1:XFD1,((A3)+(1))+(0)))=("store"),(INDEX(B1:XFD1,((A3)+(1))+(1)))=("X"),"false"),B3,X262),X262))</f>
        <v>#VALUE!</v>
      </c>
      <c r="Y262" t="e">
        <f ca="1">IF((A1)=(2),"",IF((258)=(Y4),IF(IF((INDEX(B1:XFD1,((A3)+(1))+(0)))=("store"),(INDEX(B1:XFD1,((A3)+(1))+(1)))=("Y"),"false"),B3,Y262),Y262))</f>
        <v>#VALUE!</v>
      </c>
      <c r="Z262" t="e">
        <f ca="1">IF((A1)=(2),"",IF((258)=(Z4),IF(IF((INDEX(B1:XFD1,((A3)+(1))+(0)))=("store"),(INDEX(B1:XFD1,((A3)+(1))+(1)))=("Z"),"false"),B3,Z262),Z262))</f>
        <v>#VALUE!</v>
      </c>
      <c r="AA262" t="e">
        <f ca="1">IF((A1)=(2),"",IF((258)=(AA4),IF(IF((INDEX(B1:XFD1,((A3)+(1))+(0)))=("store"),(INDEX(B1:XFD1,((A3)+(1))+(1)))=("AA"),"false"),B3,AA262),AA262))</f>
        <v>#VALUE!</v>
      </c>
      <c r="AB262" t="e">
        <f ca="1">IF((A1)=(2),"",IF((258)=(AB4),IF(IF((INDEX(B1:XFD1,((A3)+(1))+(0)))=("store"),(INDEX(B1:XFD1,((A3)+(1))+(1)))=("AB"),"false"),B3,AB262),AB262))</f>
        <v>#VALUE!</v>
      </c>
      <c r="AC262" t="e">
        <f ca="1">IF((A1)=(2),"",IF((258)=(AC4),IF(IF((INDEX(B1:XFD1,((A3)+(1))+(0)))=("store"),(INDEX(B1:XFD1,((A3)+(1))+(1)))=("AC"),"false"),B3,AC262),AC262))</f>
        <v>#VALUE!</v>
      </c>
      <c r="AD262" t="e">
        <f ca="1">IF((A1)=(2),"",IF((258)=(AD4),IF(IF((INDEX(B1:XFD1,((A3)+(1))+(0)))=("store"),(INDEX(B1:XFD1,((A3)+(1))+(1)))=("AD"),"false"),B3,AD262),AD262))</f>
        <v>#VALUE!</v>
      </c>
    </row>
    <row r="263" spans="1:30" x14ac:dyDescent="0.25">
      <c r="A263" t="e">
        <f ca="1">IF((A1)=(2),"",IF((259)=(A4),IF(("call")=(INDEX(B1:XFD1,((A3)+(1))+(0))),(B3)*(2),IF(("goto")=(INDEX(B1:XFD1,((A3)+(1))+(0))),(INDEX(B1:XFD1,((A3)+(1))+(1)))*(2),IF(("gotoiftrue")=(INDEX(B1:XFD1,((A3)+(1))+(0))),IF(B3,(INDEX(B1:XFD1,((A3)+(1))+(1)))*(2),(A263)+(2)),(A263)+(2)))),A263))</f>
        <v>#VALUE!</v>
      </c>
      <c r="B263" t="e">
        <f ca="1">IF((A1)=(2),"",IF((259)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263)+(1)),IF(("add")=(INDEX(B1:XFD1,((A3)+(1))+(0))),(INDEX(B5:B405,(B4)+(1)))+(B263),IF(("equals")=(INDEX(B1:XFD1,((A3)+(1))+(0))),(INDEX(B5:B405,(B4)+(1)))=(B263),IF(("leq")=(INDEX(B1:XFD1,((A3)+(1))+(0))),(INDEX(B5:B405,(B4)+(1)))&lt;=(B263),IF(("greater")=(INDEX(B1:XFD1,((A3)+(1))+(0))),(INDEX(B5:B405,(B4)+(1)))&gt;(B263),IF(("mod")=(INDEX(B1:XFD1,((A3)+(1))+(0))),MOD(INDEX(B5:B405,(B4)+(1)),B263),B263))))))))),B263))</f>
        <v>#VALUE!</v>
      </c>
      <c r="C263" t="e">
        <f ca="1">IF((A1)=(2),1,IF(AND((INDEX(B1:XFD1,((A3)+(1))+(0)))=("writeheap"),(INDEX(B5:B405,(B4)+(1)))=(258)),INDEX(B5:B405,(B4)+(2)),IF((A1)=(2),"",IF((259)=(C4),C263,C263))))</f>
        <v>#VALUE!</v>
      </c>
      <c r="F263" t="e">
        <f ca="1">IF((A1)=(2),"",IF((259)=(F4),IF(IF((INDEX(B1:XFD1,((A3)+(1))+(0)))=("store"),(INDEX(B1:XFD1,((A3)+(1))+(1)))=("F"),"false"),B3,F263),F263))</f>
        <v>#VALUE!</v>
      </c>
      <c r="G263" t="e">
        <f ca="1">IF((A1)=(2),"",IF((259)=(G4),IF(IF((INDEX(B1:XFD1,((A3)+(1))+(0)))=("store"),(INDEX(B1:XFD1,((A3)+(1))+(1)))=("G"),"false"),B3,G263),G263))</f>
        <v>#VALUE!</v>
      </c>
      <c r="H263" t="e">
        <f ca="1">IF((A1)=(2),"",IF((259)=(H4),IF(IF((INDEX(B1:XFD1,((A3)+(1))+(0)))=("store"),(INDEX(B1:XFD1,((A3)+(1))+(1)))=("H"),"false"),B3,H263),H263))</f>
        <v>#VALUE!</v>
      </c>
      <c r="I263" t="e">
        <f ca="1">IF((A1)=(2),"",IF((259)=(I4),IF(IF((INDEX(B1:XFD1,((A3)+(1))+(0)))=("store"),(INDEX(B1:XFD1,((A3)+(1))+(1)))=("I"),"false"),B3,I263),I263))</f>
        <v>#VALUE!</v>
      </c>
      <c r="J263" t="e">
        <f ca="1">IF((A1)=(2),"",IF((259)=(J4),IF(IF((INDEX(B1:XFD1,((A3)+(1))+(0)))=("store"),(INDEX(B1:XFD1,((A3)+(1))+(1)))=("J"),"false"),B3,J263),J263))</f>
        <v>#VALUE!</v>
      </c>
      <c r="K263" t="e">
        <f ca="1">IF((A1)=(2),"",IF((259)=(K4),IF(IF((INDEX(B1:XFD1,((A3)+(1))+(0)))=("store"),(INDEX(B1:XFD1,((A3)+(1))+(1)))=("K"),"false"),B3,K263),K263))</f>
        <v>#VALUE!</v>
      </c>
      <c r="L263" t="e">
        <f ca="1">IF((A1)=(2),"",IF((259)=(L4),IF(IF((INDEX(B1:XFD1,((A3)+(1))+(0)))=("store"),(INDEX(B1:XFD1,((A3)+(1))+(1)))=("L"),"false"),B3,L263),L263))</f>
        <v>#VALUE!</v>
      </c>
      <c r="M263" t="e">
        <f ca="1">IF((A1)=(2),"",IF((259)=(M4),IF(IF((INDEX(B1:XFD1,((A3)+(1))+(0)))=("store"),(INDEX(B1:XFD1,((A3)+(1))+(1)))=("M"),"false"),B3,M263),M263))</f>
        <v>#VALUE!</v>
      </c>
      <c r="N263" t="e">
        <f ca="1">IF((A1)=(2),"",IF((259)=(N4),IF(IF((INDEX(B1:XFD1,((A3)+(1))+(0)))=("store"),(INDEX(B1:XFD1,((A3)+(1))+(1)))=("N"),"false"),B3,N263),N263))</f>
        <v>#VALUE!</v>
      </c>
      <c r="O263" t="e">
        <f ca="1">IF((A1)=(2),"",IF((259)=(O4),IF(IF((INDEX(B1:XFD1,((A3)+(1))+(0)))=("store"),(INDEX(B1:XFD1,((A3)+(1))+(1)))=("O"),"false"),B3,O263),O263))</f>
        <v>#VALUE!</v>
      </c>
      <c r="P263" t="e">
        <f ca="1">IF((A1)=(2),"",IF((259)=(P4),IF(IF((INDEX(B1:XFD1,((A3)+(1))+(0)))=("store"),(INDEX(B1:XFD1,((A3)+(1))+(1)))=("P"),"false"),B3,P263),P263))</f>
        <v>#VALUE!</v>
      </c>
      <c r="Q263" t="e">
        <f ca="1">IF((A1)=(2),"",IF((259)=(Q4),IF(IF((INDEX(B1:XFD1,((A3)+(1))+(0)))=("store"),(INDEX(B1:XFD1,((A3)+(1))+(1)))=("Q"),"false"),B3,Q263),Q263))</f>
        <v>#VALUE!</v>
      </c>
      <c r="R263" t="e">
        <f ca="1">IF((A1)=(2),"",IF((259)=(R4),IF(IF((INDEX(B1:XFD1,((A3)+(1))+(0)))=("store"),(INDEX(B1:XFD1,((A3)+(1))+(1)))=("R"),"false"),B3,R263),R263))</f>
        <v>#VALUE!</v>
      </c>
      <c r="S263" t="e">
        <f ca="1">IF((A1)=(2),"",IF((259)=(S4),IF(IF((INDEX(B1:XFD1,((A3)+(1))+(0)))=("store"),(INDEX(B1:XFD1,((A3)+(1))+(1)))=("S"),"false"),B3,S263),S263))</f>
        <v>#VALUE!</v>
      </c>
      <c r="T263" t="e">
        <f ca="1">IF((A1)=(2),"",IF((259)=(T4),IF(IF((INDEX(B1:XFD1,((A3)+(1))+(0)))=("store"),(INDEX(B1:XFD1,((A3)+(1))+(1)))=("T"),"false"),B3,T263),T263))</f>
        <v>#VALUE!</v>
      </c>
      <c r="U263" t="e">
        <f ca="1">IF((A1)=(2),"",IF((259)=(U4),IF(IF((INDEX(B1:XFD1,((A3)+(1))+(0)))=("store"),(INDEX(B1:XFD1,((A3)+(1))+(1)))=("U"),"false"),B3,U263),U263))</f>
        <v>#VALUE!</v>
      </c>
      <c r="V263" t="e">
        <f ca="1">IF((A1)=(2),"",IF((259)=(V4),IF(IF((INDEX(B1:XFD1,((A3)+(1))+(0)))=("store"),(INDEX(B1:XFD1,((A3)+(1))+(1)))=("V"),"false"),B3,V263),V263))</f>
        <v>#VALUE!</v>
      </c>
      <c r="W263" t="e">
        <f ca="1">IF((A1)=(2),"",IF((259)=(W4),IF(IF((INDEX(B1:XFD1,((A3)+(1))+(0)))=("store"),(INDEX(B1:XFD1,((A3)+(1))+(1)))=("W"),"false"),B3,W263),W263))</f>
        <v>#VALUE!</v>
      </c>
      <c r="X263" t="e">
        <f ca="1">IF((A1)=(2),"",IF((259)=(X4),IF(IF((INDEX(B1:XFD1,((A3)+(1))+(0)))=("store"),(INDEX(B1:XFD1,((A3)+(1))+(1)))=("X"),"false"),B3,X263),X263))</f>
        <v>#VALUE!</v>
      </c>
      <c r="Y263" t="e">
        <f ca="1">IF((A1)=(2),"",IF((259)=(Y4),IF(IF((INDEX(B1:XFD1,((A3)+(1))+(0)))=("store"),(INDEX(B1:XFD1,((A3)+(1))+(1)))=("Y"),"false"),B3,Y263),Y263))</f>
        <v>#VALUE!</v>
      </c>
      <c r="Z263" t="e">
        <f ca="1">IF((A1)=(2),"",IF((259)=(Z4),IF(IF((INDEX(B1:XFD1,((A3)+(1))+(0)))=("store"),(INDEX(B1:XFD1,((A3)+(1))+(1)))=("Z"),"false"),B3,Z263),Z263))</f>
        <v>#VALUE!</v>
      </c>
      <c r="AA263" t="e">
        <f ca="1">IF((A1)=(2),"",IF((259)=(AA4),IF(IF((INDEX(B1:XFD1,((A3)+(1))+(0)))=("store"),(INDEX(B1:XFD1,((A3)+(1))+(1)))=("AA"),"false"),B3,AA263),AA263))</f>
        <v>#VALUE!</v>
      </c>
      <c r="AB263" t="e">
        <f ca="1">IF((A1)=(2),"",IF((259)=(AB4),IF(IF((INDEX(B1:XFD1,((A3)+(1))+(0)))=("store"),(INDEX(B1:XFD1,((A3)+(1))+(1)))=("AB"),"false"),B3,AB263),AB263))</f>
        <v>#VALUE!</v>
      </c>
      <c r="AC263" t="e">
        <f ca="1">IF((A1)=(2),"",IF((259)=(AC4),IF(IF((INDEX(B1:XFD1,((A3)+(1))+(0)))=("store"),(INDEX(B1:XFD1,((A3)+(1))+(1)))=("AC"),"false"),B3,AC263),AC263))</f>
        <v>#VALUE!</v>
      </c>
      <c r="AD263" t="e">
        <f ca="1">IF((A1)=(2),"",IF((259)=(AD4),IF(IF((INDEX(B1:XFD1,((A3)+(1))+(0)))=("store"),(INDEX(B1:XFD1,((A3)+(1))+(1)))=("AD"),"false"),B3,AD263),AD263))</f>
        <v>#VALUE!</v>
      </c>
    </row>
    <row r="264" spans="1:30" x14ac:dyDescent="0.25">
      <c r="A264" t="e">
        <f ca="1">IF((A1)=(2),"",IF((260)=(A4),IF(("call")=(INDEX(B1:XFD1,((A3)+(1))+(0))),(B3)*(2),IF(("goto")=(INDEX(B1:XFD1,((A3)+(1))+(0))),(INDEX(B1:XFD1,((A3)+(1))+(1)))*(2),IF(("gotoiftrue")=(INDEX(B1:XFD1,((A3)+(1))+(0))),IF(B3,(INDEX(B1:XFD1,((A3)+(1))+(1)))*(2),(A264)+(2)),(A264)+(2)))),A264))</f>
        <v>#VALUE!</v>
      </c>
      <c r="B264" t="e">
        <f ca="1">IF((A1)=(2),"",IF((260)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264)+(1)),IF(("add")=(INDEX(B1:XFD1,((A3)+(1))+(0))),(INDEX(B5:B405,(B4)+(1)))+(B264),IF(("equals")=(INDEX(B1:XFD1,((A3)+(1))+(0))),(INDEX(B5:B405,(B4)+(1)))=(B264),IF(("leq")=(INDEX(B1:XFD1,((A3)+(1))+(0))),(INDEX(B5:B405,(B4)+(1)))&lt;=(B264),IF(("greater")=(INDEX(B1:XFD1,((A3)+(1))+(0))),(INDEX(B5:B405,(B4)+(1)))&gt;(B264),IF(("mod")=(INDEX(B1:XFD1,((A3)+(1))+(0))),MOD(INDEX(B5:B405,(B4)+(1)),B264),B264))))))))),B264))</f>
        <v>#VALUE!</v>
      </c>
      <c r="C264" t="e">
        <f ca="1">IF((A1)=(2),1,IF(AND((INDEX(B1:XFD1,((A3)+(1))+(0)))=("writeheap"),(INDEX(B5:B405,(B4)+(1)))=(259)),INDEX(B5:B405,(B4)+(2)),IF((A1)=(2),"",IF((260)=(C4),C264,C264))))</f>
        <v>#VALUE!</v>
      </c>
      <c r="F264" t="e">
        <f ca="1">IF((A1)=(2),"",IF((260)=(F4),IF(IF((INDEX(B1:XFD1,((A3)+(1))+(0)))=("store"),(INDEX(B1:XFD1,((A3)+(1))+(1)))=("F"),"false"),B3,F264),F264))</f>
        <v>#VALUE!</v>
      </c>
      <c r="G264" t="e">
        <f ca="1">IF((A1)=(2),"",IF((260)=(G4),IF(IF((INDEX(B1:XFD1,((A3)+(1))+(0)))=("store"),(INDEX(B1:XFD1,((A3)+(1))+(1)))=("G"),"false"),B3,G264),G264))</f>
        <v>#VALUE!</v>
      </c>
      <c r="H264" t="e">
        <f ca="1">IF((A1)=(2),"",IF((260)=(H4),IF(IF((INDEX(B1:XFD1,((A3)+(1))+(0)))=("store"),(INDEX(B1:XFD1,((A3)+(1))+(1)))=("H"),"false"),B3,H264),H264))</f>
        <v>#VALUE!</v>
      </c>
      <c r="I264" t="e">
        <f ca="1">IF((A1)=(2),"",IF((260)=(I4),IF(IF((INDEX(B1:XFD1,((A3)+(1))+(0)))=("store"),(INDEX(B1:XFD1,((A3)+(1))+(1)))=("I"),"false"),B3,I264),I264))</f>
        <v>#VALUE!</v>
      </c>
      <c r="J264" t="e">
        <f ca="1">IF((A1)=(2),"",IF((260)=(J4),IF(IF((INDEX(B1:XFD1,((A3)+(1))+(0)))=("store"),(INDEX(B1:XFD1,((A3)+(1))+(1)))=("J"),"false"),B3,J264),J264))</f>
        <v>#VALUE!</v>
      </c>
      <c r="K264" t="e">
        <f ca="1">IF((A1)=(2),"",IF((260)=(K4),IF(IF((INDEX(B1:XFD1,((A3)+(1))+(0)))=("store"),(INDEX(B1:XFD1,((A3)+(1))+(1)))=("K"),"false"),B3,K264),K264))</f>
        <v>#VALUE!</v>
      </c>
      <c r="L264" t="e">
        <f ca="1">IF((A1)=(2),"",IF((260)=(L4),IF(IF((INDEX(B1:XFD1,((A3)+(1))+(0)))=("store"),(INDEX(B1:XFD1,((A3)+(1))+(1)))=("L"),"false"),B3,L264),L264))</f>
        <v>#VALUE!</v>
      </c>
      <c r="M264" t="e">
        <f ca="1">IF((A1)=(2),"",IF((260)=(M4),IF(IF((INDEX(B1:XFD1,((A3)+(1))+(0)))=("store"),(INDEX(B1:XFD1,((A3)+(1))+(1)))=("M"),"false"),B3,M264),M264))</f>
        <v>#VALUE!</v>
      </c>
      <c r="N264" t="e">
        <f ca="1">IF((A1)=(2),"",IF((260)=(N4),IF(IF((INDEX(B1:XFD1,((A3)+(1))+(0)))=("store"),(INDEX(B1:XFD1,((A3)+(1))+(1)))=("N"),"false"),B3,N264),N264))</f>
        <v>#VALUE!</v>
      </c>
      <c r="O264" t="e">
        <f ca="1">IF((A1)=(2),"",IF((260)=(O4),IF(IF((INDEX(B1:XFD1,((A3)+(1))+(0)))=("store"),(INDEX(B1:XFD1,((A3)+(1))+(1)))=("O"),"false"),B3,O264),O264))</f>
        <v>#VALUE!</v>
      </c>
      <c r="P264" t="e">
        <f ca="1">IF((A1)=(2),"",IF((260)=(P4),IF(IF((INDEX(B1:XFD1,((A3)+(1))+(0)))=("store"),(INDEX(B1:XFD1,((A3)+(1))+(1)))=("P"),"false"),B3,P264),P264))</f>
        <v>#VALUE!</v>
      </c>
      <c r="Q264" t="e">
        <f ca="1">IF((A1)=(2),"",IF((260)=(Q4),IF(IF((INDEX(B1:XFD1,((A3)+(1))+(0)))=("store"),(INDEX(B1:XFD1,((A3)+(1))+(1)))=("Q"),"false"),B3,Q264),Q264))</f>
        <v>#VALUE!</v>
      </c>
      <c r="R264" t="e">
        <f ca="1">IF((A1)=(2),"",IF((260)=(R4),IF(IF((INDEX(B1:XFD1,((A3)+(1))+(0)))=("store"),(INDEX(B1:XFD1,((A3)+(1))+(1)))=("R"),"false"),B3,R264),R264))</f>
        <v>#VALUE!</v>
      </c>
      <c r="S264" t="e">
        <f ca="1">IF((A1)=(2),"",IF((260)=(S4),IF(IF((INDEX(B1:XFD1,((A3)+(1))+(0)))=("store"),(INDEX(B1:XFD1,((A3)+(1))+(1)))=("S"),"false"),B3,S264),S264))</f>
        <v>#VALUE!</v>
      </c>
      <c r="T264" t="e">
        <f ca="1">IF((A1)=(2),"",IF((260)=(T4),IF(IF((INDEX(B1:XFD1,((A3)+(1))+(0)))=("store"),(INDEX(B1:XFD1,((A3)+(1))+(1)))=("T"),"false"),B3,T264),T264))</f>
        <v>#VALUE!</v>
      </c>
      <c r="U264" t="e">
        <f ca="1">IF((A1)=(2),"",IF((260)=(U4),IF(IF((INDEX(B1:XFD1,((A3)+(1))+(0)))=("store"),(INDEX(B1:XFD1,((A3)+(1))+(1)))=("U"),"false"),B3,U264),U264))</f>
        <v>#VALUE!</v>
      </c>
      <c r="V264" t="e">
        <f ca="1">IF((A1)=(2),"",IF((260)=(V4),IF(IF((INDEX(B1:XFD1,((A3)+(1))+(0)))=("store"),(INDEX(B1:XFD1,((A3)+(1))+(1)))=("V"),"false"),B3,V264),V264))</f>
        <v>#VALUE!</v>
      </c>
      <c r="W264" t="e">
        <f ca="1">IF((A1)=(2),"",IF((260)=(W4),IF(IF((INDEX(B1:XFD1,((A3)+(1))+(0)))=("store"),(INDEX(B1:XFD1,((A3)+(1))+(1)))=("W"),"false"),B3,W264),W264))</f>
        <v>#VALUE!</v>
      </c>
      <c r="X264" t="e">
        <f ca="1">IF((A1)=(2),"",IF((260)=(X4),IF(IF((INDEX(B1:XFD1,((A3)+(1))+(0)))=("store"),(INDEX(B1:XFD1,((A3)+(1))+(1)))=("X"),"false"),B3,X264),X264))</f>
        <v>#VALUE!</v>
      </c>
      <c r="Y264" t="e">
        <f ca="1">IF((A1)=(2),"",IF((260)=(Y4),IF(IF((INDEX(B1:XFD1,((A3)+(1))+(0)))=("store"),(INDEX(B1:XFD1,((A3)+(1))+(1)))=("Y"),"false"),B3,Y264),Y264))</f>
        <v>#VALUE!</v>
      </c>
      <c r="Z264" t="e">
        <f ca="1">IF((A1)=(2),"",IF((260)=(Z4),IF(IF((INDEX(B1:XFD1,((A3)+(1))+(0)))=("store"),(INDEX(B1:XFD1,((A3)+(1))+(1)))=("Z"),"false"),B3,Z264),Z264))</f>
        <v>#VALUE!</v>
      </c>
      <c r="AA264" t="e">
        <f ca="1">IF((A1)=(2),"",IF((260)=(AA4),IF(IF((INDEX(B1:XFD1,((A3)+(1))+(0)))=("store"),(INDEX(B1:XFD1,((A3)+(1))+(1)))=("AA"),"false"),B3,AA264),AA264))</f>
        <v>#VALUE!</v>
      </c>
      <c r="AB264" t="e">
        <f ca="1">IF((A1)=(2),"",IF((260)=(AB4),IF(IF((INDEX(B1:XFD1,((A3)+(1))+(0)))=("store"),(INDEX(B1:XFD1,((A3)+(1))+(1)))=("AB"),"false"),B3,AB264),AB264))</f>
        <v>#VALUE!</v>
      </c>
      <c r="AC264" t="e">
        <f ca="1">IF((A1)=(2),"",IF((260)=(AC4),IF(IF((INDEX(B1:XFD1,((A3)+(1))+(0)))=("store"),(INDEX(B1:XFD1,((A3)+(1))+(1)))=("AC"),"false"),B3,AC264),AC264))</f>
        <v>#VALUE!</v>
      </c>
      <c r="AD264" t="e">
        <f ca="1">IF((A1)=(2),"",IF((260)=(AD4),IF(IF((INDEX(B1:XFD1,((A3)+(1))+(0)))=("store"),(INDEX(B1:XFD1,((A3)+(1))+(1)))=("AD"),"false"),B3,AD264),AD264))</f>
        <v>#VALUE!</v>
      </c>
    </row>
    <row r="265" spans="1:30" x14ac:dyDescent="0.25">
      <c r="A265" t="e">
        <f ca="1">IF((A1)=(2),"",IF((261)=(A4),IF(("call")=(INDEX(B1:XFD1,((A3)+(1))+(0))),(B3)*(2),IF(("goto")=(INDEX(B1:XFD1,((A3)+(1))+(0))),(INDEX(B1:XFD1,((A3)+(1))+(1)))*(2),IF(("gotoiftrue")=(INDEX(B1:XFD1,((A3)+(1))+(0))),IF(B3,(INDEX(B1:XFD1,((A3)+(1))+(1)))*(2),(A265)+(2)),(A265)+(2)))),A265))</f>
        <v>#VALUE!</v>
      </c>
      <c r="B265" t="e">
        <f ca="1">IF((A1)=(2),"",IF((261)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265)+(1)),IF(("add")=(INDEX(B1:XFD1,((A3)+(1))+(0))),(INDEX(B5:B405,(B4)+(1)))+(B265),IF(("equals")=(INDEX(B1:XFD1,((A3)+(1))+(0))),(INDEX(B5:B405,(B4)+(1)))=(B265),IF(("leq")=(INDEX(B1:XFD1,((A3)+(1))+(0))),(INDEX(B5:B405,(B4)+(1)))&lt;=(B265),IF(("greater")=(INDEX(B1:XFD1,((A3)+(1))+(0))),(INDEX(B5:B405,(B4)+(1)))&gt;(B265),IF(("mod")=(INDEX(B1:XFD1,((A3)+(1))+(0))),MOD(INDEX(B5:B405,(B4)+(1)),B265),B265))))))))),B265))</f>
        <v>#VALUE!</v>
      </c>
      <c r="C265" t="e">
        <f ca="1">IF((A1)=(2),1,IF(AND((INDEX(B1:XFD1,((A3)+(1))+(0)))=("writeheap"),(INDEX(B5:B405,(B4)+(1)))=(260)),INDEX(B5:B405,(B4)+(2)),IF((A1)=(2),"",IF((261)=(C4),C265,C265))))</f>
        <v>#VALUE!</v>
      </c>
      <c r="F265" t="e">
        <f ca="1">IF((A1)=(2),"",IF((261)=(F4),IF(IF((INDEX(B1:XFD1,((A3)+(1))+(0)))=("store"),(INDEX(B1:XFD1,((A3)+(1))+(1)))=("F"),"false"),B3,F265),F265))</f>
        <v>#VALUE!</v>
      </c>
      <c r="G265" t="e">
        <f ca="1">IF((A1)=(2),"",IF((261)=(G4),IF(IF((INDEX(B1:XFD1,((A3)+(1))+(0)))=("store"),(INDEX(B1:XFD1,((A3)+(1))+(1)))=("G"),"false"),B3,G265),G265))</f>
        <v>#VALUE!</v>
      </c>
      <c r="H265" t="e">
        <f ca="1">IF((A1)=(2),"",IF((261)=(H4),IF(IF((INDEX(B1:XFD1,((A3)+(1))+(0)))=("store"),(INDEX(B1:XFD1,((A3)+(1))+(1)))=("H"),"false"),B3,H265),H265))</f>
        <v>#VALUE!</v>
      </c>
      <c r="I265" t="e">
        <f ca="1">IF((A1)=(2),"",IF((261)=(I4),IF(IF((INDEX(B1:XFD1,((A3)+(1))+(0)))=("store"),(INDEX(B1:XFD1,((A3)+(1))+(1)))=("I"),"false"),B3,I265),I265))</f>
        <v>#VALUE!</v>
      </c>
      <c r="J265" t="e">
        <f ca="1">IF((A1)=(2),"",IF((261)=(J4),IF(IF((INDEX(B1:XFD1,((A3)+(1))+(0)))=("store"),(INDEX(B1:XFD1,((A3)+(1))+(1)))=("J"),"false"),B3,J265),J265))</f>
        <v>#VALUE!</v>
      </c>
      <c r="K265" t="e">
        <f ca="1">IF((A1)=(2),"",IF((261)=(K4),IF(IF((INDEX(B1:XFD1,((A3)+(1))+(0)))=("store"),(INDEX(B1:XFD1,((A3)+(1))+(1)))=("K"),"false"),B3,K265),K265))</f>
        <v>#VALUE!</v>
      </c>
      <c r="L265" t="e">
        <f ca="1">IF((A1)=(2),"",IF((261)=(L4),IF(IF((INDEX(B1:XFD1,((A3)+(1))+(0)))=("store"),(INDEX(B1:XFD1,((A3)+(1))+(1)))=("L"),"false"),B3,L265),L265))</f>
        <v>#VALUE!</v>
      </c>
      <c r="M265" t="e">
        <f ca="1">IF((A1)=(2),"",IF((261)=(M4),IF(IF((INDEX(B1:XFD1,((A3)+(1))+(0)))=("store"),(INDEX(B1:XFD1,((A3)+(1))+(1)))=("M"),"false"),B3,M265),M265))</f>
        <v>#VALUE!</v>
      </c>
      <c r="N265" t="e">
        <f ca="1">IF((A1)=(2),"",IF((261)=(N4),IF(IF((INDEX(B1:XFD1,((A3)+(1))+(0)))=("store"),(INDEX(B1:XFD1,((A3)+(1))+(1)))=("N"),"false"),B3,N265),N265))</f>
        <v>#VALUE!</v>
      </c>
      <c r="O265" t="e">
        <f ca="1">IF((A1)=(2),"",IF((261)=(O4),IF(IF((INDEX(B1:XFD1,((A3)+(1))+(0)))=("store"),(INDEX(B1:XFD1,((A3)+(1))+(1)))=("O"),"false"),B3,O265),O265))</f>
        <v>#VALUE!</v>
      </c>
      <c r="P265" t="e">
        <f ca="1">IF((A1)=(2),"",IF((261)=(P4),IF(IF((INDEX(B1:XFD1,((A3)+(1))+(0)))=("store"),(INDEX(B1:XFD1,((A3)+(1))+(1)))=("P"),"false"),B3,P265),P265))</f>
        <v>#VALUE!</v>
      </c>
      <c r="Q265" t="e">
        <f ca="1">IF((A1)=(2),"",IF((261)=(Q4),IF(IF((INDEX(B1:XFD1,((A3)+(1))+(0)))=("store"),(INDEX(B1:XFD1,((A3)+(1))+(1)))=("Q"),"false"),B3,Q265),Q265))</f>
        <v>#VALUE!</v>
      </c>
      <c r="R265" t="e">
        <f ca="1">IF((A1)=(2),"",IF((261)=(R4),IF(IF((INDEX(B1:XFD1,((A3)+(1))+(0)))=("store"),(INDEX(B1:XFD1,((A3)+(1))+(1)))=("R"),"false"),B3,R265),R265))</f>
        <v>#VALUE!</v>
      </c>
      <c r="S265" t="e">
        <f ca="1">IF((A1)=(2),"",IF((261)=(S4),IF(IF((INDEX(B1:XFD1,((A3)+(1))+(0)))=("store"),(INDEX(B1:XFD1,((A3)+(1))+(1)))=("S"),"false"),B3,S265),S265))</f>
        <v>#VALUE!</v>
      </c>
      <c r="T265" t="e">
        <f ca="1">IF((A1)=(2),"",IF((261)=(T4),IF(IF((INDEX(B1:XFD1,((A3)+(1))+(0)))=("store"),(INDEX(B1:XFD1,((A3)+(1))+(1)))=("T"),"false"),B3,T265),T265))</f>
        <v>#VALUE!</v>
      </c>
      <c r="U265" t="e">
        <f ca="1">IF((A1)=(2),"",IF((261)=(U4),IF(IF((INDEX(B1:XFD1,((A3)+(1))+(0)))=("store"),(INDEX(B1:XFD1,((A3)+(1))+(1)))=("U"),"false"),B3,U265),U265))</f>
        <v>#VALUE!</v>
      </c>
      <c r="V265" t="e">
        <f ca="1">IF((A1)=(2),"",IF((261)=(V4),IF(IF((INDEX(B1:XFD1,((A3)+(1))+(0)))=("store"),(INDEX(B1:XFD1,((A3)+(1))+(1)))=("V"),"false"),B3,V265),V265))</f>
        <v>#VALUE!</v>
      </c>
      <c r="W265" t="e">
        <f ca="1">IF((A1)=(2),"",IF((261)=(W4),IF(IF((INDEX(B1:XFD1,((A3)+(1))+(0)))=("store"),(INDEX(B1:XFD1,((A3)+(1))+(1)))=("W"),"false"),B3,W265),W265))</f>
        <v>#VALUE!</v>
      </c>
      <c r="X265" t="e">
        <f ca="1">IF((A1)=(2),"",IF((261)=(X4),IF(IF((INDEX(B1:XFD1,((A3)+(1))+(0)))=("store"),(INDEX(B1:XFD1,((A3)+(1))+(1)))=("X"),"false"),B3,X265),X265))</f>
        <v>#VALUE!</v>
      </c>
      <c r="Y265" t="e">
        <f ca="1">IF((A1)=(2),"",IF((261)=(Y4),IF(IF((INDEX(B1:XFD1,((A3)+(1))+(0)))=("store"),(INDEX(B1:XFD1,((A3)+(1))+(1)))=("Y"),"false"),B3,Y265),Y265))</f>
        <v>#VALUE!</v>
      </c>
      <c r="Z265" t="e">
        <f ca="1">IF((A1)=(2),"",IF((261)=(Z4),IF(IF((INDEX(B1:XFD1,((A3)+(1))+(0)))=("store"),(INDEX(B1:XFD1,((A3)+(1))+(1)))=("Z"),"false"),B3,Z265),Z265))</f>
        <v>#VALUE!</v>
      </c>
      <c r="AA265" t="e">
        <f ca="1">IF((A1)=(2),"",IF((261)=(AA4),IF(IF((INDEX(B1:XFD1,((A3)+(1))+(0)))=("store"),(INDEX(B1:XFD1,((A3)+(1))+(1)))=("AA"),"false"),B3,AA265),AA265))</f>
        <v>#VALUE!</v>
      </c>
      <c r="AB265" t="e">
        <f ca="1">IF((A1)=(2),"",IF((261)=(AB4),IF(IF((INDEX(B1:XFD1,((A3)+(1))+(0)))=("store"),(INDEX(B1:XFD1,((A3)+(1))+(1)))=("AB"),"false"),B3,AB265),AB265))</f>
        <v>#VALUE!</v>
      </c>
      <c r="AC265" t="e">
        <f ca="1">IF((A1)=(2),"",IF((261)=(AC4),IF(IF((INDEX(B1:XFD1,((A3)+(1))+(0)))=("store"),(INDEX(B1:XFD1,((A3)+(1))+(1)))=("AC"),"false"),B3,AC265),AC265))</f>
        <v>#VALUE!</v>
      </c>
      <c r="AD265" t="e">
        <f ca="1">IF((A1)=(2),"",IF((261)=(AD4),IF(IF((INDEX(B1:XFD1,((A3)+(1))+(0)))=("store"),(INDEX(B1:XFD1,((A3)+(1))+(1)))=("AD"),"false"),B3,AD265),AD265))</f>
        <v>#VALUE!</v>
      </c>
    </row>
    <row r="266" spans="1:30" x14ac:dyDescent="0.25">
      <c r="A266" t="e">
        <f ca="1">IF((A1)=(2),"",IF((262)=(A4),IF(("call")=(INDEX(B1:XFD1,((A3)+(1))+(0))),(B3)*(2),IF(("goto")=(INDEX(B1:XFD1,((A3)+(1))+(0))),(INDEX(B1:XFD1,((A3)+(1))+(1)))*(2),IF(("gotoiftrue")=(INDEX(B1:XFD1,((A3)+(1))+(0))),IF(B3,(INDEX(B1:XFD1,((A3)+(1))+(1)))*(2),(A266)+(2)),(A266)+(2)))),A266))</f>
        <v>#VALUE!</v>
      </c>
      <c r="B266" t="e">
        <f ca="1">IF((A1)=(2),"",IF((262)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266)+(1)),IF(("add")=(INDEX(B1:XFD1,((A3)+(1))+(0))),(INDEX(B5:B405,(B4)+(1)))+(B266),IF(("equals")=(INDEX(B1:XFD1,((A3)+(1))+(0))),(INDEX(B5:B405,(B4)+(1)))=(B266),IF(("leq")=(INDEX(B1:XFD1,((A3)+(1))+(0))),(INDEX(B5:B405,(B4)+(1)))&lt;=(B266),IF(("greater")=(INDEX(B1:XFD1,((A3)+(1))+(0))),(INDEX(B5:B405,(B4)+(1)))&gt;(B266),IF(("mod")=(INDEX(B1:XFD1,((A3)+(1))+(0))),MOD(INDEX(B5:B405,(B4)+(1)),B266),B266))))))))),B266))</f>
        <v>#VALUE!</v>
      </c>
      <c r="C266" t="e">
        <f ca="1">IF((A1)=(2),1,IF(AND((INDEX(B1:XFD1,((A3)+(1))+(0)))=("writeheap"),(INDEX(B5:B405,(B4)+(1)))=(261)),INDEX(B5:B405,(B4)+(2)),IF((A1)=(2),"",IF((262)=(C4),C266,C266))))</f>
        <v>#VALUE!</v>
      </c>
      <c r="F266" t="e">
        <f ca="1">IF((A1)=(2),"",IF((262)=(F4),IF(IF((INDEX(B1:XFD1,((A3)+(1))+(0)))=("store"),(INDEX(B1:XFD1,((A3)+(1))+(1)))=("F"),"false"),B3,F266),F266))</f>
        <v>#VALUE!</v>
      </c>
      <c r="G266" t="e">
        <f ca="1">IF((A1)=(2),"",IF((262)=(G4),IF(IF((INDEX(B1:XFD1,((A3)+(1))+(0)))=("store"),(INDEX(B1:XFD1,((A3)+(1))+(1)))=("G"),"false"),B3,G266),G266))</f>
        <v>#VALUE!</v>
      </c>
      <c r="H266" t="e">
        <f ca="1">IF((A1)=(2),"",IF((262)=(H4),IF(IF((INDEX(B1:XFD1,((A3)+(1))+(0)))=("store"),(INDEX(B1:XFD1,((A3)+(1))+(1)))=("H"),"false"),B3,H266),H266))</f>
        <v>#VALUE!</v>
      </c>
      <c r="I266" t="e">
        <f ca="1">IF((A1)=(2),"",IF((262)=(I4),IF(IF((INDEX(B1:XFD1,((A3)+(1))+(0)))=("store"),(INDEX(B1:XFD1,((A3)+(1))+(1)))=("I"),"false"),B3,I266),I266))</f>
        <v>#VALUE!</v>
      </c>
      <c r="J266" t="e">
        <f ca="1">IF((A1)=(2),"",IF((262)=(J4),IF(IF((INDEX(B1:XFD1,((A3)+(1))+(0)))=("store"),(INDEX(B1:XFD1,((A3)+(1))+(1)))=("J"),"false"),B3,J266),J266))</f>
        <v>#VALUE!</v>
      </c>
      <c r="K266" t="e">
        <f ca="1">IF((A1)=(2),"",IF((262)=(K4),IF(IF((INDEX(B1:XFD1,((A3)+(1))+(0)))=("store"),(INDEX(B1:XFD1,((A3)+(1))+(1)))=("K"),"false"),B3,K266),K266))</f>
        <v>#VALUE!</v>
      </c>
      <c r="L266" t="e">
        <f ca="1">IF((A1)=(2),"",IF((262)=(L4),IF(IF((INDEX(B1:XFD1,((A3)+(1))+(0)))=("store"),(INDEX(B1:XFD1,((A3)+(1))+(1)))=("L"),"false"),B3,L266),L266))</f>
        <v>#VALUE!</v>
      </c>
      <c r="M266" t="e">
        <f ca="1">IF((A1)=(2),"",IF((262)=(M4),IF(IF((INDEX(B1:XFD1,((A3)+(1))+(0)))=("store"),(INDEX(B1:XFD1,((A3)+(1))+(1)))=("M"),"false"),B3,M266),M266))</f>
        <v>#VALUE!</v>
      </c>
      <c r="N266" t="e">
        <f ca="1">IF((A1)=(2),"",IF((262)=(N4),IF(IF((INDEX(B1:XFD1,((A3)+(1))+(0)))=("store"),(INDEX(B1:XFD1,((A3)+(1))+(1)))=("N"),"false"),B3,N266),N266))</f>
        <v>#VALUE!</v>
      </c>
      <c r="O266" t="e">
        <f ca="1">IF((A1)=(2),"",IF((262)=(O4),IF(IF((INDEX(B1:XFD1,((A3)+(1))+(0)))=("store"),(INDEX(B1:XFD1,((A3)+(1))+(1)))=("O"),"false"),B3,O266),O266))</f>
        <v>#VALUE!</v>
      </c>
      <c r="P266" t="e">
        <f ca="1">IF((A1)=(2),"",IF((262)=(P4),IF(IF((INDEX(B1:XFD1,((A3)+(1))+(0)))=("store"),(INDEX(B1:XFD1,((A3)+(1))+(1)))=("P"),"false"),B3,P266),P266))</f>
        <v>#VALUE!</v>
      </c>
      <c r="Q266" t="e">
        <f ca="1">IF((A1)=(2),"",IF((262)=(Q4),IF(IF((INDEX(B1:XFD1,((A3)+(1))+(0)))=("store"),(INDEX(B1:XFD1,((A3)+(1))+(1)))=("Q"),"false"),B3,Q266),Q266))</f>
        <v>#VALUE!</v>
      </c>
      <c r="R266" t="e">
        <f ca="1">IF((A1)=(2),"",IF((262)=(R4),IF(IF((INDEX(B1:XFD1,((A3)+(1))+(0)))=("store"),(INDEX(B1:XFD1,((A3)+(1))+(1)))=("R"),"false"),B3,R266),R266))</f>
        <v>#VALUE!</v>
      </c>
      <c r="S266" t="e">
        <f ca="1">IF((A1)=(2),"",IF((262)=(S4),IF(IF((INDEX(B1:XFD1,((A3)+(1))+(0)))=("store"),(INDEX(B1:XFD1,((A3)+(1))+(1)))=("S"),"false"),B3,S266),S266))</f>
        <v>#VALUE!</v>
      </c>
      <c r="T266" t="e">
        <f ca="1">IF((A1)=(2),"",IF((262)=(T4),IF(IF((INDEX(B1:XFD1,((A3)+(1))+(0)))=("store"),(INDEX(B1:XFD1,((A3)+(1))+(1)))=("T"),"false"),B3,T266),T266))</f>
        <v>#VALUE!</v>
      </c>
      <c r="U266" t="e">
        <f ca="1">IF((A1)=(2),"",IF((262)=(U4),IF(IF((INDEX(B1:XFD1,((A3)+(1))+(0)))=("store"),(INDEX(B1:XFD1,((A3)+(1))+(1)))=("U"),"false"),B3,U266),U266))</f>
        <v>#VALUE!</v>
      </c>
      <c r="V266" t="e">
        <f ca="1">IF((A1)=(2),"",IF((262)=(V4),IF(IF((INDEX(B1:XFD1,((A3)+(1))+(0)))=("store"),(INDEX(B1:XFD1,((A3)+(1))+(1)))=("V"),"false"),B3,V266),V266))</f>
        <v>#VALUE!</v>
      </c>
      <c r="W266" t="e">
        <f ca="1">IF((A1)=(2),"",IF((262)=(W4),IF(IF((INDEX(B1:XFD1,((A3)+(1))+(0)))=("store"),(INDEX(B1:XFD1,((A3)+(1))+(1)))=("W"),"false"),B3,W266),W266))</f>
        <v>#VALUE!</v>
      </c>
      <c r="X266" t="e">
        <f ca="1">IF((A1)=(2),"",IF((262)=(X4),IF(IF((INDEX(B1:XFD1,((A3)+(1))+(0)))=("store"),(INDEX(B1:XFD1,((A3)+(1))+(1)))=("X"),"false"),B3,X266),X266))</f>
        <v>#VALUE!</v>
      </c>
      <c r="Y266" t="e">
        <f ca="1">IF((A1)=(2),"",IF((262)=(Y4),IF(IF((INDEX(B1:XFD1,((A3)+(1))+(0)))=("store"),(INDEX(B1:XFD1,((A3)+(1))+(1)))=("Y"),"false"),B3,Y266),Y266))</f>
        <v>#VALUE!</v>
      </c>
      <c r="Z266" t="e">
        <f ca="1">IF((A1)=(2),"",IF((262)=(Z4),IF(IF((INDEX(B1:XFD1,((A3)+(1))+(0)))=("store"),(INDEX(B1:XFD1,((A3)+(1))+(1)))=("Z"),"false"),B3,Z266),Z266))</f>
        <v>#VALUE!</v>
      </c>
      <c r="AA266" t="e">
        <f ca="1">IF((A1)=(2),"",IF((262)=(AA4),IF(IF((INDEX(B1:XFD1,((A3)+(1))+(0)))=("store"),(INDEX(B1:XFD1,((A3)+(1))+(1)))=("AA"),"false"),B3,AA266),AA266))</f>
        <v>#VALUE!</v>
      </c>
      <c r="AB266" t="e">
        <f ca="1">IF((A1)=(2),"",IF((262)=(AB4),IF(IF((INDEX(B1:XFD1,((A3)+(1))+(0)))=("store"),(INDEX(B1:XFD1,((A3)+(1))+(1)))=("AB"),"false"),B3,AB266),AB266))</f>
        <v>#VALUE!</v>
      </c>
      <c r="AC266" t="e">
        <f ca="1">IF((A1)=(2),"",IF((262)=(AC4),IF(IF((INDEX(B1:XFD1,((A3)+(1))+(0)))=("store"),(INDEX(B1:XFD1,((A3)+(1))+(1)))=("AC"),"false"),B3,AC266),AC266))</f>
        <v>#VALUE!</v>
      </c>
      <c r="AD266" t="e">
        <f ca="1">IF((A1)=(2),"",IF((262)=(AD4),IF(IF((INDEX(B1:XFD1,((A3)+(1))+(0)))=("store"),(INDEX(B1:XFD1,((A3)+(1))+(1)))=("AD"),"false"),B3,AD266),AD266))</f>
        <v>#VALUE!</v>
      </c>
    </row>
    <row r="267" spans="1:30" x14ac:dyDescent="0.25">
      <c r="A267" t="e">
        <f ca="1">IF((A1)=(2),"",IF((263)=(A4),IF(("call")=(INDEX(B1:XFD1,((A3)+(1))+(0))),(B3)*(2),IF(("goto")=(INDEX(B1:XFD1,((A3)+(1))+(0))),(INDEX(B1:XFD1,((A3)+(1))+(1)))*(2),IF(("gotoiftrue")=(INDEX(B1:XFD1,((A3)+(1))+(0))),IF(B3,(INDEX(B1:XFD1,((A3)+(1))+(1)))*(2),(A267)+(2)),(A267)+(2)))),A267))</f>
        <v>#VALUE!</v>
      </c>
      <c r="B267" t="e">
        <f ca="1">IF((A1)=(2),"",IF((263)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267)+(1)),IF(("add")=(INDEX(B1:XFD1,((A3)+(1))+(0))),(INDEX(B5:B405,(B4)+(1)))+(B267),IF(("equals")=(INDEX(B1:XFD1,((A3)+(1))+(0))),(INDEX(B5:B405,(B4)+(1)))=(B267),IF(("leq")=(INDEX(B1:XFD1,((A3)+(1))+(0))),(INDEX(B5:B405,(B4)+(1)))&lt;=(B267),IF(("greater")=(INDEX(B1:XFD1,((A3)+(1))+(0))),(INDEX(B5:B405,(B4)+(1)))&gt;(B267),IF(("mod")=(INDEX(B1:XFD1,((A3)+(1))+(0))),MOD(INDEX(B5:B405,(B4)+(1)),B267),B267))))))))),B267))</f>
        <v>#VALUE!</v>
      </c>
      <c r="C267" t="e">
        <f ca="1">IF((A1)=(2),1,IF(AND((INDEX(B1:XFD1,((A3)+(1))+(0)))=("writeheap"),(INDEX(B5:B405,(B4)+(1)))=(262)),INDEX(B5:B405,(B4)+(2)),IF((A1)=(2),"",IF((263)=(C4),C267,C267))))</f>
        <v>#VALUE!</v>
      </c>
      <c r="F267" t="e">
        <f ca="1">IF((A1)=(2),"",IF((263)=(F4),IF(IF((INDEX(B1:XFD1,((A3)+(1))+(0)))=("store"),(INDEX(B1:XFD1,((A3)+(1))+(1)))=("F"),"false"),B3,F267),F267))</f>
        <v>#VALUE!</v>
      </c>
      <c r="G267" t="e">
        <f ca="1">IF((A1)=(2),"",IF((263)=(G4),IF(IF((INDEX(B1:XFD1,((A3)+(1))+(0)))=("store"),(INDEX(B1:XFD1,((A3)+(1))+(1)))=("G"),"false"),B3,G267),G267))</f>
        <v>#VALUE!</v>
      </c>
      <c r="H267" t="e">
        <f ca="1">IF((A1)=(2),"",IF((263)=(H4),IF(IF((INDEX(B1:XFD1,((A3)+(1))+(0)))=("store"),(INDEX(B1:XFD1,((A3)+(1))+(1)))=("H"),"false"),B3,H267),H267))</f>
        <v>#VALUE!</v>
      </c>
      <c r="I267" t="e">
        <f ca="1">IF((A1)=(2),"",IF((263)=(I4),IF(IF((INDEX(B1:XFD1,((A3)+(1))+(0)))=("store"),(INDEX(B1:XFD1,((A3)+(1))+(1)))=("I"),"false"),B3,I267),I267))</f>
        <v>#VALUE!</v>
      </c>
      <c r="J267" t="e">
        <f ca="1">IF((A1)=(2),"",IF((263)=(J4),IF(IF((INDEX(B1:XFD1,((A3)+(1))+(0)))=("store"),(INDEX(B1:XFD1,((A3)+(1))+(1)))=("J"),"false"),B3,J267),J267))</f>
        <v>#VALUE!</v>
      </c>
      <c r="K267" t="e">
        <f ca="1">IF((A1)=(2),"",IF((263)=(K4),IF(IF((INDEX(B1:XFD1,((A3)+(1))+(0)))=("store"),(INDEX(B1:XFD1,((A3)+(1))+(1)))=("K"),"false"),B3,K267),K267))</f>
        <v>#VALUE!</v>
      </c>
      <c r="L267" t="e">
        <f ca="1">IF((A1)=(2),"",IF((263)=(L4),IF(IF((INDEX(B1:XFD1,((A3)+(1))+(0)))=("store"),(INDEX(B1:XFD1,((A3)+(1))+(1)))=("L"),"false"),B3,L267),L267))</f>
        <v>#VALUE!</v>
      </c>
      <c r="M267" t="e">
        <f ca="1">IF((A1)=(2),"",IF((263)=(M4),IF(IF((INDEX(B1:XFD1,((A3)+(1))+(0)))=("store"),(INDEX(B1:XFD1,((A3)+(1))+(1)))=("M"),"false"),B3,M267),M267))</f>
        <v>#VALUE!</v>
      </c>
      <c r="N267" t="e">
        <f ca="1">IF((A1)=(2),"",IF((263)=(N4),IF(IF((INDEX(B1:XFD1,((A3)+(1))+(0)))=("store"),(INDEX(B1:XFD1,((A3)+(1))+(1)))=("N"),"false"),B3,N267),N267))</f>
        <v>#VALUE!</v>
      </c>
      <c r="O267" t="e">
        <f ca="1">IF((A1)=(2),"",IF((263)=(O4),IF(IF((INDEX(B1:XFD1,((A3)+(1))+(0)))=("store"),(INDEX(B1:XFD1,((A3)+(1))+(1)))=("O"),"false"),B3,O267),O267))</f>
        <v>#VALUE!</v>
      </c>
      <c r="P267" t="e">
        <f ca="1">IF((A1)=(2),"",IF((263)=(P4),IF(IF((INDEX(B1:XFD1,((A3)+(1))+(0)))=("store"),(INDEX(B1:XFD1,((A3)+(1))+(1)))=("P"),"false"),B3,P267),P267))</f>
        <v>#VALUE!</v>
      </c>
      <c r="Q267" t="e">
        <f ca="1">IF((A1)=(2),"",IF((263)=(Q4),IF(IF((INDEX(B1:XFD1,((A3)+(1))+(0)))=("store"),(INDEX(B1:XFD1,((A3)+(1))+(1)))=("Q"),"false"),B3,Q267),Q267))</f>
        <v>#VALUE!</v>
      </c>
      <c r="R267" t="e">
        <f ca="1">IF((A1)=(2),"",IF((263)=(R4),IF(IF((INDEX(B1:XFD1,((A3)+(1))+(0)))=("store"),(INDEX(B1:XFD1,((A3)+(1))+(1)))=("R"),"false"),B3,R267),R267))</f>
        <v>#VALUE!</v>
      </c>
      <c r="S267" t="e">
        <f ca="1">IF((A1)=(2),"",IF((263)=(S4),IF(IF((INDEX(B1:XFD1,((A3)+(1))+(0)))=("store"),(INDEX(B1:XFD1,((A3)+(1))+(1)))=("S"),"false"),B3,S267),S267))</f>
        <v>#VALUE!</v>
      </c>
      <c r="T267" t="e">
        <f ca="1">IF((A1)=(2),"",IF((263)=(T4),IF(IF((INDEX(B1:XFD1,((A3)+(1))+(0)))=("store"),(INDEX(B1:XFD1,((A3)+(1))+(1)))=("T"),"false"),B3,T267),T267))</f>
        <v>#VALUE!</v>
      </c>
      <c r="U267" t="e">
        <f ca="1">IF((A1)=(2),"",IF((263)=(U4),IF(IF((INDEX(B1:XFD1,((A3)+(1))+(0)))=("store"),(INDEX(B1:XFD1,((A3)+(1))+(1)))=("U"),"false"),B3,U267),U267))</f>
        <v>#VALUE!</v>
      </c>
      <c r="V267" t="e">
        <f ca="1">IF((A1)=(2),"",IF((263)=(V4),IF(IF((INDEX(B1:XFD1,((A3)+(1))+(0)))=("store"),(INDEX(B1:XFD1,((A3)+(1))+(1)))=("V"),"false"),B3,V267),V267))</f>
        <v>#VALUE!</v>
      </c>
      <c r="W267" t="e">
        <f ca="1">IF((A1)=(2),"",IF((263)=(W4),IF(IF((INDEX(B1:XFD1,((A3)+(1))+(0)))=("store"),(INDEX(B1:XFD1,((A3)+(1))+(1)))=("W"),"false"),B3,W267),W267))</f>
        <v>#VALUE!</v>
      </c>
      <c r="X267" t="e">
        <f ca="1">IF((A1)=(2),"",IF((263)=(X4),IF(IF((INDEX(B1:XFD1,((A3)+(1))+(0)))=("store"),(INDEX(B1:XFD1,((A3)+(1))+(1)))=("X"),"false"),B3,X267),X267))</f>
        <v>#VALUE!</v>
      </c>
      <c r="Y267" t="e">
        <f ca="1">IF((A1)=(2),"",IF((263)=(Y4),IF(IF((INDEX(B1:XFD1,((A3)+(1))+(0)))=("store"),(INDEX(B1:XFD1,((A3)+(1))+(1)))=("Y"),"false"),B3,Y267),Y267))</f>
        <v>#VALUE!</v>
      </c>
      <c r="Z267" t="e">
        <f ca="1">IF((A1)=(2),"",IF((263)=(Z4),IF(IF((INDEX(B1:XFD1,((A3)+(1))+(0)))=("store"),(INDEX(B1:XFD1,((A3)+(1))+(1)))=("Z"),"false"),B3,Z267),Z267))</f>
        <v>#VALUE!</v>
      </c>
      <c r="AA267" t="e">
        <f ca="1">IF((A1)=(2),"",IF((263)=(AA4),IF(IF((INDEX(B1:XFD1,((A3)+(1))+(0)))=("store"),(INDEX(B1:XFD1,((A3)+(1))+(1)))=("AA"),"false"),B3,AA267),AA267))</f>
        <v>#VALUE!</v>
      </c>
      <c r="AB267" t="e">
        <f ca="1">IF((A1)=(2),"",IF((263)=(AB4),IF(IF((INDEX(B1:XFD1,((A3)+(1))+(0)))=("store"),(INDEX(B1:XFD1,((A3)+(1))+(1)))=("AB"),"false"),B3,AB267),AB267))</f>
        <v>#VALUE!</v>
      </c>
      <c r="AC267" t="e">
        <f ca="1">IF((A1)=(2),"",IF((263)=(AC4),IF(IF((INDEX(B1:XFD1,((A3)+(1))+(0)))=("store"),(INDEX(B1:XFD1,((A3)+(1))+(1)))=("AC"),"false"),B3,AC267),AC267))</f>
        <v>#VALUE!</v>
      </c>
      <c r="AD267" t="e">
        <f ca="1">IF((A1)=(2),"",IF((263)=(AD4),IF(IF((INDEX(B1:XFD1,((A3)+(1))+(0)))=("store"),(INDEX(B1:XFD1,((A3)+(1))+(1)))=("AD"),"false"),B3,AD267),AD267))</f>
        <v>#VALUE!</v>
      </c>
    </row>
    <row r="268" spans="1:30" x14ac:dyDescent="0.25">
      <c r="A268" t="e">
        <f ca="1">IF((A1)=(2),"",IF((264)=(A4),IF(("call")=(INDEX(B1:XFD1,((A3)+(1))+(0))),(B3)*(2),IF(("goto")=(INDEX(B1:XFD1,((A3)+(1))+(0))),(INDEX(B1:XFD1,((A3)+(1))+(1)))*(2),IF(("gotoiftrue")=(INDEX(B1:XFD1,((A3)+(1))+(0))),IF(B3,(INDEX(B1:XFD1,((A3)+(1))+(1)))*(2),(A268)+(2)),(A268)+(2)))),A268))</f>
        <v>#VALUE!</v>
      </c>
      <c r="B268" t="e">
        <f ca="1">IF((A1)=(2),"",IF((264)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268)+(1)),IF(("add")=(INDEX(B1:XFD1,((A3)+(1))+(0))),(INDEX(B5:B405,(B4)+(1)))+(B268),IF(("equals")=(INDEX(B1:XFD1,((A3)+(1))+(0))),(INDEX(B5:B405,(B4)+(1)))=(B268),IF(("leq")=(INDEX(B1:XFD1,((A3)+(1))+(0))),(INDEX(B5:B405,(B4)+(1)))&lt;=(B268),IF(("greater")=(INDEX(B1:XFD1,((A3)+(1))+(0))),(INDEX(B5:B405,(B4)+(1)))&gt;(B268),IF(("mod")=(INDEX(B1:XFD1,((A3)+(1))+(0))),MOD(INDEX(B5:B405,(B4)+(1)),B268),B268))))))))),B268))</f>
        <v>#VALUE!</v>
      </c>
      <c r="C268" t="e">
        <f ca="1">IF((A1)=(2),1,IF(AND((INDEX(B1:XFD1,((A3)+(1))+(0)))=("writeheap"),(INDEX(B5:B405,(B4)+(1)))=(263)),INDEX(B5:B405,(B4)+(2)),IF((A1)=(2),"",IF((264)=(C4),C268,C268))))</f>
        <v>#VALUE!</v>
      </c>
      <c r="F268" t="e">
        <f ca="1">IF((A1)=(2),"",IF((264)=(F4),IF(IF((INDEX(B1:XFD1,((A3)+(1))+(0)))=("store"),(INDEX(B1:XFD1,((A3)+(1))+(1)))=("F"),"false"),B3,F268),F268))</f>
        <v>#VALUE!</v>
      </c>
      <c r="G268" t="e">
        <f ca="1">IF((A1)=(2),"",IF((264)=(G4),IF(IF((INDEX(B1:XFD1,((A3)+(1))+(0)))=("store"),(INDEX(B1:XFD1,((A3)+(1))+(1)))=("G"),"false"),B3,G268),G268))</f>
        <v>#VALUE!</v>
      </c>
      <c r="H268" t="e">
        <f ca="1">IF((A1)=(2),"",IF((264)=(H4),IF(IF((INDEX(B1:XFD1,((A3)+(1))+(0)))=("store"),(INDEX(B1:XFD1,((A3)+(1))+(1)))=("H"),"false"),B3,H268),H268))</f>
        <v>#VALUE!</v>
      </c>
      <c r="I268" t="e">
        <f ca="1">IF((A1)=(2),"",IF((264)=(I4),IF(IF((INDEX(B1:XFD1,((A3)+(1))+(0)))=("store"),(INDEX(B1:XFD1,((A3)+(1))+(1)))=("I"),"false"),B3,I268),I268))</f>
        <v>#VALUE!</v>
      </c>
      <c r="J268" t="e">
        <f ca="1">IF((A1)=(2),"",IF((264)=(J4),IF(IF((INDEX(B1:XFD1,((A3)+(1))+(0)))=("store"),(INDEX(B1:XFD1,((A3)+(1))+(1)))=("J"),"false"),B3,J268),J268))</f>
        <v>#VALUE!</v>
      </c>
      <c r="K268" t="e">
        <f ca="1">IF((A1)=(2),"",IF((264)=(K4),IF(IF((INDEX(B1:XFD1,((A3)+(1))+(0)))=("store"),(INDEX(B1:XFD1,((A3)+(1))+(1)))=("K"),"false"),B3,K268),K268))</f>
        <v>#VALUE!</v>
      </c>
      <c r="L268" t="e">
        <f ca="1">IF((A1)=(2),"",IF((264)=(L4),IF(IF((INDEX(B1:XFD1,((A3)+(1))+(0)))=("store"),(INDEX(B1:XFD1,((A3)+(1))+(1)))=("L"),"false"),B3,L268),L268))</f>
        <v>#VALUE!</v>
      </c>
      <c r="M268" t="e">
        <f ca="1">IF((A1)=(2),"",IF((264)=(M4),IF(IF((INDEX(B1:XFD1,((A3)+(1))+(0)))=("store"),(INDEX(B1:XFD1,((A3)+(1))+(1)))=("M"),"false"),B3,M268),M268))</f>
        <v>#VALUE!</v>
      </c>
      <c r="N268" t="e">
        <f ca="1">IF((A1)=(2),"",IF((264)=(N4),IF(IF((INDEX(B1:XFD1,((A3)+(1))+(0)))=("store"),(INDEX(B1:XFD1,((A3)+(1))+(1)))=("N"),"false"),B3,N268),N268))</f>
        <v>#VALUE!</v>
      </c>
      <c r="O268" t="e">
        <f ca="1">IF((A1)=(2),"",IF((264)=(O4),IF(IF((INDEX(B1:XFD1,((A3)+(1))+(0)))=("store"),(INDEX(B1:XFD1,((A3)+(1))+(1)))=("O"),"false"),B3,O268),O268))</f>
        <v>#VALUE!</v>
      </c>
      <c r="P268" t="e">
        <f ca="1">IF((A1)=(2),"",IF((264)=(P4),IF(IF((INDEX(B1:XFD1,((A3)+(1))+(0)))=("store"),(INDEX(B1:XFD1,((A3)+(1))+(1)))=("P"),"false"),B3,P268),P268))</f>
        <v>#VALUE!</v>
      </c>
      <c r="Q268" t="e">
        <f ca="1">IF((A1)=(2),"",IF((264)=(Q4),IF(IF((INDEX(B1:XFD1,((A3)+(1))+(0)))=("store"),(INDEX(B1:XFD1,((A3)+(1))+(1)))=("Q"),"false"),B3,Q268),Q268))</f>
        <v>#VALUE!</v>
      </c>
      <c r="R268" t="e">
        <f ca="1">IF((A1)=(2),"",IF((264)=(R4),IF(IF((INDEX(B1:XFD1,((A3)+(1))+(0)))=("store"),(INDEX(B1:XFD1,((A3)+(1))+(1)))=("R"),"false"),B3,R268),R268))</f>
        <v>#VALUE!</v>
      </c>
      <c r="S268" t="e">
        <f ca="1">IF((A1)=(2),"",IF((264)=(S4),IF(IF((INDEX(B1:XFD1,((A3)+(1))+(0)))=("store"),(INDEX(B1:XFD1,((A3)+(1))+(1)))=("S"),"false"),B3,S268),S268))</f>
        <v>#VALUE!</v>
      </c>
      <c r="T268" t="e">
        <f ca="1">IF((A1)=(2),"",IF((264)=(T4),IF(IF((INDEX(B1:XFD1,((A3)+(1))+(0)))=("store"),(INDEX(B1:XFD1,((A3)+(1))+(1)))=("T"),"false"),B3,T268),T268))</f>
        <v>#VALUE!</v>
      </c>
      <c r="U268" t="e">
        <f ca="1">IF((A1)=(2),"",IF((264)=(U4),IF(IF((INDEX(B1:XFD1,((A3)+(1))+(0)))=("store"),(INDEX(B1:XFD1,((A3)+(1))+(1)))=("U"),"false"),B3,U268),U268))</f>
        <v>#VALUE!</v>
      </c>
      <c r="V268" t="e">
        <f ca="1">IF((A1)=(2),"",IF((264)=(V4),IF(IF((INDEX(B1:XFD1,((A3)+(1))+(0)))=("store"),(INDEX(B1:XFD1,((A3)+(1))+(1)))=("V"),"false"),B3,V268),V268))</f>
        <v>#VALUE!</v>
      </c>
      <c r="W268" t="e">
        <f ca="1">IF((A1)=(2),"",IF((264)=(W4),IF(IF((INDEX(B1:XFD1,((A3)+(1))+(0)))=("store"),(INDEX(B1:XFD1,((A3)+(1))+(1)))=("W"),"false"),B3,W268),W268))</f>
        <v>#VALUE!</v>
      </c>
      <c r="X268" t="e">
        <f ca="1">IF((A1)=(2),"",IF((264)=(X4),IF(IF((INDEX(B1:XFD1,((A3)+(1))+(0)))=("store"),(INDEX(B1:XFD1,((A3)+(1))+(1)))=("X"),"false"),B3,X268),X268))</f>
        <v>#VALUE!</v>
      </c>
      <c r="Y268" t="e">
        <f ca="1">IF((A1)=(2),"",IF((264)=(Y4),IF(IF((INDEX(B1:XFD1,((A3)+(1))+(0)))=("store"),(INDEX(B1:XFD1,((A3)+(1))+(1)))=("Y"),"false"),B3,Y268),Y268))</f>
        <v>#VALUE!</v>
      </c>
      <c r="Z268" t="e">
        <f ca="1">IF((A1)=(2),"",IF((264)=(Z4),IF(IF((INDEX(B1:XFD1,((A3)+(1))+(0)))=("store"),(INDEX(B1:XFD1,((A3)+(1))+(1)))=("Z"),"false"),B3,Z268),Z268))</f>
        <v>#VALUE!</v>
      </c>
      <c r="AA268" t="e">
        <f ca="1">IF((A1)=(2),"",IF((264)=(AA4),IF(IF((INDEX(B1:XFD1,((A3)+(1))+(0)))=("store"),(INDEX(B1:XFD1,((A3)+(1))+(1)))=("AA"),"false"),B3,AA268),AA268))</f>
        <v>#VALUE!</v>
      </c>
      <c r="AB268" t="e">
        <f ca="1">IF((A1)=(2),"",IF((264)=(AB4),IF(IF((INDEX(B1:XFD1,((A3)+(1))+(0)))=("store"),(INDEX(B1:XFD1,((A3)+(1))+(1)))=("AB"),"false"),B3,AB268),AB268))</f>
        <v>#VALUE!</v>
      </c>
      <c r="AC268" t="e">
        <f ca="1">IF((A1)=(2),"",IF((264)=(AC4),IF(IF((INDEX(B1:XFD1,((A3)+(1))+(0)))=("store"),(INDEX(B1:XFD1,((A3)+(1))+(1)))=("AC"),"false"),B3,AC268),AC268))</f>
        <v>#VALUE!</v>
      </c>
      <c r="AD268" t="e">
        <f ca="1">IF((A1)=(2),"",IF((264)=(AD4),IF(IF((INDEX(B1:XFD1,((A3)+(1))+(0)))=("store"),(INDEX(B1:XFD1,((A3)+(1))+(1)))=("AD"),"false"),B3,AD268),AD268))</f>
        <v>#VALUE!</v>
      </c>
    </row>
    <row r="269" spans="1:30" x14ac:dyDescent="0.25">
      <c r="A269" t="e">
        <f ca="1">IF((A1)=(2),"",IF((265)=(A4),IF(("call")=(INDEX(B1:XFD1,((A3)+(1))+(0))),(B3)*(2),IF(("goto")=(INDEX(B1:XFD1,((A3)+(1))+(0))),(INDEX(B1:XFD1,((A3)+(1))+(1)))*(2),IF(("gotoiftrue")=(INDEX(B1:XFD1,((A3)+(1))+(0))),IF(B3,(INDEX(B1:XFD1,((A3)+(1))+(1)))*(2),(A269)+(2)),(A269)+(2)))),A269))</f>
        <v>#VALUE!</v>
      </c>
      <c r="B269" t="e">
        <f ca="1">IF((A1)=(2),"",IF((265)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269)+(1)),IF(("add")=(INDEX(B1:XFD1,((A3)+(1))+(0))),(INDEX(B5:B405,(B4)+(1)))+(B269),IF(("equals")=(INDEX(B1:XFD1,((A3)+(1))+(0))),(INDEX(B5:B405,(B4)+(1)))=(B269),IF(("leq")=(INDEX(B1:XFD1,((A3)+(1))+(0))),(INDEX(B5:B405,(B4)+(1)))&lt;=(B269),IF(("greater")=(INDEX(B1:XFD1,((A3)+(1))+(0))),(INDEX(B5:B405,(B4)+(1)))&gt;(B269),IF(("mod")=(INDEX(B1:XFD1,((A3)+(1))+(0))),MOD(INDEX(B5:B405,(B4)+(1)),B269),B269))))))))),B269))</f>
        <v>#VALUE!</v>
      </c>
      <c r="C269" t="e">
        <f ca="1">IF((A1)=(2),1,IF(AND((INDEX(B1:XFD1,((A3)+(1))+(0)))=("writeheap"),(INDEX(B5:B405,(B4)+(1)))=(264)),INDEX(B5:B405,(B4)+(2)),IF((A1)=(2),"",IF((265)=(C4),C269,C269))))</f>
        <v>#VALUE!</v>
      </c>
      <c r="F269" t="e">
        <f ca="1">IF((A1)=(2),"",IF((265)=(F4),IF(IF((INDEX(B1:XFD1,((A3)+(1))+(0)))=("store"),(INDEX(B1:XFD1,((A3)+(1))+(1)))=("F"),"false"),B3,F269),F269))</f>
        <v>#VALUE!</v>
      </c>
      <c r="G269" t="e">
        <f ca="1">IF((A1)=(2),"",IF((265)=(G4),IF(IF((INDEX(B1:XFD1,((A3)+(1))+(0)))=("store"),(INDEX(B1:XFD1,((A3)+(1))+(1)))=("G"),"false"),B3,G269),G269))</f>
        <v>#VALUE!</v>
      </c>
      <c r="H269" t="e">
        <f ca="1">IF((A1)=(2),"",IF((265)=(H4),IF(IF((INDEX(B1:XFD1,((A3)+(1))+(0)))=("store"),(INDEX(B1:XFD1,((A3)+(1))+(1)))=("H"),"false"),B3,H269),H269))</f>
        <v>#VALUE!</v>
      </c>
      <c r="I269" t="e">
        <f ca="1">IF((A1)=(2),"",IF((265)=(I4),IF(IF((INDEX(B1:XFD1,((A3)+(1))+(0)))=("store"),(INDEX(B1:XFD1,((A3)+(1))+(1)))=("I"),"false"),B3,I269),I269))</f>
        <v>#VALUE!</v>
      </c>
      <c r="J269" t="e">
        <f ca="1">IF((A1)=(2),"",IF((265)=(J4),IF(IF((INDEX(B1:XFD1,((A3)+(1))+(0)))=("store"),(INDEX(B1:XFD1,((A3)+(1))+(1)))=("J"),"false"),B3,J269),J269))</f>
        <v>#VALUE!</v>
      </c>
      <c r="K269" t="e">
        <f ca="1">IF((A1)=(2),"",IF((265)=(K4),IF(IF((INDEX(B1:XFD1,((A3)+(1))+(0)))=("store"),(INDEX(B1:XFD1,((A3)+(1))+(1)))=("K"),"false"),B3,K269),K269))</f>
        <v>#VALUE!</v>
      </c>
      <c r="L269" t="e">
        <f ca="1">IF((A1)=(2),"",IF((265)=(L4),IF(IF((INDEX(B1:XFD1,((A3)+(1))+(0)))=("store"),(INDEX(B1:XFD1,((A3)+(1))+(1)))=("L"),"false"),B3,L269),L269))</f>
        <v>#VALUE!</v>
      </c>
      <c r="M269" t="e">
        <f ca="1">IF((A1)=(2),"",IF((265)=(M4),IF(IF((INDEX(B1:XFD1,((A3)+(1))+(0)))=("store"),(INDEX(B1:XFD1,((A3)+(1))+(1)))=("M"),"false"),B3,M269),M269))</f>
        <v>#VALUE!</v>
      </c>
      <c r="N269" t="e">
        <f ca="1">IF((A1)=(2),"",IF((265)=(N4),IF(IF((INDEX(B1:XFD1,((A3)+(1))+(0)))=("store"),(INDEX(B1:XFD1,((A3)+(1))+(1)))=("N"),"false"),B3,N269),N269))</f>
        <v>#VALUE!</v>
      </c>
      <c r="O269" t="e">
        <f ca="1">IF((A1)=(2),"",IF((265)=(O4),IF(IF((INDEX(B1:XFD1,((A3)+(1))+(0)))=("store"),(INDEX(B1:XFD1,((A3)+(1))+(1)))=("O"),"false"),B3,O269),O269))</f>
        <v>#VALUE!</v>
      </c>
      <c r="P269" t="e">
        <f ca="1">IF((A1)=(2),"",IF((265)=(P4),IF(IF((INDEX(B1:XFD1,((A3)+(1))+(0)))=("store"),(INDEX(B1:XFD1,((A3)+(1))+(1)))=("P"),"false"),B3,P269),P269))</f>
        <v>#VALUE!</v>
      </c>
      <c r="Q269" t="e">
        <f ca="1">IF((A1)=(2),"",IF((265)=(Q4),IF(IF((INDEX(B1:XFD1,((A3)+(1))+(0)))=("store"),(INDEX(B1:XFD1,((A3)+(1))+(1)))=("Q"),"false"),B3,Q269),Q269))</f>
        <v>#VALUE!</v>
      </c>
      <c r="R269" t="e">
        <f ca="1">IF((A1)=(2),"",IF((265)=(R4),IF(IF((INDEX(B1:XFD1,((A3)+(1))+(0)))=("store"),(INDEX(B1:XFD1,((A3)+(1))+(1)))=("R"),"false"),B3,R269),R269))</f>
        <v>#VALUE!</v>
      </c>
      <c r="S269" t="e">
        <f ca="1">IF((A1)=(2),"",IF((265)=(S4),IF(IF((INDEX(B1:XFD1,((A3)+(1))+(0)))=("store"),(INDEX(B1:XFD1,((A3)+(1))+(1)))=("S"),"false"),B3,S269),S269))</f>
        <v>#VALUE!</v>
      </c>
      <c r="T269" t="e">
        <f ca="1">IF((A1)=(2),"",IF((265)=(T4),IF(IF((INDEX(B1:XFD1,((A3)+(1))+(0)))=("store"),(INDEX(B1:XFD1,((A3)+(1))+(1)))=("T"),"false"),B3,T269),T269))</f>
        <v>#VALUE!</v>
      </c>
      <c r="U269" t="e">
        <f ca="1">IF((A1)=(2),"",IF((265)=(U4),IF(IF((INDEX(B1:XFD1,((A3)+(1))+(0)))=("store"),(INDEX(B1:XFD1,((A3)+(1))+(1)))=("U"),"false"),B3,U269),U269))</f>
        <v>#VALUE!</v>
      </c>
      <c r="V269" t="e">
        <f ca="1">IF((A1)=(2),"",IF((265)=(V4),IF(IF((INDEX(B1:XFD1,((A3)+(1))+(0)))=("store"),(INDEX(B1:XFD1,((A3)+(1))+(1)))=("V"),"false"),B3,V269),V269))</f>
        <v>#VALUE!</v>
      </c>
      <c r="W269" t="e">
        <f ca="1">IF((A1)=(2),"",IF((265)=(W4),IF(IF((INDEX(B1:XFD1,((A3)+(1))+(0)))=("store"),(INDEX(B1:XFD1,((A3)+(1))+(1)))=("W"),"false"),B3,W269),W269))</f>
        <v>#VALUE!</v>
      </c>
      <c r="X269" t="e">
        <f ca="1">IF((A1)=(2),"",IF((265)=(X4),IF(IF((INDEX(B1:XFD1,((A3)+(1))+(0)))=("store"),(INDEX(B1:XFD1,((A3)+(1))+(1)))=("X"),"false"),B3,X269),X269))</f>
        <v>#VALUE!</v>
      </c>
      <c r="Y269" t="e">
        <f ca="1">IF((A1)=(2),"",IF((265)=(Y4),IF(IF((INDEX(B1:XFD1,((A3)+(1))+(0)))=("store"),(INDEX(B1:XFD1,((A3)+(1))+(1)))=("Y"),"false"),B3,Y269),Y269))</f>
        <v>#VALUE!</v>
      </c>
      <c r="Z269" t="e">
        <f ca="1">IF((A1)=(2),"",IF((265)=(Z4),IF(IF((INDEX(B1:XFD1,((A3)+(1))+(0)))=("store"),(INDEX(B1:XFD1,((A3)+(1))+(1)))=("Z"),"false"),B3,Z269),Z269))</f>
        <v>#VALUE!</v>
      </c>
      <c r="AA269" t="e">
        <f ca="1">IF((A1)=(2),"",IF((265)=(AA4),IF(IF((INDEX(B1:XFD1,((A3)+(1))+(0)))=("store"),(INDEX(B1:XFD1,((A3)+(1))+(1)))=("AA"),"false"),B3,AA269),AA269))</f>
        <v>#VALUE!</v>
      </c>
      <c r="AB269" t="e">
        <f ca="1">IF((A1)=(2),"",IF((265)=(AB4),IF(IF((INDEX(B1:XFD1,((A3)+(1))+(0)))=("store"),(INDEX(B1:XFD1,((A3)+(1))+(1)))=("AB"),"false"),B3,AB269),AB269))</f>
        <v>#VALUE!</v>
      </c>
      <c r="AC269" t="e">
        <f ca="1">IF((A1)=(2),"",IF((265)=(AC4),IF(IF((INDEX(B1:XFD1,((A3)+(1))+(0)))=("store"),(INDEX(B1:XFD1,((A3)+(1))+(1)))=("AC"),"false"),B3,AC269),AC269))</f>
        <v>#VALUE!</v>
      </c>
      <c r="AD269" t="e">
        <f ca="1">IF((A1)=(2),"",IF((265)=(AD4),IF(IF((INDEX(B1:XFD1,((A3)+(1))+(0)))=("store"),(INDEX(B1:XFD1,((A3)+(1))+(1)))=("AD"),"false"),B3,AD269),AD269))</f>
        <v>#VALUE!</v>
      </c>
    </row>
    <row r="270" spans="1:30" x14ac:dyDescent="0.25">
      <c r="A270" t="e">
        <f ca="1">IF((A1)=(2),"",IF((266)=(A4),IF(("call")=(INDEX(B1:XFD1,((A3)+(1))+(0))),(B3)*(2),IF(("goto")=(INDEX(B1:XFD1,((A3)+(1))+(0))),(INDEX(B1:XFD1,((A3)+(1))+(1)))*(2),IF(("gotoiftrue")=(INDEX(B1:XFD1,((A3)+(1))+(0))),IF(B3,(INDEX(B1:XFD1,((A3)+(1))+(1)))*(2),(A270)+(2)),(A270)+(2)))),A270))</f>
        <v>#VALUE!</v>
      </c>
      <c r="B270" t="e">
        <f ca="1">IF((A1)=(2),"",IF((266)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270)+(1)),IF(("add")=(INDEX(B1:XFD1,((A3)+(1))+(0))),(INDEX(B5:B405,(B4)+(1)))+(B270),IF(("equals")=(INDEX(B1:XFD1,((A3)+(1))+(0))),(INDEX(B5:B405,(B4)+(1)))=(B270),IF(("leq")=(INDEX(B1:XFD1,((A3)+(1))+(0))),(INDEX(B5:B405,(B4)+(1)))&lt;=(B270),IF(("greater")=(INDEX(B1:XFD1,((A3)+(1))+(0))),(INDEX(B5:B405,(B4)+(1)))&gt;(B270),IF(("mod")=(INDEX(B1:XFD1,((A3)+(1))+(0))),MOD(INDEX(B5:B405,(B4)+(1)),B270),B270))))))))),B270))</f>
        <v>#VALUE!</v>
      </c>
      <c r="C270" t="e">
        <f ca="1">IF((A1)=(2),1,IF(AND((INDEX(B1:XFD1,((A3)+(1))+(0)))=("writeheap"),(INDEX(B5:B405,(B4)+(1)))=(265)),INDEX(B5:B405,(B4)+(2)),IF((A1)=(2),"",IF((266)=(C4),C270,C270))))</f>
        <v>#VALUE!</v>
      </c>
      <c r="F270" t="e">
        <f ca="1">IF((A1)=(2),"",IF((266)=(F4),IF(IF((INDEX(B1:XFD1,((A3)+(1))+(0)))=("store"),(INDEX(B1:XFD1,((A3)+(1))+(1)))=("F"),"false"),B3,F270),F270))</f>
        <v>#VALUE!</v>
      </c>
      <c r="G270" t="e">
        <f ca="1">IF((A1)=(2),"",IF((266)=(G4),IF(IF((INDEX(B1:XFD1,((A3)+(1))+(0)))=("store"),(INDEX(B1:XFD1,((A3)+(1))+(1)))=("G"),"false"),B3,G270),G270))</f>
        <v>#VALUE!</v>
      </c>
      <c r="H270" t="e">
        <f ca="1">IF((A1)=(2),"",IF((266)=(H4),IF(IF((INDEX(B1:XFD1,((A3)+(1))+(0)))=("store"),(INDEX(B1:XFD1,((A3)+(1))+(1)))=("H"),"false"),B3,H270),H270))</f>
        <v>#VALUE!</v>
      </c>
      <c r="I270" t="e">
        <f ca="1">IF((A1)=(2),"",IF((266)=(I4),IF(IF((INDEX(B1:XFD1,((A3)+(1))+(0)))=("store"),(INDEX(B1:XFD1,((A3)+(1))+(1)))=("I"),"false"),B3,I270),I270))</f>
        <v>#VALUE!</v>
      </c>
      <c r="J270" t="e">
        <f ca="1">IF((A1)=(2),"",IF((266)=(J4),IF(IF((INDEX(B1:XFD1,((A3)+(1))+(0)))=("store"),(INDEX(B1:XFD1,((A3)+(1))+(1)))=("J"),"false"),B3,J270),J270))</f>
        <v>#VALUE!</v>
      </c>
      <c r="K270" t="e">
        <f ca="1">IF((A1)=(2),"",IF((266)=(K4),IF(IF((INDEX(B1:XFD1,((A3)+(1))+(0)))=("store"),(INDEX(B1:XFD1,((A3)+(1))+(1)))=("K"),"false"),B3,K270),K270))</f>
        <v>#VALUE!</v>
      </c>
      <c r="L270" t="e">
        <f ca="1">IF((A1)=(2),"",IF((266)=(L4),IF(IF((INDEX(B1:XFD1,((A3)+(1))+(0)))=("store"),(INDEX(B1:XFD1,((A3)+(1))+(1)))=("L"),"false"),B3,L270),L270))</f>
        <v>#VALUE!</v>
      </c>
      <c r="M270" t="e">
        <f ca="1">IF((A1)=(2),"",IF((266)=(M4),IF(IF((INDEX(B1:XFD1,((A3)+(1))+(0)))=("store"),(INDEX(B1:XFD1,((A3)+(1))+(1)))=("M"),"false"),B3,M270),M270))</f>
        <v>#VALUE!</v>
      </c>
      <c r="N270" t="e">
        <f ca="1">IF((A1)=(2),"",IF((266)=(N4),IF(IF((INDEX(B1:XFD1,((A3)+(1))+(0)))=("store"),(INDEX(B1:XFD1,((A3)+(1))+(1)))=("N"),"false"),B3,N270),N270))</f>
        <v>#VALUE!</v>
      </c>
      <c r="O270" t="e">
        <f ca="1">IF((A1)=(2),"",IF((266)=(O4),IF(IF((INDEX(B1:XFD1,((A3)+(1))+(0)))=("store"),(INDEX(B1:XFD1,((A3)+(1))+(1)))=("O"),"false"),B3,O270),O270))</f>
        <v>#VALUE!</v>
      </c>
      <c r="P270" t="e">
        <f ca="1">IF((A1)=(2),"",IF((266)=(P4),IF(IF((INDEX(B1:XFD1,((A3)+(1))+(0)))=("store"),(INDEX(B1:XFD1,((A3)+(1))+(1)))=("P"),"false"),B3,P270),P270))</f>
        <v>#VALUE!</v>
      </c>
      <c r="Q270" t="e">
        <f ca="1">IF((A1)=(2),"",IF((266)=(Q4),IF(IF((INDEX(B1:XFD1,((A3)+(1))+(0)))=("store"),(INDEX(B1:XFD1,((A3)+(1))+(1)))=("Q"),"false"),B3,Q270),Q270))</f>
        <v>#VALUE!</v>
      </c>
      <c r="R270" t="e">
        <f ca="1">IF((A1)=(2),"",IF((266)=(R4),IF(IF((INDEX(B1:XFD1,((A3)+(1))+(0)))=("store"),(INDEX(B1:XFD1,((A3)+(1))+(1)))=("R"),"false"),B3,R270),R270))</f>
        <v>#VALUE!</v>
      </c>
      <c r="S270" t="e">
        <f ca="1">IF((A1)=(2),"",IF((266)=(S4),IF(IF((INDEX(B1:XFD1,((A3)+(1))+(0)))=("store"),(INDEX(B1:XFD1,((A3)+(1))+(1)))=("S"),"false"),B3,S270),S270))</f>
        <v>#VALUE!</v>
      </c>
      <c r="T270" t="e">
        <f ca="1">IF((A1)=(2),"",IF((266)=(T4),IF(IF((INDEX(B1:XFD1,((A3)+(1))+(0)))=("store"),(INDEX(B1:XFD1,((A3)+(1))+(1)))=("T"),"false"),B3,T270),T270))</f>
        <v>#VALUE!</v>
      </c>
      <c r="U270" t="e">
        <f ca="1">IF((A1)=(2),"",IF((266)=(U4),IF(IF((INDEX(B1:XFD1,((A3)+(1))+(0)))=("store"),(INDEX(B1:XFD1,((A3)+(1))+(1)))=("U"),"false"),B3,U270),U270))</f>
        <v>#VALUE!</v>
      </c>
      <c r="V270" t="e">
        <f ca="1">IF((A1)=(2),"",IF((266)=(V4),IF(IF((INDEX(B1:XFD1,((A3)+(1))+(0)))=("store"),(INDEX(B1:XFD1,((A3)+(1))+(1)))=("V"),"false"),B3,V270),V270))</f>
        <v>#VALUE!</v>
      </c>
      <c r="W270" t="e">
        <f ca="1">IF((A1)=(2),"",IF((266)=(W4),IF(IF((INDEX(B1:XFD1,((A3)+(1))+(0)))=("store"),(INDEX(B1:XFD1,((A3)+(1))+(1)))=("W"),"false"),B3,W270),W270))</f>
        <v>#VALUE!</v>
      </c>
      <c r="X270" t="e">
        <f ca="1">IF((A1)=(2),"",IF((266)=(X4),IF(IF((INDEX(B1:XFD1,((A3)+(1))+(0)))=("store"),(INDEX(B1:XFD1,((A3)+(1))+(1)))=("X"),"false"),B3,X270),X270))</f>
        <v>#VALUE!</v>
      </c>
      <c r="Y270" t="e">
        <f ca="1">IF((A1)=(2),"",IF((266)=(Y4),IF(IF((INDEX(B1:XFD1,((A3)+(1))+(0)))=("store"),(INDEX(B1:XFD1,((A3)+(1))+(1)))=("Y"),"false"),B3,Y270),Y270))</f>
        <v>#VALUE!</v>
      </c>
      <c r="Z270" t="e">
        <f ca="1">IF((A1)=(2),"",IF((266)=(Z4),IF(IF((INDEX(B1:XFD1,((A3)+(1))+(0)))=("store"),(INDEX(B1:XFD1,((A3)+(1))+(1)))=("Z"),"false"),B3,Z270),Z270))</f>
        <v>#VALUE!</v>
      </c>
      <c r="AA270" t="e">
        <f ca="1">IF((A1)=(2),"",IF((266)=(AA4),IF(IF((INDEX(B1:XFD1,((A3)+(1))+(0)))=("store"),(INDEX(B1:XFD1,((A3)+(1))+(1)))=("AA"),"false"),B3,AA270),AA270))</f>
        <v>#VALUE!</v>
      </c>
      <c r="AB270" t="e">
        <f ca="1">IF((A1)=(2),"",IF((266)=(AB4),IF(IF((INDEX(B1:XFD1,((A3)+(1))+(0)))=("store"),(INDEX(B1:XFD1,((A3)+(1))+(1)))=("AB"),"false"),B3,AB270),AB270))</f>
        <v>#VALUE!</v>
      </c>
      <c r="AC270" t="e">
        <f ca="1">IF((A1)=(2),"",IF((266)=(AC4),IF(IF((INDEX(B1:XFD1,((A3)+(1))+(0)))=("store"),(INDEX(B1:XFD1,((A3)+(1))+(1)))=("AC"),"false"),B3,AC270),AC270))</f>
        <v>#VALUE!</v>
      </c>
      <c r="AD270" t="e">
        <f ca="1">IF((A1)=(2),"",IF((266)=(AD4),IF(IF((INDEX(B1:XFD1,((A3)+(1))+(0)))=("store"),(INDEX(B1:XFD1,((A3)+(1))+(1)))=("AD"),"false"),B3,AD270),AD270))</f>
        <v>#VALUE!</v>
      </c>
    </row>
    <row r="271" spans="1:30" x14ac:dyDescent="0.25">
      <c r="A271" t="e">
        <f ca="1">IF((A1)=(2),"",IF((267)=(A4),IF(("call")=(INDEX(B1:XFD1,((A3)+(1))+(0))),(B3)*(2),IF(("goto")=(INDEX(B1:XFD1,((A3)+(1))+(0))),(INDEX(B1:XFD1,((A3)+(1))+(1)))*(2),IF(("gotoiftrue")=(INDEX(B1:XFD1,((A3)+(1))+(0))),IF(B3,(INDEX(B1:XFD1,((A3)+(1))+(1)))*(2),(A271)+(2)),(A271)+(2)))),A271))</f>
        <v>#VALUE!</v>
      </c>
      <c r="B271" t="e">
        <f ca="1">IF((A1)=(2),"",IF((267)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271)+(1)),IF(("add")=(INDEX(B1:XFD1,((A3)+(1))+(0))),(INDEX(B5:B405,(B4)+(1)))+(B271),IF(("equals")=(INDEX(B1:XFD1,((A3)+(1))+(0))),(INDEX(B5:B405,(B4)+(1)))=(B271),IF(("leq")=(INDEX(B1:XFD1,((A3)+(1))+(0))),(INDEX(B5:B405,(B4)+(1)))&lt;=(B271),IF(("greater")=(INDEX(B1:XFD1,((A3)+(1))+(0))),(INDEX(B5:B405,(B4)+(1)))&gt;(B271),IF(("mod")=(INDEX(B1:XFD1,((A3)+(1))+(0))),MOD(INDEX(B5:B405,(B4)+(1)),B271),B271))))))))),B271))</f>
        <v>#VALUE!</v>
      </c>
      <c r="C271" t="e">
        <f ca="1">IF((A1)=(2),1,IF(AND((INDEX(B1:XFD1,((A3)+(1))+(0)))=("writeheap"),(INDEX(B5:B405,(B4)+(1)))=(266)),INDEX(B5:B405,(B4)+(2)),IF((A1)=(2),"",IF((267)=(C4),C271,C271))))</f>
        <v>#VALUE!</v>
      </c>
      <c r="F271" t="e">
        <f ca="1">IF((A1)=(2),"",IF((267)=(F4),IF(IF((INDEX(B1:XFD1,((A3)+(1))+(0)))=("store"),(INDEX(B1:XFD1,((A3)+(1))+(1)))=("F"),"false"),B3,F271),F271))</f>
        <v>#VALUE!</v>
      </c>
      <c r="G271" t="e">
        <f ca="1">IF((A1)=(2),"",IF((267)=(G4),IF(IF((INDEX(B1:XFD1,((A3)+(1))+(0)))=("store"),(INDEX(B1:XFD1,((A3)+(1))+(1)))=("G"),"false"),B3,G271),G271))</f>
        <v>#VALUE!</v>
      </c>
      <c r="H271" t="e">
        <f ca="1">IF((A1)=(2),"",IF((267)=(H4),IF(IF((INDEX(B1:XFD1,((A3)+(1))+(0)))=("store"),(INDEX(B1:XFD1,((A3)+(1))+(1)))=("H"),"false"),B3,H271),H271))</f>
        <v>#VALUE!</v>
      </c>
      <c r="I271" t="e">
        <f ca="1">IF((A1)=(2),"",IF((267)=(I4),IF(IF((INDEX(B1:XFD1,((A3)+(1))+(0)))=("store"),(INDEX(B1:XFD1,((A3)+(1))+(1)))=("I"),"false"),B3,I271),I271))</f>
        <v>#VALUE!</v>
      </c>
      <c r="J271" t="e">
        <f ca="1">IF((A1)=(2),"",IF((267)=(J4),IF(IF((INDEX(B1:XFD1,((A3)+(1))+(0)))=("store"),(INDEX(B1:XFD1,((A3)+(1))+(1)))=("J"),"false"),B3,J271),J271))</f>
        <v>#VALUE!</v>
      </c>
      <c r="K271" t="e">
        <f ca="1">IF((A1)=(2),"",IF((267)=(K4),IF(IF((INDEX(B1:XFD1,((A3)+(1))+(0)))=("store"),(INDEX(B1:XFD1,((A3)+(1))+(1)))=("K"),"false"),B3,K271),K271))</f>
        <v>#VALUE!</v>
      </c>
      <c r="L271" t="e">
        <f ca="1">IF((A1)=(2),"",IF((267)=(L4),IF(IF((INDEX(B1:XFD1,((A3)+(1))+(0)))=("store"),(INDEX(B1:XFD1,((A3)+(1))+(1)))=("L"),"false"),B3,L271),L271))</f>
        <v>#VALUE!</v>
      </c>
      <c r="M271" t="e">
        <f ca="1">IF((A1)=(2),"",IF((267)=(M4),IF(IF((INDEX(B1:XFD1,((A3)+(1))+(0)))=("store"),(INDEX(B1:XFD1,((A3)+(1))+(1)))=("M"),"false"),B3,M271),M271))</f>
        <v>#VALUE!</v>
      </c>
      <c r="N271" t="e">
        <f ca="1">IF((A1)=(2),"",IF((267)=(N4),IF(IF((INDEX(B1:XFD1,((A3)+(1))+(0)))=("store"),(INDEX(B1:XFD1,((A3)+(1))+(1)))=("N"),"false"),B3,N271),N271))</f>
        <v>#VALUE!</v>
      </c>
      <c r="O271" t="e">
        <f ca="1">IF((A1)=(2),"",IF((267)=(O4),IF(IF((INDEX(B1:XFD1,((A3)+(1))+(0)))=("store"),(INDEX(B1:XFD1,((A3)+(1))+(1)))=("O"),"false"),B3,O271),O271))</f>
        <v>#VALUE!</v>
      </c>
      <c r="P271" t="e">
        <f ca="1">IF((A1)=(2),"",IF((267)=(P4),IF(IF((INDEX(B1:XFD1,((A3)+(1))+(0)))=("store"),(INDEX(B1:XFD1,((A3)+(1))+(1)))=("P"),"false"),B3,P271),P271))</f>
        <v>#VALUE!</v>
      </c>
      <c r="Q271" t="e">
        <f ca="1">IF((A1)=(2),"",IF((267)=(Q4),IF(IF((INDEX(B1:XFD1,((A3)+(1))+(0)))=("store"),(INDEX(B1:XFD1,((A3)+(1))+(1)))=("Q"),"false"),B3,Q271),Q271))</f>
        <v>#VALUE!</v>
      </c>
      <c r="R271" t="e">
        <f ca="1">IF((A1)=(2),"",IF((267)=(R4),IF(IF((INDEX(B1:XFD1,((A3)+(1))+(0)))=("store"),(INDEX(B1:XFD1,((A3)+(1))+(1)))=("R"),"false"),B3,R271),R271))</f>
        <v>#VALUE!</v>
      </c>
      <c r="S271" t="e">
        <f ca="1">IF((A1)=(2),"",IF((267)=(S4),IF(IF((INDEX(B1:XFD1,((A3)+(1))+(0)))=("store"),(INDEX(B1:XFD1,((A3)+(1))+(1)))=("S"),"false"),B3,S271),S271))</f>
        <v>#VALUE!</v>
      </c>
      <c r="T271" t="e">
        <f ca="1">IF((A1)=(2),"",IF((267)=(T4),IF(IF((INDEX(B1:XFD1,((A3)+(1))+(0)))=("store"),(INDEX(B1:XFD1,((A3)+(1))+(1)))=("T"),"false"),B3,T271),T271))</f>
        <v>#VALUE!</v>
      </c>
      <c r="U271" t="e">
        <f ca="1">IF((A1)=(2),"",IF((267)=(U4),IF(IF((INDEX(B1:XFD1,((A3)+(1))+(0)))=("store"),(INDEX(B1:XFD1,((A3)+(1))+(1)))=("U"),"false"),B3,U271),U271))</f>
        <v>#VALUE!</v>
      </c>
      <c r="V271" t="e">
        <f ca="1">IF((A1)=(2),"",IF((267)=(V4),IF(IF((INDEX(B1:XFD1,((A3)+(1))+(0)))=("store"),(INDEX(B1:XFD1,((A3)+(1))+(1)))=("V"),"false"),B3,V271),V271))</f>
        <v>#VALUE!</v>
      </c>
      <c r="W271" t="e">
        <f ca="1">IF((A1)=(2),"",IF((267)=(W4),IF(IF((INDEX(B1:XFD1,((A3)+(1))+(0)))=("store"),(INDEX(B1:XFD1,((A3)+(1))+(1)))=("W"),"false"),B3,W271),W271))</f>
        <v>#VALUE!</v>
      </c>
      <c r="X271" t="e">
        <f ca="1">IF((A1)=(2),"",IF((267)=(X4),IF(IF((INDEX(B1:XFD1,((A3)+(1))+(0)))=("store"),(INDEX(B1:XFD1,((A3)+(1))+(1)))=("X"),"false"),B3,X271),X271))</f>
        <v>#VALUE!</v>
      </c>
      <c r="Y271" t="e">
        <f ca="1">IF((A1)=(2),"",IF((267)=(Y4),IF(IF((INDEX(B1:XFD1,((A3)+(1))+(0)))=("store"),(INDEX(B1:XFD1,((A3)+(1))+(1)))=("Y"),"false"),B3,Y271),Y271))</f>
        <v>#VALUE!</v>
      </c>
      <c r="Z271" t="e">
        <f ca="1">IF((A1)=(2),"",IF((267)=(Z4),IF(IF((INDEX(B1:XFD1,((A3)+(1))+(0)))=("store"),(INDEX(B1:XFD1,((A3)+(1))+(1)))=("Z"),"false"),B3,Z271),Z271))</f>
        <v>#VALUE!</v>
      </c>
      <c r="AA271" t="e">
        <f ca="1">IF((A1)=(2),"",IF((267)=(AA4),IF(IF((INDEX(B1:XFD1,((A3)+(1))+(0)))=("store"),(INDEX(B1:XFD1,((A3)+(1))+(1)))=("AA"),"false"),B3,AA271),AA271))</f>
        <v>#VALUE!</v>
      </c>
      <c r="AB271" t="e">
        <f ca="1">IF((A1)=(2),"",IF((267)=(AB4),IF(IF((INDEX(B1:XFD1,((A3)+(1))+(0)))=("store"),(INDEX(B1:XFD1,((A3)+(1))+(1)))=("AB"),"false"),B3,AB271),AB271))</f>
        <v>#VALUE!</v>
      </c>
      <c r="AC271" t="e">
        <f ca="1">IF((A1)=(2),"",IF((267)=(AC4),IF(IF((INDEX(B1:XFD1,((A3)+(1))+(0)))=("store"),(INDEX(B1:XFD1,((A3)+(1))+(1)))=("AC"),"false"),B3,AC271),AC271))</f>
        <v>#VALUE!</v>
      </c>
      <c r="AD271" t="e">
        <f ca="1">IF((A1)=(2),"",IF((267)=(AD4),IF(IF((INDEX(B1:XFD1,((A3)+(1))+(0)))=("store"),(INDEX(B1:XFD1,((A3)+(1))+(1)))=("AD"),"false"),B3,AD271),AD271))</f>
        <v>#VALUE!</v>
      </c>
    </row>
    <row r="272" spans="1:30" x14ac:dyDescent="0.25">
      <c r="A272" t="e">
        <f ca="1">IF((A1)=(2),"",IF((268)=(A4),IF(("call")=(INDEX(B1:XFD1,((A3)+(1))+(0))),(B3)*(2),IF(("goto")=(INDEX(B1:XFD1,((A3)+(1))+(0))),(INDEX(B1:XFD1,((A3)+(1))+(1)))*(2),IF(("gotoiftrue")=(INDEX(B1:XFD1,((A3)+(1))+(0))),IF(B3,(INDEX(B1:XFD1,((A3)+(1))+(1)))*(2),(A272)+(2)),(A272)+(2)))),A272))</f>
        <v>#VALUE!</v>
      </c>
      <c r="B272" t="e">
        <f ca="1">IF((A1)=(2),"",IF((268)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272)+(1)),IF(("add")=(INDEX(B1:XFD1,((A3)+(1))+(0))),(INDEX(B5:B405,(B4)+(1)))+(B272),IF(("equals")=(INDEX(B1:XFD1,((A3)+(1))+(0))),(INDEX(B5:B405,(B4)+(1)))=(B272),IF(("leq")=(INDEX(B1:XFD1,((A3)+(1))+(0))),(INDEX(B5:B405,(B4)+(1)))&lt;=(B272),IF(("greater")=(INDEX(B1:XFD1,((A3)+(1))+(0))),(INDEX(B5:B405,(B4)+(1)))&gt;(B272),IF(("mod")=(INDEX(B1:XFD1,((A3)+(1))+(0))),MOD(INDEX(B5:B405,(B4)+(1)),B272),B272))))))))),B272))</f>
        <v>#VALUE!</v>
      </c>
      <c r="C272" t="e">
        <f ca="1">IF((A1)=(2),1,IF(AND((INDEX(B1:XFD1,((A3)+(1))+(0)))=("writeheap"),(INDEX(B5:B405,(B4)+(1)))=(267)),INDEX(B5:B405,(B4)+(2)),IF((A1)=(2),"",IF((268)=(C4),C272,C272))))</f>
        <v>#VALUE!</v>
      </c>
      <c r="F272" t="e">
        <f ca="1">IF((A1)=(2),"",IF((268)=(F4),IF(IF((INDEX(B1:XFD1,((A3)+(1))+(0)))=("store"),(INDEX(B1:XFD1,((A3)+(1))+(1)))=("F"),"false"),B3,F272),F272))</f>
        <v>#VALUE!</v>
      </c>
      <c r="G272" t="e">
        <f ca="1">IF((A1)=(2),"",IF((268)=(G4),IF(IF((INDEX(B1:XFD1,((A3)+(1))+(0)))=("store"),(INDEX(B1:XFD1,((A3)+(1))+(1)))=("G"),"false"),B3,G272),G272))</f>
        <v>#VALUE!</v>
      </c>
      <c r="H272" t="e">
        <f ca="1">IF((A1)=(2),"",IF((268)=(H4),IF(IF((INDEX(B1:XFD1,((A3)+(1))+(0)))=("store"),(INDEX(B1:XFD1,((A3)+(1))+(1)))=("H"),"false"),B3,H272),H272))</f>
        <v>#VALUE!</v>
      </c>
      <c r="I272" t="e">
        <f ca="1">IF((A1)=(2),"",IF((268)=(I4),IF(IF((INDEX(B1:XFD1,((A3)+(1))+(0)))=("store"),(INDEX(B1:XFD1,((A3)+(1))+(1)))=("I"),"false"),B3,I272),I272))</f>
        <v>#VALUE!</v>
      </c>
      <c r="J272" t="e">
        <f ca="1">IF((A1)=(2),"",IF((268)=(J4),IF(IF((INDEX(B1:XFD1,((A3)+(1))+(0)))=("store"),(INDEX(B1:XFD1,((A3)+(1))+(1)))=("J"),"false"),B3,J272),J272))</f>
        <v>#VALUE!</v>
      </c>
      <c r="K272" t="e">
        <f ca="1">IF((A1)=(2),"",IF((268)=(K4),IF(IF((INDEX(B1:XFD1,((A3)+(1))+(0)))=("store"),(INDEX(B1:XFD1,((A3)+(1))+(1)))=("K"),"false"),B3,K272),K272))</f>
        <v>#VALUE!</v>
      </c>
      <c r="L272" t="e">
        <f ca="1">IF((A1)=(2),"",IF((268)=(L4),IF(IF((INDEX(B1:XFD1,((A3)+(1))+(0)))=("store"),(INDEX(B1:XFD1,((A3)+(1))+(1)))=("L"),"false"),B3,L272),L272))</f>
        <v>#VALUE!</v>
      </c>
      <c r="M272" t="e">
        <f ca="1">IF((A1)=(2),"",IF((268)=(M4),IF(IF((INDEX(B1:XFD1,((A3)+(1))+(0)))=("store"),(INDEX(B1:XFD1,((A3)+(1))+(1)))=("M"),"false"),B3,M272),M272))</f>
        <v>#VALUE!</v>
      </c>
      <c r="N272" t="e">
        <f ca="1">IF((A1)=(2),"",IF((268)=(N4),IF(IF((INDEX(B1:XFD1,((A3)+(1))+(0)))=("store"),(INDEX(B1:XFD1,((A3)+(1))+(1)))=("N"),"false"),B3,N272),N272))</f>
        <v>#VALUE!</v>
      </c>
      <c r="O272" t="e">
        <f ca="1">IF((A1)=(2),"",IF((268)=(O4),IF(IF((INDEX(B1:XFD1,((A3)+(1))+(0)))=("store"),(INDEX(B1:XFD1,((A3)+(1))+(1)))=("O"),"false"),B3,O272),O272))</f>
        <v>#VALUE!</v>
      </c>
      <c r="P272" t="e">
        <f ca="1">IF((A1)=(2),"",IF((268)=(P4),IF(IF((INDEX(B1:XFD1,((A3)+(1))+(0)))=("store"),(INDEX(B1:XFD1,((A3)+(1))+(1)))=("P"),"false"),B3,P272),P272))</f>
        <v>#VALUE!</v>
      </c>
      <c r="Q272" t="e">
        <f ca="1">IF((A1)=(2),"",IF((268)=(Q4),IF(IF((INDEX(B1:XFD1,((A3)+(1))+(0)))=("store"),(INDEX(B1:XFD1,((A3)+(1))+(1)))=("Q"),"false"),B3,Q272),Q272))</f>
        <v>#VALUE!</v>
      </c>
      <c r="R272" t="e">
        <f ca="1">IF((A1)=(2),"",IF((268)=(R4),IF(IF((INDEX(B1:XFD1,((A3)+(1))+(0)))=("store"),(INDEX(B1:XFD1,((A3)+(1))+(1)))=("R"),"false"),B3,R272),R272))</f>
        <v>#VALUE!</v>
      </c>
      <c r="S272" t="e">
        <f ca="1">IF((A1)=(2),"",IF((268)=(S4),IF(IF((INDEX(B1:XFD1,((A3)+(1))+(0)))=("store"),(INDEX(B1:XFD1,((A3)+(1))+(1)))=("S"),"false"),B3,S272),S272))</f>
        <v>#VALUE!</v>
      </c>
      <c r="T272" t="e">
        <f ca="1">IF((A1)=(2),"",IF((268)=(T4),IF(IF((INDEX(B1:XFD1,((A3)+(1))+(0)))=("store"),(INDEX(B1:XFD1,((A3)+(1))+(1)))=("T"),"false"),B3,T272),T272))</f>
        <v>#VALUE!</v>
      </c>
      <c r="U272" t="e">
        <f ca="1">IF((A1)=(2),"",IF((268)=(U4),IF(IF((INDEX(B1:XFD1,((A3)+(1))+(0)))=("store"),(INDEX(B1:XFD1,((A3)+(1))+(1)))=("U"),"false"),B3,U272),U272))</f>
        <v>#VALUE!</v>
      </c>
      <c r="V272" t="e">
        <f ca="1">IF((A1)=(2),"",IF((268)=(V4),IF(IF((INDEX(B1:XFD1,((A3)+(1))+(0)))=("store"),(INDEX(B1:XFD1,((A3)+(1))+(1)))=("V"),"false"),B3,V272),V272))</f>
        <v>#VALUE!</v>
      </c>
      <c r="W272" t="e">
        <f ca="1">IF((A1)=(2),"",IF((268)=(W4),IF(IF((INDEX(B1:XFD1,((A3)+(1))+(0)))=("store"),(INDEX(B1:XFD1,((A3)+(1))+(1)))=("W"),"false"),B3,W272),W272))</f>
        <v>#VALUE!</v>
      </c>
      <c r="X272" t="e">
        <f ca="1">IF((A1)=(2),"",IF((268)=(X4),IF(IF((INDEX(B1:XFD1,((A3)+(1))+(0)))=("store"),(INDEX(B1:XFD1,((A3)+(1))+(1)))=("X"),"false"),B3,X272),X272))</f>
        <v>#VALUE!</v>
      </c>
      <c r="Y272" t="e">
        <f ca="1">IF((A1)=(2),"",IF((268)=(Y4),IF(IF((INDEX(B1:XFD1,((A3)+(1))+(0)))=("store"),(INDEX(B1:XFD1,((A3)+(1))+(1)))=("Y"),"false"),B3,Y272),Y272))</f>
        <v>#VALUE!</v>
      </c>
      <c r="Z272" t="e">
        <f ca="1">IF((A1)=(2),"",IF((268)=(Z4),IF(IF((INDEX(B1:XFD1,((A3)+(1))+(0)))=("store"),(INDEX(B1:XFD1,((A3)+(1))+(1)))=("Z"),"false"),B3,Z272),Z272))</f>
        <v>#VALUE!</v>
      </c>
      <c r="AA272" t="e">
        <f ca="1">IF((A1)=(2),"",IF((268)=(AA4),IF(IF((INDEX(B1:XFD1,((A3)+(1))+(0)))=("store"),(INDEX(B1:XFD1,((A3)+(1))+(1)))=("AA"),"false"),B3,AA272),AA272))</f>
        <v>#VALUE!</v>
      </c>
      <c r="AB272" t="e">
        <f ca="1">IF((A1)=(2),"",IF((268)=(AB4),IF(IF((INDEX(B1:XFD1,((A3)+(1))+(0)))=("store"),(INDEX(B1:XFD1,((A3)+(1))+(1)))=("AB"),"false"),B3,AB272),AB272))</f>
        <v>#VALUE!</v>
      </c>
      <c r="AC272" t="e">
        <f ca="1">IF((A1)=(2),"",IF((268)=(AC4),IF(IF((INDEX(B1:XFD1,((A3)+(1))+(0)))=("store"),(INDEX(B1:XFD1,((A3)+(1))+(1)))=("AC"),"false"),B3,AC272),AC272))</f>
        <v>#VALUE!</v>
      </c>
      <c r="AD272" t="e">
        <f ca="1">IF((A1)=(2),"",IF((268)=(AD4),IF(IF((INDEX(B1:XFD1,((A3)+(1))+(0)))=("store"),(INDEX(B1:XFD1,((A3)+(1))+(1)))=("AD"),"false"),B3,AD272),AD272))</f>
        <v>#VALUE!</v>
      </c>
    </row>
    <row r="273" spans="1:30" x14ac:dyDescent="0.25">
      <c r="A273" t="e">
        <f ca="1">IF((A1)=(2),"",IF((269)=(A4),IF(("call")=(INDEX(B1:XFD1,((A3)+(1))+(0))),(B3)*(2),IF(("goto")=(INDEX(B1:XFD1,((A3)+(1))+(0))),(INDEX(B1:XFD1,((A3)+(1))+(1)))*(2),IF(("gotoiftrue")=(INDEX(B1:XFD1,((A3)+(1))+(0))),IF(B3,(INDEX(B1:XFD1,((A3)+(1))+(1)))*(2),(A273)+(2)),(A273)+(2)))),A273))</f>
        <v>#VALUE!</v>
      </c>
      <c r="B273" t="e">
        <f ca="1">IF((A1)=(2),"",IF((269)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273)+(1)),IF(("add")=(INDEX(B1:XFD1,((A3)+(1))+(0))),(INDEX(B5:B405,(B4)+(1)))+(B273),IF(("equals")=(INDEX(B1:XFD1,((A3)+(1))+(0))),(INDEX(B5:B405,(B4)+(1)))=(B273),IF(("leq")=(INDEX(B1:XFD1,((A3)+(1))+(0))),(INDEX(B5:B405,(B4)+(1)))&lt;=(B273),IF(("greater")=(INDEX(B1:XFD1,((A3)+(1))+(0))),(INDEX(B5:B405,(B4)+(1)))&gt;(B273),IF(("mod")=(INDEX(B1:XFD1,((A3)+(1))+(0))),MOD(INDEX(B5:B405,(B4)+(1)),B273),B273))))))))),B273))</f>
        <v>#VALUE!</v>
      </c>
      <c r="C273" t="e">
        <f ca="1">IF((A1)=(2),1,IF(AND((INDEX(B1:XFD1,((A3)+(1))+(0)))=("writeheap"),(INDEX(B5:B405,(B4)+(1)))=(268)),INDEX(B5:B405,(B4)+(2)),IF((A1)=(2),"",IF((269)=(C4),C273,C273))))</f>
        <v>#VALUE!</v>
      </c>
      <c r="F273" t="e">
        <f ca="1">IF((A1)=(2),"",IF((269)=(F4),IF(IF((INDEX(B1:XFD1,((A3)+(1))+(0)))=("store"),(INDEX(B1:XFD1,((A3)+(1))+(1)))=("F"),"false"),B3,F273),F273))</f>
        <v>#VALUE!</v>
      </c>
      <c r="G273" t="e">
        <f ca="1">IF((A1)=(2),"",IF((269)=(G4),IF(IF((INDEX(B1:XFD1,((A3)+(1))+(0)))=("store"),(INDEX(B1:XFD1,((A3)+(1))+(1)))=("G"),"false"),B3,G273),G273))</f>
        <v>#VALUE!</v>
      </c>
      <c r="H273" t="e">
        <f ca="1">IF((A1)=(2),"",IF((269)=(H4),IF(IF((INDEX(B1:XFD1,((A3)+(1))+(0)))=("store"),(INDEX(B1:XFD1,((A3)+(1))+(1)))=("H"),"false"),B3,H273),H273))</f>
        <v>#VALUE!</v>
      </c>
      <c r="I273" t="e">
        <f ca="1">IF((A1)=(2),"",IF((269)=(I4),IF(IF((INDEX(B1:XFD1,((A3)+(1))+(0)))=("store"),(INDEX(B1:XFD1,((A3)+(1))+(1)))=("I"),"false"),B3,I273),I273))</f>
        <v>#VALUE!</v>
      </c>
      <c r="J273" t="e">
        <f ca="1">IF((A1)=(2),"",IF((269)=(J4),IF(IF((INDEX(B1:XFD1,((A3)+(1))+(0)))=("store"),(INDEX(B1:XFD1,((A3)+(1))+(1)))=("J"),"false"),B3,J273),J273))</f>
        <v>#VALUE!</v>
      </c>
      <c r="K273" t="e">
        <f ca="1">IF((A1)=(2),"",IF((269)=(K4),IF(IF((INDEX(B1:XFD1,((A3)+(1))+(0)))=("store"),(INDEX(B1:XFD1,((A3)+(1))+(1)))=("K"),"false"),B3,K273),K273))</f>
        <v>#VALUE!</v>
      </c>
      <c r="L273" t="e">
        <f ca="1">IF((A1)=(2),"",IF((269)=(L4),IF(IF((INDEX(B1:XFD1,((A3)+(1))+(0)))=("store"),(INDEX(B1:XFD1,((A3)+(1))+(1)))=("L"),"false"),B3,L273),L273))</f>
        <v>#VALUE!</v>
      </c>
      <c r="M273" t="e">
        <f ca="1">IF((A1)=(2),"",IF((269)=(M4),IF(IF((INDEX(B1:XFD1,((A3)+(1))+(0)))=("store"),(INDEX(B1:XFD1,((A3)+(1))+(1)))=("M"),"false"),B3,M273),M273))</f>
        <v>#VALUE!</v>
      </c>
      <c r="N273" t="e">
        <f ca="1">IF((A1)=(2),"",IF((269)=(N4),IF(IF((INDEX(B1:XFD1,((A3)+(1))+(0)))=("store"),(INDEX(B1:XFD1,((A3)+(1))+(1)))=("N"),"false"),B3,N273),N273))</f>
        <v>#VALUE!</v>
      </c>
      <c r="O273" t="e">
        <f ca="1">IF((A1)=(2),"",IF((269)=(O4),IF(IF((INDEX(B1:XFD1,((A3)+(1))+(0)))=("store"),(INDEX(B1:XFD1,((A3)+(1))+(1)))=("O"),"false"),B3,O273),O273))</f>
        <v>#VALUE!</v>
      </c>
      <c r="P273" t="e">
        <f ca="1">IF((A1)=(2),"",IF((269)=(P4),IF(IF((INDEX(B1:XFD1,((A3)+(1))+(0)))=("store"),(INDEX(B1:XFD1,((A3)+(1))+(1)))=("P"),"false"),B3,P273),P273))</f>
        <v>#VALUE!</v>
      </c>
      <c r="Q273" t="e">
        <f ca="1">IF((A1)=(2),"",IF((269)=(Q4),IF(IF((INDEX(B1:XFD1,((A3)+(1))+(0)))=("store"),(INDEX(B1:XFD1,((A3)+(1))+(1)))=("Q"),"false"),B3,Q273),Q273))</f>
        <v>#VALUE!</v>
      </c>
      <c r="R273" t="e">
        <f ca="1">IF((A1)=(2),"",IF((269)=(R4),IF(IF((INDEX(B1:XFD1,((A3)+(1))+(0)))=("store"),(INDEX(B1:XFD1,((A3)+(1))+(1)))=("R"),"false"),B3,R273),R273))</f>
        <v>#VALUE!</v>
      </c>
      <c r="S273" t="e">
        <f ca="1">IF((A1)=(2),"",IF((269)=(S4),IF(IF((INDEX(B1:XFD1,((A3)+(1))+(0)))=("store"),(INDEX(B1:XFD1,((A3)+(1))+(1)))=("S"),"false"),B3,S273),S273))</f>
        <v>#VALUE!</v>
      </c>
      <c r="T273" t="e">
        <f ca="1">IF((A1)=(2),"",IF((269)=(T4),IF(IF((INDEX(B1:XFD1,((A3)+(1))+(0)))=("store"),(INDEX(B1:XFD1,((A3)+(1))+(1)))=("T"),"false"),B3,T273),T273))</f>
        <v>#VALUE!</v>
      </c>
      <c r="U273" t="e">
        <f ca="1">IF((A1)=(2),"",IF((269)=(U4),IF(IF((INDEX(B1:XFD1,((A3)+(1))+(0)))=("store"),(INDEX(B1:XFD1,((A3)+(1))+(1)))=("U"),"false"),B3,U273),U273))</f>
        <v>#VALUE!</v>
      </c>
      <c r="V273" t="e">
        <f ca="1">IF((A1)=(2),"",IF((269)=(V4),IF(IF((INDEX(B1:XFD1,((A3)+(1))+(0)))=("store"),(INDEX(B1:XFD1,((A3)+(1))+(1)))=("V"),"false"),B3,V273),V273))</f>
        <v>#VALUE!</v>
      </c>
      <c r="W273" t="e">
        <f ca="1">IF((A1)=(2),"",IF((269)=(W4),IF(IF((INDEX(B1:XFD1,((A3)+(1))+(0)))=("store"),(INDEX(B1:XFD1,((A3)+(1))+(1)))=("W"),"false"),B3,W273),W273))</f>
        <v>#VALUE!</v>
      </c>
      <c r="X273" t="e">
        <f ca="1">IF((A1)=(2),"",IF((269)=(X4),IF(IF((INDEX(B1:XFD1,((A3)+(1))+(0)))=("store"),(INDEX(B1:XFD1,((A3)+(1))+(1)))=("X"),"false"),B3,X273),X273))</f>
        <v>#VALUE!</v>
      </c>
      <c r="Y273" t="e">
        <f ca="1">IF((A1)=(2),"",IF((269)=(Y4),IF(IF((INDEX(B1:XFD1,((A3)+(1))+(0)))=("store"),(INDEX(B1:XFD1,((A3)+(1))+(1)))=("Y"),"false"),B3,Y273),Y273))</f>
        <v>#VALUE!</v>
      </c>
      <c r="Z273" t="e">
        <f ca="1">IF((A1)=(2),"",IF((269)=(Z4),IF(IF((INDEX(B1:XFD1,((A3)+(1))+(0)))=("store"),(INDEX(B1:XFD1,((A3)+(1))+(1)))=("Z"),"false"),B3,Z273),Z273))</f>
        <v>#VALUE!</v>
      </c>
      <c r="AA273" t="e">
        <f ca="1">IF((A1)=(2),"",IF((269)=(AA4),IF(IF((INDEX(B1:XFD1,((A3)+(1))+(0)))=("store"),(INDEX(B1:XFD1,((A3)+(1))+(1)))=("AA"),"false"),B3,AA273),AA273))</f>
        <v>#VALUE!</v>
      </c>
      <c r="AB273" t="e">
        <f ca="1">IF((A1)=(2),"",IF((269)=(AB4),IF(IF((INDEX(B1:XFD1,((A3)+(1))+(0)))=("store"),(INDEX(B1:XFD1,((A3)+(1))+(1)))=("AB"),"false"),B3,AB273),AB273))</f>
        <v>#VALUE!</v>
      </c>
      <c r="AC273" t="e">
        <f ca="1">IF((A1)=(2),"",IF((269)=(AC4),IF(IF((INDEX(B1:XFD1,((A3)+(1))+(0)))=("store"),(INDEX(B1:XFD1,((A3)+(1))+(1)))=("AC"),"false"),B3,AC273),AC273))</f>
        <v>#VALUE!</v>
      </c>
      <c r="AD273" t="e">
        <f ca="1">IF((A1)=(2),"",IF((269)=(AD4),IF(IF((INDEX(B1:XFD1,((A3)+(1))+(0)))=("store"),(INDEX(B1:XFD1,((A3)+(1))+(1)))=("AD"),"false"),B3,AD273),AD273))</f>
        <v>#VALUE!</v>
      </c>
    </row>
    <row r="274" spans="1:30" x14ac:dyDescent="0.25">
      <c r="A274" t="e">
        <f ca="1">IF((A1)=(2),"",IF((270)=(A4),IF(("call")=(INDEX(B1:XFD1,((A3)+(1))+(0))),(B3)*(2),IF(("goto")=(INDEX(B1:XFD1,((A3)+(1))+(0))),(INDEX(B1:XFD1,((A3)+(1))+(1)))*(2),IF(("gotoiftrue")=(INDEX(B1:XFD1,((A3)+(1))+(0))),IF(B3,(INDEX(B1:XFD1,((A3)+(1))+(1)))*(2),(A274)+(2)),(A274)+(2)))),A274))</f>
        <v>#VALUE!</v>
      </c>
      <c r="B274" t="e">
        <f ca="1">IF((A1)=(2),"",IF((270)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274)+(1)),IF(("add")=(INDEX(B1:XFD1,((A3)+(1))+(0))),(INDEX(B5:B405,(B4)+(1)))+(B274),IF(("equals")=(INDEX(B1:XFD1,((A3)+(1))+(0))),(INDEX(B5:B405,(B4)+(1)))=(B274),IF(("leq")=(INDEX(B1:XFD1,((A3)+(1))+(0))),(INDEX(B5:B405,(B4)+(1)))&lt;=(B274),IF(("greater")=(INDEX(B1:XFD1,((A3)+(1))+(0))),(INDEX(B5:B405,(B4)+(1)))&gt;(B274),IF(("mod")=(INDEX(B1:XFD1,((A3)+(1))+(0))),MOD(INDEX(B5:B405,(B4)+(1)),B274),B274))))))))),B274))</f>
        <v>#VALUE!</v>
      </c>
      <c r="C274" t="e">
        <f ca="1">IF((A1)=(2),1,IF(AND((INDEX(B1:XFD1,((A3)+(1))+(0)))=("writeheap"),(INDEX(B5:B405,(B4)+(1)))=(269)),INDEX(B5:B405,(B4)+(2)),IF((A1)=(2),"",IF((270)=(C4),C274,C274))))</f>
        <v>#VALUE!</v>
      </c>
      <c r="F274" t="e">
        <f ca="1">IF((A1)=(2),"",IF((270)=(F4),IF(IF((INDEX(B1:XFD1,((A3)+(1))+(0)))=("store"),(INDEX(B1:XFD1,((A3)+(1))+(1)))=("F"),"false"),B3,F274),F274))</f>
        <v>#VALUE!</v>
      </c>
      <c r="G274" t="e">
        <f ca="1">IF((A1)=(2),"",IF((270)=(G4),IF(IF((INDEX(B1:XFD1,((A3)+(1))+(0)))=("store"),(INDEX(B1:XFD1,((A3)+(1))+(1)))=("G"),"false"),B3,G274),G274))</f>
        <v>#VALUE!</v>
      </c>
      <c r="H274" t="e">
        <f ca="1">IF((A1)=(2),"",IF((270)=(H4),IF(IF((INDEX(B1:XFD1,((A3)+(1))+(0)))=("store"),(INDEX(B1:XFD1,((A3)+(1))+(1)))=("H"),"false"),B3,H274),H274))</f>
        <v>#VALUE!</v>
      </c>
      <c r="I274" t="e">
        <f ca="1">IF((A1)=(2),"",IF((270)=(I4),IF(IF((INDEX(B1:XFD1,((A3)+(1))+(0)))=("store"),(INDEX(B1:XFD1,((A3)+(1))+(1)))=("I"),"false"),B3,I274),I274))</f>
        <v>#VALUE!</v>
      </c>
      <c r="J274" t="e">
        <f ca="1">IF((A1)=(2),"",IF((270)=(J4),IF(IF((INDEX(B1:XFD1,((A3)+(1))+(0)))=("store"),(INDEX(B1:XFD1,((A3)+(1))+(1)))=("J"),"false"),B3,J274),J274))</f>
        <v>#VALUE!</v>
      </c>
      <c r="K274" t="e">
        <f ca="1">IF((A1)=(2),"",IF((270)=(K4),IF(IF((INDEX(B1:XFD1,((A3)+(1))+(0)))=("store"),(INDEX(B1:XFD1,((A3)+(1))+(1)))=("K"),"false"),B3,K274),K274))</f>
        <v>#VALUE!</v>
      </c>
      <c r="L274" t="e">
        <f ca="1">IF((A1)=(2),"",IF((270)=(L4),IF(IF((INDEX(B1:XFD1,((A3)+(1))+(0)))=("store"),(INDEX(B1:XFD1,((A3)+(1))+(1)))=("L"),"false"),B3,L274),L274))</f>
        <v>#VALUE!</v>
      </c>
      <c r="M274" t="e">
        <f ca="1">IF((A1)=(2),"",IF((270)=(M4),IF(IF((INDEX(B1:XFD1,((A3)+(1))+(0)))=("store"),(INDEX(B1:XFD1,((A3)+(1))+(1)))=("M"),"false"),B3,M274),M274))</f>
        <v>#VALUE!</v>
      </c>
      <c r="N274" t="e">
        <f ca="1">IF((A1)=(2),"",IF((270)=(N4),IF(IF((INDEX(B1:XFD1,((A3)+(1))+(0)))=("store"),(INDEX(B1:XFD1,((A3)+(1))+(1)))=("N"),"false"),B3,N274),N274))</f>
        <v>#VALUE!</v>
      </c>
      <c r="O274" t="e">
        <f ca="1">IF((A1)=(2),"",IF((270)=(O4),IF(IF((INDEX(B1:XFD1,((A3)+(1))+(0)))=("store"),(INDEX(B1:XFD1,((A3)+(1))+(1)))=("O"),"false"),B3,O274),O274))</f>
        <v>#VALUE!</v>
      </c>
      <c r="P274" t="e">
        <f ca="1">IF((A1)=(2),"",IF((270)=(P4),IF(IF((INDEX(B1:XFD1,((A3)+(1))+(0)))=("store"),(INDEX(B1:XFD1,((A3)+(1))+(1)))=("P"),"false"),B3,P274),P274))</f>
        <v>#VALUE!</v>
      </c>
      <c r="Q274" t="e">
        <f ca="1">IF((A1)=(2),"",IF((270)=(Q4),IF(IF((INDEX(B1:XFD1,((A3)+(1))+(0)))=("store"),(INDEX(B1:XFD1,((A3)+(1))+(1)))=("Q"),"false"),B3,Q274),Q274))</f>
        <v>#VALUE!</v>
      </c>
      <c r="R274" t="e">
        <f ca="1">IF((A1)=(2),"",IF((270)=(R4),IF(IF((INDEX(B1:XFD1,((A3)+(1))+(0)))=("store"),(INDEX(B1:XFD1,((A3)+(1))+(1)))=("R"),"false"),B3,R274),R274))</f>
        <v>#VALUE!</v>
      </c>
      <c r="S274" t="e">
        <f ca="1">IF((A1)=(2),"",IF((270)=(S4),IF(IF((INDEX(B1:XFD1,((A3)+(1))+(0)))=("store"),(INDEX(B1:XFD1,((A3)+(1))+(1)))=("S"),"false"),B3,S274),S274))</f>
        <v>#VALUE!</v>
      </c>
      <c r="T274" t="e">
        <f ca="1">IF((A1)=(2),"",IF((270)=(T4),IF(IF((INDEX(B1:XFD1,((A3)+(1))+(0)))=("store"),(INDEX(B1:XFD1,((A3)+(1))+(1)))=("T"),"false"),B3,T274),T274))</f>
        <v>#VALUE!</v>
      </c>
      <c r="U274" t="e">
        <f ca="1">IF((A1)=(2),"",IF((270)=(U4),IF(IF((INDEX(B1:XFD1,((A3)+(1))+(0)))=("store"),(INDEX(B1:XFD1,((A3)+(1))+(1)))=("U"),"false"),B3,U274),U274))</f>
        <v>#VALUE!</v>
      </c>
      <c r="V274" t="e">
        <f ca="1">IF((A1)=(2),"",IF((270)=(V4),IF(IF((INDEX(B1:XFD1,((A3)+(1))+(0)))=("store"),(INDEX(B1:XFD1,((A3)+(1))+(1)))=("V"),"false"),B3,V274),V274))</f>
        <v>#VALUE!</v>
      </c>
      <c r="W274" t="e">
        <f ca="1">IF((A1)=(2),"",IF((270)=(W4),IF(IF((INDEX(B1:XFD1,((A3)+(1))+(0)))=("store"),(INDEX(B1:XFD1,((A3)+(1))+(1)))=("W"),"false"),B3,W274),W274))</f>
        <v>#VALUE!</v>
      </c>
      <c r="X274" t="e">
        <f ca="1">IF((A1)=(2),"",IF((270)=(X4),IF(IF((INDEX(B1:XFD1,((A3)+(1))+(0)))=("store"),(INDEX(B1:XFD1,((A3)+(1))+(1)))=("X"),"false"),B3,X274),X274))</f>
        <v>#VALUE!</v>
      </c>
      <c r="Y274" t="e">
        <f ca="1">IF((A1)=(2),"",IF((270)=(Y4),IF(IF((INDEX(B1:XFD1,((A3)+(1))+(0)))=("store"),(INDEX(B1:XFD1,((A3)+(1))+(1)))=("Y"),"false"),B3,Y274),Y274))</f>
        <v>#VALUE!</v>
      </c>
      <c r="Z274" t="e">
        <f ca="1">IF((A1)=(2),"",IF((270)=(Z4),IF(IF((INDEX(B1:XFD1,((A3)+(1))+(0)))=("store"),(INDEX(B1:XFD1,((A3)+(1))+(1)))=("Z"),"false"),B3,Z274),Z274))</f>
        <v>#VALUE!</v>
      </c>
      <c r="AA274" t="e">
        <f ca="1">IF((A1)=(2),"",IF((270)=(AA4),IF(IF((INDEX(B1:XFD1,((A3)+(1))+(0)))=("store"),(INDEX(B1:XFD1,((A3)+(1))+(1)))=("AA"),"false"),B3,AA274),AA274))</f>
        <v>#VALUE!</v>
      </c>
      <c r="AB274" t="e">
        <f ca="1">IF((A1)=(2),"",IF((270)=(AB4),IF(IF((INDEX(B1:XFD1,((A3)+(1))+(0)))=("store"),(INDEX(B1:XFD1,((A3)+(1))+(1)))=("AB"),"false"),B3,AB274),AB274))</f>
        <v>#VALUE!</v>
      </c>
      <c r="AC274" t="e">
        <f ca="1">IF((A1)=(2),"",IF((270)=(AC4),IF(IF((INDEX(B1:XFD1,((A3)+(1))+(0)))=("store"),(INDEX(B1:XFD1,((A3)+(1))+(1)))=("AC"),"false"),B3,AC274),AC274))</f>
        <v>#VALUE!</v>
      </c>
      <c r="AD274" t="e">
        <f ca="1">IF((A1)=(2),"",IF((270)=(AD4),IF(IF((INDEX(B1:XFD1,((A3)+(1))+(0)))=("store"),(INDEX(B1:XFD1,((A3)+(1))+(1)))=("AD"),"false"),B3,AD274),AD274))</f>
        <v>#VALUE!</v>
      </c>
    </row>
    <row r="275" spans="1:30" x14ac:dyDescent="0.25">
      <c r="A275" t="e">
        <f ca="1">IF((A1)=(2),"",IF((271)=(A4),IF(("call")=(INDEX(B1:XFD1,((A3)+(1))+(0))),(B3)*(2),IF(("goto")=(INDEX(B1:XFD1,((A3)+(1))+(0))),(INDEX(B1:XFD1,((A3)+(1))+(1)))*(2),IF(("gotoiftrue")=(INDEX(B1:XFD1,((A3)+(1))+(0))),IF(B3,(INDEX(B1:XFD1,((A3)+(1))+(1)))*(2),(A275)+(2)),(A275)+(2)))),A275))</f>
        <v>#VALUE!</v>
      </c>
      <c r="B275" t="e">
        <f ca="1">IF((A1)=(2),"",IF((271)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275)+(1)),IF(("add")=(INDEX(B1:XFD1,((A3)+(1))+(0))),(INDEX(B5:B405,(B4)+(1)))+(B275),IF(("equals")=(INDEX(B1:XFD1,((A3)+(1))+(0))),(INDEX(B5:B405,(B4)+(1)))=(B275),IF(("leq")=(INDEX(B1:XFD1,((A3)+(1))+(0))),(INDEX(B5:B405,(B4)+(1)))&lt;=(B275),IF(("greater")=(INDEX(B1:XFD1,((A3)+(1))+(0))),(INDEX(B5:B405,(B4)+(1)))&gt;(B275),IF(("mod")=(INDEX(B1:XFD1,((A3)+(1))+(0))),MOD(INDEX(B5:B405,(B4)+(1)),B275),B275))))))))),B275))</f>
        <v>#VALUE!</v>
      </c>
      <c r="C275" t="e">
        <f ca="1">IF((A1)=(2),1,IF(AND((INDEX(B1:XFD1,((A3)+(1))+(0)))=("writeheap"),(INDEX(B5:B405,(B4)+(1)))=(270)),INDEX(B5:B405,(B4)+(2)),IF((A1)=(2),"",IF((271)=(C4),C275,C275))))</f>
        <v>#VALUE!</v>
      </c>
      <c r="F275" t="e">
        <f ca="1">IF((A1)=(2),"",IF((271)=(F4),IF(IF((INDEX(B1:XFD1,((A3)+(1))+(0)))=("store"),(INDEX(B1:XFD1,((A3)+(1))+(1)))=("F"),"false"),B3,F275),F275))</f>
        <v>#VALUE!</v>
      </c>
      <c r="G275" t="e">
        <f ca="1">IF((A1)=(2),"",IF((271)=(G4),IF(IF((INDEX(B1:XFD1,((A3)+(1))+(0)))=("store"),(INDEX(B1:XFD1,((A3)+(1))+(1)))=("G"),"false"),B3,G275),G275))</f>
        <v>#VALUE!</v>
      </c>
      <c r="H275" t="e">
        <f ca="1">IF((A1)=(2),"",IF((271)=(H4),IF(IF((INDEX(B1:XFD1,((A3)+(1))+(0)))=("store"),(INDEX(B1:XFD1,((A3)+(1))+(1)))=("H"),"false"),B3,H275),H275))</f>
        <v>#VALUE!</v>
      </c>
      <c r="I275" t="e">
        <f ca="1">IF((A1)=(2),"",IF((271)=(I4),IF(IF((INDEX(B1:XFD1,((A3)+(1))+(0)))=("store"),(INDEX(B1:XFD1,((A3)+(1))+(1)))=("I"),"false"),B3,I275),I275))</f>
        <v>#VALUE!</v>
      </c>
      <c r="J275" t="e">
        <f ca="1">IF((A1)=(2),"",IF((271)=(J4),IF(IF((INDEX(B1:XFD1,((A3)+(1))+(0)))=("store"),(INDEX(B1:XFD1,((A3)+(1))+(1)))=("J"),"false"),B3,J275),J275))</f>
        <v>#VALUE!</v>
      </c>
      <c r="K275" t="e">
        <f ca="1">IF((A1)=(2),"",IF((271)=(K4),IF(IF((INDEX(B1:XFD1,((A3)+(1))+(0)))=("store"),(INDEX(B1:XFD1,((A3)+(1))+(1)))=("K"),"false"),B3,K275),K275))</f>
        <v>#VALUE!</v>
      </c>
      <c r="L275" t="e">
        <f ca="1">IF((A1)=(2),"",IF((271)=(L4),IF(IF((INDEX(B1:XFD1,((A3)+(1))+(0)))=("store"),(INDEX(B1:XFD1,((A3)+(1))+(1)))=("L"),"false"),B3,L275),L275))</f>
        <v>#VALUE!</v>
      </c>
      <c r="M275" t="e">
        <f ca="1">IF((A1)=(2),"",IF((271)=(M4),IF(IF((INDEX(B1:XFD1,((A3)+(1))+(0)))=("store"),(INDEX(B1:XFD1,((A3)+(1))+(1)))=("M"),"false"),B3,M275),M275))</f>
        <v>#VALUE!</v>
      </c>
      <c r="N275" t="e">
        <f ca="1">IF((A1)=(2),"",IF((271)=(N4),IF(IF((INDEX(B1:XFD1,((A3)+(1))+(0)))=("store"),(INDEX(B1:XFD1,((A3)+(1))+(1)))=("N"),"false"),B3,N275),N275))</f>
        <v>#VALUE!</v>
      </c>
      <c r="O275" t="e">
        <f ca="1">IF((A1)=(2),"",IF((271)=(O4),IF(IF((INDEX(B1:XFD1,((A3)+(1))+(0)))=("store"),(INDEX(B1:XFD1,((A3)+(1))+(1)))=("O"),"false"),B3,O275),O275))</f>
        <v>#VALUE!</v>
      </c>
      <c r="P275" t="e">
        <f ca="1">IF((A1)=(2),"",IF((271)=(P4),IF(IF((INDEX(B1:XFD1,((A3)+(1))+(0)))=("store"),(INDEX(B1:XFD1,((A3)+(1))+(1)))=("P"),"false"),B3,P275),P275))</f>
        <v>#VALUE!</v>
      </c>
      <c r="Q275" t="e">
        <f ca="1">IF((A1)=(2),"",IF((271)=(Q4),IF(IF((INDEX(B1:XFD1,((A3)+(1))+(0)))=("store"),(INDEX(B1:XFD1,((A3)+(1))+(1)))=("Q"),"false"),B3,Q275),Q275))</f>
        <v>#VALUE!</v>
      </c>
      <c r="R275" t="e">
        <f ca="1">IF((A1)=(2),"",IF((271)=(R4),IF(IF((INDEX(B1:XFD1,((A3)+(1))+(0)))=("store"),(INDEX(B1:XFD1,((A3)+(1))+(1)))=("R"),"false"),B3,R275),R275))</f>
        <v>#VALUE!</v>
      </c>
      <c r="S275" t="e">
        <f ca="1">IF((A1)=(2),"",IF((271)=(S4),IF(IF((INDEX(B1:XFD1,((A3)+(1))+(0)))=("store"),(INDEX(B1:XFD1,((A3)+(1))+(1)))=("S"),"false"),B3,S275),S275))</f>
        <v>#VALUE!</v>
      </c>
      <c r="T275" t="e">
        <f ca="1">IF((A1)=(2),"",IF((271)=(T4),IF(IF((INDEX(B1:XFD1,((A3)+(1))+(0)))=("store"),(INDEX(B1:XFD1,((A3)+(1))+(1)))=("T"),"false"),B3,T275),T275))</f>
        <v>#VALUE!</v>
      </c>
      <c r="U275" t="e">
        <f ca="1">IF((A1)=(2),"",IF((271)=(U4),IF(IF((INDEX(B1:XFD1,((A3)+(1))+(0)))=("store"),(INDEX(B1:XFD1,((A3)+(1))+(1)))=("U"),"false"),B3,U275),U275))</f>
        <v>#VALUE!</v>
      </c>
      <c r="V275" t="e">
        <f ca="1">IF((A1)=(2),"",IF((271)=(V4),IF(IF((INDEX(B1:XFD1,((A3)+(1))+(0)))=("store"),(INDEX(B1:XFD1,((A3)+(1))+(1)))=("V"),"false"),B3,V275),V275))</f>
        <v>#VALUE!</v>
      </c>
      <c r="W275" t="e">
        <f ca="1">IF((A1)=(2),"",IF((271)=(W4),IF(IF((INDEX(B1:XFD1,((A3)+(1))+(0)))=("store"),(INDEX(B1:XFD1,((A3)+(1))+(1)))=("W"),"false"),B3,W275),W275))</f>
        <v>#VALUE!</v>
      </c>
      <c r="X275" t="e">
        <f ca="1">IF((A1)=(2),"",IF((271)=(X4),IF(IF((INDEX(B1:XFD1,((A3)+(1))+(0)))=("store"),(INDEX(B1:XFD1,((A3)+(1))+(1)))=("X"),"false"),B3,X275),X275))</f>
        <v>#VALUE!</v>
      </c>
      <c r="Y275" t="e">
        <f ca="1">IF((A1)=(2),"",IF((271)=(Y4),IF(IF((INDEX(B1:XFD1,((A3)+(1))+(0)))=("store"),(INDEX(B1:XFD1,((A3)+(1))+(1)))=("Y"),"false"),B3,Y275),Y275))</f>
        <v>#VALUE!</v>
      </c>
      <c r="Z275" t="e">
        <f ca="1">IF((A1)=(2),"",IF((271)=(Z4),IF(IF((INDEX(B1:XFD1,((A3)+(1))+(0)))=("store"),(INDEX(B1:XFD1,((A3)+(1))+(1)))=("Z"),"false"),B3,Z275),Z275))</f>
        <v>#VALUE!</v>
      </c>
      <c r="AA275" t="e">
        <f ca="1">IF((A1)=(2),"",IF((271)=(AA4),IF(IF((INDEX(B1:XFD1,((A3)+(1))+(0)))=("store"),(INDEX(B1:XFD1,((A3)+(1))+(1)))=("AA"),"false"),B3,AA275),AA275))</f>
        <v>#VALUE!</v>
      </c>
      <c r="AB275" t="e">
        <f ca="1">IF((A1)=(2),"",IF((271)=(AB4),IF(IF((INDEX(B1:XFD1,((A3)+(1))+(0)))=("store"),(INDEX(B1:XFD1,((A3)+(1))+(1)))=("AB"),"false"),B3,AB275),AB275))</f>
        <v>#VALUE!</v>
      </c>
      <c r="AC275" t="e">
        <f ca="1">IF((A1)=(2),"",IF((271)=(AC4),IF(IF((INDEX(B1:XFD1,((A3)+(1))+(0)))=("store"),(INDEX(B1:XFD1,((A3)+(1))+(1)))=("AC"),"false"),B3,AC275),AC275))</f>
        <v>#VALUE!</v>
      </c>
      <c r="AD275" t="e">
        <f ca="1">IF((A1)=(2),"",IF((271)=(AD4),IF(IF((INDEX(B1:XFD1,((A3)+(1))+(0)))=("store"),(INDEX(B1:XFD1,((A3)+(1))+(1)))=("AD"),"false"),B3,AD275),AD275))</f>
        <v>#VALUE!</v>
      </c>
    </row>
    <row r="276" spans="1:30" x14ac:dyDescent="0.25">
      <c r="A276" t="e">
        <f ca="1">IF((A1)=(2),"",IF((272)=(A4),IF(("call")=(INDEX(B1:XFD1,((A3)+(1))+(0))),(B3)*(2),IF(("goto")=(INDEX(B1:XFD1,((A3)+(1))+(0))),(INDEX(B1:XFD1,((A3)+(1))+(1)))*(2),IF(("gotoiftrue")=(INDEX(B1:XFD1,((A3)+(1))+(0))),IF(B3,(INDEX(B1:XFD1,((A3)+(1))+(1)))*(2),(A276)+(2)),(A276)+(2)))),A276))</f>
        <v>#VALUE!</v>
      </c>
      <c r="B276" t="e">
        <f ca="1">IF((A1)=(2),"",IF((272)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276)+(1)),IF(("add")=(INDEX(B1:XFD1,((A3)+(1))+(0))),(INDEX(B5:B405,(B4)+(1)))+(B276),IF(("equals")=(INDEX(B1:XFD1,((A3)+(1))+(0))),(INDEX(B5:B405,(B4)+(1)))=(B276),IF(("leq")=(INDEX(B1:XFD1,((A3)+(1))+(0))),(INDEX(B5:B405,(B4)+(1)))&lt;=(B276),IF(("greater")=(INDEX(B1:XFD1,((A3)+(1))+(0))),(INDEX(B5:B405,(B4)+(1)))&gt;(B276),IF(("mod")=(INDEX(B1:XFD1,((A3)+(1))+(0))),MOD(INDEX(B5:B405,(B4)+(1)),B276),B276))))))))),B276))</f>
        <v>#VALUE!</v>
      </c>
      <c r="C276" t="e">
        <f ca="1">IF((A1)=(2),1,IF(AND((INDEX(B1:XFD1,((A3)+(1))+(0)))=("writeheap"),(INDEX(B5:B405,(B4)+(1)))=(271)),INDEX(B5:B405,(B4)+(2)),IF((A1)=(2),"",IF((272)=(C4),C276,C276))))</f>
        <v>#VALUE!</v>
      </c>
      <c r="F276" t="e">
        <f ca="1">IF((A1)=(2),"",IF((272)=(F4),IF(IF((INDEX(B1:XFD1,((A3)+(1))+(0)))=("store"),(INDEX(B1:XFD1,((A3)+(1))+(1)))=("F"),"false"),B3,F276),F276))</f>
        <v>#VALUE!</v>
      </c>
      <c r="G276" t="e">
        <f ca="1">IF((A1)=(2),"",IF((272)=(G4),IF(IF((INDEX(B1:XFD1,((A3)+(1))+(0)))=("store"),(INDEX(B1:XFD1,((A3)+(1))+(1)))=("G"),"false"),B3,G276),G276))</f>
        <v>#VALUE!</v>
      </c>
      <c r="H276" t="e">
        <f ca="1">IF((A1)=(2),"",IF((272)=(H4),IF(IF((INDEX(B1:XFD1,((A3)+(1))+(0)))=("store"),(INDEX(B1:XFD1,((A3)+(1))+(1)))=("H"),"false"),B3,H276),H276))</f>
        <v>#VALUE!</v>
      </c>
      <c r="I276" t="e">
        <f ca="1">IF((A1)=(2),"",IF((272)=(I4),IF(IF((INDEX(B1:XFD1,((A3)+(1))+(0)))=("store"),(INDEX(B1:XFD1,((A3)+(1))+(1)))=("I"),"false"),B3,I276),I276))</f>
        <v>#VALUE!</v>
      </c>
      <c r="J276" t="e">
        <f ca="1">IF((A1)=(2),"",IF((272)=(J4),IF(IF((INDEX(B1:XFD1,((A3)+(1))+(0)))=("store"),(INDEX(B1:XFD1,((A3)+(1))+(1)))=("J"),"false"),B3,J276),J276))</f>
        <v>#VALUE!</v>
      </c>
      <c r="K276" t="e">
        <f ca="1">IF((A1)=(2),"",IF((272)=(K4),IF(IF((INDEX(B1:XFD1,((A3)+(1))+(0)))=("store"),(INDEX(B1:XFD1,((A3)+(1))+(1)))=("K"),"false"),B3,K276),K276))</f>
        <v>#VALUE!</v>
      </c>
      <c r="L276" t="e">
        <f ca="1">IF((A1)=(2),"",IF((272)=(L4),IF(IF((INDEX(B1:XFD1,((A3)+(1))+(0)))=("store"),(INDEX(B1:XFD1,((A3)+(1))+(1)))=("L"),"false"),B3,L276),L276))</f>
        <v>#VALUE!</v>
      </c>
      <c r="M276" t="e">
        <f ca="1">IF((A1)=(2),"",IF((272)=(M4),IF(IF((INDEX(B1:XFD1,((A3)+(1))+(0)))=("store"),(INDEX(B1:XFD1,((A3)+(1))+(1)))=("M"),"false"),B3,M276),M276))</f>
        <v>#VALUE!</v>
      </c>
      <c r="N276" t="e">
        <f ca="1">IF((A1)=(2),"",IF((272)=(N4),IF(IF((INDEX(B1:XFD1,((A3)+(1))+(0)))=("store"),(INDEX(B1:XFD1,((A3)+(1))+(1)))=("N"),"false"),B3,N276),N276))</f>
        <v>#VALUE!</v>
      </c>
      <c r="O276" t="e">
        <f ca="1">IF((A1)=(2),"",IF((272)=(O4),IF(IF((INDEX(B1:XFD1,((A3)+(1))+(0)))=("store"),(INDEX(B1:XFD1,((A3)+(1))+(1)))=("O"),"false"),B3,O276),O276))</f>
        <v>#VALUE!</v>
      </c>
      <c r="P276" t="e">
        <f ca="1">IF((A1)=(2),"",IF((272)=(P4),IF(IF((INDEX(B1:XFD1,((A3)+(1))+(0)))=("store"),(INDEX(B1:XFD1,((A3)+(1))+(1)))=("P"),"false"),B3,P276),P276))</f>
        <v>#VALUE!</v>
      </c>
      <c r="Q276" t="e">
        <f ca="1">IF((A1)=(2),"",IF((272)=(Q4),IF(IF((INDEX(B1:XFD1,((A3)+(1))+(0)))=("store"),(INDEX(B1:XFD1,((A3)+(1))+(1)))=("Q"),"false"),B3,Q276),Q276))</f>
        <v>#VALUE!</v>
      </c>
      <c r="R276" t="e">
        <f ca="1">IF((A1)=(2),"",IF((272)=(R4),IF(IF((INDEX(B1:XFD1,((A3)+(1))+(0)))=("store"),(INDEX(B1:XFD1,((A3)+(1))+(1)))=("R"),"false"),B3,R276),R276))</f>
        <v>#VALUE!</v>
      </c>
      <c r="S276" t="e">
        <f ca="1">IF((A1)=(2),"",IF((272)=(S4),IF(IF((INDEX(B1:XFD1,((A3)+(1))+(0)))=("store"),(INDEX(B1:XFD1,((A3)+(1))+(1)))=("S"),"false"),B3,S276),S276))</f>
        <v>#VALUE!</v>
      </c>
      <c r="T276" t="e">
        <f ca="1">IF((A1)=(2),"",IF((272)=(T4),IF(IF((INDEX(B1:XFD1,((A3)+(1))+(0)))=("store"),(INDEX(B1:XFD1,((A3)+(1))+(1)))=("T"),"false"),B3,T276),T276))</f>
        <v>#VALUE!</v>
      </c>
      <c r="U276" t="e">
        <f ca="1">IF((A1)=(2),"",IF((272)=(U4),IF(IF((INDEX(B1:XFD1,((A3)+(1))+(0)))=("store"),(INDEX(B1:XFD1,((A3)+(1))+(1)))=("U"),"false"),B3,U276),U276))</f>
        <v>#VALUE!</v>
      </c>
      <c r="V276" t="e">
        <f ca="1">IF((A1)=(2),"",IF((272)=(V4),IF(IF((INDEX(B1:XFD1,((A3)+(1))+(0)))=("store"),(INDEX(B1:XFD1,((A3)+(1))+(1)))=("V"),"false"),B3,V276),V276))</f>
        <v>#VALUE!</v>
      </c>
      <c r="W276" t="e">
        <f ca="1">IF((A1)=(2),"",IF((272)=(W4),IF(IF((INDEX(B1:XFD1,((A3)+(1))+(0)))=("store"),(INDEX(B1:XFD1,((A3)+(1))+(1)))=("W"),"false"),B3,W276),W276))</f>
        <v>#VALUE!</v>
      </c>
      <c r="X276" t="e">
        <f ca="1">IF((A1)=(2),"",IF((272)=(X4),IF(IF((INDEX(B1:XFD1,((A3)+(1))+(0)))=("store"),(INDEX(B1:XFD1,((A3)+(1))+(1)))=("X"),"false"),B3,X276),X276))</f>
        <v>#VALUE!</v>
      </c>
      <c r="Y276" t="e">
        <f ca="1">IF((A1)=(2),"",IF((272)=(Y4),IF(IF((INDEX(B1:XFD1,((A3)+(1))+(0)))=("store"),(INDEX(B1:XFD1,((A3)+(1))+(1)))=("Y"),"false"),B3,Y276),Y276))</f>
        <v>#VALUE!</v>
      </c>
      <c r="Z276" t="e">
        <f ca="1">IF((A1)=(2),"",IF((272)=(Z4),IF(IF((INDEX(B1:XFD1,((A3)+(1))+(0)))=("store"),(INDEX(B1:XFD1,((A3)+(1))+(1)))=("Z"),"false"),B3,Z276),Z276))</f>
        <v>#VALUE!</v>
      </c>
      <c r="AA276" t="e">
        <f ca="1">IF((A1)=(2),"",IF((272)=(AA4),IF(IF((INDEX(B1:XFD1,((A3)+(1))+(0)))=("store"),(INDEX(B1:XFD1,((A3)+(1))+(1)))=("AA"),"false"),B3,AA276),AA276))</f>
        <v>#VALUE!</v>
      </c>
      <c r="AB276" t="e">
        <f ca="1">IF((A1)=(2),"",IF((272)=(AB4),IF(IF((INDEX(B1:XFD1,((A3)+(1))+(0)))=("store"),(INDEX(B1:XFD1,((A3)+(1))+(1)))=("AB"),"false"),B3,AB276),AB276))</f>
        <v>#VALUE!</v>
      </c>
      <c r="AC276" t="e">
        <f ca="1">IF((A1)=(2),"",IF((272)=(AC4),IF(IF((INDEX(B1:XFD1,((A3)+(1))+(0)))=("store"),(INDEX(B1:XFD1,((A3)+(1))+(1)))=("AC"),"false"),B3,AC276),AC276))</f>
        <v>#VALUE!</v>
      </c>
      <c r="AD276" t="e">
        <f ca="1">IF((A1)=(2),"",IF((272)=(AD4),IF(IF((INDEX(B1:XFD1,((A3)+(1))+(0)))=("store"),(INDEX(B1:XFD1,((A3)+(1))+(1)))=("AD"),"false"),B3,AD276),AD276))</f>
        <v>#VALUE!</v>
      </c>
    </row>
    <row r="277" spans="1:30" x14ac:dyDescent="0.25">
      <c r="A277" t="e">
        <f ca="1">IF((A1)=(2),"",IF((273)=(A4),IF(("call")=(INDEX(B1:XFD1,((A3)+(1))+(0))),(B3)*(2),IF(("goto")=(INDEX(B1:XFD1,((A3)+(1))+(0))),(INDEX(B1:XFD1,((A3)+(1))+(1)))*(2),IF(("gotoiftrue")=(INDEX(B1:XFD1,((A3)+(1))+(0))),IF(B3,(INDEX(B1:XFD1,((A3)+(1))+(1)))*(2),(A277)+(2)),(A277)+(2)))),A277))</f>
        <v>#VALUE!</v>
      </c>
      <c r="B277" t="e">
        <f ca="1">IF((A1)=(2),"",IF((273)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277)+(1)),IF(("add")=(INDEX(B1:XFD1,((A3)+(1))+(0))),(INDEX(B5:B405,(B4)+(1)))+(B277),IF(("equals")=(INDEX(B1:XFD1,((A3)+(1))+(0))),(INDEX(B5:B405,(B4)+(1)))=(B277),IF(("leq")=(INDEX(B1:XFD1,((A3)+(1))+(0))),(INDEX(B5:B405,(B4)+(1)))&lt;=(B277),IF(("greater")=(INDEX(B1:XFD1,((A3)+(1))+(0))),(INDEX(B5:B405,(B4)+(1)))&gt;(B277),IF(("mod")=(INDEX(B1:XFD1,((A3)+(1))+(0))),MOD(INDEX(B5:B405,(B4)+(1)),B277),B277))))))))),B277))</f>
        <v>#VALUE!</v>
      </c>
      <c r="C277" t="e">
        <f ca="1">IF((A1)=(2),1,IF(AND((INDEX(B1:XFD1,((A3)+(1))+(0)))=("writeheap"),(INDEX(B5:B405,(B4)+(1)))=(272)),INDEX(B5:B405,(B4)+(2)),IF((A1)=(2),"",IF((273)=(C4),C277,C277))))</f>
        <v>#VALUE!</v>
      </c>
      <c r="F277" t="e">
        <f ca="1">IF((A1)=(2),"",IF((273)=(F4),IF(IF((INDEX(B1:XFD1,((A3)+(1))+(0)))=("store"),(INDEX(B1:XFD1,((A3)+(1))+(1)))=("F"),"false"),B3,F277),F277))</f>
        <v>#VALUE!</v>
      </c>
      <c r="G277" t="e">
        <f ca="1">IF((A1)=(2),"",IF((273)=(G4),IF(IF((INDEX(B1:XFD1,((A3)+(1))+(0)))=("store"),(INDEX(B1:XFD1,((A3)+(1))+(1)))=("G"),"false"),B3,G277),G277))</f>
        <v>#VALUE!</v>
      </c>
      <c r="H277" t="e">
        <f ca="1">IF((A1)=(2),"",IF((273)=(H4),IF(IF((INDEX(B1:XFD1,((A3)+(1))+(0)))=("store"),(INDEX(B1:XFD1,((A3)+(1))+(1)))=("H"),"false"),B3,H277),H277))</f>
        <v>#VALUE!</v>
      </c>
      <c r="I277" t="e">
        <f ca="1">IF((A1)=(2),"",IF((273)=(I4),IF(IF((INDEX(B1:XFD1,((A3)+(1))+(0)))=("store"),(INDEX(B1:XFD1,((A3)+(1))+(1)))=("I"),"false"),B3,I277),I277))</f>
        <v>#VALUE!</v>
      </c>
      <c r="J277" t="e">
        <f ca="1">IF((A1)=(2),"",IF((273)=(J4),IF(IF((INDEX(B1:XFD1,((A3)+(1))+(0)))=("store"),(INDEX(B1:XFD1,((A3)+(1))+(1)))=("J"),"false"),B3,J277),J277))</f>
        <v>#VALUE!</v>
      </c>
      <c r="K277" t="e">
        <f ca="1">IF((A1)=(2),"",IF((273)=(K4),IF(IF((INDEX(B1:XFD1,((A3)+(1))+(0)))=("store"),(INDEX(B1:XFD1,((A3)+(1))+(1)))=("K"),"false"),B3,K277),K277))</f>
        <v>#VALUE!</v>
      </c>
      <c r="L277" t="e">
        <f ca="1">IF((A1)=(2),"",IF((273)=(L4),IF(IF((INDEX(B1:XFD1,((A3)+(1))+(0)))=("store"),(INDEX(B1:XFD1,((A3)+(1))+(1)))=("L"),"false"),B3,L277),L277))</f>
        <v>#VALUE!</v>
      </c>
      <c r="M277" t="e">
        <f ca="1">IF((A1)=(2),"",IF((273)=(M4),IF(IF((INDEX(B1:XFD1,((A3)+(1))+(0)))=("store"),(INDEX(B1:XFD1,((A3)+(1))+(1)))=("M"),"false"),B3,M277),M277))</f>
        <v>#VALUE!</v>
      </c>
      <c r="N277" t="e">
        <f ca="1">IF((A1)=(2),"",IF((273)=(N4),IF(IF((INDEX(B1:XFD1,((A3)+(1))+(0)))=("store"),(INDEX(B1:XFD1,((A3)+(1))+(1)))=("N"),"false"),B3,N277),N277))</f>
        <v>#VALUE!</v>
      </c>
      <c r="O277" t="e">
        <f ca="1">IF((A1)=(2),"",IF((273)=(O4),IF(IF((INDEX(B1:XFD1,((A3)+(1))+(0)))=("store"),(INDEX(B1:XFD1,((A3)+(1))+(1)))=("O"),"false"),B3,O277),O277))</f>
        <v>#VALUE!</v>
      </c>
      <c r="P277" t="e">
        <f ca="1">IF((A1)=(2),"",IF((273)=(P4),IF(IF((INDEX(B1:XFD1,((A3)+(1))+(0)))=("store"),(INDEX(B1:XFD1,((A3)+(1))+(1)))=("P"),"false"),B3,P277),P277))</f>
        <v>#VALUE!</v>
      </c>
      <c r="Q277" t="e">
        <f ca="1">IF((A1)=(2),"",IF((273)=(Q4),IF(IF((INDEX(B1:XFD1,((A3)+(1))+(0)))=("store"),(INDEX(B1:XFD1,((A3)+(1))+(1)))=("Q"),"false"),B3,Q277),Q277))</f>
        <v>#VALUE!</v>
      </c>
      <c r="R277" t="e">
        <f ca="1">IF((A1)=(2),"",IF((273)=(R4),IF(IF((INDEX(B1:XFD1,((A3)+(1))+(0)))=("store"),(INDEX(B1:XFD1,((A3)+(1))+(1)))=("R"),"false"),B3,R277),R277))</f>
        <v>#VALUE!</v>
      </c>
      <c r="S277" t="e">
        <f ca="1">IF((A1)=(2),"",IF((273)=(S4),IF(IF((INDEX(B1:XFD1,((A3)+(1))+(0)))=("store"),(INDEX(B1:XFD1,((A3)+(1))+(1)))=("S"),"false"),B3,S277),S277))</f>
        <v>#VALUE!</v>
      </c>
      <c r="T277" t="e">
        <f ca="1">IF((A1)=(2),"",IF((273)=(T4),IF(IF((INDEX(B1:XFD1,((A3)+(1))+(0)))=("store"),(INDEX(B1:XFD1,((A3)+(1))+(1)))=("T"),"false"),B3,T277),T277))</f>
        <v>#VALUE!</v>
      </c>
      <c r="U277" t="e">
        <f ca="1">IF((A1)=(2),"",IF((273)=(U4),IF(IF((INDEX(B1:XFD1,((A3)+(1))+(0)))=("store"),(INDEX(B1:XFD1,((A3)+(1))+(1)))=("U"),"false"),B3,U277),U277))</f>
        <v>#VALUE!</v>
      </c>
      <c r="V277" t="e">
        <f ca="1">IF((A1)=(2),"",IF((273)=(V4),IF(IF((INDEX(B1:XFD1,((A3)+(1))+(0)))=("store"),(INDEX(B1:XFD1,((A3)+(1))+(1)))=("V"),"false"),B3,V277),V277))</f>
        <v>#VALUE!</v>
      </c>
      <c r="W277" t="e">
        <f ca="1">IF((A1)=(2),"",IF((273)=(W4),IF(IF((INDEX(B1:XFD1,((A3)+(1))+(0)))=("store"),(INDEX(B1:XFD1,((A3)+(1))+(1)))=("W"),"false"),B3,W277),W277))</f>
        <v>#VALUE!</v>
      </c>
      <c r="X277" t="e">
        <f ca="1">IF((A1)=(2),"",IF((273)=(X4),IF(IF((INDEX(B1:XFD1,((A3)+(1))+(0)))=("store"),(INDEX(B1:XFD1,((A3)+(1))+(1)))=("X"),"false"),B3,X277),X277))</f>
        <v>#VALUE!</v>
      </c>
      <c r="Y277" t="e">
        <f ca="1">IF((A1)=(2),"",IF((273)=(Y4),IF(IF((INDEX(B1:XFD1,((A3)+(1))+(0)))=("store"),(INDEX(B1:XFD1,((A3)+(1))+(1)))=("Y"),"false"),B3,Y277),Y277))</f>
        <v>#VALUE!</v>
      </c>
      <c r="Z277" t="e">
        <f ca="1">IF((A1)=(2),"",IF((273)=(Z4),IF(IF((INDEX(B1:XFD1,((A3)+(1))+(0)))=("store"),(INDEX(B1:XFD1,((A3)+(1))+(1)))=("Z"),"false"),B3,Z277),Z277))</f>
        <v>#VALUE!</v>
      </c>
      <c r="AA277" t="e">
        <f ca="1">IF((A1)=(2),"",IF((273)=(AA4),IF(IF((INDEX(B1:XFD1,((A3)+(1))+(0)))=("store"),(INDEX(B1:XFD1,((A3)+(1))+(1)))=("AA"),"false"),B3,AA277),AA277))</f>
        <v>#VALUE!</v>
      </c>
      <c r="AB277" t="e">
        <f ca="1">IF((A1)=(2),"",IF((273)=(AB4),IF(IF((INDEX(B1:XFD1,((A3)+(1))+(0)))=("store"),(INDEX(B1:XFD1,((A3)+(1))+(1)))=("AB"),"false"),B3,AB277),AB277))</f>
        <v>#VALUE!</v>
      </c>
      <c r="AC277" t="e">
        <f ca="1">IF((A1)=(2),"",IF((273)=(AC4),IF(IF((INDEX(B1:XFD1,((A3)+(1))+(0)))=("store"),(INDEX(B1:XFD1,((A3)+(1))+(1)))=("AC"),"false"),B3,AC277),AC277))</f>
        <v>#VALUE!</v>
      </c>
      <c r="AD277" t="e">
        <f ca="1">IF((A1)=(2),"",IF((273)=(AD4),IF(IF((INDEX(B1:XFD1,((A3)+(1))+(0)))=("store"),(INDEX(B1:XFD1,((A3)+(1))+(1)))=("AD"),"false"),B3,AD277),AD277))</f>
        <v>#VALUE!</v>
      </c>
    </row>
    <row r="278" spans="1:30" x14ac:dyDescent="0.25">
      <c r="A278" t="e">
        <f ca="1">IF((A1)=(2),"",IF((274)=(A4),IF(("call")=(INDEX(B1:XFD1,((A3)+(1))+(0))),(B3)*(2),IF(("goto")=(INDEX(B1:XFD1,((A3)+(1))+(0))),(INDEX(B1:XFD1,((A3)+(1))+(1)))*(2),IF(("gotoiftrue")=(INDEX(B1:XFD1,((A3)+(1))+(0))),IF(B3,(INDEX(B1:XFD1,((A3)+(1))+(1)))*(2),(A278)+(2)),(A278)+(2)))),A278))</f>
        <v>#VALUE!</v>
      </c>
      <c r="B278" t="e">
        <f ca="1">IF((A1)=(2),"",IF((274)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278)+(1)),IF(("add")=(INDEX(B1:XFD1,((A3)+(1))+(0))),(INDEX(B5:B405,(B4)+(1)))+(B278),IF(("equals")=(INDEX(B1:XFD1,((A3)+(1))+(0))),(INDEX(B5:B405,(B4)+(1)))=(B278),IF(("leq")=(INDEX(B1:XFD1,((A3)+(1))+(0))),(INDEX(B5:B405,(B4)+(1)))&lt;=(B278),IF(("greater")=(INDEX(B1:XFD1,((A3)+(1))+(0))),(INDEX(B5:B405,(B4)+(1)))&gt;(B278),IF(("mod")=(INDEX(B1:XFD1,((A3)+(1))+(0))),MOD(INDEX(B5:B405,(B4)+(1)),B278),B278))))))))),B278))</f>
        <v>#VALUE!</v>
      </c>
      <c r="C278" t="e">
        <f ca="1">IF((A1)=(2),1,IF(AND((INDEX(B1:XFD1,((A3)+(1))+(0)))=("writeheap"),(INDEX(B5:B405,(B4)+(1)))=(273)),INDEX(B5:B405,(B4)+(2)),IF((A1)=(2),"",IF((274)=(C4),C278,C278))))</f>
        <v>#VALUE!</v>
      </c>
      <c r="F278" t="e">
        <f ca="1">IF((A1)=(2),"",IF((274)=(F4),IF(IF((INDEX(B1:XFD1,((A3)+(1))+(0)))=("store"),(INDEX(B1:XFD1,((A3)+(1))+(1)))=("F"),"false"),B3,F278),F278))</f>
        <v>#VALUE!</v>
      </c>
      <c r="G278" t="e">
        <f ca="1">IF((A1)=(2),"",IF((274)=(G4),IF(IF((INDEX(B1:XFD1,((A3)+(1))+(0)))=("store"),(INDEX(B1:XFD1,((A3)+(1))+(1)))=("G"),"false"),B3,G278),G278))</f>
        <v>#VALUE!</v>
      </c>
      <c r="H278" t="e">
        <f ca="1">IF((A1)=(2),"",IF((274)=(H4),IF(IF((INDEX(B1:XFD1,((A3)+(1))+(0)))=("store"),(INDEX(B1:XFD1,((A3)+(1))+(1)))=("H"),"false"),B3,H278),H278))</f>
        <v>#VALUE!</v>
      </c>
      <c r="I278" t="e">
        <f ca="1">IF((A1)=(2),"",IF((274)=(I4),IF(IF((INDEX(B1:XFD1,((A3)+(1))+(0)))=("store"),(INDEX(B1:XFD1,((A3)+(1))+(1)))=("I"),"false"),B3,I278),I278))</f>
        <v>#VALUE!</v>
      </c>
      <c r="J278" t="e">
        <f ca="1">IF((A1)=(2),"",IF((274)=(J4),IF(IF((INDEX(B1:XFD1,((A3)+(1))+(0)))=("store"),(INDEX(B1:XFD1,((A3)+(1))+(1)))=("J"),"false"),B3,J278),J278))</f>
        <v>#VALUE!</v>
      </c>
      <c r="K278" t="e">
        <f ca="1">IF((A1)=(2),"",IF((274)=(K4),IF(IF((INDEX(B1:XFD1,((A3)+(1))+(0)))=("store"),(INDEX(B1:XFD1,((A3)+(1))+(1)))=("K"),"false"),B3,K278),K278))</f>
        <v>#VALUE!</v>
      </c>
      <c r="L278" t="e">
        <f ca="1">IF((A1)=(2),"",IF((274)=(L4),IF(IF((INDEX(B1:XFD1,((A3)+(1))+(0)))=("store"),(INDEX(B1:XFD1,((A3)+(1))+(1)))=("L"),"false"),B3,L278),L278))</f>
        <v>#VALUE!</v>
      </c>
      <c r="M278" t="e">
        <f ca="1">IF((A1)=(2),"",IF((274)=(M4),IF(IF((INDEX(B1:XFD1,((A3)+(1))+(0)))=("store"),(INDEX(B1:XFD1,((A3)+(1))+(1)))=("M"),"false"),B3,M278),M278))</f>
        <v>#VALUE!</v>
      </c>
      <c r="N278" t="e">
        <f ca="1">IF((A1)=(2),"",IF((274)=(N4),IF(IF((INDEX(B1:XFD1,((A3)+(1))+(0)))=("store"),(INDEX(B1:XFD1,((A3)+(1))+(1)))=("N"),"false"),B3,N278),N278))</f>
        <v>#VALUE!</v>
      </c>
      <c r="O278" t="e">
        <f ca="1">IF((A1)=(2),"",IF((274)=(O4),IF(IF((INDEX(B1:XFD1,((A3)+(1))+(0)))=("store"),(INDEX(B1:XFD1,((A3)+(1))+(1)))=("O"),"false"),B3,O278),O278))</f>
        <v>#VALUE!</v>
      </c>
      <c r="P278" t="e">
        <f ca="1">IF((A1)=(2),"",IF((274)=(P4),IF(IF((INDEX(B1:XFD1,((A3)+(1))+(0)))=("store"),(INDEX(B1:XFD1,((A3)+(1))+(1)))=("P"),"false"),B3,P278),P278))</f>
        <v>#VALUE!</v>
      </c>
      <c r="Q278" t="e">
        <f ca="1">IF((A1)=(2),"",IF((274)=(Q4),IF(IF((INDEX(B1:XFD1,((A3)+(1))+(0)))=("store"),(INDEX(B1:XFD1,((A3)+(1))+(1)))=("Q"),"false"),B3,Q278),Q278))</f>
        <v>#VALUE!</v>
      </c>
      <c r="R278" t="e">
        <f ca="1">IF((A1)=(2),"",IF((274)=(R4),IF(IF((INDEX(B1:XFD1,((A3)+(1))+(0)))=("store"),(INDEX(B1:XFD1,((A3)+(1))+(1)))=("R"),"false"),B3,R278),R278))</f>
        <v>#VALUE!</v>
      </c>
      <c r="S278" t="e">
        <f ca="1">IF((A1)=(2),"",IF((274)=(S4),IF(IF((INDEX(B1:XFD1,((A3)+(1))+(0)))=("store"),(INDEX(B1:XFD1,((A3)+(1))+(1)))=("S"),"false"),B3,S278),S278))</f>
        <v>#VALUE!</v>
      </c>
      <c r="T278" t="e">
        <f ca="1">IF((A1)=(2),"",IF((274)=(T4),IF(IF((INDEX(B1:XFD1,((A3)+(1))+(0)))=("store"),(INDEX(B1:XFD1,((A3)+(1))+(1)))=("T"),"false"),B3,T278),T278))</f>
        <v>#VALUE!</v>
      </c>
      <c r="U278" t="e">
        <f ca="1">IF((A1)=(2),"",IF((274)=(U4),IF(IF((INDEX(B1:XFD1,((A3)+(1))+(0)))=("store"),(INDEX(B1:XFD1,((A3)+(1))+(1)))=("U"),"false"),B3,U278),U278))</f>
        <v>#VALUE!</v>
      </c>
      <c r="V278" t="e">
        <f ca="1">IF((A1)=(2),"",IF((274)=(V4),IF(IF((INDEX(B1:XFD1,((A3)+(1))+(0)))=("store"),(INDEX(B1:XFD1,((A3)+(1))+(1)))=("V"),"false"),B3,V278),V278))</f>
        <v>#VALUE!</v>
      </c>
      <c r="W278" t="e">
        <f ca="1">IF((A1)=(2),"",IF((274)=(W4),IF(IF((INDEX(B1:XFD1,((A3)+(1))+(0)))=("store"),(INDEX(B1:XFD1,((A3)+(1))+(1)))=("W"),"false"),B3,W278),W278))</f>
        <v>#VALUE!</v>
      </c>
      <c r="X278" t="e">
        <f ca="1">IF((A1)=(2),"",IF((274)=(X4),IF(IF((INDEX(B1:XFD1,((A3)+(1))+(0)))=("store"),(INDEX(B1:XFD1,((A3)+(1))+(1)))=("X"),"false"),B3,X278),X278))</f>
        <v>#VALUE!</v>
      </c>
      <c r="Y278" t="e">
        <f ca="1">IF((A1)=(2),"",IF((274)=(Y4),IF(IF((INDEX(B1:XFD1,((A3)+(1))+(0)))=("store"),(INDEX(B1:XFD1,((A3)+(1))+(1)))=("Y"),"false"),B3,Y278),Y278))</f>
        <v>#VALUE!</v>
      </c>
      <c r="Z278" t="e">
        <f ca="1">IF((A1)=(2),"",IF((274)=(Z4),IF(IF((INDEX(B1:XFD1,((A3)+(1))+(0)))=("store"),(INDEX(B1:XFD1,((A3)+(1))+(1)))=("Z"),"false"),B3,Z278),Z278))</f>
        <v>#VALUE!</v>
      </c>
      <c r="AA278" t="e">
        <f ca="1">IF((A1)=(2),"",IF((274)=(AA4),IF(IF((INDEX(B1:XFD1,((A3)+(1))+(0)))=("store"),(INDEX(B1:XFD1,((A3)+(1))+(1)))=("AA"),"false"),B3,AA278),AA278))</f>
        <v>#VALUE!</v>
      </c>
      <c r="AB278" t="e">
        <f ca="1">IF((A1)=(2),"",IF((274)=(AB4),IF(IF((INDEX(B1:XFD1,((A3)+(1))+(0)))=("store"),(INDEX(B1:XFD1,((A3)+(1))+(1)))=("AB"),"false"),B3,AB278),AB278))</f>
        <v>#VALUE!</v>
      </c>
      <c r="AC278" t="e">
        <f ca="1">IF((A1)=(2),"",IF((274)=(AC4),IF(IF((INDEX(B1:XFD1,((A3)+(1))+(0)))=("store"),(INDEX(B1:XFD1,((A3)+(1))+(1)))=("AC"),"false"),B3,AC278),AC278))</f>
        <v>#VALUE!</v>
      </c>
      <c r="AD278" t="e">
        <f ca="1">IF((A1)=(2),"",IF((274)=(AD4),IF(IF((INDEX(B1:XFD1,((A3)+(1))+(0)))=("store"),(INDEX(B1:XFD1,((A3)+(1))+(1)))=("AD"),"false"),B3,AD278),AD278))</f>
        <v>#VALUE!</v>
      </c>
    </row>
    <row r="279" spans="1:30" x14ac:dyDescent="0.25">
      <c r="A279" t="e">
        <f ca="1">IF((A1)=(2),"",IF((275)=(A4),IF(("call")=(INDEX(B1:XFD1,((A3)+(1))+(0))),(B3)*(2),IF(("goto")=(INDEX(B1:XFD1,((A3)+(1))+(0))),(INDEX(B1:XFD1,((A3)+(1))+(1)))*(2),IF(("gotoiftrue")=(INDEX(B1:XFD1,((A3)+(1))+(0))),IF(B3,(INDEX(B1:XFD1,((A3)+(1))+(1)))*(2),(A279)+(2)),(A279)+(2)))),A279))</f>
        <v>#VALUE!</v>
      </c>
      <c r="B279" t="e">
        <f ca="1">IF((A1)=(2),"",IF((275)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279)+(1)),IF(("add")=(INDEX(B1:XFD1,((A3)+(1))+(0))),(INDEX(B5:B405,(B4)+(1)))+(B279),IF(("equals")=(INDEX(B1:XFD1,((A3)+(1))+(0))),(INDEX(B5:B405,(B4)+(1)))=(B279),IF(("leq")=(INDEX(B1:XFD1,((A3)+(1))+(0))),(INDEX(B5:B405,(B4)+(1)))&lt;=(B279),IF(("greater")=(INDEX(B1:XFD1,((A3)+(1))+(0))),(INDEX(B5:B405,(B4)+(1)))&gt;(B279),IF(("mod")=(INDEX(B1:XFD1,((A3)+(1))+(0))),MOD(INDEX(B5:B405,(B4)+(1)),B279),B279))))))))),B279))</f>
        <v>#VALUE!</v>
      </c>
      <c r="C279" t="e">
        <f ca="1">IF((A1)=(2),1,IF(AND((INDEX(B1:XFD1,((A3)+(1))+(0)))=("writeheap"),(INDEX(B5:B405,(B4)+(1)))=(274)),INDEX(B5:B405,(B4)+(2)),IF((A1)=(2),"",IF((275)=(C4),C279,C279))))</f>
        <v>#VALUE!</v>
      </c>
      <c r="F279" t="e">
        <f ca="1">IF((A1)=(2),"",IF((275)=(F4),IF(IF((INDEX(B1:XFD1,((A3)+(1))+(0)))=("store"),(INDEX(B1:XFD1,((A3)+(1))+(1)))=("F"),"false"),B3,F279),F279))</f>
        <v>#VALUE!</v>
      </c>
      <c r="G279" t="e">
        <f ca="1">IF((A1)=(2),"",IF((275)=(G4),IF(IF((INDEX(B1:XFD1,((A3)+(1))+(0)))=("store"),(INDEX(B1:XFD1,((A3)+(1))+(1)))=("G"),"false"),B3,G279),G279))</f>
        <v>#VALUE!</v>
      </c>
      <c r="H279" t="e">
        <f ca="1">IF((A1)=(2),"",IF((275)=(H4),IF(IF((INDEX(B1:XFD1,((A3)+(1))+(0)))=("store"),(INDEX(B1:XFD1,((A3)+(1))+(1)))=("H"),"false"),B3,H279),H279))</f>
        <v>#VALUE!</v>
      </c>
      <c r="I279" t="e">
        <f ca="1">IF((A1)=(2),"",IF((275)=(I4),IF(IF((INDEX(B1:XFD1,((A3)+(1))+(0)))=("store"),(INDEX(B1:XFD1,((A3)+(1))+(1)))=("I"),"false"),B3,I279),I279))</f>
        <v>#VALUE!</v>
      </c>
      <c r="J279" t="e">
        <f ca="1">IF((A1)=(2),"",IF((275)=(J4),IF(IF((INDEX(B1:XFD1,((A3)+(1))+(0)))=("store"),(INDEX(B1:XFD1,((A3)+(1))+(1)))=("J"),"false"),B3,J279),J279))</f>
        <v>#VALUE!</v>
      </c>
      <c r="K279" t="e">
        <f ca="1">IF((A1)=(2),"",IF((275)=(K4),IF(IF((INDEX(B1:XFD1,((A3)+(1))+(0)))=("store"),(INDEX(B1:XFD1,((A3)+(1))+(1)))=("K"),"false"),B3,K279),K279))</f>
        <v>#VALUE!</v>
      </c>
      <c r="L279" t="e">
        <f ca="1">IF((A1)=(2),"",IF((275)=(L4),IF(IF((INDEX(B1:XFD1,((A3)+(1))+(0)))=("store"),(INDEX(B1:XFD1,((A3)+(1))+(1)))=("L"),"false"),B3,L279),L279))</f>
        <v>#VALUE!</v>
      </c>
      <c r="M279" t="e">
        <f ca="1">IF((A1)=(2),"",IF((275)=(M4),IF(IF((INDEX(B1:XFD1,((A3)+(1))+(0)))=("store"),(INDEX(B1:XFD1,((A3)+(1))+(1)))=("M"),"false"),B3,M279),M279))</f>
        <v>#VALUE!</v>
      </c>
      <c r="N279" t="e">
        <f ca="1">IF((A1)=(2),"",IF((275)=(N4),IF(IF((INDEX(B1:XFD1,((A3)+(1))+(0)))=("store"),(INDEX(B1:XFD1,((A3)+(1))+(1)))=("N"),"false"),B3,N279),N279))</f>
        <v>#VALUE!</v>
      </c>
      <c r="O279" t="e">
        <f ca="1">IF((A1)=(2),"",IF((275)=(O4),IF(IF((INDEX(B1:XFD1,((A3)+(1))+(0)))=("store"),(INDEX(B1:XFD1,((A3)+(1))+(1)))=("O"),"false"),B3,O279),O279))</f>
        <v>#VALUE!</v>
      </c>
      <c r="P279" t="e">
        <f ca="1">IF((A1)=(2),"",IF((275)=(P4),IF(IF((INDEX(B1:XFD1,((A3)+(1))+(0)))=("store"),(INDEX(B1:XFD1,((A3)+(1))+(1)))=("P"),"false"),B3,P279),P279))</f>
        <v>#VALUE!</v>
      </c>
      <c r="Q279" t="e">
        <f ca="1">IF((A1)=(2),"",IF((275)=(Q4),IF(IF((INDEX(B1:XFD1,((A3)+(1))+(0)))=("store"),(INDEX(B1:XFD1,((A3)+(1))+(1)))=("Q"),"false"),B3,Q279),Q279))</f>
        <v>#VALUE!</v>
      </c>
      <c r="R279" t="e">
        <f ca="1">IF((A1)=(2),"",IF((275)=(R4),IF(IF((INDEX(B1:XFD1,((A3)+(1))+(0)))=("store"),(INDEX(B1:XFD1,((A3)+(1))+(1)))=("R"),"false"),B3,R279),R279))</f>
        <v>#VALUE!</v>
      </c>
      <c r="S279" t="e">
        <f ca="1">IF((A1)=(2),"",IF((275)=(S4),IF(IF((INDEX(B1:XFD1,((A3)+(1))+(0)))=("store"),(INDEX(B1:XFD1,((A3)+(1))+(1)))=("S"),"false"),B3,S279),S279))</f>
        <v>#VALUE!</v>
      </c>
      <c r="T279" t="e">
        <f ca="1">IF((A1)=(2),"",IF((275)=(T4),IF(IF((INDEX(B1:XFD1,((A3)+(1))+(0)))=("store"),(INDEX(B1:XFD1,((A3)+(1))+(1)))=("T"),"false"),B3,T279),T279))</f>
        <v>#VALUE!</v>
      </c>
      <c r="U279" t="e">
        <f ca="1">IF((A1)=(2),"",IF((275)=(U4),IF(IF((INDEX(B1:XFD1,((A3)+(1))+(0)))=("store"),(INDEX(B1:XFD1,((A3)+(1))+(1)))=("U"),"false"),B3,U279),U279))</f>
        <v>#VALUE!</v>
      </c>
      <c r="V279" t="e">
        <f ca="1">IF((A1)=(2),"",IF((275)=(V4),IF(IF((INDEX(B1:XFD1,((A3)+(1))+(0)))=("store"),(INDEX(B1:XFD1,((A3)+(1))+(1)))=("V"),"false"),B3,V279),V279))</f>
        <v>#VALUE!</v>
      </c>
      <c r="W279" t="e">
        <f ca="1">IF((A1)=(2),"",IF((275)=(W4),IF(IF((INDEX(B1:XFD1,((A3)+(1))+(0)))=("store"),(INDEX(B1:XFD1,((A3)+(1))+(1)))=("W"),"false"),B3,W279),W279))</f>
        <v>#VALUE!</v>
      </c>
      <c r="X279" t="e">
        <f ca="1">IF((A1)=(2),"",IF((275)=(X4),IF(IF((INDEX(B1:XFD1,((A3)+(1))+(0)))=("store"),(INDEX(B1:XFD1,((A3)+(1))+(1)))=("X"),"false"),B3,X279),X279))</f>
        <v>#VALUE!</v>
      </c>
      <c r="Y279" t="e">
        <f ca="1">IF((A1)=(2),"",IF((275)=(Y4),IF(IF((INDEX(B1:XFD1,((A3)+(1))+(0)))=("store"),(INDEX(B1:XFD1,((A3)+(1))+(1)))=("Y"),"false"),B3,Y279),Y279))</f>
        <v>#VALUE!</v>
      </c>
      <c r="Z279" t="e">
        <f ca="1">IF((A1)=(2),"",IF((275)=(Z4),IF(IF((INDEX(B1:XFD1,((A3)+(1))+(0)))=("store"),(INDEX(B1:XFD1,((A3)+(1))+(1)))=("Z"),"false"),B3,Z279),Z279))</f>
        <v>#VALUE!</v>
      </c>
      <c r="AA279" t="e">
        <f ca="1">IF((A1)=(2),"",IF((275)=(AA4),IF(IF((INDEX(B1:XFD1,((A3)+(1))+(0)))=("store"),(INDEX(B1:XFD1,((A3)+(1))+(1)))=("AA"),"false"),B3,AA279),AA279))</f>
        <v>#VALUE!</v>
      </c>
      <c r="AB279" t="e">
        <f ca="1">IF((A1)=(2),"",IF((275)=(AB4),IF(IF((INDEX(B1:XFD1,((A3)+(1))+(0)))=("store"),(INDEX(B1:XFD1,((A3)+(1))+(1)))=("AB"),"false"),B3,AB279),AB279))</f>
        <v>#VALUE!</v>
      </c>
      <c r="AC279" t="e">
        <f ca="1">IF((A1)=(2),"",IF((275)=(AC4),IF(IF((INDEX(B1:XFD1,((A3)+(1))+(0)))=("store"),(INDEX(B1:XFD1,((A3)+(1))+(1)))=("AC"),"false"),B3,AC279),AC279))</f>
        <v>#VALUE!</v>
      </c>
      <c r="AD279" t="e">
        <f ca="1">IF((A1)=(2),"",IF((275)=(AD4),IF(IF((INDEX(B1:XFD1,((A3)+(1))+(0)))=("store"),(INDEX(B1:XFD1,((A3)+(1))+(1)))=("AD"),"false"),B3,AD279),AD279))</f>
        <v>#VALUE!</v>
      </c>
    </row>
    <row r="280" spans="1:30" x14ac:dyDescent="0.25">
      <c r="A280" t="e">
        <f ca="1">IF((A1)=(2),"",IF((276)=(A4),IF(("call")=(INDEX(B1:XFD1,((A3)+(1))+(0))),(B3)*(2),IF(("goto")=(INDEX(B1:XFD1,((A3)+(1))+(0))),(INDEX(B1:XFD1,((A3)+(1))+(1)))*(2),IF(("gotoiftrue")=(INDEX(B1:XFD1,((A3)+(1))+(0))),IF(B3,(INDEX(B1:XFD1,((A3)+(1))+(1)))*(2),(A280)+(2)),(A280)+(2)))),A280))</f>
        <v>#VALUE!</v>
      </c>
      <c r="B280" t="e">
        <f ca="1">IF((A1)=(2),"",IF((276)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280)+(1)),IF(("add")=(INDEX(B1:XFD1,((A3)+(1))+(0))),(INDEX(B5:B405,(B4)+(1)))+(B280),IF(("equals")=(INDEX(B1:XFD1,((A3)+(1))+(0))),(INDEX(B5:B405,(B4)+(1)))=(B280),IF(("leq")=(INDEX(B1:XFD1,((A3)+(1))+(0))),(INDEX(B5:B405,(B4)+(1)))&lt;=(B280),IF(("greater")=(INDEX(B1:XFD1,((A3)+(1))+(0))),(INDEX(B5:B405,(B4)+(1)))&gt;(B280),IF(("mod")=(INDEX(B1:XFD1,((A3)+(1))+(0))),MOD(INDEX(B5:B405,(B4)+(1)),B280),B280))))))))),B280))</f>
        <v>#VALUE!</v>
      </c>
      <c r="C280" t="e">
        <f ca="1">IF((A1)=(2),1,IF(AND((INDEX(B1:XFD1,((A3)+(1))+(0)))=("writeheap"),(INDEX(B5:B405,(B4)+(1)))=(275)),INDEX(B5:B405,(B4)+(2)),IF((A1)=(2),"",IF((276)=(C4),C280,C280))))</f>
        <v>#VALUE!</v>
      </c>
      <c r="F280" t="e">
        <f ca="1">IF((A1)=(2),"",IF((276)=(F4),IF(IF((INDEX(B1:XFD1,((A3)+(1))+(0)))=("store"),(INDEX(B1:XFD1,((A3)+(1))+(1)))=("F"),"false"),B3,F280),F280))</f>
        <v>#VALUE!</v>
      </c>
      <c r="G280" t="e">
        <f ca="1">IF((A1)=(2),"",IF((276)=(G4),IF(IF((INDEX(B1:XFD1,((A3)+(1))+(0)))=("store"),(INDEX(B1:XFD1,((A3)+(1))+(1)))=("G"),"false"),B3,G280),G280))</f>
        <v>#VALUE!</v>
      </c>
      <c r="H280" t="e">
        <f ca="1">IF((A1)=(2),"",IF((276)=(H4),IF(IF((INDEX(B1:XFD1,((A3)+(1))+(0)))=("store"),(INDEX(B1:XFD1,((A3)+(1))+(1)))=("H"),"false"),B3,H280),H280))</f>
        <v>#VALUE!</v>
      </c>
      <c r="I280" t="e">
        <f ca="1">IF((A1)=(2),"",IF((276)=(I4),IF(IF((INDEX(B1:XFD1,((A3)+(1))+(0)))=("store"),(INDEX(B1:XFD1,((A3)+(1))+(1)))=("I"),"false"),B3,I280),I280))</f>
        <v>#VALUE!</v>
      </c>
      <c r="J280" t="e">
        <f ca="1">IF((A1)=(2),"",IF((276)=(J4),IF(IF((INDEX(B1:XFD1,((A3)+(1))+(0)))=("store"),(INDEX(B1:XFD1,((A3)+(1))+(1)))=("J"),"false"),B3,J280),J280))</f>
        <v>#VALUE!</v>
      </c>
      <c r="K280" t="e">
        <f ca="1">IF((A1)=(2),"",IF((276)=(K4),IF(IF((INDEX(B1:XFD1,((A3)+(1))+(0)))=("store"),(INDEX(B1:XFD1,((A3)+(1))+(1)))=("K"),"false"),B3,K280),K280))</f>
        <v>#VALUE!</v>
      </c>
      <c r="L280" t="e">
        <f ca="1">IF((A1)=(2),"",IF((276)=(L4),IF(IF((INDEX(B1:XFD1,((A3)+(1))+(0)))=("store"),(INDEX(B1:XFD1,((A3)+(1))+(1)))=("L"),"false"),B3,L280),L280))</f>
        <v>#VALUE!</v>
      </c>
      <c r="M280" t="e">
        <f ca="1">IF((A1)=(2),"",IF((276)=(M4),IF(IF((INDEX(B1:XFD1,((A3)+(1))+(0)))=("store"),(INDEX(B1:XFD1,((A3)+(1))+(1)))=("M"),"false"),B3,M280),M280))</f>
        <v>#VALUE!</v>
      </c>
      <c r="N280" t="e">
        <f ca="1">IF((A1)=(2),"",IF((276)=(N4),IF(IF((INDEX(B1:XFD1,((A3)+(1))+(0)))=("store"),(INDEX(B1:XFD1,((A3)+(1))+(1)))=("N"),"false"),B3,N280),N280))</f>
        <v>#VALUE!</v>
      </c>
      <c r="O280" t="e">
        <f ca="1">IF((A1)=(2),"",IF((276)=(O4),IF(IF((INDEX(B1:XFD1,((A3)+(1))+(0)))=("store"),(INDEX(B1:XFD1,((A3)+(1))+(1)))=("O"),"false"),B3,O280),O280))</f>
        <v>#VALUE!</v>
      </c>
      <c r="P280" t="e">
        <f ca="1">IF((A1)=(2),"",IF((276)=(P4),IF(IF((INDEX(B1:XFD1,((A3)+(1))+(0)))=("store"),(INDEX(B1:XFD1,((A3)+(1))+(1)))=("P"),"false"),B3,P280),P280))</f>
        <v>#VALUE!</v>
      </c>
      <c r="Q280" t="e">
        <f ca="1">IF((A1)=(2),"",IF((276)=(Q4),IF(IF((INDEX(B1:XFD1,((A3)+(1))+(0)))=("store"),(INDEX(B1:XFD1,((A3)+(1))+(1)))=("Q"),"false"),B3,Q280),Q280))</f>
        <v>#VALUE!</v>
      </c>
      <c r="R280" t="e">
        <f ca="1">IF((A1)=(2),"",IF((276)=(R4),IF(IF((INDEX(B1:XFD1,((A3)+(1))+(0)))=("store"),(INDEX(B1:XFD1,((A3)+(1))+(1)))=("R"),"false"),B3,R280),R280))</f>
        <v>#VALUE!</v>
      </c>
      <c r="S280" t="e">
        <f ca="1">IF((A1)=(2),"",IF((276)=(S4),IF(IF((INDEX(B1:XFD1,((A3)+(1))+(0)))=("store"),(INDEX(B1:XFD1,((A3)+(1))+(1)))=("S"),"false"),B3,S280),S280))</f>
        <v>#VALUE!</v>
      </c>
      <c r="T280" t="e">
        <f ca="1">IF((A1)=(2),"",IF((276)=(T4),IF(IF((INDEX(B1:XFD1,((A3)+(1))+(0)))=("store"),(INDEX(B1:XFD1,((A3)+(1))+(1)))=("T"),"false"),B3,T280),T280))</f>
        <v>#VALUE!</v>
      </c>
      <c r="U280" t="e">
        <f ca="1">IF((A1)=(2),"",IF((276)=(U4),IF(IF((INDEX(B1:XFD1,((A3)+(1))+(0)))=("store"),(INDEX(B1:XFD1,((A3)+(1))+(1)))=("U"),"false"),B3,U280),U280))</f>
        <v>#VALUE!</v>
      </c>
      <c r="V280" t="e">
        <f ca="1">IF((A1)=(2),"",IF((276)=(V4),IF(IF((INDEX(B1:XFD1,((A3)+(1))+(0)))=("store"),(INDEX(B1:XFD1,((A3)+(1))+(1)))=("V"),"false"),B3,V280),V280))</f>
        <v>#VALUE!</v>
      </c>
      <c r="W280" t="e">
        <f ca="1">IF((A1)=(2),"",IF((276)=(W4),IF(IF((INDEX(B1:XFD1,((A3)+(1))+(0)))=("store"),(INDEX(B1:XFD1,((A3)+(1))+(1)))=("W"),"false"),B3,W280),W280))</f>
        <v>#VALUE!</v>
      </c>
      <c r="X280" t="e">
        <f ca="1">IF((A1)=(2),"",IF((276)=(X4),IF(IF((INDEX(B1:XFD1,((A3)+(1))+(0)))=("store"),(INDEX(B1:XFD1,((A3)+(1))+(1)))=("X"),"false"),B3,X280),X280))</f>
        <v>#VALUE!</v>
      </c>
      <c r="Y280" t="e">
        <f ca="1">IF((A1)=(2),"",IF((276)=(Y4),IF(IF((INDEX(B1:XFD1,((A3)+(1))+(0)))=("store"),(INDEX(B1:XFD1,((A3)+(1))+(1)))=("Y"),"false"),B3,Y280),Y280))</f>
        <v>#VALUE!</v>
      </c>
      <c r="Z280" t="e">
        <f ca="1">IF((A1)=(2),"",IF((276)=(Z4),IF(IF((INDEX(B1:XFD1,((A3)+(1))+(0)))=("store"),(INDEX(B1:XFD1,((A3)+(1))+(1)))=("Z"),"false"),B3,Z280),Z280))</f>
        <v>#VALUE!</v>
      </c>
      <c r="AA280" t="e">
        <f ca="1">IF((A1)=(2),"",IF((276)=(AA4),IF(IF((INDEX(B1:XFD1,((A3)+(1))+(0)))=("store"),(INDEX(B1:XFD1,((A3)+(1))+(1)))=("AA"),"false"),B3,AA280),AA280))</f>
        <v>#VALUE!</v>
      </c>
      <c r="AB280" t="e">
        <f ca="1">IF((A1)=(2),"",IF((276)=(AB4),IF(IF((INDEX(B1:XFD1,((A3)+(1))+(0)))=("store"),(INDEX(B1:XFD1,((A3)+(1))+(1)))=("AB"),"false"),B3,AB280),AB280))</f>
        <v>#VALUE!</v>
      </c>
      <c r="AC280" t="e">
        <f ca="1">IF((A1)=(2),"",IF((276)=(AC4),IF(IF((INDEX(B1:XFD1,((A3)+(1))+(0)))=("store"),(INDEX(B1:XFD1,((A3)+(1))+(1)))=("AC"),"false"),B3,AC280),AC280))</f>
        <v>#VALUE!</v>
      </c>
      <c r="AD280" t="e">
        <f ca="1">IF((A1)=(2),"",IF((276)=(AD4),IF(IF((INDEX(B1:XFD1,((A3)+(1))+(0)))=("store"),(INDEX(B1:XFD1,((A3)+(1))+(1)))=("AD"),"false"),B3,AD280),AD280))</f>
        <v>#VALUE!</v>
      </c>
    </row>
    <row r="281" spans="1:30" x14ac:dyDescent="0.25">
      <c r="A281" t="e">
        <f ca="1">IF((A1)=(2),"",IF((277)=(A4),IF(("call")=(INDEX(B1:XFD1,((A3)+(1))+(0))),(B3)*(2),IF(("goto")=(INDEX(B1:XFD1,((A3)+(1))+(0))),(INDEX(B1:XFD1,((A3)+(1))+(1)))*(2),IF(("gotoiftrue")=(INDEX(B1:XFD1,((A3)+(1))+(0))),IF(B3,(INDEX(B1:XFD1,((A3)+(1))+(1)))*(2),(A281)+(2)),(A281)+(2)))),A281))</f>
        <v>#VALUE!</v>
      </c>
      <c r="B281" t="e">
        <f ca="1">IF((A1)=(2),"",IF((277)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281)+(1)),IF(("add")=(INDEX(B1:XFD1,((A3)+(1))+(0))),(INDEX(B5:B405,(B4)+(1)))+(B281),IF(("equals")=(INDEX(B1:XFD1,((A3)+(1))+(0))),(INDEX(B5:B405,(B4)+(1)))=(B281),IF(("leq")=(INDEX(B1:XFD1,((A3)+(1))+(0))),(INDEX(B5:B405,(B4)+(1)))&lt;=(B281),IF(("greater")=(INDEX(B1:XFD1,((A3)+(1))+(0))),(INDEX(B5:B405,(B4)+(1)))&gt;(B281),IF(("mod")=(INDEX(B1:XFD1,((A3)+(1))+(0))),MOD(INDEX(B5:B405,(B4)+(1)),B281),B281))))))))),B281))</f>
        <v>#VALUE!</v>
      </c>
      <c r="C281" t="e">
        <f ca="1">IF((A1)=(2),1,IF(AND((INDEX(B1:XFD1,((A3)+(1))+(0)))=("writeheap"),(INDEX(B5:B405,(B4)+(1)))=(276)),INDEX(B5:B405,(B4)+(2)),IF((A1)=(2),"",IF((277)=(C4),C281,C281))))</f>
        <v>#VALUE!</v>
      </c>
      <c r="F281" t="e">
        <f ca="1">IF((A1)=(2),"",IF((277)=(F4),IF(IF((INDEX(B1:XFD1,((A3)+(1))+(0)))=("store"),(INDEX(B1:XFD1,((A3)+(1))+(1)))=("F"),"false"),B3,F281),F281))</f>
        <v>#VALUE!</v>
      </c>
      <c r="G281" t="e">
        <f ca="1">IF((A1)=(2),"",IF((277)=(G4),IF(IF((INDEX(B1:XFD1,((A3)+(1))+(0)))=("store"),(INDEX(B1:XFD1,((A3)+(1))+(1)))=("G"),"false"),B3,G281),G281))</f>
        <v>#VALUE!</v>
      </c>
      <c r="H281" t="e">
        <f ca="1">IF((A1)=(2),"",IF((277)=(H4),IF(IF((INDEX(B1:XFD1,((A3)+(1))+(0)))=("store"),(INDEX(B1:XFD1,((A3)+(1))+(1)))=("H"),"false"),B3,H281),H281))</f>
        <v>#VALUE!</v>
      </c>
      <c r="I281" t="e">
        <f ca="1">IF((A1)=(2),"",IF((277)=(I4),IF(IF((INDEX(B1:XFD1,((A3)+(1))+(0)))=("store"),(INDEX(B1:XFD1,((A3)+(1))+(1)))=("I"),"false"),B3,I281),I281))</f>
        <v>#VALUE!</v>
      </c>
      <c r="J281" t="e">
        <f ca="1">IF((A1)=(2),"",IF((277)=(J4),IF(IF((INDEX(B1:XFD1,((A3)+(1))+(0)))=("store"),(INDEX(B1:XFD1,((A3)+(1))+(1)))=("J"),"false"),B3,J281),J281))</f>
        <v>#VALUE!</v>
      </c>
      <c r="K281" t="e">
        <f ca="1">IF((A1)=(2),"",IF((277)=(K4),IF(IF((INDEX(B1:XFD1,((A3)+(1))+(0)))=("store"),(INDEX(B1:XFD1,((A3)+(1))+(1)))=("K"),"false"),B3,K281),K281))</f>
        <v>#VALUE!</v>
      </c>
      <c r="L281" t="e">
        <f ca="1">IF((A1)=(2),"",IF((277)=(L4),IF(IF((INDEX(B1:XFD1,((A3)+(1))+(0)))=("store"),(INDEX(B1:XFD1,((A3)+(1))+(1)))=("L"),"false"),B3,L281),L281))</f>
        <v>#VALUE!</v>
      </c>
      <c r="M281" t="e">
        <f ca="1">IF((A1)=(2),"",IF((277)=(M4),IF(IF((INDEX(B1:XFD1,((A3)+(1))+(0)))=("store"),(INDEX(B1:XFD1,((A3)+(1))+(1)))=("M"),"false"),B3,M281),M281))</f>
        <v>#VALUE!</v>
      </c>
      <c r="N281" t="e">
        <f ca="1">IF((A1)=(2),"",IF((277)=(N4),IF(IF((INDEX(B1:XFD1,((A3)+(1))+(0)))=("store"),(INDEX(B1:XFD1,((A3)+(1))+(1)))=("N"),"false"),B3,N281),N281))</f>
        <v>#VALUE!</v>
      </c>
      <c r="O281" t="e">
        <f ca="1">IF((A1)=(2),"",IF((277)=(O4),IF(IF((INDEX(B1:XFD1,((A3)+(1))+(0)))=("store"),(INDEX(B1:XFD1,((A3)+(1))+(1)))=("O"),"false"),B3,O281),O281))</f>
        <v>#VALUE!</v>
      </c>
      <c r="P281" t="e">
        <f ca="1">IF((A1)=(2),"",IF((277)=(P4),IF(IF((INDEX(B1:XFD1,((A3)+(1))+(0)))=("store"),(INDEX(B1:XFD1,((A3)+(1))+(1)))=("P"),"false"),B3,P281),P281))</f>
        <v>#VALUE!</v>
      </c>
      <c r="Q281" t="e">
        <f ca="1">IF((A1)=(2),"",IF((277)=(Q4),IF(IF((INDEX(B1:XFD1,((A3)+(1))+(0)))=("store"),(INDEX(B1:XFD1,((A3)+(1))+(1)))=("Q"),"false"),B3,Q281),Q281))</f>
        <v>#VALUE!</v>
      </c>
      <c r="R281" t="e">
        <f ca="1">IF((A1)=(2),"",IF((277)=(R4),IF(IF((INDEX(B1:XFD1,((A3)+(1))+(0)))=("store"),(INDEX(B1:XFD1,((A3)+(1))+(1)))=("R"),"false"),B3,R281),R281))</f>
        <v>#VALUE!</v>
      </c>
      <c r="S281" t="e">
        <f ca="1">IF((A1)=(2),"",IF((277)=(S4),IF(IF((INDEX(B1:XFD1,((A3)+(1))+(0)))=("store"),(INDEX(B1:XFD1,((A3)+(1))+(1)))=("S"),"false"),B3,S281),S281))</f>
        <v>#VALUE!</v>
      </c>
      <c r="T281" t="e">
        <f ca="1">IF((A1)=(2),"",IF((277)=(T4),IF(IF((INDEX(B1:XFD1,((A3)+(1))+(0)))=("store"),(INDEX(B1:XFD1,((A3)+(1))+(1)))=("T"),"false"),B3,T281),T281))</f>
        <v>#VALUE!</v>
      </c>
      <c r="U281" t="e">
        <f ca="1">IF((A1)=(2),"",IF((277)=(U4),IF(IF((INDEX(B1:XFD1,((A3)+(1))+(0)))=("store"),(INDEX(B1:XFD1,((A3)+(1))+(1)))=("U"),"false"),B3,U281),U281))</f>
        <v>#VALUE!</v>
      </c>
      <c r="V281" t="e">
        <f ca="1">IF((A1)=(2),"",IF((277)=(V4),IF(IF((INDEX(B1:XFD1,((A3)+(1))+(0)))=("store"),(INDEX(B1:XFD1,((A3)+(1))+(1)))=("V"),"false"),B3,V281),V281))</f>
        <v>#VALUE!</v>
      </c>
      <c r="W281" t="e">
        <f ca="1">IF((A1)=(2),"",IF((277)=(W4),IF(IF((INDEX(B1:XFD1,((A3)+(1))+(0)))=("store"),(INDEX(B1:XFD1,((A3)+(1))+(1)))=("W"),"false"),B3,W281),W281))</f>
        <v>#VALUE!</v>
      </c>
      <c r="X281" t="e">
        <f ca="1">IF((A1)=(2),"",IF((277)=(X4),IF(IF((INDEX(B1:XFD1,((A3)+(1))+(0)))=("store"),(INDEX(B1:XFD1,((A3)+(1))+(1)))=("X"),"false"),B3,X281),X281))</f>
        <v>#VALUE!</v>
      </c>
      <c r="Y281" t="e">
        <f ca="1">IF((A1)=(2),"",IF((277)=(Y4),IF(IF((INDEX(B1:XFD1,((A3)+(1))+(0)))=("store"),(INDEX(B1:XFD1,((A3)+(1))+(1)))=("Y"),"false"),B3,Y281),Y281))</f>
        <v>#VALUE!</v>
      </c>
      <c r="Z281" t="e">
        <f ca="1">IF((A1)=(2),"",IF((277)=(Z4),IF(IF((INDEX(B1:XFD1,((A3)+(1))+(0)))=("store"),(INDEX(B1:XFD1,((A3)+(1))+(1)))=("Z"),"false"),B3,Z281),Z281))</f>
        <v>#VALUE!</v>
      </c>
      <c r="AA281" t="e">
        <f ca="1">IF((A1)=(2),"",IF((277)=(AA4),IF(IF((INDEX(B1:XFD1,((A3)+(1))+(0)))=("store"),(INDEX(B1:XFD1,((A3)+(1))+(1)))=("AA"),"false"),B3,AA281),AA281))</f>
        <v>#VALUE!</v>
      </c>
      <c r="AB281" t="e">
        <f ca="1">IF((A1)=(2),"",IF((277)=(AB4),IF(IF((INDEX(B1:XFD1,((A3)+(1))+(0)))=("store"),(INDEX(B1:XFD1,((A3)+(1))+(1)))=("AB"),"false"),B3,AB281),AB281))</f>
        <v>#VALUE!</v>
      </c>
      <c r="AC281" t="e">
        <f ca="1">IF((A1)=(2),"",IF((277)=(AC4),IF(IF((INDEX(B1:XFD1,((A3)+(1))+(0)))=("store"),(INDEX(B1:XFD1,((A3)+(1))+(1)))=("AC"),"false"),B3,AC281),AC281))</f>
        <v>#VALUE!</v>
      </c>
      <c r="AD281" t="e">
        <f ca="1">IF((A1)=(2),"",IF((277)=(AD4),IF(IF((INDEX(B1:XFD1,((A3)+(1))+(0)))=("store"),(INDEX(B1:XFD1,((A3)+(1))+(1)))=("AD"),"false"),B3,AD281),AD281))</f>
        <v>#VALUE!</v>
      </c>
    </row>
    <row r="282" spans="1:30" x14ac:dyDescent="0.25">
      <c r="A282" t="e">
        <f ca="1">IF((A1)=(2),"",IF((278)=(A4),IF(("call")=(INDEX(B1:XFD1,((A3)+(1))+(0))),(B3)*(2),IF(("goto")=(INDEX(B1:XFD1,((A3)+(1))+(0))),(INDEX(B1:XFD1,((A3)+(1))+(1)))*(2),IF(("gotoiftrue")=(INDEX(B1:XFD1,((A3)+(1))+(0))),IF(B3,(INDEX(B1:XFD1,((A3)+(1))+(1)))*(2),(A282)+(2)),(A282)+(2)))),A282))</f>
        <v>#VALUE!</v>
      </c>
      <c r="B282" t="e">
        <f ca="1">IF((A1)=(2),"",IF((278)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282)+(1)),IF(("add")=(INDEX(B1:XFD1,((A3)+(1))+(0))),(INDEX(B5:B405,(B4)+(1)))+(B282),IF(("equals")=(INDEX(B1:XFD1,((A3)+(1))+(0))),(INDEX(B5:B405,(B4)+(1)))=(B282),IF(("leq")=(INDEX(B1:XFD1,((A3)+(1))+(0))),(INDEX(B5:B405,(B4)+(1)))&lt;=(B282),IF(("greater")=(INDEX(B1:XFD1,((A3)+(1))+(0))),(INDEX(B5:B405,(B4)+(1)))&gt;(B282),IF(("mod")=(INDEX(B1:XFD1,((A3)+(1))+(0))),MOD(INDEX(B5:B405,(B4)+(1)),B282),B282))))))))),B282))</f>
        <v>#VALUE!</v>
      </c>
      <c r="C282" t="e">
        <f ca="1">IF((A1)=(2),1,IF(AND((INDEX(B1:XFD1,((A3)+(1))+(0)))=("writeheap"),(INDEX(B5:B405,(B4)+(1)))=(277)),INDEX(B5:B405,(B4)+(2)),IF((A1)=(2),"",IF((278)=(C4),C282,C282))))</f>
        <v>#VALUE!</v>
      </c>
      <c r="F282" t="e">
        <f ca="1">IF((A1)=(2),"",IF((278)=(F4),IF(IF((INDEX(B1:XFD1,((A3)+(1))+(0)))=("store"),(INDEX(B1:XFD1,((A3)+(1))+(1)))=("F"),"false"),B3,F282),F282))</f>
        <v>#VALUE!</v>
      </c>
      <c r="G282" t="e">
        <f ca="1">IF((A1)=(2),"",IF((278)=(G4),IF(IF((INDEX(B1:XFD1,((A3)+(1))+(0)))=("store"),(INDEX(B1:XFD1,((A3)+(1))+(1)))=("G"),"false"),B3,G282),G282))</f>
        <v>#VALUE!</v>
      </c>
      <c r="H282" t="e">
        <f ca="1">IF((A1)=(2),"",IF((278)=(H4),IF(IF((INDEX(B1:XFD1,((A3)+(1))+(0)))=("store"),(INDEX(B1:XFD1,((A3)+(1))+(1)))=("H"),"false"),B3,H282),H282))</f>
        <v>#VALUE!</v>
      </c>
      <c r="I282" t="e">
        <f ca="1">IF((A1)=(2),"",IF((278)=(I4),IF(IF((INDEX(B1:XFD1,((A3)+(1))+(0)))=("store"),(INDEX(B1:XFD1,((A3)+(1))+(1)))=("I"),"false"),B3,I282),I282))</f>
        <v>#VALUE!</v>
      </c>
      <c r="J282" t="e">
        <f ca="1">IF((A1)=(2),"",IF((278)=(J4),IF(IF((INDEX(B1:XFD1,((A3)+(1))+(0)))=("store"),(INDEX(B1:XFD1,((A3)+(1))+(1)))=("J"),"false"),B3,J282),J282))</f>
        <v>#VALUE!</v>
      </c>
      <c r="K282" t="e">
        <f ca="1">IF((A1)=(2),"",IF((278)=(K4),IF(IF((INDEX(B1:XFD1,((A3)+(1))+(0)))=("store"),(INDEX(B1:XFD1,((A3)+(1))+(1)))=("K"),"false"),B3,K282),K282))</f>
        <v>#VALUE!</v>
      </c>
      <c r="L282" t="e">
        <f ca="1">IF((A1)=(2),"",IF((278)=(L4),IF(IF((INDEX(B1:XFD1,((A3)+(1))+(0)))=("store"),(INDEX(B1:XFD1,((A3)+(1))+(1)))=("L"),"false"),B3,L282),L282))</f>
        <v>#VALUE!</v>
      </c>
      <c r="M282" t="e">
        <f ca="1">IF((A1)=(2),"",IF((278)=(M4),IF(IF((INDEX(B1:XFD1,((A3)+(1))+(0)))=("store"),(INDEX(B1:XFD1,((A3)+(1))+(1)))=("M"),"false"),B3,M282),M282))</f>
        <v>#VALUE!</v>
      </c>
      <c r="N282" t="e">
        <f ca="1">IF((A1)=(2),"",IF((278)=(N4),IF(IF((INDEX(B1:XFD1,((A3)+(1))+(0)))=("store"),(INDEX(B1:XFD1,((A3)+(1))+(1)))=("N"),"false"),B3,N282),N282))</f>
        <v>#VALUE!</v>
      </c>
      <c r="O282" t="e">
        <f ca="1">IF((A1)=(2),"",IF((278)=(O4),IF(IF((INDEX(B1:XFD1,((A3)+(1))+(0)))=("store"),(INDEX(B1:XFD1,((A3)+(1))+(1)))=("O"),"false"),B3,O282),O282))</f>
        <v>#VALUE!</v>
      </c>
      <c r="P282" t="e">
        <f ca="1">IF((A1)=(2),"",IF((278)=(P4),IF(IF((INDEX(B1:XFD1,((A3)+(1))+(0)))=("store"),(INDEX(B1:XFD1,((A3)+(1))+(1)))=("P"),"false"),B3,P282),P282))</f>
        <v>#VALUE!</v>
      </c>
      <c r="Q282" t="e">
        <f ca="1">IF((A1)=(2),"",IF((278)=(Q4),IF(IF((INDEX(B1:XFD1,((A3)+(1))+(0)))=("store"),(INDEX(B1:XFD1,((A3)+(1))+(1)))=("Q"),"false"),B3,Q282),Q282))</f>
        <v>#VALUE!</v>
      </c>
      <c r="R282" t="e">
        <f ca="1">IF((A1)=(2),"",IF((278)=(R4),IF(IF((INDEX(B1:XFD1,((A3)+(1))+(0)))=("store"),(INDEX(B1:XFD1,((A3)+(1))+(1)))=("R"),"false"),B3,R282),R282))</f>
        <v>#VALUE!</v>
      </c>
      <c r="S282" t="e">
        <f ca="1">IF((A1)=(2),"",IF((278)=(S4),IF(IF((INDEX(B1:XFD1,((A3)+(1))+(0)))=("store"),(INDEX(B1:XFD1,((A3)+(1))+(1)))=("S"),"false"),B3,S282),S282))</f>
        <v>#VALUE!</v>
      </c>
      <c r="T282" t="e">
        <f ca="1">IF((A1)=(2),"",IF((278)=(T4),IF(IF((INDEX(B1:XFD1,((A3)+(1))+(0)))=("store"),(INDEX(B1:XFD1,((A3)+(1))+(1)))=("T"),"false"),B3,T282),T282))</f>
        <v>#VALUE!</v>
      </c>
      <c r="U282" t="e">
        <f ca="1">IF((A1)=(2),"",IF((278)=(U4),IF(IF((INDEX(B1:XFD1,((A3)+(1))+(0)))=("store"),(INDEX(B1:XFD1,((A3)+(1))+(1)))=("U"),"false"),B3,U282),U282))</f>
        <v>#VALUE!</v>
      </c>
      <c r="V282" t="e">
        <f ca="1">IF((A1)=(2),"",IF((278)=(V4),IF(IF((INDEX(B1:XFD1,((A3)+(1))+(0)))=("store"),(INDEX(B1:XFD1,((A3)+(1))+(1)))=("V"),"false"),B3,V282),V282))</f>
        <v>#VALUE!</v>
      </c>
      <c r="W282" t="e">
        <f ca="1">IF((A1)=(2),"",IF((278)=(W4),IF(IF((INDEX(B1:XFD1,((A3)+(1))+(0)))=("store"),(INDEX(B1:XFD1,((A3)+(1))+(1)))=("W"),"false"),B3,W282),W282))</f>
        <v>#VALUE!</v>
      </c>
      <c r="X282" t="e">
        <f ca="1">IF((A1)=(2),"",IF((278)=(X4),IF(IF((INDEX(B1:XFD1,((A3)+(1))+(0)))=("store"),(INDEX(B1:XFD1,((A3)+(1))+(1)))=("X"),"false"),B3,X282),X282))</f>
        <v>#VALUE!</v>
      </c>
      <c r="Y282" t="e">
        <f ca="1">IF((A1)=(2),"",IF((278)=(Y4),IF(IF((INDEX(B1:XFD1,((A3)+(1))+(0)))=("store"),(INDEX(B1:XFD1,((A3)+(1))+(1)))=("Y"),"false"),B3,Y282),Y282))</f>
        <v>#VALUE!</v>
      </c>
      <c r="Z282" t="e">
        <f ca="1">IF((A1)=(2),"",IF((278)=(Z4),IF(IF((INDEX(B1:XFD1,((A3)+(1))+(0)))=("store"),(INDEX(B1:XFD1,((A3)+(1))+(1)))=("Z"),"false"),B3,Z282),Z282))</f>
        <v>#VALUE!</v>
      </c>
      <c r="AA282" t="e">
        <f ca="1">IF((A1)=(2),"",IF((278)=(AA4),IF(IF((INDEX(B1:XFD1,((A3)+(1))+(0)))=("store"),(INDEX(B1:XFD1,((A3)+(1))+(1)))=("AA"),"false"),B3,AA282),AA282))</f>
        <v>#VALUE!</v>
      </c>
      <c r="AB282" t="e">
        <f ca="1">IF((A1)=(2),"",IF((278)=(AB4),IF(IF((INDEX(B1:XFD1,((A3)+(1))+(0)))=("store"),(INDEX(B1:XFD1,((A3)+(1))+(1)))=("AB"),"false"),B3,AB282),AB282))</f>
        <v>#VALUE!</v>
      </c>
      <c r="AC282" t="e">
        <f ca="1">IF((A1)=(2),"",IF((278)=(AC4),IF(IF((INDEX(B1:XFD1,((A3)+(1))+(0)))=("store"),(INDEX(B1:XFD1,((A3)+(1))+(1)))=("AC"),"false"),B3,AC282),AC282))</f>
        <v>#VALUE!</v>
      </c>
      <c r="AD282" t="e">
        <f ca="1">IF((A1)=(2),"",IF((278)=(AD4),IF(IF((INDEX(B1:XFD1,((A3)+(1))+(0)))=("store"),(INDEX(B1:XFD1,((A3)+(1))+(1)))=("AD"),"false"),B3,AD282),AD282))</f>
        <v>#VALUE!</v>
      </c>
    </row>
    <row r="283" spans="1:30" x14ac:dyDescent="0.25">
      <c r="A283" t="e">
        <f ca="1">IF((A1)=(2),"",IF((279)=(A4),IF(("call")=(INDEX(B1:XFD1,((A3)+(1))+(0))),(B3)*(2),IF(("goto")=(INDEX(B1:XFD1,((A3)+(1))+(0))),(INDEX(B1:XFD1,((A3)+(1))+(1)))*(2),IF(("gotoiftrue")=(INDEX(B1:XFD1,((A3)+(1))+(0))),IF(B3,(INDEX(B1:XFD1,((A3)+(1))+(1)))*(2),(A283)+(2)),(A283)+(2)))),A283))</f>
        <v>#VALUE!</v>
      </c>
      <c r="B283" t="e">
        <f ca="1">IF((A1)=(2),"",IF((279)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283)+(1)),IF(("add")=(INDEX(B1:XFD1,((A3)+(1))+(0))),(INDEX(B5:B405,(B4)+(1)))+(B283),IF(("equals")=(INDEX(B1:XFD1,((A3)+(1))+(0))),(INDEX(B5:B405,(B4)+(1)))=(B283),IF(("leq")=(INDEX(B1:XFD1,((A3)+(1))+(0))),(INDEX(B5:B405,(B4)+(1)))&lt;=(B283),IF(("greater")=(INDEX(B1:XFD1,((A3)+(1))+(0))),(INDEX(B5:B405,(B4)+(1)))&gt;(B283),IF(("mod")=(INDEX(B1:XFD1,((A3)+(1))+(0))),MOD(INDEX(B5:B405,(B4)+(1)),B283),B283))))))))),B283))</f>
        <v>#VALUE!</v>
      </c>
      <c r="C283" t="e">
        <f ca="1">IF((A1)=(2),1,IF(AND((INDEX(B1:XFD1,((A3)+(1))+(0)))=("writeheap"),(INDEX(B5:B405,(B4)+(1)))=(278)),INDEX(B5:B405,(B4)+(2)),IF((A1)=(2),"",IF((279)=(C4),C283,C283))))</f>
        <v>#VALUE!</v>
      </c>
      <c r="F283" t="e">
        <f ca="1">IF((A1)=(2),"",IF((279)=(F4),IF(IF((INDEX(B1:XFD1,((A3)+(1))+(0)))=("store"),(INDEX(B1:XFD1,((A3)+(1))+(1)))=("F"),"false"),B3,F283),F283))</f>
        <v>#VALUE!</v>
      </c>
      <c r="G283" t="e">
        <f ca="1">IF((A1)=(2),"",IF((279)=(G4),IF(IF((INDEX(B1:XFD1,((A3)+(1))+(0)))=("store"),(INDEX(B1:XFD1,((A3)+(1))+(1)))=("G"),"false"),B3,G283),G283))</f>
        <v>#VALUE!</v>
      </c>
      <c r="H283" t="e">
        <f ca="1">IF((A1)=(2),"",IF((279)=(H4),IF(IF((INDEX(B1:XFD1,((A3)+(1))+(0)))=("store"),(INDEX(B1:XFD1,((A3)+(1))+(1)))=("H"),"false"),B3,H283),H283))</f>
        <v>#VALUE!</v>
      </c>
      <c r="I283" t="e">
        <f ca="1">IF((A1)=(2),"",IF((279)=(I4),IF(IF((INDEX(B1:XFD1,((A3)+(1))+(0)))=("store"),(INDEX(B1:XFD1,((A3)+(1))+(1)))=("I"),"false"),B3,I283),I283))</f>
        <v>#VALUE!</v>
      </c>
      <c r="J283" t="e">
        <f ca="1">IF((A1)=(2),"",IF((279)=(J4),IF(IF((INDEX(B1:XFD1,((A3)+(1))+(0)))=("store"),(INDEX(B1:XFD1,((A3)+(1))+(1)))=("J"),"false"),B3,J283),J283))</f>
        <v>#VALUE!</v>
      </c>
      <c r="K283" t="e">
        <f ca="1">IF((A1)=(2),"",IF((279)=(K4),IF(IF((INDEX(B1:XFD1,((A3)+(1))+(0)))=("store"),(INDEX(B1:XFD1,((A3)+(1))+(1)))=("K"),"false"),B3,K283),K283))</f>
        <v>#VALUE!</v>
      </c>
      <c r="L283" t="e">
        <f ca="1">IF((A1)=(2),"",IF((279)=(L4),IF(IF((INDEX(B1:XFD1,((A3)+(1))+(0)))=("store"),(INDEX(B1:XFD1,((A3)+(1))+(1)))=("L"),"false"),B3,L283),L283))</f>
        <v>#VALUE!</v>
      </c>
      <c r="M283" t="e">
        <f ca="1">IF((A1)=(2),"",IF((279)=(M4),IF(IF((INDEX(B1:XFD1,((A3)+(1))+(0)))=("store"),(INDEX(B1:XFD1,((A3)+(1))+(1)))=("M"),"false"),B3,M283),M283))</f>
        <v>#VALUE!</v>
      </c>
      <c r="N283" t="e">
        <f ca="1">IF((A1)=(2),"",IF((279)=(N4),IF(IF((INDEX(B1:XFD1,((A3)+(1))+(0)))=("store"),(INDEX(B1:XFD1,((A3)+(1))+(1)))=("N"),"false"),B3,N283),N283))</f>
        <v>#VALUE!</v>
      </c>
      <c r="O283" t="e">
        <f ca="1">IF((A1)=(2),"",IF((279)=(O4),IF(IF((INDEX(B1:XFD1,((A3)+(1))+(0)))=("store"),(INDEX(B1:XFD1,((A3)+(1))+(1)))=("O"),"false"),B3,O283),O283))</f>
        <v>#VALUE!</v>
      </c>
      <c r="P283" t="e">
        <f ca="1">IF((A1)=(2),"",IF((279)=(P4),IF(IF((INDEX(B1:XFD1,((A3)+(1))+(0)))=("store"),(INDEX(B1:XFD1,((A3)+(1))+(1)))=("P"),"false"),B3,P283),P283))</f>
        <v>#VALUE!</v>
      </c>
      <c r="Q283" t="e">
        <f ca="1">IF((A1)=(2),"",IF((279)=(Q4),IF(IF((INDEX(B1:XFD1,((A3)+(1))+(0)))=("store"),(INDEX(B1:XFD1,((A3)+(1))+(1)))=("Q"),"false"),B3,Q283),Q283))</f>
        <v>#VALUE!</v>
      </c>
      <c r="R283" t="e">
        <f ca="1">IF((A1)=(2),"",IF((279)=(R4),IF(IF((INDEX(B1:XFD1,((A3)+(1))+(0)))=("store"),(INDEX(B1:XFD1,((A3)+(1))+(1)))=("R"),"false"),B3,R283),R283))</f>
        <v>#VALUE!</v>
      </c>
      <c r="S283" t="e">
        <f ca="1">IF((A1)=(2),"",IF((279)=(S4),IF(IF((INDEX(B1:XFD1,((A3)+(1))+(0)))=("store"),(INDEX(B1:XFD1,((A3)+(1))+(1)))=("S"),"false"),B3,S283),S283))</f>
        <v>#VALUE!</v>
      </c>
      <c r="T283" t="e">
        <f ca="1">IF((A1)=(2),"",IF((279)=(T4),IF(IF((INDEX(B1:XFD1,((A3)+(1))+(0)))=("store"),(INDEX(B1:XFD1,((A3)+(1))+(1)))=("T"),"false"),B3,T283),T283))</f>
        <v>#VALUE!</v>
      </c>
      <c r="U283" t="e">
        <f ca="1">IF((A1)=(2),"",IF((279)=(U4),IF(IF((INDEX(B1:XFD1,((A3)+(1))+(0)))=("store"),(INDEX(B1:XFD1,((A3)+(1))+(1)))=("U"),"false"),B3,U283),U283))</f>
        <v>#VALUE!</v>
      </c>
      <c r="V283" t="e">
        <f ca="1">IF((A1)=(2),"",IF((279)=(V4),IF(IF((INDEX(B1:XFD1,((A3)+(1))+(0)))=("store"),(INDEX(B1:XFD1,((A3)+(1))+(1)))=("V"),"false"),B3,V283),V283))</f>
        <v>#VALUE!</v>
      </c>
      <c r="W283" t="e">
        <f ca="1">IF((A1)=(2),"",IF((279)=(W4),IF(IF((INDEX(B1:XFD1,((A3)+(1))+(0)))=("store"),(INDEX(B1:XFD1,((A3)+(1))+(1)))=("W"),"false"),B3,W283),W283))</f>
        <v>#VALUE!</v>
      </c>
      <c r="X283" t="e">
        <f ca="1">IF((A1)=(2),"",IF((279)=(X4),IF(IF((INDEX(B1:XFD1,((A3)+(1))+(0)))=("store"),(INDEX(B1:XFD1,((A3)+(1))+(1)))=("X"),"false"),B3,X283),X283))</f>
        <v>#VALUE!</v>
      </c>
      <c r="Y283" t="e">
        <f ca="1">IF((A1)=(2),"",IF((279)=(Y4),IF(IF((INDEX(B1:XFD1,((A3)+(1))+(0)))=("store"),(INDEX(B1:XFD1,((A3)+(1))+(1)))=("Y"),"false"),B3,Y283),Y283))</f>
        <v>#VALUE!</v>
      </c>
      <c r="Z283" t="e">
        <f ca="1">IF((A1)=(2),"",IF((279)=(Z4),IF(IF((INDEX(B1:XFD1,((A3)+(1))+(0)))=("store"),(INDEX(B1:XFD1,((A3)+(1))+(1)))=("Z"),"false"),B3,Z283),Z283))</f>
        <v>#VALUE!</v>
      </c>
      <c r="AA283" t="e">
        <f ca="1">IF((A1)=(2),"",IF((279)=(AA4),IF(IF((INDEX(B1:XFD1,((A3)+(1))+(0)))=("store"),(INDEX(B1:XFD1,((A3)+(1))+(1)))=("AA"),"false"),B3,AA283),AA283))</f>
        <v>#VALUE!</v>
      </c>
      <c r="AB283" t="e">
        <f ca="1">IF((A1)=(2),"",IF((279)=(AB4),IF(IF((INDEX(B1:XFD1,((A3)+(1))+(0)))=("store"),(INDEX(B1:XFD1,((A3)+(1))+(1)))=("AB"),"false"),B3,AB283),AB283))</f>
        <v>#VALUE!</v>
      </c>
      <c r="AC283" t="e">
        <f ca="1">IF((A1)=(2),"",IF((279)=(AC4),IF(IF((INDEX(B1:XFD1,((A3)+(1))+(0)))=("store"),(INDEX(B1:XFD1,((A3)+(1))+(1)))=("AC"),"false"),B3,AC283),AC283))</f>
        <v>#VALUE!</v>
      </c>
      <c r="AD283" t="e">
        <f ca="1">IF((A1)=(2),"",IF((279)=(AD4),IF(IF((INDEX(B1:XFD1,((A3)+(1))+(0)))=("store"),(INDEX(B1:XFD1,((A3)+(1))+(1)))=("AD"),"false"),B3,AD283),AD283))</f>
        <v>#VALUE!</v>
      </c>
    </row>
    <row r="284" spans="1:30" x14ac:dyDescent="0.25">
      <c r="A284" t="e">
        <f ca="1">IF((A1)=(2),"",IF((280)=(A4),IF(("call")=(INDEX(B1:XFD1,((A3)+(1))+(0))),(B3)*(2),IF(("goto")=(INDEX(B1:XFD1,((A3)+(1))+(0))),(INDEX(B1:XFD1,((A3)+(1))+(1)))*(2),IF(("gotoiftrue")=(INDEX(B1:XFD1,((A3)+(1))+(0))),IF(B3,(INDEX(B1:XFD1,((A3)+(1))+(1)))*(2),(A284)+(2)),(A284)+(2)))),A284))</f>
        <v>#VALUE!</v>
      </c>
      <c r="B284" t="e">
        <f ca="1">IF((A1)=(2),"",IF((280)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284)+(1)),IF(("add")=(INDEX(B1:XFD1,((A3)+(1))+(0))),(INDEX(B5:B405,(B4)+(1)))+(B284),IF(("equals")=(INDEX(B1:XFD1,((A3)+(1))+(0))),(INDEX(B5:B405,(B4)+(1)))=(B284),IF(("leq")=(INDEX(B1:XFD1,((A3)+(1))+(0))),(INDEX(B5:B405,(B4)+(1)))&lt;=(B284),IF(("greater")=(INDEX(B1:XFD1,((A3)+(1))+(0))),(INDEX(B5:B405,(B4)+(1)))&gt;(B284),IF(("mod")=(INDEX(B1:XFD1,((A3)+(1))+(0))),MOD(INDEX(B5:B405,(B4)+(1)),B284),B284))))))))),B284))</f>
        <v>#VALUE!</v>
      </c>
      <c r="C284" t="e">
        <f ca="1">IF((A1)=(2),1,IF(AND((INDEX(B1:XFD1,((A3)+(1))+(0)))=("writeheap"),(INDEX(B5:B405,(B4)+(1)))=(279)),INDEX(B5:B405,(B4)+(2)),IF((A1)=(2),"",IF((280)=(C4),C284,C284))))</f>
        <v>#VALUE!</v>
      </c>
      <c r="F284" t="e">
        <f ca="1">IF((A1)=(2),"",IF((280)=(F4),IF(IF((INDEX(B1:XFD1,((A3)+(1))+(0)))=("store"),(INDEX(B1:XFD1,((A3)+(1))+(1)))=("F"),"false"),B3,F284),F284))</f>
        <v>#VALUE!</v>
      </c>
      <c r="G284" t="e">
        <f ca="1">IF((A1)=(2),"",IF((280)=(G4),IF(IF((INDEX(B1:XFD1,((A3)+(1))+(0)))=("store"),(INDEX(B1:XFD1,((A3)+(1))+(1)))=("G"),"false"),B3,G284),G284))</f>
        <v>#VALUE!</v>
      </c>
      <c r="H284" t="e">
        <f ca="1">IF((A1)=(2),"",IF((280)=(H4),IF(IF((INDEX(B1:XFD1,((A3)+(1))+(0)))=("store"),(INDEX(B1:XFD1,((A3)+(1))+(1)))=("H"),"false"),B3,H284),H284))</f>
        <v>#VALUE!</v>
      </c>
      <c r="I284" t="e">
        <f ca="1">IF((A1)=(2),"",IF((280)=(I4),IF(IF((INDEX(B1:XFD1,((A3)+(1))+(0)))=("store"),(INDEX(B1:XFD1,((A3)+(1))+(1)))=("I"),"false"),B3,I284),I284))</f>
        <v>#VALUE!</v>
      </c>
      <c r="J284" t="e">
        <f ca="1">IF((A1)=(2),"",IF((280)=(J4),IF(IF((INDEX(B1:XFD1,((A3)+(1))+(0)))=("store"),(INDEX(B1:XFD1,((A3)+(1))+(1)))=("J"),"false"),B3,J284),J284))</f>
        <v>#VALUE!</v>
      </c>
      <c r="K284" t="e">
        <f ca="1">IF((A1)=(2),"",IF((280)=(K4),IF(IF((INDEX(B1:XFD1,((A3)+(1))+(0)))=("store"),(INDEX(B1:XFD1,((A3)+(1))+(1)))=("K"),"false"),B3,K284),K284))</f>
        <v>#VALUE!</v>
      </c>
      <c r="L284" t="e">
        <f ca="1">IF((A1)=(2),"",IF((280)=(L4),IF(IF((INDEX(B1:XFD1,((A3)+(1))+(0)))=("store"),(INDEX(B1:XFD1,((A3)+(1))+(1)))=("L"),"false"),B3,L284),L284))</f>
        <v>#VALUE!</v>
      </c>
      <c r="M284" t="e">
        <f ca="1">IF((A1)=(2),"",IF((280)=(M4),IF(IF((INDEX(B1:XFD1,((A3)+(1))+(0)))=("store"),(INDEX(B1:XFD1,((A3)+(1))+(1)))=("M"),"false"),B3,M284),M284))</f>
        <v>#VALUE!</v>
      </c>
      <c r="N284" t="e">
        <f ca="1">IF((A1)=(2),"",IF((280)=(N4),IF(IF((INDEX(B1:XFD1,((A3)+(1))+(0)))=("store"),(INDEX(B1:XFD1,((A3)+(1))+(1)))=("N"),"false"),B3,N284),N284))</f>
        <v>#VALUE!</v>
      </c>
      <c r="O284" t="e">
        <f ca="1">IF((A1)=(2),"",IF((280)=(O4),IF(IF((INDEX(B1:XFD1,((A3)+(1))+(0)))=("store"),(INDEX(B1:XFD1,((A3)+(1))+(1)))=("O"),"false"),B3,O284),O284))</f>
        <v>#VALUE!</v>
      </c>
      <c r="P284" t="e">
        <f ca="1">IF((A1)=(2),"",IF((280)=(P4),IF(IF((INDEX(B1:XFD1,((A3)+(1))+(0)))=("store"),(INDEX(B1:XFD1,((A3)+(1))+(1)))=("P"),"false"),B3,P284),P284))</f>
        <v>#VALUE!</v>
      </c>
      <c r="Q284" t="e">
        <f ca="1">IF((A1)=(2),"",IF((280)=(Q4),IF(IF((INDEX(B1:XFD1,((A3)+(1))+(0)))=("store"),(INDEX(B1:XFD1,((A3)+(1))+(1)))=("Q"),"false"),B3,Q284),Q284))</f>
        <v>#VALUE!</v>
      </c>
      <c r="R284" t="e">
        <f ca="1">IF((A1)=(2),"",IF((280)=(R4),IF(IF((INDEX(B1:XFD1,((A3)+(1))+(0)))=("store"),(INDEX(B1:XFD1,((A3)+(1))+(1)))=("R"),"false"),B3,R284),R284))</f>
        <v>#VALUE!</v>
      </c>
      <c r="S284" t="e">
        <f ca="1">IF((A1)=(2),"",IF((280)=(S4),IF(IF((INDEX(B1:XFD1,((A3)+(1))+(0)))=("store"),(INDEX(B1:XFD1,((A3)+(1))+(1)))=("S"),"false"),B3,S284),S284))</f>
        <v>#VALUE!</v>
      </c>
      <c r="T284" t="e">
        <f ca="1">IF((A1)=(2),"",IF((280)=(T4),IF(IF((INDEX(B1:XFD1,((A3)+(1))+(0)))=("store"),(INDEX(B1:XFD1,((A3)+(1))+(1)))=("T"),"false"),B3,T284),T284))</f>
        <v>#VALUE!</v>
      </c>
      <c r="U284" t="e">
        <f ca="1">IF((A1)=(2),"",IF((280)=(U4),IF(IF((INDEX(B1:XFD1,((A3)+(1))+(0)))=("store"),(INDEX(B1:XFD1,((A3)+(1))+(1)))=("U"),"false"),B3,U284),U284))</f>
        <v>#VALUE!</v>
      </c>
      <c r="V284" t="e">
        <f ca="1">IF((A1)=(2),"",IF((280)=(V4),IF(IF((INDEX(B1:XFD1,((A3)+(1))+(0)))=("store"),(INDEX(B1:XFD1,((A3)+(1))+(1)))=("V"),"false"),B3,V284),V284))</f>
        <v>#VALUE!</v>
      </c>
      <c r="W284" t="e">
        <f ca="1">IF((A1)=(2),"",IF((280)=(W4),IF(IF((INDEX(B1:XFD1,((A3)+(1))+(0)))=("store"),(INDEX(B1:XFD1,((A3)+(1))+(1)))=("W"),"false"),B3,W284),W284))</f>
        <v>#VALUE!</v>
      </c>
      <c r="X284" t="e">
        <f ca="1">IF((A1)=(2),"",IF((280)=(X4),IF(IF((INDEX(B1:XFD1,((A3)+(1))+(0)))=("store"),(INDEX(B1:XFD1,((A3)+(1))+(1)))=("X"),"false"),B3,X284),X284))</f>
        <v>#VALUE!</v>
      </c>
      <c r="Y284" t="e">
        <f ca="1">IF((A1)=(2),"",IF((280)=(Y4),IF(IF((INDEX(B1:XFD1,((A3)+(1))+(0)))=("store"),(INDEX(B1:XFD1,((A3)+(1))+(1)))=("Y"),"false"),B3,Y284),Y284))</f>
        <v>#VALUE!</v>
      </c>
      <c r="Z284" t="e">
        <f ca="1">IF((A1)=(2),"",IF((280)=(Z4),IF(IF((INDEX(B1:XFD1,((A3)+(1))+(0)))=("store"),(INDEX(B1:XFD1,((A3)+(1))+(1)))=("Z"),"false"),B3,Z284),Z284))</f>
        <v>#VALUE!</v>
      </c>
      <c r="AA284" t="e">
        <f ca="1">IF((A1)=(2),"",IF((280)=(AA4),IF(IF((INDEX(B1:XFD1,((A3)+(1))+(0)))=("store"),(INDEX(B1:XFD1,((A3)+(1))+(1)))=("AA"),"false"),B3,AA284),AA284))</f>
        <v>#VALUE!</v>
      </c>
      <c r="AB284" t="e">
        <f ca="1">IF((A1)=(2),"",IF((280)=(AB4),IF(IF((INDEX(B1:XFD1,((A3)+(1))+(0)))=("store"),(INDEX(B1:XFD1,((A3)+(1))+(1)))=("AB"),"false"),B3,AB284),AB284))</f>
        <v>#VALUE!</v>
      </c>
      <c r="AC284" t="e">
        <f ca="1">IF((A1)=(2),"",IF((280)=(AC4),IF(IF((INDEX(B1:XFD1,((A3)+(1))+(0)))=("store"),(INDEX(B1:XFD1,((A3)+(1))+(1)))=("AC"),"false"),B3,AC284),AC284))</f>
        <v>#VALUE!</v>
      </c>
      <c r="AD284" t="e">
        <f ca="1">IF((A1)=(2),"",IF((280)=(AD4),IF(IF((INDEX(B1:XFD1,((A3)+(1))+(0)))=("store"),(INDEX(B1:XFD1,((A3)+(1))+(1)))=("AD"),"false"),B3,AD284),AD284))</f>
        <v>#VALUE!</v>
      </c>
    </row>
    <row r="285" spans="1:30" x14ac:dyDescent="0.25">
      <c r="A285" t="e">
        <f ca="1">IF((A1)=(2),"",IF((281)=(A4),IF(("call")=(INDEX(B1:XFD1,((A3)+(1))+(0))),(B3)*(2),IF(("goto")=(INDEX(B1:XFD1,((A3)+(1))+(0))),(INDEX(B1:XFD1,((A3)+(1))+(1)))*(2),IF(("gotoiftrue")=(INDEX(B1:XFD1,((A3)+(1))+(0))),IF(B3,(INDEX(B1:XFD1,((A3)+(1))+(1)))*(2),(A285)+(2)),(A285)+(2)))),A285))</f>
        <v>#VALUE!</v>
      </c>
      <c r="B285" t="e">
        <f ca="1">IF((A1)=(2),"",IF((281)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285)+(1)),IF(("add")=(INDEX(B1:XFD1,((A3)+(1))+(0))),(INDEX(B5:B405,(B4)+(1)))+(B285),IF(("equals")=(INDEX(B1:XFD1,((A3)+(1))+(0))),(INDEX(B5:B405,(B4)+(1)))=(B285),IF(("leq")=(INDEX(B1:XFD1,((A3)+(1))+(0))),(INDEX(B5:B405,(B4)+(1)))&lt;=(B285),IF(("greater")=(INDEX(B1:XFD1,((A3)+(1))+(0))),(INDEX(B5:B405,(B4)+(1)))&gt;(B285),IF(("mod")=(INDEX(B1:XFD1,((A3)+(1))+(0))),MOD(INDEX(B5:B405,(B4)+(1)),B285),B285))))))))),B285))</f>
        <v>#VALUE!</v>
      </c>
      <c r="C285" t="e">
        <f ca="1">IF((A1)=(2),1,IF(AND((INDEX(B1:XFD1,((A3)+(1))+(0)))=("writeheap"),(INDEX(B5:B405,(B4)+(1)))=(280)),INDEX(B5:B405,(B4)+(2)),IF((A1)=(2),"",IF((281)=(C4),C285,C285))))</f>
        <v>#VALUE!</v>
      </c>
      <c r="F285" t="e">
        <f ca="1">IF((A1)=(2),"",IF((281)=(F4),IF(IF((INDEX(B1:XFD1,((A3)+(1))+(0)))=("store"),(INDEX(B1:XFD1,((A3)+(1))+(1)))=("F"),"false"),B3,F285),F285))</f>
        <v>#VALUE!</v>
      </c>
      <c r="G285" t="e">
        <f ca="1">IF((A1)=(2),"",IF((281)=(G4),IF(IF((INDEX(B1:XFD1,((A3)+(1))+(0)))=("store"),(INDEX(B1:XFD1,((A3)+(1))+(1)))=("G"),"false"),B3,G285),G285))</f>
        <v>#VALUE!</v>
      </c>
      <c r="H285" t="e">
        <f ca="1">IF((A1)=(2),"",IF((281)=(H4),IF(IF((INDEX(B1:XFD1,((A3)+(1))+(0)))=("store"),(INDEX(B1:XFD1,((A3)+(1))+(1)))=("H"),"false"),B3,H285),H285))</f>
        <v>#VALUE!</v>
      </c>
      <c r="I285" t="e">
        <f ca="1">IF((A1)=(2),"",IF((281)=(I4),IF(IF((INDEX(B1:XFD1,((A3)+(1))+(0)))=("store"),(INDEX(B1:XFD1,((A3)+(1))+(1)))=("I"),"false"),B3,I285),I285))</f>
        <v>#VALUE!</v>
      </c>
      <c r="J285" t="e">
        <f ca="1">IF((A1)=(2),"",IF((281)=(J4),IF(IF((INDEX(B1:XFD1,((A3)+(1))+(0)))=("store"),(INDEX(B1:XFD1,((A3)+(1))+(1)))=("J"),"false"),B3,J285),J285))</f>
        <v>#VALUE!</v>
      </c>
      <c r="K285" t="e">
        <f ca="1">IF((A1)=(2),"",IF((281)=(K4),IF(IF((INDEX(B1:XFD1,((A3)+(1))+(0)))=("store"),(INDEX(B1:XFD1,((A3)+(1))+(1)))=("K"),"false"),B3,K285),K285))</f>
        <v>#VALUE!</v>
      </c>
      <c r="L285" t="e">
        <f ca="1">IF((A1)=(2),"",IF((281)=(L4),IF(IF((INDEX(B1:XFD1,((A3)+(1))+(0)))=("store"),(INDEX(B1:XFD1,((A3)+(1))+(1)))=("L"),"false"),B3,L285),L285))</f>
        <v>#VALUE!</v>
      </c>
      <c r="M285" t="e">
        <f ca="1">IF((A1)=(2),"",IF((281)=(M4),IF(IF((INDEX(B1:XFD1,((A3)+(1))+(0)))=("store"),(INDEX(B1:XFD1,((A3)+(1))+(1)))=("M"),"false"),B3,M285),M285))</f>
        <v>#VALUE!</v>
      </c>
      <c r="N285" t="e">
        <f ca="1">IF((A1)=(2),"",IF((281)=(N4),IF(IF((INDEX(B1:XFD1,((A3)+(1))+(0)))=("store"),(INDEX(B1:XFD1,((A3)+(1))+(1)))=("N"),"false"),B3,N285),N285))</f>
        <v>#VALUE!</v>
      </c>
      <c r="O285" t="e">
        <f ca="1">IF((A1)=(2),"",IF((281)=(O4),IF(IF((INDEX(B1:XFD1,((A3)+(1))+(0)))=("store"),(INDEX(B1:XFD1,((A3)+(1))+(1)))=("O"),"false"),B3,O285),O285))</f>
        <v>#VALUE!</v>
      </c>
      <c r="P285" t="e">
        <f ca="1">IF((A1)=(2),"",IF((281)=(P4),IF(IF((INDEX(B1:XFD1,((A3)+(1))+(0)))=("store"),(INDEX(B1:XFD1,((A3)+(1))+(1)))=("P"),"false"),B3,P285),P285))</f>
        <v>#VALUE!</v>
      </c>
      <c r="Q285" t="e">
        <f ca="1">IF((A1)=(2),"",IF((281)=(Q4),IF(IF((INDEX(B1:XFD1,((A3)+(1))+(0)))=("store"),(INDEX(B1:XFD1,((A3)+(1))+(1)))=("Q"),"false"),B3,Q285),Q285))</f>
        <v>#VALUE!</v>
      </c>
      <c r="R285" t="e">
        <f ca="1">IF((A1)=(2),"",IF((281)=(R4),IF(IF((INDEX(B1:XFD1,((A3)+(1))+(0)))=("store"),(INDEX(B1:XFD1,((A3)+(1))+(1)))=("R"),"false"),B3,R285),R285))</f>
        <v>#VALUE!</v>
      </c>
      <c r="S285" t="e">
        <f ca="1">IF((A1)=(2),"",IF((281)=(S4),IF(IF((INDEX(B1:XFD1,((A3)+(1))+(0)))=("store"),(INDEX(B1:XFD1,((A3)+(1))+(1)))=("S"),"false"),B3,S285),S285))</f>
        <v>#VALUE!</v>
      </c>
      <c r="T285" t="e">
        <f ca="1">IF((A1)=(2),"",IF((281)=(T4),IF(IF((INDEX(B1:XFD1,((A3)+(1))+(0)))=("store"),(INDEX(B1:XFD1,((A3)+(1))+(1)))=("T"),"false"),B3,T285),T285))</f>
        <v>#VALUE!</v>
      </c>
      <c r="U285" t="e">
        <f ca="1">IF((A1)=(2),"",IF((281)=(U4),IF(IF((INDEX(B1:XFD1,((A3)+(1))+(0)))=("store"),(INDEX(B1:XFD1,((A3)+(1))+(1)))=("U"),"false"),B3,U285),U285))</f>
        <v>#VALUE!</v>
      </c>
      <c r="V285" t="e">
        <f ca="1">IF((A1)=(2),"",IF((281)=(V4),IF(IF((INDEX(B1:XFD1,((A3)+(1))+(0)))=("store"),(INDEX(B1:XFD1,((A3)+(1))+(1)))=("V"),"false"),B3,V285),V285))</f>
        <v>#VALUE!</v>
      </c>
      <c r="W285" t="e">
        <f ca="1">IF((A1)=(2),"",IF((281)=(W4),IF(IF((INDEX(B1:XFD1,((A3)+(1))+(0)))=("store"),(INDEX(B1:XFD1,((A3)+(1))+(1)))=("W"),"false"),B3,W285),W285))</f>
        <v>#VALUE!</v>
      </c>
      <c r="X285" t="e">
        <f ca="1">IF((A1)=(2),"",IF((281)=(X4),IF(IF((INDEX(B1:XFD1,((A3)+(1))+(0)))=("store"),(INDEX(B1:XFD1,((A3)+(1))+(1)))=("X"),"false"),B3,X285),X285))</f>
        <v>#VALUE!</v>
      </c>
      <c r="Y285" t="e">
        <f ca="1">IF((A1)=(2),"",IF((281)=(Y4),IF(IF((INDEX(B1:XFD1,((A3)+(1))+(0)))=("store"),(INDEX(B1:XFD1,((A3)+(1))+(1)))=("Y"),"false"),B3,Y285),Y285))</f>
        <v>#VALUE!</v>
      </c>
      <c r="Z285" t="e">
        <f ca="1">IF((A1)=(2),"",IF((281)=(Z4),IF(IF((INDEX(B1:XFD1,((A3)+(1))+(0)))=("store"),(INDEX(B1:XFD1,((A3)+(1))+(1)))=("Z"),"false"),B3,Z285),Z285))</f>
        <v>#VALUE!</v>
      </c>
      <c r="AA285" t="e">
        <f ca="1">IF((A1)=(2),"",IF((281)=(AA4),IF(IF((INDEX(B1:XFD1,((A3)+(1))+(0)))=("store"),(INDEX(B1:XFD1,((A3)+(1))+(1)))=("AA"),"false"),B3,AA285),AA285))</f>
        <v>#VALUE!</v>
      </c>
      <c r="AB285" t="e">
        <f ca="1">IF((A1)=(2),"",IF((281)=(AB4),IF(IF((INDEX(B1:XFD1,((A3)+(1))+(0)))=("store"),(INDEX(B1:XFD1,((A3)+(1))+(1)))=("AB"),"false"),B3,AB285),AB285))</f>
        <v>#VALUE!</v>
      </c>
      <c r="AC285" t="e">
        <f ca="1">IF((A1)=(2),"",IF((281)=(AC4),IF(IF((INDEX(B1:XFD1,((A3)+(1))+(0)))=("store"),(INDEX(B1:XFD1,((A3)+(1))+(1)))=("AC"),"false"),B3,AC285),AC285))</f>
        <v>#VALUE!</v>
      </c>
      <c r="AD285" t="e">
        <f ca="1">IF((A1)=(2),"",IF((281)=(AD4),IF(IF((INDEX(B1:XFD1,((A3)+(1))+(0)))=("store"),(INDEX(B1:XFD1,((A3)+(1))+(1)))=("AD"),"false"),B3,AD285),AD285))</f>
        <v>#VALUE!</v>
      </c>
    </row>
    <row r="286" spans="1:30" x14ac:dyDescent="0.25">
      <c r="A286" t="e">
        <f ca="1">IF((A1)=(2),"",IF((282)=(A4),IF(("call")=(INDEX(B1:XFD1,((A3)+(1))+(0))),(B3)*(2),IF(("goto")=(INDEX(B1:XFD1,((A3)+(1))+(0))),(INDEX(B1:XFD1,((A3)+(1))+(1)))*(2),IF(("gotoiftrue")=(INDEX(B1:XFD1,((A3)+(1))+(0))),IF(B3,(INDEX(B1:XFD1,((A3)+(1))+(1)))*(2),(A286)+(2)),(A286)+(2)))),A286))</f>
        <v>#VALUE!</v>
      </c>
      <c r="B286" t="e">
        <f ca="1">IF((A1)=(2),"",IF((282)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286)+(1)),IF(("add")=(INDEX(B1:XFD1,((A3)+(1))+(0))),(INDEX(B5:B405,(B4)+(1)))+(B286),IF(("equals")=(INDEX(B1:XFD1,((A3)+(1))+(0))),(INDEX(B5:B405,(B4)+(1)))=(B286),IF(("leq")=(INDEX(B1:XFD1,((A3)+(1))+(0))),(INDEX(B5:B405,(B4)+(1)))&lt;=(B286),IF(("greater")=(INDEX(B1:XFD1,((A3)+(1))+(0))),(INDEX(B5:B405,(B4)+(1)))&gt;(B286),IF(("mod")=(INDEX(B1:XFD1,((A3)+(1))+(0))),MOD(INDEX(B5:B405,(B4)+(1)),B286),B286))))))))),B286))</f>
        <v>#VALUE!</v>
      </c>
      <c r="C286" t="e">
        <f ca="1">IF((A1)=(2),1,IF(AND((INDEX(B1:XFD1,((A3)+(1))+(0)))=("writeheap"),(INDEX(B5:B405,(B4)+(1)))=(281)),INDEX(B5:B405,(B4)+(2)),IF((A1)=(2),"",IF((282)=(C4),C286,C286))))</f>
        <v>#VALUE!</v>
      </c>
      <c r="F286" t="e">
        <f ca="1">IF((A1)=(2),"",IF((282)=(F4),IF(IF((INDEX(B1:XFD1,((A3)+(1))+(0)))=("store"),(INDEX(B1:XFD1,((A3)+(1))+(1)))=("F"),"false"),B3,F286),F286))</f>
        <v>#VALUE!</v>
      </c>
      <c r="G286" t="e">
        <f ca="1">IF((A1)=(2),"",IF((282)=(G4),IF(IF((INDEX(B1:XFD1,((A3)+(1))+(0)))=("store"),(INDEX(B1:XFD1,((A3)+(1))+(1)))=("G"),"false"),B3,G286),G286))</f>
        <v>#VALUE!</v>
      </c>
      <c r="H286" t="e">
        <f ca="1">IF((A1)=(2),"",IF((282)=(H4),IF(IF((INDEX(B1:XFD1,((A3)+(1))+(0)))=("store"),(INDEX(B1:XFD1,((A3)+(1))+(1)))=("H"),"false"),B3,H286),H286))</f>
        <v>#VALUE!</v>
      </c>
      <c r="I286" t="e">
        <f ca="1">IF((A1)=(2),"",IF((282)=(I4),IF(IF((INDEX(B1:XFD1,((A3)+(1))+(0)))=("store"),(INDEX(B1:XFD1,((A3)+(1))+(1)))=("I"),"false"),B3,I286),I286))</f>
        <v>#VALUE!</v>
      </c>
      <c r="J286" t="e">
        <f ca="1">IF((A1)=(2),"",IF((282)=(J4),IF(IF((INDEX(B1:XFD1,((A3)+(1))+(0)))=("store"),(INDEX(B1:XFD1,((A3)+(1))+(1)))=("J"),"false"),B3,J286),J286))</f>
        <v>#VALUE!</v>
      </c>
      <c r="K286" t="e">
        <f ca="1">IF((A1)=(2),"",IF((282)=(K4),IF(IF((INDEX(B1:XFD1,((A3)+(1))+(0)))=("store"),(INDEX(B1:XFD1,((A3)+(1))+(1)))=("K"),"false"),B3,K286),K286))</f>
        <v>#VALUE!</v>
      </c>
      <c r="L286" t="e">
        <f ca="1">IF((A1)=(2),"",IF((282)=(L4),IF(IF((INDEX(B1:XFD1,((A3)+(1))+(0)))=("store"),(INDEX(B1:XFD1,((A3)+(1))+(1)))=("L"),"false"),B3,L286),L286))</f>
        <v>#VALUE!</v>
      </c>
      <c r="M286" t="e">
        <f ca="1">IF((A1)=(2),"",IF((282)=(M4),IF(IF((INDEX(B1:XFD1,((A3)+(1))+(0)))=("store"),(INDEX(B1:XFD1,((A3)+(1))+(1)))=("M"),"false"),B3,M286),M286))</f>
        <v>#VALUE!</v>
      </c>
      <c r="N286" t="e">
        <f ca="1">IF((A1)=(2),"",IF((282)=(N4),IF(IF((INDEX(B1:XFD1,((A3)+(1))+(0)))=("store"),(INDEX(B1:XFD1,((A3)+(1))+(1)))=("N"),"false"),B3,N286),N286))</f>
        <v>#VALUE!</v>
      </c>
      <c r="O286" t="e">
        <f ca="1">IF((A1)=(2),"",IF((282)=(O4),IF(IF((INDEX(B1:XFD1,((A3)+(1))+(0)))=("store"),(INDEX(B1:XFD1,((A3)+(1))+(1)))=("O"),"false"),B3,O286),O286))</f>
        <v>#VALUE!</v>
      </c>
      <c r="P286" t="e">
        <f ca="1">IF((A1)=(2),"",IF((282)=(P4),IF(IF((INDEX(B1:XFD1,((A3)+(1))+(0)))=("store"),(INDEX(B1:XFD1,((A3)+(1))+(1)))=("P"),"false"),B3,P286),P286))</f>
        <v>#VALUE!</v>
      </c>
      <c r="Q286" t="e">
        <f ca="1">IF((A1)=(2),"",IF((282)=(Q4),IF(IF((INDEX(B1:XFD1,((A3)+(1))+(0)))=("store"),(INDEX(B1:XFD1,((A3)+(1))+(1)))=("Q"),"false"),B3,Q286),Q286))</f>
        <v>#VALUE!</v>
      </c>
      <c r="R286" t="e">
        <f ca="1">IF((A1)=(2),"",IF((282)=(R4),IF(IF((INDEX(B1:XFD1,((A3)+(1))+(0)))=("store"),(INDEX(B1:XFD1,((A3)+(1))+(1)))=("R"),"false"),B3,R286),R286))</f>
        <v>#VALUE!</v>
      </c>
      <c r="S286" t="e">
        <f ca="1">IF((A1)=(2),"",IF((282)=(S4),IF(IF((INDEX(B1:XFD1,((A3)+(1))+(0)))=("store"),(INDEX(B1:XFD1,((A3)+(1))+(1)))=("S"),"false"),B3,S286),S286))</f>
        <v>#VALUE!</v>
      </c>
      <c r="T286" t="e">
        <f ca="1">IF((A1)=(2),"",IF((282)=(T4),IF(IF((INDEX(B1:XFD1,((A3)+(1))+(0)))=("store"),(INDEX(B1:XFD1,((A3)+(1))+(1)))=("T"),"false"),B3,T286),T286))</f>
        <v>#VALUE!</v>
      </c>
      <c r="U286" t="e">
        <f ca="1">IF((A1)=(2),"",IF((282)=(U4),IF(IF((INDEX(B1:XFD1,((A3)+(1))+(0)))=("store"),(INDEX(B1:XFD1,((A3)+(1))+(1)))=("U"),"false"),B3,U286),U286))</f>
        <v>#VALUE!</v>
      </c>
      <c r="V286" t="e">
        <f ca="1">IF((A1)=(2),"",IF((282)=(V4),IF(IF((INDEX(B1:XFD1,((A3)+(1))+(0)))=("store"),(INDEX(B1:XFD1,((A3)+(1))+(1)))=("V"),"false"),B3,V286),V286))</f>
        <v>#VALUE!</v>
      </c>
      <c r="W286" t="e">
        <f ca="1">IF((A1)=(2),"",IF((282)=(W4),IF(IF((INDEX(B1:XFD1,((A3)+(1))+(0)))=("store"),(INDEX(B1:XFD1,((A3)+(1))+(1)))=("W"),"false"),B3,W286),W286))</f>
        <v>#VALUE!</v>
      </c>
      <c r="X286" t="e">
        <f ca="1">IF((A1)=(2),"",IF((282)=(X4),IF(IF((INDEX(B1:XFD1,((A3)+(1))+(0)))=("store"),(INDEX(B1:XFD1,((A3)+(1))+(1)))=("X"),"false"),B3,X286),X286))</f>
        <v>#VALUE!</v>
      </c>
      <c r="Y286" t="e">
        <f ca="1">IF((A1)=(2),"",IF((282)=(Y4),IF(IF((INDEX(B1:XFD1,((A3)+(1))+(0)))=("store"),(INDEX(B1:XFD1,((A3)+(1))+(1)))=("Y"),"false"),B3,Y286),Y286))</f>
        <v>#VALUE!</v>
      </c>
      <c r="Z286" t="e">
        <f ca="1">IF((A1)=(2),"",IF((282)=(Z4),IF(IF((INDEX(B1:XFD1,((A3)+(1))+(0)))=("store"),(INDEX(B1:XFD1,((A3)+(1))+(1)))=("Z"),"false"),B3,Z286),Z286))</f>
        <v>#VALUE!</v>
      </c>
      <c r="AA286" t="e">
        <f ca="1">IF((A1)=(2),"",IF((282)=(AA4),IF(IF((INDEX(B1:XFD1,((A3)+(1))+(0)))=("store"),(INDEX(B1:XFD1,((A3)+(1))+(1)))=("AA"),"false"),B3,AA286),AA286))</f>
        <v>#VALUE!</v>
      </c>
      <c r="AB286" t="e">
        <f ca="1">IF((A1)=(2),"",IF((282)=(AB4),IF(IF((INDEX(B1:XFD1,((A3)+(1))+(0)))=("store"),(INDEX(B1:XFD1,((A3)+(1))+(1)))=("AB"),"false"),B3,AB286),AB286))</f>
        <v>#VALUE!</v>
      </c>
      <c r="AC286" t="e">
        <f ca="1">IF((A1)=(2),"",IF((282)=(AC4),IF(IF((INDEX(B1:XFD1,((A3)+(1))+(0)))=("store"),(INDEX(B1:XFD1,((A3)+(1))+(1)))=("AC"),"false"),B3,AC286),AC286))</f>
        <v>#VALUE!</v>
      </c>
      <c r="AD286" t="e">
        <f ca="1">IF((A1)=(2),"",IF((282)=(AD4),IF(IF((INDEX(B1:XFD1,((A3)+(1))+(0)))=("store"),(INDEX(B1:XFD1,((A3)+(1))+(1)))=("AD"),"false"),B3,AD286),AD286))</f>
        <v>#VALUE!</v>
      </c>
    </row>
    <row r="287" spans="1:30" x14ac:dyDescent="0.25">
      <c r="A287" t="e">
        <f ca="1">IF((A1)=(2),"",IF((283)=(A4),IF(("call")=(INDEX(B1:XFD1,((A3)+(1))+(0))),(B3)*(2),IF(("goto")=(INDEX(B1:XFD1,((A3)+(1))+(0))),(INDEX(B1:XFD1,((A3)+(1))+(1)))*(2),IF(("gotoiftrue")=(INDEX(B1:XFD1,((A3)+(1))+(0))),IF(B3,(INDEX(B1:XFD1,((A3)+(1))+(1)))*(2),(A287)+(2)),(A287)+(2)))),A287))</f>
        <v>#VALUE!</v>
      </c>
      <c r="B287" t="e">
        <f ca="1">IF((A1)=(2),"",IF((283)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287)+(1)),IF(("add")=(INDEX(B1:XFD1,((A3)+(1))+(0))),(INDEX(B5:B405,(B4)+(1)))+(B287),IF(("equals")=(INDEX(B1:XFD1,((A3)+(1))+(0))),(INDEX(B5:B405,(B4)+(1)))=(B287),IF(("leq")=(INDEX(B1:XFD1,((A3)+(1))+(0))),(INDEX(B5:B405,(B4)+(1)))&lt;=(B287),IF(("greater")=(INDEX(B1:XFD1,((A3)+(1))+(0))),(INDEX(B5:B405,(B4)+(1)))&gt;(B287),IF(("mod")=(INDEX(B1:XFD1,((A3)+(1))+(0))),MOD(INDEX(B5:B405,(B4)+(1)),B287),B287))))))))),B287))</f>
        <v>#VALUE!</v>
      </c>
      <c r="C287" t="e">
        <f ca="1">IF((A1)=(2),1,IF(AND((INDEX(B1:XFD1,((A3)+(1))+(0)))=("writeheap"),(INDEX(B5:B405,(B4)+(1)))=(282)),INDEX(B5:B405,(B4)+(2)),IF((A1)=(2),"",IF((283)=(C4),C287,C287))))</f>
        <v>#VALUE!</v>
      </c>
      <c r="F287" t="e">
        <f ca="1">IF((A1)=(2),"",IF((283)=(F4),IF(IF((INDEX(B1:XFD1,((A3)+(1))+(0)))=("store"),(INDEX(B1:XFD1,((A3)+(1))+(1)))=("F"),"false"),B3,F287),F287))</f>
        <v>#VALUE!</v>
      </c>
      <c r="G287" t="e">
        <f ca="1">IF((A1)=(2),"",IF((283)=(G4),IF(IF((INDEX(B1:XFD1,((A3)+(1))+(0)))=("store"),(INDEX(B1:XFD1,((A3)+(1))+(1)))=("G"),"false"),B3,G287),G287))</f>
        <v>#VALUE!</v>
      </c>
      <c r="H287" t="e">
        <f ca="1">IF((A1)=(2),"",IF((283)=(H4),IF(IF((INDEX(B1:XFD1,((A3)+(1))+(0)))=("store"),(INDEX(B1:XFD1,((A3)+(1))+(1)))=("H"),"false"),B3,H287),H287))</f>
        <v>#VALUE!</v>
      </c>
      <c r="I287" t="e">
        <f ca="1">IF((A1)=(2),"",IF((283)=(I4),IF(IF((INDEX(B1:XFD1,((A3)+(1))+(0)))=("store"),(INDEX(B1:XFD1,((A3)+(1))+(1)))=("I"),"false"),B3,I287),I287))</f>
        <v>#VALUE!</v>
      </c>
      <c r="J287" t="e">
        <f ca="1">IF((A1)=(2),"",IF((283)=(J4),IF(IF((INDEX(B1:XFD1,((A3)+(1))+(0)))=("store"),(INDEX(B1:XFD1,((A3)+(1))+(1)))=("J"),"false"),B3,J287),J287))</f>
        <v>#VALUE!</v>
      </c>
      <c r="K287" t="e">
        <f ca="1">IF((A1)=(2),"",IF((283)=(K4),IF(IF((INDEX(B1:XFD1,((A3)+(1))+(0)))=("store"),(INDEX(B1:XFD1,((A3)+(1))+(1)))=("K"),"false"),B3,K287),K287))</f>
        <v>#VALUE!</v>
      </c>
      <c r="L287" t="e">
        <f ca="1">IF((A1)=(2),"",IF((283)=(L4),IF(IF((INDEX(B1:XFD1,((A3)+(1))+(0)))=("store"),(INDEX(B1:XFD1,((A3)+(1))+(1)))=("L"),"false"),B3,L287),L287))</f>
        <v>#VALUE!</v>
      </c>
      <c r="M287" t="e">
        <f ca="1">IF((A1)=(2),"",IF((283)=(M4),IF(IF((INDEX(B1:XFD1,((A3)+(1))+(0)))=("store"),(INDEX(B1:XFD1,((A3)+(1))+(1)))=("M"),"false"),B3,M287),M287))</f>
        <v>#VALUE!</v>
      </c>
      <c r="N287" t="e">
        <f ca="1">IF((A1)=(2),"",IF((283)=(N4),IF(IF((INDEX(B1:XFD1,((A3)+(1))+(0)))=("store"),(INDEX(B1:XFD1,((A3)+(1))+(1)))=("N"),"false"),B3,N287),N287))</f>
        <v>#VALUE!</v>
      </c>
      <c r="O287" t="e">
        <f ca="1">IF((A1)=(2),"",IF((283)=(O4),IF(IF((INDEX(B1:XFD1,((A3)+(1))+(0)))=("store"),(INDEX(B1:XFD1,((A3)+(1))+(1)))=("O"),"false"),B3,O287),O287))</f>
        <v>#VALUE!</v>
      </c>
      <c r="P287" t="e">
        <f ca="1">IF((A1)=(2),"",IF((283)=(P4),IF(IF((INDEX(B1:XFD1,((A3)+(1))+(0)))=("store"),(INDEX(B1:XFD1,((A3)+(1))+(1)))=("P"),"false"),B3,P287),P287))</f>
        <v>#VALUE!</v>
      </c>
      <c r="Q287" t="e">
        <f ca="1">IF((A1)=(2),"",IF((283)=(Q4),IF(IF((INDEX(B1:XFD1,((A3)+(1))+(0)))=("store"),(INDEX(B1:XFD1,((A3)+(1))+(1)))=("Q"),"false"),B3,Q287),Q287))</f>
        <v>#VALUE!</v>
      </c>
      <c r="R287" t="e">
        <f ca="1">IF((A1)=(2),"",IF((283)=(R4),IF(IF((INDEX(B1:XFD1,((A3)+(1))+(0)))=("store"),(INDEX(B1:XFD1,((A3)+(1))+(1)))=("R"),"false"),B3,R287),R287))</f>
        <v>#VALUE!</v>
      </c>
      <c r="S287" t="e">
        <f ca="1">IF((A1)=(2),"",IF((283)=(S4),IF(IF((INDEX(B1:XFD1,((A3)+(1))+(0)))=("store"),(INDEX(B1:XFD1,((A3)+(1))+(1)))=("S"),"false"),B3,S287),S287))</f>
        <v>#VALUE!</v>
      </c>
      <c r="T287" t="e">
        <f ca="1">IF((A1)=(2),"",IF((283)=(T4),IF(IF((INDEX(B1:XFD1,((A3)+(1))+(0)))=("store"),(INDEX(B1:XFD1,((A3)+(1))+(1)))=("T"),"false"),B3,T287),T287))</f>
        <v>#VALUE!</v>
      </c>
      <c r="U287" t="e">
        <f ca="1">IF((A1)=(2),"",IF((283)=(U4),IF(IF((INDEX(B1:XFD1,((A3)+(1))+(0)))=("store"),(INDEX(B1:XFD1,((A3)+(1))+(1)))=("U"),"false"),B3,U287),U287))</f>
        <v>#VALUE!</v>
      </c>
      <c r="V287" t="e">
        <f ca="1">IF((A1)=(2),"",IF((283)=(V4),IF(IF((INDEX(B1:XFD1,((A3)+(1))+(0)))=("store"),(INDEX(B1:XFD1,((A3)+(1))+(1)))=("V"),"false"),B3,V287),V287))</f>
        <v>#VALUE!</v>
      </c>
      <c r="W287" t="e">
        <f ca="1">IF((A1)=(2),"",IF((283)=(W4),IF(IF((INDEX(B1:XFD1,((A3)+(1))+(0)))=("store"),(INDEX(B1:XFD1,((A3)+(1))+(1)))=("W"),"false"),B3,W287),W287))</f>
        <v>#VALUE!</v>
      </c>
      <c r="X287" t="e">
        <f ca="1">IF((A1)=(2),"",IF((283)=(X4),IF(IF((INDEX(B1:XFD1,((A3)+(1))+(0)))=("store"),(INDEX(B1:XFD1,((A3)+(1))+(1)))=("X"),"false"),B3,X287),X287))</f>
        <v>#VALUE!</v>
      </c>
      <c r="Y287" t="e">
        <f ca="1">IF((A1)=(2),"",IF((283)=(Y4),IF(IF((INDEX(B1:XFD1,((A3)+(1))+(0)))=("store"),(INDEX(B1:XFD1,((A3)+(1))+(1)))=("Y"),"false"),B3,Y287),Y287))</f>
        <v>#VALUE!</v>
      </c>
      <c r="Z287" t="e">
        <f ca="1">IF((A1)=(2),"",IF((283)=(Z4),IF(IF((INDEX(B1:XFD1,((A3)+(1))+(0)))=("store"),(INDEX(B1:XFD1,((A3)+(1))+(1)))=("Z"),"false"),B3,Z287),Z287))</f>
        <v>#VALUE!</v>
      </c>
      <c r="AA287" t="e">
        <f ca="1">IF((A1)=(2),"",IF((283)=(AA4),IF(IF((INDEX(B1:XFD1,((A3)+(1))+(0)))=("store"),(INDEX(B1:XFD1,((A3)+(1))+(1)))=("AA"),"false"),B3,AA287),AA287))</f>
        <v>#VALUE!</v>
      </c>
      <c r="AB287" t="e">
        <f ca="1">IF((A1)=(2),"",IF((283)=(AB4),IF(IF((INDEX(B1:XFD1,((A3)+(1))+(0)))=("store"),(INDEX(B1:XFD1,((A3)+(1))+(1)))=("AB"),"false"),B3,AB287),AB287))</f>
        <v>#VALUE!</v>
      </c>
      <c r="AC287" t="e">
        <f ca="1">IF((A1)=(2),"",IF((283)=(AC4),IF(IF((INDEX(B1:XFD1,((A3)+(1))+(0)))=("store"),(INDEX(B1:XFD1,((A3)+(1))+(1)))=("AC"),"false"),B3,AC287),AC287))</f>
        <v>#VALUE!</v>
      </c>
      <c r="AD287" t="e">
        <f ca="1">IF((A1)=(2),"",IF((283)=(AD4),IF(IF((INDEX(B1:XFD1,((A3)+(1))+(0)))=("store"),(INDEX(B1:XFD1,((A3)+(1))+(1)))=("AD"),"false"),B3,AD287),AD287))</f>
        <v>#VALUE!</v>
      </c>
    </row>
    <row r="288" spans="1:30" x14ac:dyDescent="0.25">
      <c r="A288" t="e">
        <f ca="1">IF((A1)=(2),"",IF((284)=(A4),IF(("call")=(INDEX(B1:XFD1,((A3)+(1))+(0))),(B3)*(2),IF(("goto")=(INDEX(B1:XFD1,((A3)+(1))+(0))),(INDEX(B1:XFD1,((A3)+(1))+(1)))*(2),IF(("gotoiftrue")=(INDEX(B1:XFD1,((A3)+(1))+(0))),IF(B3,(INDEX(B1:XFD1,((A3)+(1))+(1)))*(2),(A288)+(2)),(A288)+(2)))),A288))</f>
        <v>#VALUE!</v>
      </c>
      <c r="B288" t="e">
        <f ca="1">IF((A1)=(2),"",IF((284)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288)+(1)),IF(("add")=(INDEX(B1:XFD1,((A3)+(1))+(0))),(INDEX(B5:B405,(B4)+(1)))+(B288),IF(("equals")=(INDEX(B1:XFD1,((A3)+(1))+(0))),(INDEX(B5:B405,(B4)+(1)))=(B288),IF(("leq")=(INDEX(B1:XFD1,((A3)+(1))+(0))),(INDEX(B5:B405,(B4)+(1)))&lt;=(B288),IF(("greater")=(INDEX(B1:XFD1,((A3)+(1))+(0))),(INDEX(B5:B405,(B4)+(1)))&gt;(B288),IF(("mod")=(INDEX(B1:XFD1,((A3)+(1))+(0))),MOD(INDEX(B5:B405,(B4)+(1)),B288),B288))))))))),B288))</f>
        <v>#VALUE!</v>
      </c>
      <c r="C288" t="e">
        <f ca="1">IF((A1)=(2),1,IF(AND((INDEX(B1:XFD1,((A3)+(1))+(0)))=("writeheap"),(INDEX(B5:B405,(B4)+(1)))=(283)),INDEX(B5:B405,(B4)+(2)),IF((A1)=(2),"",IF((284)=(C4),C288,C288))))</f>
        <v>#VALUE!</v>
      </c>
      <c r="F288" t="e">
        <f ca="1">IF((A1)=(2),"",IF((284)=(F4),IF(IF((INDEX(B1:XFD1,((A3)+(1))+(0)))=("store"),(INDEX(B1:XFD1,((A3)+(1))+(1)))=("F"),"false"),B3,F288),F288))</f>
        <v>#VALUE!</v>
      </c>
      <c r="G288" t="e">
        <f ca="1">IF((A1)=(2),"",IF((284)=(G4),IF(IF((INDEX(B1:XFD1,((A3)+(1))+(0)))=("store"),(INDEX(B1:XFD1,((A3)+(1))+(1)))=("G"),"false"),B3,G288),G288))</f>
        <v>#VALUE!</v>
      </c>
      <c r="H288" t="e">
        <f ca="1">IF((A1)=(2),"",IF((284)=(H4),IF(IF((INDEX(B1:XFD1,((A3)+(1))+(0)))=("store"),(INDEX(B1:XFD1,((A3)+(1))+(1)))=("H"),"false"),B3,H288),H288))</f>
        <v>#VALUE!</v>
      </c>
      <c r="I288" t="e">
        <f ca="1">IF((A1)=(2),"",IF((284)=(I4),IF(IF((INDEX(B1:XFD1,((A3)+(1))+(0)))=("store"),(INDEX(B1:XFD1,((A3)+(1))+(1)))=("I"),"false"),B3,I288),I288))</f>
        <v>#VALUE!</v>
      </c>
      <c r="J288" t="e">
        <f ca="1">IF((A1)=(2),"",IF((284)=(J4),IF(IF((INDEX(B1:XFD1,((A3)+(1))+(0)))=("store"),(INDEX(B1:XFD1,((A3)+(1))+(1)))=("J"),"false"),B3,J288),J288))</f>
        <v>#VALUE!</v>
      </c>
      <c r="K288" t="e">
        <f ca="1">IF((A1)=(2),"",IF((284)=(K4),IF(IF((INDEX(B1:XFD1,((A3)+(1))+(0)))=("store"),(INDEX(B1:XFD1,((A3)+(1))+(1)))=("K"),"false"),B3,K288),K288))</f>
        <v>#VALUE!</v>
      </c>
      <c r="L288" t="e">
        <f ca="1">IF((A1)=(2),"",IF((284)=(L4),IF(IF((INDEX(B1:XFD1,((A3)+(1))+(0)))=("store"),(INDEX(B1:XFD1,((A3)+(1))+(1)))=("L"),"false"),B3,L288),L288))</f>
        <v>#VALUE!</v>
      </c>
      <c r="M288" t="e">
        <f ca="1">IF((A1)=(2),"",IF((284)=(M4),IF(IF((INDEX(B1:XFD1,((A3)+(1))+(0)))=("store"),(INDEX(B1:XFD1,((A3)+(1))+(1)))=("M"),"false"),B3,M288),M288))</f>
        <v>#VALUE!</v>
      </c>
      <c r="N288" t="e">
        <f ca="1">IF((A1)=(2),"",IF((284)=(N4),IF(IF((INDEX(B1:XFD1,((A3)+(1))+(0)))=("store"),(INDEX(B1:XFD1,((A3)+(1))+(1)))=("N"),"false"),B3,N288),N288))</f>
        <v>#VALUE!</v>
      </c>
      <c r="O288" t="e">
        <f ca="1">IF((A1)=(2),"",IF((284)=(O4),IF(IF((INDEX(B1:XFD1,((A3)+(1))+(0)))=("store"),(INDEX(B1:XFD1,((A3)+(1))+(1)))=("O"),"false"),B3,O288),O288))</f>
        <v>#VALUE!</v>
      </c>
      <c r="P288" t="e">
        <f ca="1">IF((A1)=(2),"",IF((284)=(P4),IF(IF((INDEX(B1:XFD1,((A3)+(1))+(0)))=("store"),(INDEX(B1:XFD1,((A3)+(1))+(1)))=("P"),"false"),B3,P288),P288))</f>
        <v>#VALUE!</v>
      </c>
      <c r="Q288" t="e">
        <f ca="1">IF((A1)=(2),"",IF((284)=(Q4),IF(IF((INDEX(B1:XFD1,((A3)+(1))+(0)))=("store"),(INDEX(B1:XFD1,((A3)+(1))+(1)))=("Q"),"false"),B3,Q288),Q288))</f>
        <v>#VALUE!</v>
      </c>
      <c r="R288" t="e">
        <f ca="1">IF((A1)=(2),"",IF((284)=(R4),IF(IF((INDEX(B1:XFD1,((A3)+(1))+(0)))=("store"),(INDEX(B1:XFD1,((A3)+(1))+(1)))=("R"),"false"),B3,R288),R288))</f>
        <v>#VALUE!</v>
      </c>
      <c r="S288" t="e">
        <f ca="1">IF((A1)=(2),"",IF((284)=(S4),IF(IF((INDEX(B1:XFD1,((A3)+(1))+(0)))=("store"),(INDEX(B1:XFD1,((A3)+(1))+(1)))=("S"),"false"),B3,S288),S288))</f>
        <v>#VALUE!</v>
      </c>
      <c r="T288" t="e">
        <f ca="1">IF((A1)=(2),"",IF((284)=(T4),IF(IF((INDEX(B1:XFD1,((A3)+(1))+(0)))=("store"),(INDEX(B1:XFD1,((A3)+(1))+(1)))=("T"),"false"),B3,T288),T288))</f>
        <v>#VALUE!</v>
      </c>
      <c r="U288" t="e">
        <f ca="1">IF((A1)=(2),"",IF((284)=(U4),IF(IF((INDEX(B1:XFD1,((A3)+(1))+(0)))=("store"),(INDEX(B1:XFD1,((A3)+(1))+(1)))=("U"),"false"),B3,U288),U288))</f>
        <v>#VALUE!</v>
      </c>
      <c r="V288" t="e">
        <f ca="1">IF((A1)=(2),"",IF((284)=(V4),IF(IF((INDEX(B1:XFD1,((A3)+(1))+(0)))=("store"),(INDEX(B1:XFD1,((A3)+(1))+(1)))=("V"),"false"),B3,V288),V288))</f>
        <v>#VALUE!</v>
      </c>
      <c r="W288" t="e">
        <f ca="1">IF((A1)=(2),"",IF((284)=(W4),IF(IF((INDEX(B1:XFD1,((A3)+(1))+(0)))=("store"),(INDEX(B1:XFD1,((A3)+(1))+(1)))=("W"),"false"),B3,W288),W288))</f>
        <v>#VALUE!</v>
      </c>
      <c r="X288" t="e">
        <f ca="1">IF((A1)=(2),"",IF((284)=(X4),IF(IF((INDEX(B1:XFD1,((A3)+(1))+(0)))=("store"),(INDEX(B1:XFD1,((A3)+(1))+(1)))=("X"),"false"),B3,X288),X288))</f>
        <v>#VALUE!</v>
      </c>
      <c r="Y288" t="e">
        <f ca="1">IF((A1)=(2),"",IF((284)=(Y4),IF(IF((INDEX(B1:XFD1,((A3)+(1))+(0)))=("store"),(INDEX(B1:XFD1,((A3)+(1))+(1)))=("Y"),"false"),B3,Y288),Y288))</f>
        <v>#VALUE!</v>
      </c>
      <c r="Z288" t="e">
        <f ca="1">IF((A1)=(2),"",IF((284)=(Z4),IF(IF((INDEX(B1:XFD1,((A3)+(1))+(0)))=("store"),(INDEX(B1:XFD1,((A3)+(1))+(1)))=("Z"),"false"),B3,Z288),Z288))</f>
        <v>#VALUE!</v>
      </c>
      <c r="AA288" t="e">
        <f ca="1">IF((A1)=(2),"",IF((284)=(AA4),IF(IF((INDEX(B1:XFD1,((A3)+(1))+(0)))=("store"),(INDEX(B1:XFD1,((A3)+(1))+(1)))=("AA"),"false"),B3,AA288),AA288))</f>
        <v>#VALUE!</v>
      </c>
      <c r="AB288" t="e">
        <f ca="1">IF((A1)=(2),"",IF((284)=(AB4),IF(IF((INDEX(B1:XFD1,((A3)+(1))+(0)))=("store"),(INDEX(B1:XFD1,((A3)+(1))+(1)))=("AB"),"false"),B3,AB288),AB288))</f>
        <v>#VALUE!</v>
      </c>
      <c r="AC288" t="e">
        <f ca="1">IF((A1)=(2),"",IF((284)=(AC4),IF(IF((INDEX(B1:XFD1,((A3)+(1))+(0)))=("store"),(INDEX(B1:XFD1,((A3)+(1))+(1)))=("AC"),"false"),B3,AC288),AC288))</f>
        <v>#VALUE!</v>
      </c>
      <c r="AD288" t="e">
        <f ca="1">IF((A1)=(2),"",IF((284)=(AD4),IF(IF((INDEX(B1:XFD1,((A3)+(1))+(0)))=("store"),(INDEX(B1:XFD1,((A3)+(1))+(1)))=("AD"),"false"),B3,AD288),AD288))</f>
        <v>#VALUE!</v>
      </c>
    </row>
    <row r="289" spans="1:30" x14ac:dyDescent="0.25">
      <c r="A289" t="e">
        <f ca="1">IF((A1)=(2),"",IF((285)=(A4),IF(("call")=(INDEX(B1:XFD1,((A3)+(1))+(0))),(B3)*(2),IF(("goto")=(INDEX(B1:XFD1,((A3)+(1))+(0))),(INDEX(B1:XFD1,((A3)+(1))+(1)))*(2),IF(("gotoiftrue")=(INDEX(B1:XFD1,((A3)+(1))+(0))),IF(B3,(INDEX(B1:XFD1,((A3)+(1))+(1)))*(2),(A289)+(2)),(A289)+(2)))),A289))</f>
        <v>#VALUE!</v>
      </c>
      <c r="B289" t="e">
        <f ca="1">IF((A1)=(2),"",IF((285)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289)+(1)),IF(("add")=(INDEX(B1:XFD1,((A3)+(1))+(0))),(INDEX(B5:B405,(B4)+(1)))+(B289),IF(("equals")=(INDEX(B1:XFD1,((A3)+(1))+(0))),(INDEX(B5:B405,(B4)+(1)))=(B289),IF(("leq")=(INDEX(B1:XFD1,((A3)+(1))+(0))),(INDEX(B5:B405,(B4)+(1)))&lt;=(B289),IF(("greater")=(INDEX(B1:XFD1,((A3)+(1))+(0))),(INDEX(B5:B405,(B4)+(1)))&gt;(B289),IF(("mod")=(INDEX(B1:XFD1,((A3)+(1))+(0))),MOD(INDEX(B5:B405,(B4)+(1)),B289),B289))))))))),B289))</f>
        <v>#VALUE!</v>
      </c>
      <c r="C289" t="e">
        <f ca="1">IF((A1)=(2),1,IF(AND((INDEX(B1:XFD1,((A3)+(1))+(0)))=("writeheap"),(INDEX(B5:B405,(B4)+(1)))=(284)),INDEX(B5:B405,(B4)+(2)),IF((A1)=(2),"",IF((285)=(C4),C289,C289))))</f>
        <v>#VALUE!</v>
      </c>
      <c r="F289" t="e">
        <f ca="1">IF((A1)=(2),"",IF((285)=(F4),IF(IF((INDEX(B1:XFD1,((A3)+(1))+(0)))=("store"),(INDEX(B1:XFD1,((A3)+(1))+(1)))=("F"),"false"),B3,F289),F289))</f>
        <v>#VALUE!</v>
      </c>
      <c r="G289" t="e">
        <f ca="1">IF((A1)=(2),"",IF((285)=(G4),IF(IF((INDEX(B1:XFD1,((A3)+(1))+(0)))=("store"),(INDEX(B1:XFD1,((A3)+(1))+(1)))=("G"),"false"),B3,G289),G289))</f>
        <v>#VALUE!</v>
      </c>
      <c r="H289" t="e">
        <f ca="1">IF((A1)=(2),"",IF((285)=(H4),IF(IF((INDEX(B1:XFD1,((A3)+(1))+(0)))=("store"),(INDEX(B1:XFD1,((A3)+(1))+(1)))=("H"),"false"),B3,H289),H289))</f>
        <v>#VALUE!</v>
      </c>
      <c r="I289" t="e">
        <f ca="1">IF((A1)=(2),"",IF((285)=(I4),IF(IF((INDEX(B1:XFD1,((A3)+(1))+(0)))=("store"),(INDEX(B1:XFD1,((A3)+(1))+(1)))=("I"),"false"),B3,I289),I289))</f>
        <v>#VALUE!</v>
      </c>
      <c r="J289" t="e">
        <f ca="1">IF((A1)=(2),"",IF((285)=(J4),IF(IF((INDEX(B1:XFD1,((A3)+(1))+(0)))=("store"),(INDEX(B1:XFD1,((A3)+(1))+(1)))=("J"),"false"),B3,J289),J289))</f>
        <v>#VALUE!</v>
      </c>
      <c r="K289" t="e">
        <f ca="1">IF((A1)=(2),"",IF((285)=(K4),IF(IF((INDEX(B1:XFD1,((A3)+(1))+(0)))=("store"),(INDEX(B1:XFD1,((A3)+(1))+(1)))=("K"),"false"),B3,K289),K289))</f>
        <v>#VALUE!</v>
      </c>
      <c r="L289" t="e">
        <f ca="1">IF((A1)=(2),"",IF((285)=(L4),IF(IF((INDEX(B1:XFD1,((A3)+(1))+(0)))=("store"),(INDEX(B1:XFD1,((A3)+(1))+(1)))=("L"),"false"),B3,L289),L289))</f>
        <v>#VALUE!</v>
      </c>
      <c r="M289" t="e">
        <f ca="1">IF((A1)=(2),"",IF((285)=(M4),IF(IF((INDEX(B1:XFD1,((A3)+(1))+(0)))=("store"),(INDEX(B1:XFD1,((A3)+(1))+(1)))=("M"),"false"),B3,M289),M289))</f>
        <v>#VALUE!</v>
      </c>
      <c r="N289" t="e">
        <f ca="1">IF((A1)=(2),"",IF((285)=(N4),IF(IF((INDEX(B1:XFD1,((A3)+(1))+(0)))=("store"),(INDEX(B1:XFD1,((A3)+(1))+(1)))=("N"),"false"),B3,N289),N289))</f>
        <v>#VALUE!</v>
      </c>
      <c r="O289" t="e">
        <f ca="1">IF((A1)=(2),"",IF((285)=(O4),IF(IF((INDEX(B1:XFD1,((A3)+(1))+(0)))=("store"),(INDEX(B1:XFD1,((A3)+(1))+(1)))=("O"),"false"),B3,O289),O289))</f>
        <v>#VALUE!</v>
      </c>
      <c r="P289" t="e">
        <f ca="1">IF((A1)=(2),"",IF((285)=(P4),IF(IF((INDEX(B1:XFD1,((A3)+(1))+(0)))=("store"),(INDEX(B1:XFD1,((A3)+(1))+(1)))=("P"),"false"),B3,P289),P289))</f>
        <v>#VALUE!</v>
      </c>
      <c r="Q289" t="e">
        <f ca="1">IF((A1)=(2),"",IF((285)=(Q4),IF(IF((INDEX(B1:XFD1,((A3)+(1))+(0)))=("store"),(INDEX(B1:XFD1,((A3)+(1))+(1)))=("Q"),"false"),B3,Q289),Q289))</f>
        <v>#VALUE!</v>
      </c>
      <c r="R289" t="e">
        <f ca="1">IF((A1)=(2),"",IF((285)=(R4),IF(IF((INDEX(B1:XFD1,((A3)+(1))+(0)))=("store"),(INDEX(B1:XFD1,((A3)+(1))+(1)))=("R"),"false"),B3,R289),R289))</f>
        <v>#VALUE!</v>
      </c>
      <c r="S289" t="e">
        <f ca="1">IF((A1)=(2),"",IF((285)=(S4),IF(IF((INDEX(B1:XFD1,((A3)+(1))+(0)))=("store"),(INDEX(B1:XFD1,((A3)+(1))+(1)))=("S"),"false"),B3,S289),S289))</f>
        <v>#VALUE!</v>
      </c>
      <c r="T289" t="e">
        <f ca="1">IF((A1)=(2),"",IF((285)=(T4),IF(IF((INDEX(B1:XFD1,((A3)+(1))+(0)))=("store"),(INDEX(B1:XFD1,((A3)+(1))+(1)))=("T"),"false"),B3,T289),T289))</f>
        <v>#VALUE!</v>
      </c>
      <c r="U289" t="e">
        <f ca="1">IF((A1)=(2),"",IF((285)=(U4),IF(IF((INDEX(B1:XFD1,((A3)+(1))+(0)))=("store"),(INDEX(B1:XFD1,((A3)+(1))+(1)))=("U"),"false"),B3,U289),U289))</f>
        <v>#VALUE!</v>
      </c>
      <c r="V289" t="e">
        <f ca="1">IF((A1)=(2),"",IF((285)=(V4),IF(IF((INDEX(B1:XFD1,((A3)+(1))+(0)))=("store"),(INDEX(B1:XFD1,((A3)+(1))+(1)))=("V"),"false"),B3,V289),V289))</f>
        <v>#VALUE!</v>
      </c>
      <c r="W289" t="e">
        <f ca="1">IF((A1)=(2),"",IF((285)=(W4),IF(IF((INDEX(B1:XFD1,((A3)+(1))+(0)))=("store"),(INDEX(B1:XFD1,((A3)+(1))+(1)))=("W"),"false"),B3,W289),W289))</f>
        <v>#VALUE!</v>
      </c>
      <c r="X289" t="e">
        <f ca="1">IF((A1)=(2),"",IF((285)=(X4),IF(IF((INDEX(B1:XFD1,((A3)+(1))+(0)))=("store"),(INDEX(B1:XFD1,((A3)+(1))+(1)))=("X"),"false"),B3,X289),X289))</f>
        <v>#VALUE!</v>
      </c>
      <c r="Y289" t="e">
        <f ca="1">IF((A1)=(2),"",IF((285)=(Y4),IF(IF((INDEX(B1:XFD1,((A3)+(1))+(0)))=("store"),(INDEX(B1:XFD1,((A3)+(1))+(1)))=("Y"),"false"),B3,Y289),Y289))</f>
        <v>#VALUE!</v>
      </c>
      <c r="Z289" t="e">
        <f ca="1">IF((A1)=(2),"",IF((285)=(Z4),IF(IF((INDEX(B1:XFD1,((A3)+(1))+(0)))=("store"),(INDEX(B1:XFD1,((A3)+(1))+(1)))=("Z"),"false"),B3,Z289),Z289))</f>
        <v>#VALUE!</v>
      </c>
      <c r="AA289" t="e">
        <f ca="1">IF((A1)=(2),"",IF((285)=(AA4),IF(IF((INDEX(B1:XFD1,((A3)+(1))+(0)))=("store"),(INDEX(B1:XFD1,((A3)+(1))+(1)))=("AA"),"false"),B3,AA289),AA289))</f>
        <v>#VALUE!</v>
      </c>
      <c r="AB289" t="e">
        <f ca="1">IF((A1)=(2),"",IF((285)=(AB4),IF(IF((INDEX(B1:XFD1,((A3)+(1))+(0)))=("store"),(INDEX(B1:XFD1,((A3)+(1))+(1)))=("AB"),"false"),B3,AB289),AB289))</f>
        <v>#VALUE!</v>
      </c>
      <c r="AC289" t="e">
        <f ca="1">IF((A1)=(2),"",IF((285)=(AC4),IF(IF((INDEX(B1:XFD1,((A3)+(1))+(0)))=("store"),(INDEX(B1:XFD1,((A3)+(1))+(1)))=("AC"),"false"),B3,AC289),AC289))</f>
        <v>#VALUE!</v>
      </c>
      <c r="AD289" t="e">
        <f ca="1">IF((A1)=(2),"",IF((285)=(AD4),IF(IF((INDEX(B1:XFD1,((A3)+(1))+(0)))=("store"),(INDEX(B1:XFD1,((A3)+(1))+(1)))=("AD"),"false"),B3,AD289),AD289))</f>
        <v>#VALUE!</v>
      </c>
    </row>
    <row r="290" spans="1:30" x14ac:dyDescent="0.25">
      <c r="A290" t="e">
        <f ca="1">IF((A1)=(2),"",IF((286)=(A4),IF(("call")=(INDEX(B1:XFD1,((A3)+(1))+(0))),(B3)*(2),IF(("goto")=(INDEX(B1:XFD1,((A3)+(1))+(0))),(INDEX(B1:XFD1,((A3)+(1))+(1)))*(2),IF(("gotoiftrue")=(INDEX(B1:XFD1,((A3)+(1))+(0))),IF(B3,(INDEX(B1:XFD1,((A3)+(1))+(1)))*(2),(A290)+(2)),(A290)+(2)))),A290))</f>
        <v>#VALUE!</v>
      </c>
      <c r="B290" t="e">
        <f ca="1">IF((A1)=(2),"",IF((286)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290)+(1)),IF(("add")=(INDEX(B1:XFD1,((A3)+(1))+(0))),(INDEX(B5:B405,(B4)+(1)))+(B290),IF(("equals")=(INDEX(B1:XFD1,((A3)+(1))+(0))),(INDEX(B5:B405,(B4)+(1)))=(B290),IF(("leq")=(INDEX(B1:XFD1,((A3)+(1))+(0))),(INDEX(B5:B405,(B4)+(1)))&lt;=(B290),IF(("greater")=(INDEX(B1:XFD1,((A3)+(1))+(0))),(INDEX(B5:B405,(B4)+(1)))&gt;(B290),IF(("mod")=(INDEX(B1:XFD1,((A3)+(1))+(0))),MOD(INDEX(B5:B405,(B4)+(1)),B290),B290))))))))),B290))</f>
        <v>#VALUE!</v>
      </c>
      <c r="C290" t="e">
        <f ca="1">IF((A1)=(2),1,IF(AND((INDEX(B1:XFD1,((A3)+(1))+(0)))=("writeheap"),(INDEX(B5:B405,(B4)+(1)))=(285)),INDEX(B5:B405,(B4)+(2)),IF((A1)=(2),"",IF((286)=(C4),C290,C290))))</f>
        <v>#VALUE!</v>
      </c>
      <c r="F290" t="e">
        <f ca="1">IF((A1)=(2),"",IF((286)=(F4),IF(IF((INDEX(B1:XFD1,((A3)+(1))+(0)))=("store"),(INDEX(B1:XFD1,((A3)+(1))+(1)))=("F"),"false"),B3,F290),F290))</f>
        <v>#VALUE!</v>
      </c>
      <c r="G290" t="e">
        <f ca="1">IF((A1)=(2),"",IF((286)=(G4),IF(IF((INDEX(B1:XFD1,((A3)+(1))+(0)))=("store"),(INDEX(B1:XFD1,((A3)+(1))+(1)))=("G"),"false"),B3,G290),G290))</f>
        <v>#VALUE!</v>
      </c>
      <c r="H290" t="e">
        <f ca="1">IF((A1)=(2),"",IF((286)=(H4),IF(IF((INDEX(B1:XFD1,((A3)+(1))+(0)))=("store"),(INDEX(B1:XFD1,((A3)+(1))+(1)))=("H"),"false"),B3,H290),H290))</f>
        <v>#VALUE!</v>
      </c>
      <c r="I290" t="e">
        <f ca="1">IF((A1)=(2),"",IF((286)=(I4),IF(IF((INDEX(B1:XFD1,((A3)+(1))+(0)))=("store"),(INDEX(B1:XFD1,((A3)+(1))+(1)))=("I"),"false"),B3,I290),I290))</f>
        <v>#VALUE!</v>
      </c>
      <c r="J290" t="e">
        <f ca="1">IF((A1)=(2),"",IF((286)=(J4),IF(IF((INDEX(B1:XFD1,((A3)+(1))+(0)))=("store"),(INDEX(B1:XFD1,((A3)+(1))+(1)))=("J"),"false"),B3,J290),J290))</f>
        <v>#VALUE!</v>
      </c>
      <c r="K290" t="e">
        <f ca="1">IF((A1)=(2),"",IF((286)=(K4),IF(IF((INDEX(B1:XFD1,((A3)+(1))+(0)))=("store"),(INDEX(B1:XFD1,((A3)+(1))+(1)))=("K"),"false"),B3,K290),K290))</f>
        <v>#VALUE!</v>
      </c>
      <c r="L290" t="e">
        <f ca="1">IF((A1)=(2),"",IF((286)=(L4),IF(IF((INDEX(B1:XFD1,((A3)+(1))+(0)))=("store"),(INDEX(B1:XFD1,((A3)+(1))+(1)))=("L"),"false"),B3,L290),L290))</f>
        <v>#VALUE!</v>
      </c>
      <c r="M290" t="e">
        <f ca="1">IF((A1)=(2),"",IF((286)=(M4),IF(IF((INDEX(B1:XFD1,((A3)+(1))+(0)))=("store"),(INDEX(B1:XFD1,((A3)+(1))+(1)))=("M"),"false"),B3,M290),M290))</f>
        <v>#VALUE!</v>
      </c>
      <c r="N290" t="e">
        <f ca="1">IF((A1)=(2),"",IF((286)=(N4),IF(IF((INDEX(B1:XFD1,((A3)+(1))+(0)))=("store"),(INDEX(B1:XFD1,((A3)+(1))+(1)))=("N"),"false"),B3,N290),N290))</f>
        <v>#VALUE!</v>
      </c>
      <c r="O290" t="e">
        <f ca="1">IF((A1)=(2),"",IF((286)=(O4),IF(IF((INDEX(B1:XFD1,((A3)+(1))+(0)))=("store"),(INDEX(B1:XFD1,((A3)+(1))+(1)))=("O"),"false"),B3,O290),O290))</f>
        <v>#VALUE!</v>
      </c>
      <c r="P290" t="e">
        <f ca="1">IF((A1)=(2),"",IF((286)=(P4),IF(IF((INDEX(B1:XFD1,((A3)+(1))+(0)))=("store"),(INDEX(B1:XFD1,((A3)+(1))+(1)))=("P"),"false"),B3,P290),P290))</f>
        <v>#VALUE!</v>
      </c>
      <c r="Q290" t="e">
        <f ca="1">IF((A1)=(2),"",IF((286)=(Q4),IF(IF((INDEX(B1:XFD1,((A3)+(1))+(0)))=("store"),(INDEX(B1:XFD1,((A3)+(1))+(1)))=("Q"),"false"),B3,Q290),Q290))</f>
        <v>#VALUE!</v>
      </c>
      <c r="R290" t="e">
        <f ca="1">IF((A1)=(2),"",IF((286)=(R4),IF(IF((INDEX(B1:XFD1,((A3)+(1))+(0)))=("store"),(INDEX(B1:XFD1,((A3)+(1))+(1)))=("R"),"false"),B3,R290),R290))</f>
        <v>#VALUE!</v>
      </c>
      <c r="S290" t="e">
        <f ca="1">IF((A1)=(2),"",IF((286)=(S4),IF(IF((INDEX(B1:XFD1,((A3)+(1))+(0)))=("store"),(INDEX(B1:XFD1,((A3)+(1))+(1)))=("S"),"false"),B3,S290),S290))</f>
        <v>#VALUE!</v>
      </c>
      <c r="T290" t="e">
        <f ca="1">IF((A1)=(2),"",IF((286)=(T4),IF(IF((INDEX(B1:XFD1,((A3)+(1))+(0)))=("store"),(INDEX(B1:XFD1,((A3)+(1))+(1)))=("T"),"false"),B3,T290),T290))</f>
        <v>#VALUE!</v>
      </c>
      <c r="U290" t="e">
        <f ca="1">IF((A1)=(2),"",IF((286)=(U4),IF(IF((INDEX(B1:XFD1,((A3)+(1))+(0)))=("store"),(INDEX(B1:XFD1,((A3)+(1))+(1)))=("U"),"false"),B3,U290),U290))</f>
        <v>#VALUE!</v>
      </c>
      <c r="V290" t="e">
        <f ca="1">IF((A1)=(2),"",IF((286)=(V4),IF(IF((INDEX(B1:XFD1,((A3)+(1))+(0)))=("store"),(INDEX(B1:XFD1,((A3)+(1))+(1)))=("V"),"false"),B3,V290),V290))</f>
        <v>#VALUE!</v>
      </c>
      <c r="W290" t="e">
        <f ca="1">IF((A1)=(2),"",IF((286)=(W4),IF(IF((INDEX(B1:XFD1,((A3)+(1))+(0)))=("store"),(INDEX(B1:XFD1,((A3)+(1))+(1)))=("W"),"false"),B3,W290),W290))</f>
        <v>#VALUE!</v>
      </c>
      <c r="X290" t="e">
        <f ca="1">IF((A1)=(2),"",IF((286)=(X4),IF(IF((INDEX(B1:XFD1,((A3)+(1))+(0)))=("store"),(INDEX(B1:XFD1,((A3)+(1))+(1)))=("X"),"false"),B3,X290),X290))</f>
        <v>#VALUE!</v>
      </c>
      <c r="Y290" t="e">
        <f ca="1">IF((A1)=(2),"",IF((286)=(Y4),IF(IF((INDEX(B1:XFD1,((A3)+(1))+(0)))=("store"),(INDEX(B1:XFD1,((A3)+(1))+(1)))=("Y"),"false"),B3,Y290),Y290))</f>
        <v>#VALUE!</v>
      </c>
      <c r="Z290" t="e">
        <f ca="1">IF((A1)=(2),"",IF((286)=(Z4),IF(IF((INDEX(B1:XFD1,((A3)+(1))+(0)))=("store"),(INDEX(B1:XFD1,((A3)+(1))+(1)))=("Z"),"false"),B3,Z290),Z290))</f>
        <v>#VALUE!</v>
      </c>
      <c r="AA290" t="e">
        <f ca="1">IF((A1)=(2),"",IF((286)=(AA4),IF(IF((INDEX(B1:XFD1,((A3)+(1))+(0)))=("store"),(INDEX(B1:XFD1,((A3)+(1))+(1)))=("AA"),"false"),B3,AA290),AA290))</f>
        <v>#VALUE!</v>
      </c>
      <c r="AB290" t="e">
        <f ca="1">IF((A1)=(2),"",IF((286)=(AB4),IF(IF((INDEX(B1:XFD1,((A3)+(1))+(0)))=("store"),(INDEX(B1:XFD1,((A3)+(1))+(1)))=("AB"),"false"),B3,AB290),AB290))</f>
        <v>#VALUE!</v>
      </c>
      <c r="AC290" t="e">
        <f ca="1">IF((A1)=(2),"",IF((286)=(AC4),IF(IF((INDEX(B1:XFD1,((A3)+(1))+(0)))=("store"),(INDEX(B1:XFD1,((A3)+(1))+(1)))=("AC"),"false"),B3,AC290),AC290))</f>
        <v>#VALUE!</v>
      </c>
      <c r="AD290" t="e">
        <f ca="1">IF((A1)=(2),"",IF((286)=(AD4),IF(IF((INDEX(B1:XFD1,((A3)+(1))+(0)))=("store"),(INDEX(B1:XFD1,((A3)+(1))+(1)))=("AD"),"false"),B3,AD290),AD290))</f>
        <v>#VALUE!</v>
      </c>
    </row>
    <row r="291" spans="1:30" x14ac:dyDescent="0.25">
      <c r="A291" t="e">
        <f ca="1">IF((A1)=(2),"",IF((287)=(A4),IF(("call")=(INDEX(B1:XFD1,((A3)+(1))+(0))),(B3)*(2),IF(("goto")=(INDEX(B1:XFD1,((A3)+(1))+(0))),(INDEX(B1:XFD1,((A3)+(1))+(1)))*(2),IF(("gotoiftrue")=(INDEX(B1:XFD1,((A3)+(1))+(0))),IF(B3,(INDEX(B1:XFD1,((A3)+(1))+(1)))*(2),(A291)+(2)),(A291)+(2)))),A291))</f>
        <v>#VALUE!</v>
      </c>
      <c r="B291" t="e">
        <f ca="1">IF((A1)=(2),"",IF((287)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291)+(1)),IF(("add")=(INDEX(B1:XFD1,((A3)+(1))+(0))),(INDEX(B5:B405,(B4)+(1)))+(B291),IF(("equals")=(INDEX(B1:XFD1,((A3)+(1))+(0))),(INDEX(B5:B405,(B4)+(1)))=(B291),IF(("leq")=(INDEX(B1:XFD1,((A3)+(1))+(0))),(INDEX(B5:B405,(B4)+(1)))&lt;=(B291),IF(("greater")=(INDEX(B1:XFD1,((A3)+(1))+(0))),(INDEX(B5:B405,(B4)+(1)))&gt;(B291),IF(("mod")=(INDEX(B1:XFD1,((A3)+(1))+(0))),MOD(INDEX(B5:B405,(B4)+(1)),B291),B291))))))))),B291))</f>
        <v>#VALUE!</v>
      </c>
      <c r="C291" t="e">
        <f ca="1">IF((A1)=(2),1,IF(AND((INDEX(B1:XFD1,((A3)+(1))+(0)))=("writeheap"),(INDEX(B5:B405,(B4)+(1)))=(286)),INDEX(B5:B405,(B4)+(2)),IF((A1)=(2),"",IF((287)=(C4),C291,C291))))</f>
        <v>#VALUE!</v>
      </c>
      <c r="F291" t="e">
        <f ca="1">IF((A1)=(2),"",IF((287)=(F4),IF(IF((INDEX(B1:XFD1,((A3)+(1))+(0)))=("store"),(INDEX(B1:XFD1,((A3)+(1))+(1)))=("F"),"false"),B3,F291),F291))</f>
        <v>#VALUE!</v>
      </c>
      <c r="G291" t="e">
        <f ca="1">IF((A1)=(2),"",IF((287)=(G4),IF(IF((INDEX(B1:XFD1,((A3)+(1))+(0)))=("store"),(INDEX(B1:XFD1,((A3)+(1))+(1)))=("G"),"false"),B3,G291),G291))</f>
        <v>#VALUE!</v>
      </c>
      <c r="H291" t="e">
        <f ca="1">IF((A1)=(2),"",IF((287)=(H4),IF(IF((INDEX(B1:XFD1,((A3)+(1))+(0)))=("store"),(INDEX(B1:XFD1,((A3)+(1))+(1)))=("H"),"false"),B3,H291),H291))</f>
        <v>#VALUE!</v>
      </c>
      <c r="I291" t="e">
        <f ca="1">IF((A1)=(2),"",IF((287)=(I4),IF(IF((INDEX(B1:XFD1,((A3)+(1))+(0)))=("store"),(INDEX(B1:XFD1,((A3)+(1))+(1)))=("I"),"false"),B3,I291),I291))</f>
        <v>#VALUE!</v>
      </c>
      <c r="J291" t="e">
        <f ca="1">IF((A1)=(2),"",IF((287)=(J4),IF(IF((INDEX(B1:XFD1,((A3)+(1))+(0)))=("store"),(INDEX(B1:XFD1,((A3)+(1))+(1)))=("J"),"false"),B3,J291),J291))</f>
        <v>#VALUE!</v>
      </c>
      <c r="K291" t="e">
        <f ca="1">IF((A1)=(2),"",IF((287)=(K4),IF(IF((INDEX(B1:XFD1,((A3)+(1))+(0)))=("store"),(INDEX(B1:XFD1,((A3)+(1))+(1)))=("K"),"false"),B3,K291),K291))</f>
        <v>#VALUE!</v>
      </c>
      <c r="L291" t="e">
        <f ca="1">IF((A1)=(2),"",IF((287)=(L4),IF(IF((INDEX(B1:XFD1,((A3)+(1))+(0)))=("store"),(INDEX(B1:XFD1,((A3)+(1))+(1)))=("L"),"false"),B3,L291),L291))</f>
        <v>#VALUE!</v>
      </c>
      <c r="M291" t="e">
        <f ca="1">IF((A1)=(2),"",IF((287)=(M4),IF(IF((INDEX(B1:XFD1,((A3)+(1))+(0)))=("store"),(INDEX(B1:XFD1,((A3)+(1))+(1)))=("M"),"false"),B3,M291),M291))</f>
        <v>#VALUE!</v>
      </c>
      <c r="N291" t="e">
        <f ca="1">IF((A1)=(2),"",IF((287)=(N4),IF(IF((INDEX(B1:XFD1,((A3)+(1))+(0)))=("store"),(INDEX(B1:XFD1,((A3)+(1))+(1)))=("N"),"false"),B3,N291),N291))</f>
        <v>#VALUE!</v>
      </c>
      <c r="O291" t="e">
        <f ca="1">IF((A1)=(2),"",IF((287)=(O4),IF(IF((INDEX(B1:XFD1,((A3)+(1))+(0)))=("store"),(INDEX(B1:XFD1,((A3)+(1))+(1)))=("O"),"false"),B3,O291),O291))</f>
        <v>#VALUE!</v>
      </c>
      <c r="P291" t="e">
        <f ca="1">IF((A1)=(2),"",IF((287)=(P4),IF(IF((INDEX(B1:XFD1,((A3)+(1))+(0)))=("store"),(INDEX(B1:XFD1,((A3)+(1))+(1)))=("P"),"false"),B3,P291),P291))</f>
        <v>#VALUE!</v>
      </c>
      <c r="Q291" t="e">
        <f ca="1">IF((A1)=(2),"",IF((287)=(Q4),IF(IF((INDEX(B1:XFD1,((A3)+(1))+(0)))=("store"),(INDEX(B1:XFD1,((A3)+(1))+(1)))=("Q"),"false"),B3,Q291),Q291))</f>
        <v>#VALUE!</v>
      </c>
      <c r="R291" t="e">
        <f ca="1">IF((A1)=(2),"",IF((287)=(R4),IF(IF((INDEX(B1:XFD1,((A3)+(1))+(0)))=("store"),(INDEX(B1:XFD1,((A3)+(1))+(1)))=("R"),"false"),B3,R291),R291))</f>
        <v>#VALUE!</v>
      </c>
      <c r="S291" t="e">
        <f ca="1">IF((A1)=(2),"",IF((287)=(S4),IF(IF((INDEX(B1:XFD1,((A3)+(1))+(0)))=("store"),(INDEX(B1:XFD1,((A3)+(1))+(1)))=("S"),"false"),B3,S291),S291))</f>
        <v>#VALUE!</v>
      </c>
      <c r="T291" t="e">
        <f ca="1">IF((A1)=(2),"",IF((287)=(T4),IF(IF((INDEX(B1:XFD1,((A3)+(1))+(0)))=("store"),(INDEX(B1:XFD1,((A3)+(1))+(1)))=("T"),"false"),B3,T291),T291))</f>
        <v>#VALUE!</v>
      </c>
      <c r="U291" t="e">
        <f ca="1">IF((A1)=(2),"",IF((287)=(U4),IF(IF((INDEX(B1:XFD1,((A3)+(1))+(0)))=("store"),(INDEX(B1:XFD1,((A3)+(1))+(1)))=("U"),"false"),B3,U291),U291))</f>
        <v>#VALUE!</v>
      </c>
      <c r="V291" t="e">
        <f ca="1">IF((A1)=(2),"",IF((287)=(V4),IF(IF((INDEX(B1:XFD1,((A3)+(1))+(0)))=("store"),(INDEX(B1:XFD1,((A3)+(1))+(1)))=("V"),"false"),B3,V291),V291))</f>
        <v>#VALUE!</v>
      </c>
      <c r="W291" t="e">
        <f ca="1">IF((A1)=(2),"",IF((287)=(W4),IF(IF((INDEX(B1:XFD1,((A3)+(1))+(0)))=("store"),(INDEX(B1:XFD1,((A3)+(1))+(1)))=("W"),"false"),B3,W291),W291))</f>
        <v>#VALUE!</v>
      </c>
      <c r="X291" t="e">
        <f ca="1">IF((A1)=(2),"",IF((287)=(X4),IF(IF((INDEX(B1:XFD1,((A3)+(1))+(0)))=("store"),(INDEX(B1:XFD1,((A3)+(1))+(1)))=("X"),"false"),B3,X291),X291))</f>
        <v>#VALUE!</v>
      </c>
      <c r="Y291" t="e">
        <f ca="1">IF((A1)=(2),"",IF((287)=(Y4),IF(IF((INDEX(B1:XFD1,((A3)+(1))+(0)))=("store"),(INDEX(B1:XFD1,((A3)+(1))+(1)))=("Y"),"false"),B3,Y291),Y291))</f>
        <v>#VALUE!</v>
      </c>
      <c r="Z291" t="e">
        <f ca="1">IF((A1)=(2),"",IF((287)=(Z4),IF(IF((INDEX(B1:XFD1,((A3)+(1))+(0)))=("store"),(INDEX(B1:XFD1,((A3)+(1))+(1)))=("Z"),"false"),B3,Z291),Z291))</f>
        <v>#VALUE!</v>
      </c>
      <c r="AA291" t="e">
        <f ca="1">IF((A1)=(2),"",IF((287)=(AA4),IF(IF((INDEX(B1:XFD1,((A3)+(1))+(0)))=("store"),(INDEX(B1:XFD1,((A3)+(1))+(1)))=("AA"),"false"),B3,AA291),AA291))</f>
        <v>#VALUE!</v>
      </c>
      <c r="AB291" t="e">
        <f ca="1">IF((A1)=(2),"",IF((287)=(AB4),IF(IF((INDEX(B1:XFD1,((A3)+(1))+(0)))=("store"),(INDEX(B1:XFD1,((A3)+(1))+(1)))=("AB"),"false"),B3,AB291),AB291))</f>
        <v>#VALUE!</v>
      </c>
      <c r="AC291" t="e">
        <f ca="1">IF((A1)=(2),"",IF((287)=(AC4),IF(IF((INDEX(B1:XFD1,((A3)+(1))+(0)))=("store"),(INDEX(B1:XFD1,((A3)+(1))+(1)))=("AC"),"false"),B3,AC291),AC291))</f>
        <v>#VALUE!</v>
      </c>
      <c r="AD291" t="e">
        <f ca="1">IF((A1)=(2),"",IF((287)=(AD4),IF(IF((INDEX(B1:XFD1,((A3)+(1))+(0)))=("store"),(INDEX(B1:XFD1,((A3)+(1))+(1)))=("AD"),"false"),B3,AD291),AD291))</f>
        <v>#VALUE!</v>
      </c>
    </row>
    <row r="292" spans="1:30" x14ac:dyDescent="0.25">
      <c r="A292" t="e">
        <f ca="1">IF((A1)=(2),"",IF((288)=(A4),IF(("call")=(INDEX(B1:XFD1,((A3)+(1))+(0))),(B3)*(2),IF(("goto")=(INDEX(B1:XFD1,((A3)+(1))+(0))),(INDEX(B1:XFD1,((A3)+(1))+(1)))*(2),IF(("gotoiftrue")=(INDEX(B1:XFD1,((A3)+(1))+(0))),IF(B3,(INDEX(B1:XFD1,((A3)+(1))+(1)))*(2),(A292)+(2)),(A292)+(2)))),A292))</f>
        <v>#VALUE!</v>
      </c>
      <c r="B292" t="e">
        <f ca="1">IF((A1)=(2),"",IF((288)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292)+(1)),IF(("add")=(INDEX(B1:XFD1,((A3)+(1))+(0))),(INDEX(B5:B405,(B4)+(1)))+(B292),IF(("equals")=(INDEX(B1:XFD1,((A3)+(1))+(0))),(INDEX(B5:B405,(B4)+(1)))=(B292),IF(("leq")=(INDEX(B1:XFD1,((A3)+(1))+(0))),(INDEX(B5:B405,(B4)+(1)))&lt;=(B292),IF(("greater")=(INDEX(B1:XFD1,((A3)+(1))+(0))),(INDEX(B5:B405,(B4)+(1)))&gt;(B292),IF(("mod")=(INDEX(B1:XFD1,((A3)+(1))+(0))),MOD(INDEX(B5:B405,(B4)+(1)),B292),B292))))))))),B292))</f>
        <v>#VALUE!</v>
      </c>
      <c r="C292" t="e">
        <f ca="1">IF((A1)=(2),1,IF(AND((INDEX(B1:XFD1,((A3)+(1))+(0)))=("writeheap"),(INDEX(B5:B405,(B4)+(1)))=(287)),INDEX(B5:B405,(B4)+(2)),IF((A1)=(2),"",IF((288)=(C4),C292,C292))))</f>
        <v>#VALUE!</v>
      </c>
      <c r="F292" t="e">
        <f ca="1">IF((A1)=(2),"",IF((288)=(F4),IF(IF((INDEX(B1:XFD1,((A3)+(1))+(0)))=("store"),(INDEX(B1:XFD1,((A3)+(1))+(1)))=("F"),"false"),B3,F292),F292))</f>
        <v>#VALUE!</v>
      </c>
      <c r="G292" t="e">
        <f ca="1">IF((A1)=(2),"",IF((288)=(G4),IF(IF((INDEX(B1:XFD1,((A3)+(1))+(0)))=("store"),(INDEX(B1:XFD1,((A3)+(1))+(1)))=("G"),"false"),B3,G292),G292))</f>
        <v>#VALUE!</v>
      </c>
      <c r="H292" t="e">
        <f ca="1">IF((A1)=(2),"",IF((288)=(H4),IF(IF((INDEX(B1:XFD1,((A3)+(1))+(0)))=("store"),(INDEX(B1:XFD1,((A3)+(1))+(1)))=("H"),"false"),B3,H292),H292))</f>
        <v>#VALUE!</v>
      </c>
      <c r="I292" t="e">
        <f ca="1">IF((A1)=(2),"",IF((288)=(I4),IF(IF((INDEX(B1:XFD1,((A3)+(1))+(0)))=("store"),(INDEX(B1:XFD1,((A3)+(1))+(1)))=("I"),"false"),B3,I292),I292))</f>
        <v>#VALUE!</v>
      </c>
      <c r="J292" t="e">
        <f ca="1">IF((A1)=(2),"",IF((288)=(J4),IF(IF((INDEX(B1:XFD1,((A3)+(1))+(0)))=("store"),(INDEX(B1:XFD1,((A3)+(1))+(1)))=("J"),"false"),B3,J292),J292))</f>
        <v>#VALUE!</v>
      </c>
      <c r="K292" t="e">
        <f ca="1">IF((A1)=(2),"",IF((288)=(K4),IF(IF((INDEX(B1:XFD1,((A3)+(1))+(0)))=("store"),(INDEX(B1:XFD1,((A3)+(1))+(1)))=("K"),"false"),B3,K292),K292))</f>
        <v>#VALUE!</v>
      </c>
      <c r="L292" t="e">
        <f ca="1">IF((A1)=(2),"",IF((288)=(L4),IF(IF((INDEX(B1:XFD1,((A3)+(1))+(0)))=("store"),(INDEX(B1:XFD1,((A3)+(1))+(1)))=("L"),"false"),B3,L292),L292))</f>
        <v>#VALUE!</v>
      </c>
      <c r="M292" t="e">
        <f ca="1">IF((A1)=(2),"",IF((288)=(M4),IF(IF((INDEX(B1:XFD1,((A3)+(1))+(0)))=("store"),(INDEX(B1:XFD1,((A3)+(1))+(1)))=("M"),"false"),B3,M292),M292))</f>
        <v>#VALUE!</v>
      </c>
      <c r="N292" t="e">
        <f ca="1">IF((A1)=(2),"",IF((288)=(N4),IF(IF((INDEX(B1:XFD1,((A3)+(1))+(0)))=("store"),(INDEX(B1:XFD1,((A3)+(1))+(1)))=("N"),"false"),B3,N292),N292))</f>
        <v>#VALUE!</v>
      </c>
      <c r="O292" t="e">
        <f ca="1">IF((A1)=(2),"",IF((288)=(O4),IF(IF((INDEX(B1:XFD1,((A3)+(1))+(0)))=("store"),(INDEX(B1:XFD1,((A3)+(1))+(1)))=("O"),"false"),B3,O292),O292))</f>
        <v>#VALUE!</v>
      </c>
      <c r="P292" t="e">
        <f ca="1">IF((A1)=(2),"",IF((288)=(P4),IF(IF((INDEX(B1:XFD1,((A3)+(1))+(0)))=("store"),(INDEX(B1:XFD1,((A3)+(1))+(1)))=("P"),"false"),B3,P292),P292))</f>
        <v>#VALUE!</v>
      </c>
      <c r="Q292" t="e">
        <f ca="1">IF((A1)=(2),"",IF((288)=(Q4),IF(IF((INDEX(B1:XFD1,((A3)+(1))+(0)))=("store"),(INDEX(B1:XFD1,((A3)+(1))+(1)))=("Q"),"false"),B3,Q292),Q292))</f>
        <v>#VALUE!</v>
      </c>
      <c r="R292" t="e">
        <f ca="1">IF((A1)=(2),"",IF((288)=(R4),IF(IF((INDEX(B1:XFD1,((A3)+(1))+(0)))=("store"),(INDEX(B1:XFD1,((A3)+(1))+(1)))=("R"),"false"),B3,R292),R292))</f>
        <v>#VALUE!</v>
      </c>
      <c r="S292" t="e">
        <f ca="1">IF((A1)=(2),"",IF((288)=(S4),IF(IF((INDEX(B1:XFD1,((A3)+(1))+(0)))=("store"),(INDEX(B1:XFD1,((A3)+(1))+(1)))=("S"),"false"),B3,S292),S292))</f>
        <v>#VALUE!</v>
      </c>
      <c r="T292" t="e">
        <f ca="1">IF((A1)=(2),"",IF((288)=(T4),IF(IF((INDEX(B1:XFD1,((A3)+(1))+(0)))=("store"),(INDEX(B1:XFD1,((A3)+(1))+(1)))=("T"),"false"),B3,T292),T292))</f>
        <v>#VALUE!</v>
      </c>
      <c r="U292" t="e">
        <f ca="1">IF((A1)=(2),"",IF((288)=(U4),IF(IF((INDEX(B1:XFD1,((A3)+(1))+(0)))=("store"),(INDEX(B1:XFD1,((A3)+(1))+(1)))=("U"),"false"),B3,U292),U292))</f>
        <v>#VALUE!</v>
      </c>
      <c r="V292" t="e">
        <f ca="1">IF((A1)=(2),"",IF((288)=(V4),IF(IF((INDEX(B1:XFD1,((A3)+(1))+(0)))=("store"),(INDEX(B1:XFD1,((A3)+(1))+(1)))=("V"),"false"),B3,V292),V292))</f>
        <v>#VALUE!</v>
      </c>
      <c r="W292" t="e">
        <f ca="1">IF((A1)=(2),"",IF((288)=(W4),IF(IF((INDEX(B1:XFD1,((A3)+(1))+(0)))=("store"),(INDEX(B1:XFD1,((A3)+(1))+(1)))=("W"),"false"),B3,W292),W292))</f>
        <v>#VALUE!</v>
      </c>
      <c r="X292" t="e">
        <f ca="1">IF((A1)=(2),"",IF((288)=(X4),IF(IF((INDEX(B1:XFD1,((A3)+(1))+(0)))=("store"),(INDEX(B1:XFD1,((A3)+(1))+(1)))=("X"),"false"),B3,X292),X292))</f>
        <v>#VALUE!</v>
      </c>
      <c r="Y292" t="e">
        <f ca="1">IF((A1)=(2),"",IF((288)=(Y4),IF(IF((INDEX(B1:XFD1,((A3)+(1))+(0)))=("store"),(INDEX(B1:XFD1,((A3)+(1))+(1)))=("Y"),"false"),B3,Y292),Y292))</f>
        <v>#VALUE!</v>
      </c>
      <c r="Z292" t="e">
        <f ca="1">IF((A1)=(2),"",IF((288)=(Z4),IF(IF((INDEX(B1:XFD1,((A3)+(1))+(0)))=("store"),(INDEX(B1:XFD1,((A3)+(1))+(1)))=("Z"),"false"),B3,Z292),Z292))</f>
        <v>#VALUE!</v>
      </c>
      <c r="AA292" t="e">
        <f ca="1">IF((A1)=(2),"",IF((288)=(AA4),IF(IF((INDEX(B1:XFD1,((A3)+(1))+(0)))=("store"),(INDEX(B1:XFD1,((A3)+(1))+(1)))=("AA"),"false"),B3,AA292),AA292))</f>
        <v>#VALUE!</v>
      </c>
      <c r="AB292" t="e">
        <f ca="1">IF((A1)=(2),"",IF((288)=(AB4),IF(IF((INDEX(B1:XFD1,((A3)+(1))+(0)))=("store"),(INDEX(B1:XFD1,((A3)+(1))+(1)))=("AB"),"false"),B3,AB292),AB292))</f>
        <v>#VALUE!</v>
      </c>
      <c r="AC292" t="e">
        <f ca="1">IF((A1)=(2),"",IF((288)=(AC4),IF(IF((INDEX(B1:XFD1,((A3)+(1))+(0)))=("store"),(INDEX(B1:XFD1,((A3)+(1))+(1)))=("AC"),"false"),B3,AC292),AC292))</f>
        <v>#VALUE!</v>
      </c>
      <c r="AD292" t="e">
        <f ca="1">IF((A1)=(2),"",IF((288)=(AD4),IF(IF((INDEX(B1:XFD1,((A3)+(1))+(0)))=("store"),(INDEX(B1:XFD1,((A3)+(1))+(1)))=("AD"),"false"),B3,AD292),AD292))</f>
        <v>#VALUE!</v>
      </c>
    </row>
    <row r="293" spans="1:30" x14ac:dyDescent="0.25">
      <c r="A293" t="e">
        <f ca="1">IF((A1)=(2),"",IF((289)=(A4),IF(("call")=(INDEX(B1:XFD1,((A3)+(1))+(0))),(B3)*(2),IF(("goto")=(INDEX(B1:XFD1,((A3)+(1))+(0))),(INDEX(B1:XFD1,((A3)+(1))+(1)))*(2),IF(("gotoiftrue")=(INDEX(B1:XFD1,((A3)+(1))+(0))),IF(B3,(INDEX(B1:XFD1,((A3)+(1))+(1)))*(2),(A293)+(2)),(A293)+(2)))),A293))</f>
        <v>#VALUE!</v>
      </c>
      <c r="B293" t="e">
        <f ca="1">IF((A1)=(2),"",IF((289)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293)+(1)),IF(("add")=(INDEX(B1:XFD1,((A3)+(1))+(0))),(INDEX(B5:B405,(B4)+(1)))+(B293),IF(("equals")=(INDEX(B1:XFD1,((A3)+(1))+(0))),(INDEX(B5:B405,(B4)+(1)))=(B293),IF(("leq")=(INDEX(B1:XFD1,((A3)+(1))+(0))),(INDEX(B5:B405,(B4)+(1)))&lt;=(B293),IF(("greater")=(INDEX(B1:XFD1,((A3)+(1))+(0))),(INDEX(B5:B405,(B4)+(1)))&gt;(B293),IF(("mod")=(INDEX(B1:XFD1,((A3)+(1))+(0))),MOD(INDEX(B5:B405,(B4)+(1)),B293),B293))))))))),B293))</f>
        <v>#VALUE!</v>
      </c>
      <c r="C293" t="e">
        <f ca="1">IF((A1)=(2),1,IF(AND((INDEX(B1:XFD1,((A3)+(1))+(0)))=("writeheap"),(INDEX(B5:B405,(B4)+(1)))=(288)),INDEX(B5:B405,(B4)+(2)),IF((A1)=(2),"",IF((289)=(C4),C293,C293))))</f>
        <v>#VALUE!</v>
      </c>
      <c r="F293" t="e">
        <f ca="1">IF((A1)=(2),"",IF((289)=(F4),IF(IF((INDEX(B1:XFD1,((A3)+(1))+(0)))=("store"),(INDEX(B1:XFD1,((A3)+(1))+(1)))=("F"),"false"),B3,F293),F293))</f>
        <v>#VALUE!</v>
      </c>
      <c r="G293" t="e">
        <f ca="1">IF((A1)=(2),"",IF((289)=(G4),IF(IF((INDEX(B1:XFD1,((A3)+(1))+(0)))=("store"),(INDEX(B1:XFD1,((A3)+(1))+(1)))=("G"),"false"),B3,G293),G293))</f>
        <v>#VALUE!</v>
      </c>
      <c r="H293" t="e">
        <f ca="1">IF((A1)=(2),"",IF((289)=(H4),IF(IF((INDEX(B1:XFD1,((A3)+(1))+(0)))=("store"),(INDEX(B1:XFD1,((A3)+(1))+(1)))=("H"),"false"),B3,H293),H293))</f>
        <v>#VALUE!</v>
      </c>
      <c r="I293" t="e">
        <f ca="1">IF((A1)=(2),"",IF((289)=(I4),IF(IF((INDEX(B1:XFD1,((A3)+(1))+(0)))=("store"),(INDEX(B1:XFD1,((A3)+(1))+(1)))=("I"),"false"),B3,I293),I293))</f>
        <v>#VALUE!</v>
      </c>
      <c r="J293" t="e">
        <f ca="1">IF((A1)=(2),"",IF((289)=(J4),IF(IF((INDEX(B1:XFD1,((A3)+(1))+(0)))=("store"),(INDEX(B1:XFD1,((A3)+(1))+(1)))=("J"),"false"),B3,J293),J293))</f>
        <v>#VALUE!</v>
      </c>
      <c r="K293" t="e">
        <f ca="1">IF((A1)=(2),"",IF((289)=(K4),IF(IF((INDEX(B1:XFD1,((A3)+(1))+(0)))=("store"),(INDEX(B1:XFD1,((A3)+(1))+(1)))=("K"),"false"),B3,K293),K293))</f>
        <v>#VALUE!</v>
      </c>
      <c r="L293" t="e">
        <f ca="1">IF((A1)=(2),"",IF((289)=(L4),IF(IF((INDEX(B1:XFD1,((A3)+(1))+(0)))=("store"),(INDEX(B1:XFD1,((A3)+(1))+(1)))=("L"),"false"),B3,L293),L293))</f>
        <v>#VALUE!</v>
      </c>
      <c r="M293" t="e">
        <f ca="1">IF((A1)=(2),"",IF((289)=(M4),IF(IF((INDEX(B1:XFD1,((A3)+(1))+(0)))=("store"),(INDEX(B1:XFD1,((A3)+(1))+(1)))=("M"),"false"),B3,M293),M293))</f>
        <v>#VALUE!</v>
      </c>
      <c r="N293" t="e">
        <f ca="1">IF((A1)=(2),"",IF((289)=(N4),IF(IF((INDEX(B1:XFD1,((A3)+(1))+(0)))=("store"),(INDEX(B1:XFD1,((A3)+(1))+(1)))=("N"),"false"),B3,N293),N293))</f>
        <v>#VALUE!</v>
      </c>
      <c r="O293" t="e">
        <f ca="1">IF((A1)=(2),"",IF((289)=(O4),IF(IF((INDEX(B1:XFD1,((A3)+(1))+(0)))=("store"),(INDEX(B1:XFD1,((A3)+(1))+(1)))=("O"),"false"),B3,O293),O293))</f>
        <v>#VALUE!</v>
      </c>
      <c r="P293" t="e">
        <f ca="1">IF((A1)=(2),"",IF((289)=(P4),IF(IF((INDEX(B1:XFD1,((A3)+(1))+(0)))=("store"),(INDEX(B1:XFD1,((A3)+(1))+(1)))=("P"),"false"),B3,P293),P293))</f>
        <v>#VALUE!</v>
      </c>
      <c r="Q293" t="e">
        <f ca="1">IF((A1)=(2),"",IF((289)=(Q4),IF(IF((INDEX(B1:XFD1,((A3)+(1))+(0)))=("store"),(INDEX(B1:XFD1,((A3)+(1))+(1)))=("Q"),"false"),B3,Q293),Q293))</f>
        <v>#VALUE!</v>
      </c>
      <c r="R293" t="e">
        <f ca="1">IF((A1)=(2),"",IF((289)=(R4),IF(IF((INDEX(B1:XFD1,((A3)+(1))+(0)))=("store"),(INDEX(B1:XFD1,((A3)+(1))+(1)))=("R"),"false"),B3,R293),R293))</f>
        <v>#VALUE!</v>
      </c>
      <c r="S293" t="e">
        <f ca="1">IF((A1)=(2),"",IF((289)=(S4),IF(IF((INDEX(B1:XFD1,((A3)+(1))+(0)))=("store"),(INDEX(B1:XFD1,((A3)+(1))+(1)))=("S"),"false"),B3,S293),S293))</f>
        <v>#VALUE!</v>
      </c>
      <c r="T293" t="e">
        <f ca="1">IF((A1)=(2),"",IF((289)=(T4),IF(IF((INDEX(B1:XFD1,((A3)+(1))+(0)))=("store"),(INDEX(B1:XFD1,((A3)+(1))+(1)))=("T"),"false"),B3,T293),T293))</f>
        <v>#VALUE!</v>
      </c>
      <c r="U293" t="e">
        <f ca="1">IF((A1)=(2),"",IF((289)=(U4),IF(IF((INDEX(B1:XFD1,((A3)+(1))+(0)))=("store"),(INDEX(B1:XFD1,((A3)+(1))+(1)))=("U"),"false"),B3,U293),U293))</f>
        <v>#VALUE!</v>
      </c>
      <c r="V293" t="e">
        <f ca="1">IF((A1)=(2),"",IF((289)=(V4),IF(IF((INDEX(B1:XFD1,((A3)+(1))+(0)))=("store"),(INDEX(B1:XFD1,((A3)+(1))+(1)))=("V"),"false"),B3,V293),V293))</f>
        <v>#VALUE!</v>
      </c>
      <c r="W293" t="e">
        <f ca="1">IF((A1)=(2),"",IF((289)=(W4),IF(IF((INDEX(B1:XFD1,((A3)+(1))+(0)))=("store"),(INDEX(B1:XFD1,((A3)+(1))+(1)))=("W"),"false"),B3,W293),W293))</f>
        <v>#VALUE!</v>
      </c>
      <c r="X293" t="e">
        <f ca="1">IF((A1)=(2),"",IF((289)=(X4),IF(IF((INDEX(B1:XFD1,((A3)+(1))+(0)))=("store"),(INDEX(B1:XFD1,((A3)+(1))+(1)))=("X"),"false"),B3,X293),X293))</f>
        <v>#VALUE!</v>
      </c>
      <c r="Y293" t="e">
        <f ca="1">IF((A1)=(2),"",IF((289)=(Y4),IF(IF((INDEX(B1:XFD1,((A3)+(1))+(0)))=("store"),(INDEX(B1:XFD1,((A3)+(1))+(1)))=("Y"),"false"),B3,Y293),Y293))</f>
        <v>#VALUE!</v>
      </c>
      <c r="Z293" t="e">
        <f ca="1">IF((A1)=(2),"",IF((289)=(Z4),IF(IF((INDEX(B1:XFD1,((A3)+(1))+(0)))=("store"),(INDEX(B1:XFD1,((A3)+(1))+(1)))=("Z"),"false"),B3,Z293),Z293))</f>
        <v>#VALUE!</v>
      </c>
      <c r="AA293" t="e">
        <f ca="1">IF((A1)=(2),"",IF((289)=(AA4),IF(IF((INDEX(B1:XFD1,((A3)+(1))+(0)))=("store"),(INDEX(B1:XFD1,((A3)+(1))+(1)))=("AA"),"false"),B3,AA293),AA293))</f>
        <v>#VALUE!</v>
      </c>
      <c r="AB293" t="e">
        <f ca="1">IF((A1)=(2),"",IF((289)=(AB4),IF(IF((INDEX(B1:XFD1,((A3)+(1))+(0)))=("store"),(INDEX(B1:XFD1,((A3)+(1))+(1)))=("AB"),"false"),B3,AB293),AB293))</f>
        <v>#VALUE!</v>
      </c>
      <c r="AC293" t="e">
        <f ca="1">IF((A1)=(2),"",IF((289)=(AC4),IF(IF((INDEX(B1:XFD1,((A3)+(1))+(0)))=("store"),(INDEX(B1:XFD1,((A3)+(1))+(1)))=("AC"),"false"),B3,AC293),AC293))</f>
        <v>#VALUE!</v>
      </c>
      <c r="AD293" t="e">
        <f ca="1">IF((A1)=(2),"",IF((289)=(AD4),IF(IF((INDEX(B1:XFD1,((A3)+(1))+(0)))=("store"),(INDEX(B1:XFD1,((A3)+(1))+(1)))=("AD"),"false"),B3,AD293),AD293))</f>
        <v>#VALUE!</v>
      </c>
    </row>
    <row r="294" spans="1:30" x14ac:dyDescent="0.25">
      <c r="A294" t="e">
        <f ca="1">IF((A1)=(2),"",IF((290)=(A4),IF(("call")=(INDEX(B1:XFD1,((A3)+(1))+(0))),(B3)*(2),IF(("goto")=(INDEX(B1:XFD1,((A3)+(1))+(0))),(INDEX(B1:XFD1,((A3)+(1))+(1)))*(2),IF(("gotoiftrue")=(INDEX(B1:XFD1,((A3)+(1))+(0))),IF(B3,(INDEX(B1:XFD1,((A3)+(1))+(1)))*(2),(A294)+(2)),(A294)+(2)))),A294))</f>
        <v>#VALUE!</v>
      </c>
      <c r="B294" t="e">
        <f ca="1">IF((A1)=(2),"",IF((290)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294)+(1)),IF(("add")=(INDEX(B1:XFD1,((A3)+(1))+(0))),(INDEX(B5:B405,(B4)+(1)))+(B294),IF(("equals")=(INDEX(B1:XFD1,((A3)+(1))+(0))),(INDEX(B5:B405,(B4)+(1)))=(B294),IF(("leq")=(INDEX(B1:XFD1,((A3)+(1))+(0))),(INDEX(B5:B405,(B4)+(1)))&lt;=(B294),IF(("greater")=(INDEX(B1:XFD1,((A3)+(1))+(0))),(INDEX(B5:B405,(B4)+(1)))&gt;(B294),IF(("mod")=(INDEX(B1:XFD1,((A3)+(1))+(0))),MOD(INDEX(B5:B405,(B4)+(1)),B294),B294))))))))),B294))</f>
        <v>#VALUE!</v>
      </c>
      <c r="C294" t="e">
        <f ca="1">IF((A1)=(2),1,IF(AND((INDEX(B1:XFD1,((A3)+(1))+(0)))=("writeheap"),(INDEX(B5:B405,(B4)+(1)))=(289)),INDEX(B5:B405,(B4)+(2)),IF((A1)=(2),"",IF((290)=(C4),C294,C294))))</f>
        <v>#VALUE!</v>
      </c>
      <c r="F294" t="e">
        <f ca="1">IF((A1)=(2),"",IF((290)=(F4),IF(IF((INDEX(B1:XFD1,((A3)+(1))+(0)))=("store"),(INDEX(B1:XFD1,((A3)+(1))+(1)))=("F"),"false"),B3,F294),F294))</f>
        <v>#VALUE!</v>
      </c>
      <c r="G294" t="e">
        <f ca="1">IF((A1)=(2),"",IF((290)=(G4),IF(IF((INDEX(B1:XFD1,((A3)+(1))+(0)))=("store"),(INDEX(B1:XFD1,((A3)+(1))+(1)))=("G"),"false"),B3,G294),G294))</f>
        <v>#VALUE!</v>
      </c>
      <c r="H294" t="e">
        <f ca="1">IF((A1)=(2),"",IF((290)=(H4),IF(IF((INDEX(B1:XFD1,((A3)+(1))+(0)))=("store"),(INDEX(B1:XFD1,((A3)+(1))+(1)))=("H"),"false"),B3,H294),H294))</f>
        <v>#VALUE!</v>
      </c>
      <c r="I294" t="e">
        <f ca="1">IF((A1)=(2),"",IF((290)=(I4),IF(IF((INDEX(B1:XFD1,((A3)+(1))+(0)))=("store"),(INDEX(B1:XFD1,((A3)+(1))+(1)))=("I"),"false"),B3,I294),I294))</f>
        <v>#VALUE!</v>
      </c>
      <c r="J294" t="e">
        <f ca="1">IF((A1)=(2),"",IF((290)=(J4),IF(IF((INDEX(B1:XFD1,((A3)+(1))+(0)))=("store"),(INDEX(B1:XFD1,((A3)+(1))+(1)))=("J"),"false"),B3,J294),J294))</f>
        <v>#VALUE!</v>
      </c>
      <c r="K294" t="e">
        <f ca="1">IF((A1)=(2),"",IF((290)=(K4),IF(IF((INDEX(B1:XFD1,((A3)+(1))+(0)))=("store"),(INDEX(B1:XFD1,((A3)+(1))+(1)))=("K"),"false"),B3,K294),K294))</f>
        <v>#VALUE!</v>
      </c>
      <c r="L294" t="e">
        <f ca="1">IF((A1)=(2),"",IF((290)=(L4),IF(IF((INDEX(B1:XFD1,((A3)+(1))+(0)))=("store"),(INDEX(B1:XFD1,((A3)+(1))+(1)))=("L"),"false"),B3,L294),L294))</f>
        <v>#VALUE!</v>
      </c>
      <c r="M294" t="e">
        <f ca="1">IF((A1)=(2),"",IF((290)=(M4),IF(IF((INDEX(B1:XFD1,((A3)+(1))+(0)))=("store"),(INDEX(B1:XFD1,((A3)+(1))+(1)))=("M"),"false"),B3,M294),M294))</f>
        <v>#VALUE!</v>
      </c>
      <c r="N294" t="e">
        <f ca="1">IF((A1)=(2),"",IF((290)=(N4),IF(IF((INDEX(B1:XFD1,((A3)+(1))+(0)))=("store"),(INDEX(B1:XFD1,((A3)+(1))+(1)))=("N"),"false"),B3,N294),N294))</f>
        <v>#VALUE!</v>
      </c>
      <c r="O294" t="e">
        <f ca="1">IF((A1)=(2),"",IF((290)=(O4),IF(IF((INDEX(B1:XFD1,((A3)+(1))+(0)))=("store"),(INDEX(B1:XFD1,((A3)+(1))+(1)))=("O"),"false"),B3,O294),O294))</f>
        <v>#VALUE!</v>
      </c>
      <c r="P294" t="e">
        <f ca="1">IF((A1)=(2),"",IF((290)=(P4),IF(IF((INDEX(B1:XFD1,((A3)+(1))+(0)))=("store"),(INDEX(B1:XFD1,((A3)+(1))+(1)))=("P"),"false"),B3,P294),P294))</f>
        <v>#VALUE!</v>
      </c>
      <c r="Q294" t="e">
        <f ca="1">IF((A1)=(2),"",IF((290)=(Q4),IF(IF((INDEX(B1:XFD1,((A3)+(1))+(0)))=("store"),(INDEX(B1:XFD1,((A3)+(1))+(1)))=("Q"),"false"),B3,Q294),Q294))</f>
        <v>#VALUE!</v>
      </c>
      <c r="R294" t="e">
        <f ca="1">IF((A1)=(2),"",IF((290)=(R4),IF(IF((INDEX(B1:XFD1,((A3)+(1))+(0)))=("store"),(INDEX(B1:XFD1,((A3)+(1))+(1)))=("R"),"false"),B3,R294),R294))</f>
        <v>#VALUE!</v>
      </c>
      <c r="S294" t="e">
        <f ca="1">IF((A1)=(2),"",IF((290)=(S4),IF(IF((INDEX(B1:XFD1,((A3)+(1))+(0)))=("store"),(INDEX(B1:XFD1,((A3)+(1))+(1)))=("S"),"false"),B3,S294),S294))</f>
        <v>#VALUE!</v>
      </c>
      <c r="T294" t="e">
        <f ca="1">IF((A1)=(2),"",IF((290)=(T4),IF(IF((INDEX(B1:XFD1,((A3)+(1))+(0)))=("store"),(INDEX(B1:XFD1,((A3)+(1))+(1)))=("T"),"false"),B3,T294),T294))</f>
        <v>#VALUE!</v>
      </c>
      <c r="U294" t="e">
        <f ca="1">IF((A1)=(2),"",IF((290)=(U4),IF(IF((INDEX(B1:XFD1,((A3)+(1))+(0)))=("store"),(INDEX(B1:XFD1,((A3)+(1))+(1)))=("U"),"false"),B3,U294),U294))</f>
        <v>#VALUE!</v>
      </c>
      <c r="V294" t="e">
        <f ca="1">IF((A1)=(2),"",IF((290)=(V4),IF(IF((INDEX(B1:XFD1,((A3)+(1))+(0)))=("store"),(INDEX(B1:XFD1,((A3)+(1))+(1)))=("V"),"false"),B3,V294),V294))</f>
        <v>#VALUE!</v>
      </c>
      <c r="W294" t="e">
        <f ca="1">IF((A1)=(2),"",IF((290)=(W4),IF(IF((INDEX(B1:XFD1,((A3)+(1))+(0)))=("store"),(INDEX(B1:XFD1,((A3)+(1))+(1)))=("W"),"false"),B3,W294),W294))</f>
        <v>#VALUE!</v>
      </c>
      <c r="X294" t="e">
        <f ca="1">IF((A1)=(2),"",IF((290)=(X4),IF(IF((INDEX(B1:XFD1,((A3)+(1))+(0)))=("store"),(INDEX(B1:XFD1,((A3)+(1))+(1)))=("X"),"false"),B3,X294),X294))</f>
        <v>#VALUE!</v>
      </c>
      <c r="Y294" t="e">
        <f ca="1">IF((A1)=(2),"",IF((290)=(Y4),IF(IF((INDEX(B1:XFD1,((A3)+(1))+(0)))=("store"),(INDEX(B1:XFD1,((A3)+(1))+(1)))=("Y"),"false"),B3,Y294),Y294))</f>
        <v>#VALUE!</v>
      </c>
      <c r="Z294" t="e">
        <f ca="1">IF((A1)=(2),"",IF((290)=(Z4),IF(IF((INDEX(B1:XFD1,((A3)+(1))+(0)))=("store"),(INDEX(B1:XFD1,((A3)+(1))+(1)))=("Z"),"false"),B3,Z294),Z294))</f>
        <v>#VALUE!</v>
      </c>
      <c r="AA294" t="e">
        <f ca="1">IF((A1)=(2),"",IF((290)=(AA4),IF(IF((INDEX(B1:XFD1,((A3)+(1))+(0)))=("store"),(INDEX(B1:XFD1,((A3)+(1))+(1)))=("AA"),"false"),B3,AA294),AA294))</f>
        <v>#VALUE!</v>
      </c>
      <c r="AB294" t="e">
        <f ca="1">IF((A1)=(2),"",IF((290)=(AB4),IF(IF((INDEX(B1:XFD1,((A3)+(1))+(0)))=("store"),(INDEX(B1:XFD1,((A3)+(1))+(1)))=("AB"),"false"),B3,AB294),AB294))</f>
        <v>#VALUE!</v>
      </c>
      <c r="AC294" t="e">
        <f ca="1">IF((A1)=(2),"",IF((290)=(AC4),IF(IF((INDEX(B1:XFD1,((A3)+(1))+(0)))=("store"),(INDEX(B1:XFD1,((A3)+(1))+(1)))=("AC"),"false"),B3,AC294),AC294))</f>
        <v>#VALUE!</v>
      </c>
      <c r="AD294" t="e">
        <f ca="1">IF((A1)=(2),"",IF((290)=(AD4),IF(IF((INDEX(B1:XFD1,((A3)+(1))+(0)))=("store"),(INDEX(B1:XFD1,((A3)+(1))+(1)))=("AD"),"false"),B3,AD294),AD294))</f>
        <v>#VALUE!</v>
      </c>
    </row>
    <row r="295" spans="1:30" x14ac:dyDescent="0.25">
      <c r="A295" t="e">
        <f ca="1">IF((A1)=(2),"",IF((291)=(A4),IF(("call")=(INDEX(B1:XFD1,((A3)+(1))+(0))),(B3)*(2),IF(("goto")=(INDEX(B1:XFD1,((A3)+(1))+(0))),(INDEX(B1:XFD1,((A3)+(1))+(1)))*(2),IF(("gotoiftrue")=(INDEX(B1:XFD1,((A3)+(1))+(0))),IF(B3,(INDEX(B1:XFD1,((A3)+(1))+(1)))*(2),(A295)+(2)),(A295)+(2)))),A295))</f>
        <v>#VALUE!</v>
      </c>
      <c r="B295" t="e">
        <f ca="1">IF((A1)=(2),"",IF((291)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295)+(1)),IF(("add")=(INDEX(B1:XFD1,((A3)+(1))+(0))),(INDEX(B5:B405,(B4)+(1)))+(B295),IF(("equals")=(INDEX(B1:XFD1,((A3)+(1))+(0))),(INDEX(B5:B405,(B4)+(1)))=(B295),IF(("leq")=(INDEX(B1:XFD1,((A3)+(1))+(0))),(INDEX(B5:B405,(B4)+(1)))&lt;=(B295),IF(("greater")=(INDEX(B1:XFD1,((A3)+(1))+(0))),(INDEX(B5:B405,(B4)+(1)))&gt;(B295),IF(("mod")=(INDEX(B1:XFD1,((A3)+(1))+(0))),MOD(INDEX(B5:B405,(B4)+(1)),B295),B295))))))))),B295))</f>
        <v>#VALUE!</v>
      </c>
      <c r="C295" t="e">
        <f ca="1">IF((A1)=(2),1,IF(AND((INDEX(B1:XFD1,((A3)+(1))+(0)))=("writeheap"),(INDEX(B5:B405,(B4)+(1)))=(290)),INDEX(B5:B405,(B4)+(2)),IF((A1)=(2),"",IF((291)=(C4),C295,C295))))</f>
        <v>#VALUE!</v>
      </c>
      <c r="F295" t="e">
        <f ca="1">IF((A1)=(2),"",IF((291)=(F4),IF(IF((INDEX(B1:XFD1,((A3)+(1))+(0)))=("store"),(INDEX(B1:XFD1,((A3)+(1))+(1)))=("F"),"false"),B3,F295),F295))</f>
        <v>#VALUE!</v>
      </c>
      <c r="G295" t="e">
        <f ca="1">IF((A1)=(2),"",IF((291)=(G4),IF(IF((INDEX(B1:XFD1,((A3)+(1))+(0)))=("store"),(INDEX(B1:XFD1,((A3)+(1))+(1)))=("G"),"false"),B3,G295),G295))</f>
        <v>#VALUE!</v>
      </c>
      <c r="H295" t="e">
        <f ca="1">IF((A1)=(2),"",IF((291)=(H4),IF(IF((INDEX(B1:XFD1,((A3)+(1))+(0)))=("store"),(INDEX(B1:XFD1,((A3)+(1))+(1)))=("H"),"false"),B3,H295),H295))</f>
        <v>#VALUE!</v>
      </c>
      <c r="I295" t="e">
        <f ca="1">IF((A1)=(2),"",IF((291)=(I4),IF(IF((INDEX(B1:XFD1,((A3)+(1))+(0)))=("store"),(INDEX(B1:XFD1,((A3)+(1))+(1)))=("I"),"false"),B3,I295),I295))</f>
        <v>#VALUE!</v>
      </c>
      <c r="J295" t="e">
        <f ca="1">IF((A1)=(2),"",IF((291)=(J4),IF(IF((INDEX(B1:XFD1,((A3)+(1))+(0)))=("store"),(INDEX(B1:XFD1,((A3)+(1))+(1)))=("J"),"false"),B3,J295),J295))</f>
        <v>#VALUE!</v>
      </c>
      <c r="K295" t="e">
        <f ca="1">IF((A1)=(2),"",IF((291)=(K4),IF(IF((INDEX(B1:XFD1,((A3)+(1))+(0)))=("store"),(INDEX(B1:XFD1,((A3)+(1))+(1)))=("K"),"false"),B3,K295),K295))</f>
        <v>#VALUE!</v>
      </c>
      <c r="L295" t="e">
        <f ca="1">IF((A1)=(2),"",IF((291)=(L4),IF(IF((INDEX(B1:XFD1,((A3)+(1))+(0)))=("store"),(INDEX(B1:XFD1,((A3)+(1))+(1)))=("L"),"false"),B3,L295),L295))</f>
        <v>#VALUE!</v>
      </c>
      <c r="M295" t="e">
        <f ca="1">IF((A1)=(2),"",IF((291)=(M4),IF(IF((INDEX(B1:XFD1,((A3)+(1))+(0)))=("store"),(INDEX(B1:XFD1,((A3)+(1))+(1)))=("M"),"false"),B3,M295),M295))</f>
        <v>#VALUE!</v>
      </c>
      <c r="N295" t="e">
        <f ca="1">IF((A1)=(2),"",IF((291)=(N4),IF(IF((INDEX(B1:XFD1,((A3)+(1))+(0)))=("store"),(INDEX(B1:XFD1,((A3)+(1))+(1)))=("N"),"false"),B3,N295),N295))</f>
        <v>#VALUE!</v>
      </c>
      <c r="O295" t="e">
        <f ca="1">IF((A1)=(2),"",IF((291)=(O4),IF(IF((INDEX(B1:XFD1,((A3)+(1))+(0)))=("store"),(INDEX(B1:XFD1,((A3)+(1))+(1)))=("O"),"false"),B3,O295),O295))</f>
        <v>#VALUE!</v>
      </c>
      <c r="P295" t="e">
        <f ca="1">IF((A1)=(2),"",IF((291)=(P4),IF(IF((INDEX(B1:XFD1,((A3)+(1))+(0)))=("store"),(INDEX(B1:XFD1,((A3)+(1))+(1)))=("P"),"false"),B3,P295),P295))</f>
        <v>#VALUE!</v>
      </c>
      <c r="Q295" t="e">
        <f ca="1">IF((A1)=(2),"",IF((291)=(Q4),IF(IF((INDEX(B1:XFD1,((A3)+(1))+(0)))=("store"),(INDEX(B1:XFD1,((A3)+(1))+(1)))=("Q"),"false"),B3,Q295),Q295))</f>
        <v>#VALUE!</v>
      </c>
      <c r="R295" t="e">
        <f ca="1">IF((A1)=(2),"",IF((291)=(R4),IF(IF((INDEX(B1:XFD1,((A3)+(1))+(0)))=("store"),(INDEX(B1:XFD1,((A3)+(1))+(1)))=("R"),"false"),B3,R295),R295))</f>
        <v>#VALUE!</v>
      </c>
      <c r="S295" t="e">
        <f ca="1">IF((A1)=(2),"",IF((291)=(S4),IF(IF((INDEX(B1:XFD1,((A3)+(1))+(0)))=("store"),(INDEX(B1:XFD1,((A3)+(1))+(1)))=("S"),"false"),B3,S295),S295))</f>
        <v>#VALUE!</v>
      </c>
      <c r="T295" t="e">
        <f ca="1">IF((A1)=(2),"",IF((291)=(T4),IF(IF((INDEX(B1:XFD1,((A3)+(1))+(0)))=("store"),(INDEX(B1:XFD1,((A3)+(1))+(1)))=("T"),"false"),B3,T295),T295))</f>
        <v>#VALUE!</v>
      </c>
      <c r="U295" t="e">
        <f ca="1">IF((A1)=(2),"",IF((291)=(U4),IF(IF((INDEX(B1:XFD1,((A3)+(1))+(0)))=("store"),(INDEX(B1:XFD1,((A3)+(1))+(1)))=("U"),"false"),B3,U295),U295))</f>
        <v>#VALUE!</v>
      </c>
      <c r="V295" t="e">
        <f ca="1">IF((A1)=(2),"",IF((291)=(V4),IF(IF((INDEX(B1:XFD1,((A3)+(1))+(0)))=("store"),(INDEX(B1:XFD1,((A3)+(1))+(1)))=("V"),"false"),B3,V295),V295))</f>
        <v>#VALUE!</v>
      </c>
      <c r="W295" t="e">
        <f ca="1">IF((A1)=(2),"",IF((291)=(W4),IF(IF((INDEX(B1:XFD1,((A3)+(1))+(0)))=("store"),(INDEX(B1:XFD1,((A3)+(1))+(1)))=("W"),"false"),B3,W295),W295))</f>
        <v>#VALUE!</v>
      </c>
      <c r="X295" t="e">
        <f ca="1">IF((A1)=(2),"",IF((291)=(X4),IF(IF((INDEX(B1:XFD1,((A3)+(1))+(0)))=("store"),(INDEX(B1:XFD1,((A3)+(1))+(1)))=("X"),"false"),B3,X295),X295))</f>
        <v>#VALUE!</v>
      </c>
      <c r="Y295" t="e">
        <f ca="1">IF((A1)=(2),"",IF((291)=(Y4),IF(IF((INDEX(B1:XFD1,((A3)+(1))+(0)))=("store"),(INDEX(B1:XFD1,((A3)+(1))+(1)))=("Y"),"false"),B3,Y295),Y295))</f>
        <v>#VALUE!</v>
      </c>
      <c r="Z295" t="e">
        <f ca="1">IF((A1)=(2),"",IF((291)=(Z4),IF(IF((INDEX(B1:XFD1,((A3)+(1))+(0)))=("store"),(INDEX(B1:XFD1,((A3)+(1))+(1)))=("Z"),"false"),B3,Z295),Z295))</f>
        <v>#VALUE!</v>
      </c>
      <c r="AA295" t="e">
        <f ca="1">IF((A1)=(2),"",IF((291)=(AA4),IF(IF((INDEX(B1:XFD1,((A3)+(1))+(0)))=("store"),(INDEX(B1:XFD1,((A3)+(1))+(1)))=("AA"),"false"),B3,AA295),AA295))</f>
        <v>#VALUE!</v>
      </c>
      <c r="AB295" t="e">
        <f ca="1">IF((A1)=(2),"",IF((291)=(AB4),IF(IF((INDEX(B1:XFD1,((A3)+(1))+(0)))=("store"),(INDEX(B1:XFD1,((A3)+(1))+(1)))=("AB"),"false"),B3,AB295),AB295))</f>
        <v>#VALUE!</v>
      </c>
      <c r="AC295" t="e">
        <f ca="1">IF((A1)=(2),"",IF((291)=(AC4),IF(IF((INDEX(B1:XFD1,((A3)+(1))+(0)))=("store"),(INDEX(B1:XFD1,((A3)+(1))+(1)))=("AC"),"false"),B3,AC295),AC295))</f>
        <v>#VALUE!</v>
      </c>
      <c r="AD295" t="e">
        <f ca="1">IF((A1)=(2),"",IF((291)=(AD4),IF(IF((INDEX(B1:XFD1,((A3)+(1))+(0)))=("store"),(INDEX(B1:XFD1,((A3)+(1))+(1)))=("AD"),"false"),B3,AD295),AD295))</f>
        <v>#VALUE!</v>
      </c>
    </row>
    <row r="296" spans="1:30" x14ac:dyDescent="0.25">
      <c r="A296" t="e">
        <f ca="1">IF((A1)=(2),"",IF((292)=(A4),IF(("call")=(INDEX(B1:XFD1,((A3)+(1))+(0))),(B3)*(2),IF(("goto")=(INDEX(B1:XFD1,((A3)+(1))+(0))),(INDEX(B1:XFD1,((A3)+(1))+(1)))*(2),IF(("gotoiftrue")=(INDEX(B1:XFD1,((A3)+(1))+(0))),IF(B3,(INDEX(B1:XFD1,((A3)+(1))+(1)))*(2),(A296)+(2)),(A296)+(2)))),A296))</f>
        <v>#VALUE!</v>
      </c>
      <c r="B296" t="e">
        <f ca="1">IF((A1)=(2),"",IF((292)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296)+(1)),IF(("add")=(INDEX(B1:XFD1,((A3)+(1))+(0))),(INDEX(B5:B405,(B4)+(1)))+(B296),IF(("equals")=(INDEX(B1:XFD1,((A3)+(1))+(0))),(INDEX(B5:B405,(B4)+(1)))=(B296),IF(("leq")=(INDEX(B1:XFD1,((A3)+(1))+(0))),(INDEX(B5:B405,(B4)+(1)))&lt;=(B296),IF(("greater")=(INDEX(B1:XFD1,((A3)+(1))+(0))),(INDEX(B5:B405,(B4)+(1)))&gt;(B296),IF(("mod")=(INDEX(B1:XFD1,((A3)+(1))+(0))),MOD(INDEX(B5:B405,(B4)+(1)),B296),B296))))))))),B296))</f>
        <v>#VALUE!</v>
      </c>
      <c r="C296" t="e">
        <f ca="1">IF((A1)=(2),1,IF(AND((INDEX(B1:XFD1,((A3)+(1))+(0)))=("writeheap"),(INDEX(B5:B405,(B4)+(1)))=(291)),INDEX(B5:B405,(B4)+(2)),IF((A1)=(2),"",IF((292)=(C4),C296,C296))))</f>
        <v>#VALUE!</v>
      </c>
      <c r="F296" t="e">
        <f ca="1">IF((A1)=(2),"",IF((292)=(F4),IF(IF((INDEX(B1:XFD1,((A3)+(1))+(0)))=("store"),(INDEX(B1:XFD1,((A3)+(1))+(1)))=("F"),"false"),B3,F296),F296))</f>
        <v>#VALUE!</v>
      </c>
      <c r="G296" t="e">
        <f ca="1">IF((A1)=(2),"",IF((292)=(G4),IF(IF((INDEX(B1:XFD1,((A3)+(1))+(0)))=("store"),(INDEX(B1:XFD1,((A3)+(1))+(1)))=("G"),"false"),B3,G296),G296))</f>
        <v>#VALUE!</v>
      </c>
      <c r="H296" t="e">
        <f ca="1">IF((A1)=(2),"",IF((292)=(H4),IF(IF((INDEX(B1:XFD1,((A3)+(1))+(0)))=("store"),(INDEX(B1:XFD1,((A3)+(1))+(1)))=("H"),"false"),B3,H296),H296))</f>
        <v>#VALUE!</v>
      </c>
      <c r="I296" t="e">
        <f ca="1">IF((A1)=(2),"",IF((292)=(I4),IF(IF((INDEX(B1:XFD1,((A3)+(1))+(0)))=("store"),(INDEX(B1:XFD1,((A3)+(1))+(1)))=("I"),"false"),B3,I296),I296))</f>
        <v>#VALUE!</v>
      </c>
      <c r="J296" t="e">
        <f ca="1">IF((A1)=(2),"",IF((292)=(J4),IF(IF((INDEX(B1:XFD1,((A3)+(1))+(0)))=("store"),(INDEX(B1:XFD1,((A3)+(1))+(1)))=("J"),"false"),B3,J296),J296))</f>
        <v>#VALUE!</v>
      </c>
      <c r="K296" t="e">
        <f ca="1">IF((A1)=(2),"",IF((292)=(K4),IF(IF((INDEX(B1:XFD1,((A3)+(1))+(0)))=("store"),(INDEX(B1:XFD1,((A3)+(1))+(1)))=("K"),"false"),B3,K296),K296))</f>
        <v>#VALUE!</v>
      </c>
      <c r="L296" t="e">
        <f ca="1">IF((A1)=(2),"",IF((292)=(L4),IF(IF((INDEX(B1:XFD1,((A3)+(1))+(0)))=("store"),(INDEX(B1:XFD1,((A3)+(1))+(1)))=("L"),"false"),B3,L296),L296))</f>
        <v>#VALUE!</v>
      </c>
      <c r="M296" t="e">
        <f ca="1">IF((A1)=(2),"",IF((292)=(M4),IF(IF((INDEX(B1:XFD1,((A3)+(1))+(0)))=("store"),(INDEX(B1:XFD1,((A3)+(1))+(1)))=("M"),"false"),B3,M296),M296))</f>
        <v>#VALUE!</v>
      </c>
      <c r="N296" t="e">
        <f ca="1">IF((A1)=(2),"",IF((292)=(N4),IF(IF((INDEX(B1:XFD1,((A3)+(1))+(0)))=("store"),(INDEX(B1:XFD1,((A3)+(1))+(1)))=("N"),"false"),B3,N296),N296))</f>
        <v>#VALUE!</v>
      </c>
      <c r="O296" t="e">
        <f ca="1">IF((A1)=(2),"",IF((292)=(O4),IF(IF((INDEX(B1:XFD1,((A3)+(1))+(0)))=("store"),(INDEX(B1:XFD1,((A3)+(1))+(1)))=("O"),"false"),B3,O296),O296))</f>
        <v>#VALUE!</v>
      </c>
      <c r="P296" t="e">
        <f ca="1">IF((A1)=(2),"",IF((292)=(P4),IF(IF((INDEX(B1:XFD1,((A3)+(1))+(0)))=("store"),(INDEX(B1:XFD1,((A3)+(1))+(1)))=("P"),"false"),B3,P296),P296))</f>
        <v>#VALUE!</v>
      </c>
      <c r="Q296" t="e">
        <f ca="1">IF((A1)=(2),"",IF((292)=(Q4),IF(IF((INDEX(B1:XFD1,((A3)+(1))+(0)))=("store"),(INDEX(B1:XFD1,((A3)+(1))+(1)))=("Q"),"false"),B3,Q296),Q296))</f>
        <v>#VALUE!</v>
      </c>
      <c r="R296" t="e">
        <f ca="1">IF((A1)=(2),"",IF((292)=(R4),IF(IF((INDEX(B1:XFD1,((A3)+(1))+(0)))=("store"),(INDEX(B1:XFD1,((A3)+(1))+(1)))=("R"),"false"),B3,R296),R296))</f>
        <v>#VALUE!</v>
      </c>
      <c r="S296" t="e">
        <f ca="1">IF((A1)=(2),"",IF((292)=(S4),IF(IF((INDEX(B1:XFD1,((A3)+(1))+(0)))=("store"),(INDEX(B1:XFD1,((A3)+(1))+(1)))=("S"),"false"),B3,S296),S296))</f>
        <v>#VALUE!</v>
      </c>
      <c r="T296" t="e">
        <f ca="1">IF((A1)=(2),"",IF((292)=(T4),IF(IF((INDEX(B1:XFD1,((A3)+(1))+(0)))=("store"),(INDEX(B1:XFD1,((A3)+(1))+(1)))=("T"),"false"),B3,T296),T296))</f>
        <v>#VALUE!</v>
      </c>
      <c r="U296" t="e">
        <f ca="1">IF((A1)=(2),"",IF((292)=(U4),IF(IF((INDEX(B1:XFD1,((A3)+(1))+(0)))=("store"),(INDEX(B1:XFD1,((A3)+(1))+(1)))=("U"),"false"),B3,U296),U296))</f>
        <v>#VALUE!</v>
      </c>
      <c r="V296" t="e">
        <f ca="1">IF((A1)=(2),"",IF((292)=(V4),IF(IF((INDEX(B1:XFD1,((A3)+(1))+(0)))=("store"),(INDEX(B1:XFD1,((A3)+(1))+(1)))=("V"),"false"),B3,V296),V296))</f>
        <v>#VALUE!</v>
      </c>
      <c r="W296" t="e">
        <f ca="1">IF((A1)=(2),"",IF((292)=(W4),IF(IF((INDEX(B1:XFD1,((A3)+(1))+(0)))=("store"),(INDEX(B1:XFD1,((A3)+(1))+(1)))=("W"),"false"),B3,W296),W296))</f>
        <v>#VALUE!</v>
      </c>
      <c r="X296" t="e">
        <f ca="1">IF((A1)=(2),"",IF((292)=(X4),IF(IF((INDEX(B1:XFD1,((A3)+(1))+(0)))=("store"),(INDEX(B1:XFD1,((A3)+(1))+(1)))=("X"),"false"),B3,X296),X296))</f>
        <v>#VALUE!</v>
      </c>
      <c r="Y296" t="e">
        <f ca="1">IF((A1)=(2),"",IF((292)=(Y4),IF(IF((INDEX(B1:XFD1,((A3)+(1))+(0)))=("store"),(INDEX(B1:XFD1,((A3)+(1))+(1)))=("Y"),"false"),B3,Y296),Y296))</f>
        <v>#VALUE!</v>
      </c>
      <c r="Z296" t="e">
        <f ca="1">IF((A1)=(2),"",IF((292)=(Z4),IF(IF((INDEX(B1:XFD1,((A3)+(1))+(0)))=("store"),(INDEX(B1:XFD1,((A3)+(1))+(1)))=("Z"),"false"),B3,Z296),Z296))</f>
        <v>#VALUE!</v>
      </c>
      <c r="AA296" t="e">
        <f ca="1">IF((A1)=(2),"",IF((292)=(AA4),IF(IF((INDEX(B1:XFD1,((A3)+(1))+(0)))=("store"),(INDEX(B1:XFD1,((A3)+(1))+(1)))=("AA"),"false"),B3,AA296),AA296))</f>
        <v>#VALUE!</v>
      </c>
      <c r="AB296" t="e">
        <f ca="1">IF((A1)=(2),"",IF((292)=(AB4),IF(IF((INDEX(B1:XFD1,((A3)+(1))+(0)))=("store"),(INDEX(B1:XFD1,((A3)+(1))+(1)))=("AB"),"false"),B3,AB296),AB296))</f>
        <v>#VALUE!</v>
      </c>
      <c r="AC296" t="e">
        <f ca="1">IF((A1)=(2),"",IF((292)=(AC4),IF(IF((INDEX(B1:XFD1,((A3)+(1))+(0)))=("store"),(INDEX(B1:XFD1,((A3)+(1))+(1)))=("AC"),"false"),B3,AC296),AC296))</f>
        <v>#VALUE!</v>
      </c>
      <c r="AD296" t="e">
        <f ca="1">IF((A1)=(2),"",IF((292)=(AD4),IF(IF((INDEX(B1:XFD1,((A3)+(1))+(0)))=("store"),(INDEX(B1:XFD1,((A3)+(1))+(1)))=("AD"),"false"),B3,AD296),AD296))</f>
        <v>#VALUE!</v>
      </c>
    </row>
    <row r="297" spans="1:30" x14ac:dyDescent="0.25">
      <c r="A297" t="e">
        <f ca="1">IF((A1)=(2),"",IF((293)=(A4),IF(("call")=(INDEX(B1:XFD1,((A3)+(1))+(0))),(B3)*(2),IF(("goto")=(INDEX(B1:XFD1,((A3)+(1))+(0))),(INDEX(B1:XFD1,((A3)+(1))+(1)))*(2),IF(("gotoiftrue")=(INDEX(B1:XFD1,((A3)+(1))+(0))),IF(B3,(INDEX(B1:XFD1,((A3)+(1))+(1)))*(2),(A297)+(2)),(A297)+(2)))),A297))</f>
        <v>#VALUE!</v>
      </c>
      <c r="B297" t="e">
        <f ca="1">IF((A1)=(2),"",IF((293)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297)+(1)),IF(("add")=(INDEX(B1:XFD1,((A3)+(1))+(0))),(INDEX(B5:B405,(B4)+(1)))+(B297),IF(("equals")=(INDEX(B1:XFD1,((A3)+(1))+(0))),(INDEX(B5:B405,(B4)+(1)))=(B297),IF(("leq")=(INDEX(B1:XFD1,((A3)+(1))+(0))),(INDEX(B5:B405,(B4)+(1)))&lt;=(B297),IF(("greater")=(INDEX(B1:XFD1,((A3)+(1))+(0))),(INDEX(B5:B405,(B4)+(1)))&gt;(B297),IF(("mod")=(INDEX(B1:XFD1,((A3)+(1))+(0))),MOD(INDEX(B5:B405,(B4)+(1)),B297),B297))))))))),B297))</f>
        <v>#VALUE!</v>
      </c>
      <c r="C297" t="e">
        <f ca="1">IF((A1)=(2),1,IF(AND((INDEX(B1:XFD1,((A3)+(1))+(0)))=("writeheap"),(INDEX(B5:B405,(B4)+(1)))=(292)),INDEX(B5:B405,(B4)+(2)),IF((A1)=(2),"",IF((293)=(C4),C297,C297))))</f>
        <v>#VALUE!</v>
      </c>
      <c r="F297" t="e">
        <f ca="1">IF((A1)=(2),"",IF((293)=(F4),IF(IF((INDEX(B1:XFD1,((A3)+(1))+(0)))=("store"),(INDEX(B1:XFD1,((A3)+(1))+(1)))=("F"),"false"),B3,F297),F297))</f>
        <v>#VALUE!</v>
      </c>
      <c r="G297" t="e">
        <f ca="1">IF((A1)=(2),"",IF((293)=(G4),IF(IF((INDEX(B1:XFD1,((A3)+(1))+(0)))=("store"),(INDEX(B1:XFD1,((A3)+(1))+(1)))=("G"),"false"),B3,G297),G297))</f>
        <v>#VALUE!</v>
      </c>
      <c r="H297" t="e">
        <f ca="1">IF((A1)=(2),"",IF((293)=(H4),IF(IF((INDEX(B1:XFD1,((A3)+(1))+(0)))=("store"),(INDEX(B1:XFD1,((A3)+(1))+(1)))=("H"),"false"),B3,H297),H297))</f>
        <v>#VALUE!</v>
      </c>
      <c r="I297" t="e">
        <f ca="1">IF((A1)=(2),"",IF((293)=(I4),IF(IF((INDEX(B1:XFD1,((A3)+(1))+(0)))=("store"),(INDEX(B1:XFD1,((A3)+(1))+(1)))=("I"),"false"),B3,I297),I297))</f>
        <v>#VALUE!</v>
      </c>
      <c r="J297" t="e">
        <f ca="1">IF((A1)=(2),"",IF((293)=(J4),IF(IF((INDEX(B1:XFD1,((A3)+(1))+(0)))=("store"),(INDEX(B1:XFD1,((A3)+(1))+(1)))=("J"),"false"),B3,J297),J297))</f>
        <v>#VALUE!</v>
      </c>
      <c r="K297" t="e">
        <f ca="1">IF((A1)=(2),"",IF((293)=(K4),IF(IF((INDEX(B1:XFD1,((A3)+(1))+(0)))=("store"),(INDEX(B1:XFD1,((A3)+(1))+(1)))=("K"),"false"),B3,K297),K297))</f>
        <v>#VALUE!</v>
      </c>
      <c r="L297" t="e">
        <f ca="1">IF((A1)=(2),"",IF((293)=(L4),IF(IF((INDEX(B1:XFD1,((A3)+(1))+(0)))=("store"),(INDEX(B1:XFD1,((A3)+(1))+(1)))=("L"),"false"),B3,L297),L297))</f>
        <v>#VALUE!</v>
      </c>
      <c r="M297" t="e">
        <f ca="1">IF((A1)=(2),"",IF((293)=(M4),IF(IF((INDEX(B1:XFD1,((A3)+(1))+(0)))=("store"),(INDEX(B1:XFD1,((A3)+(1))+(1)))=("M"),"false"),B3,M297),M297))</f>
        <v>#VALUE!</v>
      </c>
      <c r="N297" t="e">
        <f ca="1">IF((A1)=(2),"",IF((293)=(N4),IF(IF((INDEX(B1:XFD1,((A3)+(1))+(0)))=("store"),(INDEX(B1:XFD1,((A3)+(1))+(1)))=("N"),"false"),B3,N297),N297))</f>
        <v>#VALUE!</v>
      </c>
      <c r="O297" t="e">
        <f ca="1">IF((A1)=(2),"",IF((293)=(O4),IF(IF((INDEX(B1:XFD1,((A3)+(1))+(0)))=("store"),(INDEX(B1:XFD1,((A3)+(1))+(1)))=("O"),"false"),B3,O297),O297))</f>
        <v>#VALUE!</v>
      </c>
      <c r="P297" t="e">
        <f ca="1">IF((A1)=(2),"",IF((293)=(P4),IF(IF((INDEX(B1:XFD1,((A3)+(1))+(0)))=("store"),(INDEX(B1:XFD1,((A3)+(1))+(1)))=("P"),"false"),B3,P297),P297))</f>
        <v>#VALUE!</v>
      </c>
      <c r="Q297" t="e">
        <f ca="1">IF((A1)=(2),"",IF((293)=(Q4),IF(IF((INDEX(B1:XFD1,((A3)+(1))+(0)))=("store"),(INDEX(B1:XFD1,((A3)+(1))+(1)))=("Q"),"false"),B3,Q297),Q297))</f>
        <v>#VALUE!</v>
      </c>
      <c r="R297" t="e">
        <f ca="1">IF((A1)=(2),"",IF((293)=(R4),IF(IF((INDEX(B1:XFD1,((A3)+(1))+(0)))=("store"),(INDEX(B1:XFD1,((A3)+(1))+(1)))=("R"),"false"),B3,R297),R297))</f>
        <v>#VALUE!</v>
      </c>
      <c r="S297" t="e">
        <f ca="1">IF((A1)=(2),"",IF((293)=(S4),IF(IF((INDEX(B1:XFD1,((A3)+(1))+(0)))=("store"),(INDEX(B1:XFD1,((A3)+(1))+(1)))=("S"),"false"),B3,S297),S297))</f>
        <v>#VALUE!</v>
      </c>
      <c r="T297" t="e">
        <f ca="1">IF((A1)=(2),"",IF((293)=(T4),IF(IF((INDEX(B1:XFD1,((A3)+(1))+(0)))=("store"),(INDEX(B1:XFD1,((A3)+(1))+(1)))=("T"),"false"),B3,T297),T297))</f>
        <v>#VALUE!</v>
      </c>
      <c r="U297" t="e">
        <f ca="1">IF((A1)=(2),"",IF((293)=(U4),IF(IF((INDEX(B1:XFD1,((A3)+(1))+(0)))=("store"),(INDEX(B1:XFD1,((A3)+(1))+(1)))=("U"),"false"),B3,U297),U297))</f>
        <v>#VALUE!</v>
      </c>
      <c r="V297" t="e">
        <f ca="1">IF((A1)=(2),"",IF((293)=(V4),IF(IF((INDEX(B1:XFD1,((A3)+(1))+(0)))=("store"),(INDEX(B1:XFD1,((A3)+(1))+(1)))=("V"),"false"),B3,V297),V297))</f>
        <v>#VALUE!</v>
      </c>
      <c r="W297" t="e">
        <f ca="1">IF((A1)=(2),"",IF((293)=(W4),IF(IF((INDEX(B1:XFD1,((A3)+(1))+(0)))=("store"),(INDEX(B1:XFD1,((A3)+(1))+(1)))=("W"),"false"),B3,W297),W297))</f>
        <v>#VALUE!</v>
      </c>
      <c r="X297" t="e">
        <f ca="1">IF((A1)=(2),"",IF((293)=(X4),IF(IF((INDEX(B1:XFD1,((A3)+(1))+(0)))=("store"),(INDEX(B1:XFD1,((A3)+(1))+(1)))=("X"),"false"),B3,X297),X297))</f>
        <v>#VALUE!</v>
      </c>
      <c r="Y297" t="e">
        <f ca="1">IF((A1)=(2),"",IF((293)=(Y4),IF(IF((INDEX(B1:XFD1,((A3)+(1))+(0)))=("store"),(INDEX(B1:XFD1,((A3)+(1))+(1)))=("Y"),"false"),B3,Y297),Y297))</f>
        <v>#VALUE!</v>
      </c>
      <c r="Z297" t="e">
        <f ca="1">IF((A1)=(2),"",IF((293)=(Z4),IF(IF((INDEX(B1:XFD1,((A3)+(1))+(0)))=("store"),(INDEX(B1:XFD1,((A3)+(1))+(1)))=("Z"),"false"),B3,Z297),Z297))</f>
        <v>#VALUE!</v>
      </c>
      <c r="AA297" t="e">
        <f ca="1">IF((A1)=(2),"",IF((293)=(AA4),IF(IF((INDEX(B1:XFD1,((A3)+(1))+(0)))=("store"),(INDEX(B1:XFD1,((A3)+(1))+(1)))=("AA"),"false"),B3,AA297),AA297))</f>
        <v>#VALUE!</v>
      </c>
      <c r="AB297" t="e">
        <f ca="1">IF((A1)=(2),"",IF((293)=(AB4),IF(IF((INDEX(B1:XFD1,((A3)+(1))+(0)))=("store"),(INDEX(B1:XFD1,((A3)+(1))+(1)))=("AB"),"false"),B3,AB297),AB297))</f>
        <v>#VALUE!</v>
      </c>
      <c r="AC297" t="e">
        <f ca="1">IF((A1)=(2),"",IF((293)=(AC4),IF(IF((INDEX(B1:XFD1,((A3)+(1))+(0)))=("store"),(INDEX(B1:XFD1,((A3)+(1))+(1)))=("AC"),"false"),B3,AC297),AC297))</f>
        <v>#VALUE!</v>
      </c>
      <c r="AD297" t="e">
        <f ca="1">IF((A1)=(2),"",IF((293)=(AD4),IF(IF((INDEX(B1:XFD1,((A3)+(1))+(0)))=("store"),(INDEX(B1:XFD1,((A3)+(1))+(1)))=("AD"),"false"),B3,AD297),AD297))</f>
        <v>#VALUE!</v>
      </c>
    </row>
    <row r="298" spans="1:30" x14ac:dyDescent="0.25">
      <c r="A298" t="e">
        <f ca="1">IF((A1)=(2),"",IF((294)=(A4),IF(("call")=(INDEX(B1:XFD1,((A3)+(1))+(0))),(B3)*(2),IF(("goto")=(INDEX(B1:XFD1,((A3)+(1))+(0))),(INDEX(B1:XFD1,((A3)+(1))+(1)))*(2),IF(("gotoiftrue")=(INDEX(B1:XFD1,((A3)+(1))+(0))),IF(B3,(INDEX(B1:XFD1,((A3)+(1))+(1)))*(2),(A298)+(2)),(A298)+(2)))),A298))</f>
        <v>#VALUE!</v>
      </c>
      <c r="B298" t="e">
        <f ca="1">IF((A1)=(2),"",IF((294)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298)+(1)),IF(("add")=(INDEX(B1:XFD1,((A3)+(1))+(0))),(INDEX(B5:B405,(B4)+(1)))+(B298),IF(("equals")=(INDEX(B1:XFD1,((A3)+(1))+(0))),(INDEX(B5:B405,(B4)+(1)))=(B298),IF(("leq")=(INDEX(B1:XFD1,((A3)+(1))+(0))),(INDEX(B5:B405,(B4)+(1)))&lt;=(B298),IF(("greater")=(INDEX(B1:XFD1,((A3)+(1))+(0))),(INDEX(B5:B405,(B4)+(1)))&gt;(B298),IF(("mod")=(INDEX(B1:XFD1,((A3)+(1))+(0))),MOD(INDEX(B5:B405,(B4)+(1)),B298),B298))))))))),B298))</f>
        <v>#VALUE!</v>
      </c>
      <c r="C298" t="e">
        <f ca="1">IF((A1)=(2),1,IF(AND((INDEX(B1:XFD1,((A3)+(1))+(0)))=("writeheap"),(INDEX(B5:B405,(B4)+(1)))=(293)),INDEX(B5:B405,(B4)+(2)),IF((A1)=(2),"",IF((294)=(C4),C298,C298))))</f>
        <v>#VALUE!</v>
      </c>
      <c r="F298" t="e">
        <f ca="1">IF((A1)=(2),"",IF((294)=(F4),IF(IF((INDEX(B1:XFD1,((A3)+(1))+(0)))=("store"),(INDEX(B1:XFD1,((A3)+(1))+(1)))=("F"),"false"),B3,F298),F298))</f>
        <v>#VALUE!</v>
      </c>
      <c r="G298" t="e">
        <f ca="1">IF((A1)=(2),"",IF((294)=(G4),IF(IF((INDEX(B1:XFD1,((A3)+(1))+(0)))=("store"),(INDEX(B1:XFD1,((A3)+(1))+(1)))=("G"),"false"),B3,G298),G298))</f>
        <v>#VALUE!</v>
      </c>
      <c r="H298" t="e">
        <f ca="1">IF((A1)=(2),"",IF((294)=(H4),IF(IF((INDEX(B1:XFD1,((A3)+(1))+(0)))=("store"),(INDEX(B1:XFD1,((A3)+(1))+(1)))=("H"),"false"),B3,H298),H298))</f>
        <v>#VALUE!</v>
      </c>
      <c r="I298" t="e">
        <f ca="1">IF((A1)=(2),"",IF((294)=(I4),IF(IF((INDEX(B1:XFD1,((A3)+(1))+(0)))=("store"),(INDEX(B1:XFD1,((A3)+(1))+(1)))=("I"),"false"),B3,I298),I298))</f>
        <v>#VALUE!</v>
      </c>
      <c r="J298" t="e">
        <f ca="1">IF((A1)=(2),"",IF((294)=(J4),IF(IF((INDEX(B1:XFD1,((A3)+(1))+(0)))=("store"),(INDEX(B1:XFD1,((A3)+(1))+(1)))=("J"),"false"),B3,J298),J298))</f>
        <v>#VALUE!</v>
      </c>
      <c r="K298" t="e">
        <f ca="1">IF((A1)=(2),"",IF((294)=(K4),IF(IF((INDEX(B1:XFD1,((A3)+(1))+(0)))=("store"),(INDEX(B1:XFD1,((A3)+(1))+(1)))=("K"),"false"),B3,K298),K298))</f>
        <v>#VALUE!</v>
      </c>
      <c r="L298" t="e">
        <f ca="1">IF((A1)=(2),"",IF((294)=(L4),IF(IF((INDEX(B1:XFD1,((A3)+(1))+(0)))=("store"),(INDEX(B1:XFD1,((A3)+(1))+(1)))=("L"),"false"),B3,L298),L298))</f>
        <v>#VALUE!</v>
      </c>
      <c r="M298" t="e">
        <f ca="1">IF((A1)=(2),"",IF((294)=(M4),IF(IF((INDEX(B1:XFD1,((A3)+(1))+(0)))=("store"),(INDEX(B1:XFD1,((A3)+(1))+(1)))=("M"),"false"),B3,M298),M298))</f>
        <v>#VALUE!</v>
      </c>
      <c r="N298" t="e">
        <f ca="1">IF((A1)=(2),"",IF((294)=(N4),IF(IF((INDEX(B1:XFD1,((A3)+(1))+(0)))=("store"),(INDEX(B1:XFD1,((A3)+(1))+(1)))=("N"),"false"),B3,N298),N298))</f>
        <v>#VALUE!</v>
      </c>
      <c r="O298" t="e">
        <f ca="1">IF((A1)=(2),"",IF((294)=(O4),IF(IF((INDEX(B1:XFD1,((A3)+(1))+(0)))=("store"),(INDEX(B1:XFD1,((A3)+(1))+(1)))=("O"),"false"),B3,O298),O298))</f>
        <v>#VALUE!</v>
      </c>
      <c r="P298" t="e">
        <f ca="1">IF((A1)=(2),"",IF((294)=(P4),IF(IF((INDEX(B1:XFD1,((A3)+(1))+(0)))=("store"),(INDEX(B1:XFD1,((A3)+(1))+(1)))=("P"),"false"),B3,P298),P298))</f>
        <v>#VALUE!</v>
      </c>
      <c r="Q298" t="e">
        <f ca="1">IF((A1)=(2),"",IF((294)=(Q4),IF(IF((INDEX(B1:XFD1,((A3)+(1))+(0)))=("store"),(INDEX(B1:XFD1,((A3)+(1))+(1)))=("Q"),"false"),B3,Q298),Q298))</f>
        <v>#VALUE!</v>
      </c>
      <c r="R298" t="e">
        <f ca="1">IF((A1)=(2),"",IF((294)=(R4),IF(IF((INDEX(B1:XFD1,((A3)+(1))+(0)))=("store"),(INDEX(B1:XFD1,((A3)+(1))+(1)))=("R"),"false"),B3,R298),R298))</f>
        <v>#VALUE!</v>
      </c>
      <c r="S298" t="e">
        <f ca="1">IF((A1)=(2),"",IF((294)=(S4),IF(IF((INDEX(B1:XFD1,((A3)+(1))+(0)))=("store"),(INDEX(B1:XFD1,((A3)+(1))+(1)))=("S"),"false"),B3,S298),S298))</f>
        <v>#VALUE!</v>
      </c>
      <c r="T298" t="e">
        <f ca="1">IF((A1)=(2),"",IF((294)=(T4),IF(IF((INDEX(B1:XFD1,((A3)+(1))+(0)))=("store"),(INDEX(B1:XFD1,((A3)+(1))+(1)))=("T"),"false"),B3,T298),T298))</f>
        <v>#VALUE!</v>
      </c>
      <c r="U298" t="e">
        <f ca="1">IF((A1)=(2),"",IF((294)=(U4),IF(IF((INDEX(B1:XFD1,((A3)+(1))+(0)))=("store"),(INDEX(B1:XFD1,((A3)+(1))+(1)))=("U"),"false"),B3,U298),U298))</f>
        <v>#VALUE!</v>
      </c>
      <c r="V298" t="e">
        <f ca="1">IF((A1)=(2),"",IF((294)=(V4),IF(IF((INDEX(B1:XFD1,((A3)+(1))+(0)))=("store"),(INDEX(B1:XFD1,((A3)+(1))+(1)))=("V"),"false"),B3,V298),V298))</f>
        <v>#VALUE!</v>
      </c>
      <c r="W298" t="e">
        <f ca="1">IF((A1)=(2),"",IF((294)=(W4),IF(IF((INDEX(B1:XFD1,((A3)+(1))+(0)))=("store"),(INDEX(B1:XFD1,((A3)+(1))+(1)))=("W"),"false"),B3,W298),W298))</f>
        <v>#VALUE!</v>
      </c>
      <c r="X298" t="e">
        <f ca="1">IF((A1)=(2),"",IF((294)=(X4),IF(IF((INDEX(B1:XFD1,((A3)+(1))+(0)))=("store"),(INDEX(B1:XFD1,((A3)+(1))+(1)))=("X"),"false"),B3,X298),X298))</f>
        <v>#VALUE!</v>
      </c>
      <c r="Y298" t="e">
        <f ca="1">IF((A1)=(2),"",IF((294)=(Y4),IF(IF((INDEX(B1:XFD1,((A3)+(1))+(0)))=("store"),(INDEX(B1:XFD1,((A3)+(1))+(1)))=("Y"),"false"),B3,Y298),Y298))</f>
        <v>#VALUE!</v>
      </c>
      <c r="Z298" t="e">
        <f ca="1">IF((A1)=(2),"",IF((294)=(Z4),IF(IF((INDEX(B1:XFD1,((A3)+(1))+(0)))=("store"),(INDEX(B1:XFD1,((A3)+(1))+(1)))=("Z"),"false"),B3,Z298),Z298))</f>
        <v>#VALUE!</v>
      </c>
      <c r="AA298" t="e">
        <f ca="1">IF((A1)=(2),"",IF((294)=(AA4),IF(IF((INDEX(B1:XFD1,((A3)+(1))+(0)))=("store"),(INDEX(B1:XFD1,((A3)+(1))+(1)))=("AA"),"false"),B3,AA298),AA298))</f>
        <v>#VALUE!</v>
      </c>
      <c r="AB298" t="e">
        <f ca="1">IF((A1)=(2),"",IF((294)=(AB4),IF(IF((INDEX(B1:XFD1,((A3)+(1))+(0)))=("store"),(INDEX(B1:XFD1,((A3)+(1))+(1)))=("AB"),"false"),B3,AB298),AB298))</f>
        <v>#VALUE!</v>
      </c>
      <c r="AC298" t="e">
        <f ca="1">IF((A1)=(2),"",IF((294)=(AC4),IF(IF((INDEX(B1:XFD1,((A3)+(1))+(0)))=("store"),(INDEX(B1:XFD1,((A3)+(1))+(1)))=("AC"),"false"),B3,AC298),AC298))</f>
        <v>#VALUE!</v>
      </c>
      <c r="AD298" t="e">
        <f ca="1">IF((A1)=(2),"",IF((294)=(AD4),IF(IF((INDEX(B1:XFD1,((A3)+(1))+(0)))=("store"),(INDEX(B1:XFD1,((A3)+(1))+(1)))=("AD"),"false"),B3,AD298),AD298))</f>
        <v>#VALUE!</v>
      </c>
    </row>
    <row r="299" spans="1:30" x14ac:dyDescent="0.25">
      <c r="A299" t="e">
        <f ca="1">IF((A1)=(2),"",IF((295)=(A4),IF(("call")=(INDEX(B1:XFD1,((A3)+(1))+(0))),(B3)*(2),IF(("goto")=(INDEX(B1:XFD1,((A3)+(1))+(0))),(INDEX(B1:XFD1,((A3)+(1))+(1)))*(2),IF(("gotoiftrue")=(INDEX(B1:XFD1,((A3)+(1))+(0))),IF(B3,(INDEX(B1:XFD1,((A3)+(1))+(1)))*(2),(A299)+(2)),(A299)+(2)))),A299))</f>
        <v>#VALUE!</v>
      </c>
      <c r="B299" t="e">
        <f ca="1">IF((A1)=(2),"",IF((295)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299)+(1)),IF(("add")=(INDEX(B1:XFD1,((A3)+(1))+(0))),(INDEX(B5:B405,(B4)+(1)))+(B299),IF(("equals")=(INDEX(B1:XFD1,((A3)+(1))+(0))),(INDEX(B5:B405,(B4)+(1)))=(B299),IF(("leq")=(INDEX(B1:XFD1,((A3)+(1))+(0))),(INDEX(B5:B405,(B4)+(1)))&lt;=(B299),IF(("greater")=(INDEX(B1:XFD1,((A3)+(1))+(0))),(INDEX(B5:B405,(B4)+(1)))&gt;(B299),IF(("mod")=(INDEX(B1:XFD1,((A3)+(1))+(0))),MOD(INDEX(B5:B405,(B4)+(1)),B299),B299))))))))),B299))</f>
        <v>#VALUE!</v>
      </c>
      <c r="C299" t="e">
        <f ca="1">IF((A1)=(2),1,IF(AND((INDEX(B1:XFD1,((A3)+(1))+(0)))=("writeheap"),(INDEX(B5:B405,(B4)+(1)))=(294)),INDEX(B5:B405,(B4)+(2)),IF((A1)=(2),"",IF((295)=(C4),C299,C299))))</f>
        <v>#VALUE!</v>
      </c>
      <c r="F299" t="e">
        <f ca="1">IF((A1)=(2),"",IF((295)=(F4),IF(IF((INDEX(B1:XFD1,((A3)+(1))+(0)))=("store"),(INDEX(B1:XFD1,((A3)+(1))+(1)))=("F"),"false"),B3,F299),F299))</f>
        <v>#VALUE!</v>
      </c>
      <c r="G299" t="e">
        <f ca="1">IF((A1)=(2),"",IF((295)=(G4),IF(IF((INDEX(B1:XFD1,((A3)+(1))+(0)))=("store"),(INDEX(B1:XFD1,((A3)+(1))+(1)))=("G"),"false"),B3,G299),G299))</f>
        <v>#VALUE!</v>
      </c>
      <c r="H299" t="e">
        <f ca="1">IF((A1)=(2),"",IF((295)=(H4),IF(IF((INDEX(B1:XFD1,((A3)+(1))+(0)))=("store"),(INDEX(B1:XFD1,((A3)+(1))+(1)))=("H"),"false"),B3,H299),H299))</f>
        <v>#VALUE!</v>
      </c>
      <c r="I299" t="e">
        <f ca="1">IF((A1)=(2),"",IF((295)=(I4),IF(IF((INDEX(B1:XFD1,((A3)+(1))+(0)))=("store"),(INDEX(B1:XFD1,((A3)+(1))+(1)))=("I"),"false"),B3,I299),I299))</f>
        <v>#VALUE!</v>
      </c>
      <c r="J299" t="e">
        <f ca="1">IF((A1)=(2),"",IF((295)=(J4),IF(IF((INDEX(B1:XFD1,((A3)+(1))+(0)))=("store"),(INDEX(B1:XFD1,((A3)+(1))+(1)))=("J"),"false"),B3,J299),J299))</f>
        <v>#VALUE!</v>
      </c>
      <c r="K299" t="e">
        <f ca="1">IF((A1)=(2),"",IF((295)=(K4),IF(IF((INDEX(B1:XFD1,((A3)+(1))+(0)))=("store"),(INDEX(B1:XFD1,((A3)+(1))+(1)))=("K"),"false"),B3,K299),K299))</f>
        <v>#VALUE!</v>
      </c>
      <c r="L299" t="e">
        <f ca="1">IF((A1)=(2),"",IF((295)=(L4),IF(IF((INDEX(B1:XFD1,((A3)+(1))+(0)))=("store"),(INDEX(B1:XFD1,((A3)+(1))+(1)))=("L"),"false"),B3,L299),L299))</f>
        <v>#VALUE!</v>
      </c>
      <c r="M299" t="e">
        <f ca="1">IF((A1)=(2),"",IF((295)=(M4),IF(IF((INDEX(B1:XFD1,((A3)+(1))+(0)))=("store"),(INDEX(B1:XFD1,((A3)+(1))+(1)))=("M"),"false"),B3,M299),M299))</f>
        <v>#VALUE!</v>
      </c>
      <c r="N299" t="e">
        <f ca="1">IF((A1)=(2),"",IF((295)=(N4),IF(IF((INDEX(B1:XFD1,((A3)+(1))+(0)))=("store"),(INDEX(B1:XFD1,((A3)+(1))+(1)))=("N"),"false"),B3,N299),N299))</f>
        <v>#VALUE!</v>
      </c>
      <c r="O299" t="e">
        <f ca="1">IF((A1)=(2),"",IF((295)=(O4),IF(IF((INDEX(B1:XFD1,((A3)+(1))+(0)))=("store"),(INDEX(B1:XFD1,((A3)+(1))+(1)))=("O"),"false"),B3,O299),O299))</f>
        <v>#VALUE!</v>
      </c>
      <c r="P299" t="e">
        <f ca="1">IF((A1)=(2),"",IF((295)=(P4),IF(IF((INDEX(B1:XFD1,((A3)+(1))+(0)))=("store"),(INDEX(B1:XFD1,((A3)+(1))+(1)))=("P"),"false"),B3,P299),P299))</f>
        <v>#VALUE!</v>
      </c>
      <c r="Q299" t="e">
        <f ca="1">IF((A1)=(2),"",IF((295)=(Q4),IF(IF((INDEX(B1:XFD1,((A3)+(1))+(0)))=("store"),(INDEX(B1:XFD1,((A3)+(1))+(1)))=("Q"),"false"),B3,Q299),Q299))</f>
        <v>#VALUE!</v>
      </c>
      <c r="R299" t="e">
        <f ca="1">IF((A1)=(2),"",IF((295)=(R4),IF(IF((INDEX(B1:XFD1,((A3)+(1))+(0)))=("store"),(INDEX(B1:XFD1,((A3)+(1))+(1)))=("R"),"false"),B3,R299),R299))</f>
        <v>#VALUE!</v>
      </c>
      <c r="S299" t="e">
        <f ca="1">IF((A1)=(2),"",IF((295)=(S4),IF(IF((INDEX(B1:XFD1,((A3)+(1))+(0)))=("store"),(INDEX(B1:XFD1,((A3)+(1))+(1)))=("S"),"false"),B3,S299),S299))</f>
        <v>#VALUE!</v>
      </c>
      <c r="T299" t="e">
        <f ca="1">IF((A1)=(2),"",IF((295)=(T4),IF(IF((INDEX(B1:XFD1,((A3)+(1))+(0)))=("store"),(INDEX(B1:XFD1,((A3)+(1))+(1)))=("T"),"false"),B3,T299),T299))</f>
        <v>#VALUE!</v>
      </c>
      <c r="U299" t="e">
        <f ca="1">IF((A1)=(2),"",IF((295)=(U4),IF(IF((INDEX(B1:XFD1,((A3)+(1))+(0)))=("store"),(INDEX(B1:XFD1,((A3)+(1))+(1)))=("U"),"false"),B3,U299),U299))</f>
        <v>#VALUE!</v>
      </c>
      <c r="V299" t="e">
        <f ca="1">IF((A1)=(2),"",IF((295)=(V4),IF(IF((INDEX(B1:XFD1,((A3)+(1))+(0)))=("store"),(INDEX(B1:XFD1,((A3)+(1))+(1)))=("V"),"false"),B3,V299),V299))</f>
        <v>#VALUE!</v>
      </c>
      <c r="W299" t="e">
        <f ca="1">IF((A1)=(2),"",IF((295)=(W4),IF(IF((INDEX(B1:XFD1,((A3)+(1))+(0)))=("store"),(INDEX(B1:XFD1,((A3)+(1))+(1)))=("W"),"false"),B3,W299),W299))</f>
        <v>#VALUE!</v>
      </c>
      <c r="X299" t="e">
        <f ca="1">IF((A1)=(2),"",IF((295)=(X4),IF(IF((INDEX(B1:XFD1,((A3)+(1))+(0)))=("store"),(INDEX(B1:XFD1,((A3)+(1))+(1)))=("X"),"false"),B3,X299),X299))</f>
        <v>#VALUE!</v>
      </c>
      <c r="Y299" t="e">
        <f ca="1">IF((A1)=(2),"",IF((295)=(Y4),IF(IF((INDEX(B1:XFD1,((A3)+(1))+(0)))=("store"),(INDEX(B1:XFD1,((A3)+(1))+(1)))=("Y"),"false"),B3,Y299),Y299))</f>
        <v>#VALUE!</v>
      </c>
      <c r="Z299" t="e">
        <f ca="1">IF((A1)=(2),"",IF((295)=(Z4),IF(IF((INDEX(B1:XFD1,((A3)+(1))+(0)))=("store"),(INDEX(B1:XFD1,((A3)+(1))+(1)))=("Z"),"false"),B3,Z299),Z299))</f>
        <v>#VALUE!</v>
      </c>
      <c r="AA299" t="e">
        <f ca="1">IF((A1)=(2),"",IF((295)=(AA4),IF(IF((INDEX(B1:XFD1,((A3)+(1))+(0)))=("store"),(INDEX(B1:XFD1,((A3)+(1))+(1)))=("AA"),"false"),B3,AA299),AA299))</f>
        <v>#VALUE!</v>
      </c>
      <c r="AB299" t="e">
        <f ca="1">IF((A1)=(2),"",IF((295)=(AB4),IF(IF((INDEX(B1:XFD1,((A3)+(1))+(0)))=("store"),(INDEX(B1:XFD1,((A3)+(1))+(1)))=("AB"),"false"),B3,AB299),AB299))</f>
        <v>#VALUE!</v>
      </c>
      <c r="AC299" t="e">
        <f ca="1">IF((A1)=(2),"",IF((295)=(AC4),IF(IF((INDEX(B1:XFD1,((A3)+(1))+(0)))=("store"),(INDEX(B1:XFD1,((A3)+(1))+(1)))=("AC"),"false"),B3,AC299),AC299))</f>
        <v>#VALUE!</v>
      </c>
      <c r="AD299" t="e">
        <f ca="1">IF((A1)=(2),"",IF((295)=(AD4),IF(IF((INDEX(B1:XFD1,((A3)+(1))+(0)))=("store"),(INDEX(B1:XFD1,((A3)+(1))+(1)))=("AD"),"false"),B3,AD299),AD299))</f>
        <v>#VALUE!</v>
      </c>
    </row>
    <row r="300" spans="1:30" x14ac:dyDescent="0.25">
      <c r="A300" t="e">
        <f ca="1">IF((A1)=(2),"",IF((296)=(A4),IF(("call")=(INDEX(B1:XFD1,((A3)+(1))+(0))),(B3)*(2),IF(("goto")=(INDEX(B1:XFD1,((A3)+(1))+(0))),(INDEX(B1:XFD1,((A3)+(1))+(1)))*(2),IF(("gotoiftrue")=(INDEX(B1:XFD1,((A3)+(1))+(0))),IF(B3,(INDEX(B1:XFD1,((A3)+(1))+(1)))*(2),(A300)+(2)),(A300)+(2)))),A300))</f>
        <v>#VALUE!</v>
      </c>
      <c r="B300" t="e">
        <f ca="1">IF((A1)=(2),"",IF((296)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300)+(1)),IF(("add")=(INDEX(B1:XFD1,((A3)+(1))+(0))),(INDEX(B5:B405,(B4)+(1)))+(B300),IF(("equals")=(INDEX(B1:XFD1,((A3)+(1))+(0))),(INDEX(B5:B405,(B4)+(1)))=(B300),IF(("leq")=(INDEX(B1:XFD1,((A3)+(1))+(0))),(INDEX(B5:B405,(B4)+(1)))&lt;=(B300),IF(("greater")=(INDEX(B1:XFD1,((A3)+(1))+(0))),(INDEX(B5:B405,(B4)+(1)))&gt;(B300),IF(("mod")=(INDEX(B1:XFD1,((A3)+(1))+(0))),MOD(INDEX(B5:B405,(B4)+(1)),B300),B300))))))))),B300))</f>
        <v>#VALUE!</v>
      </c>
      <c r="C300" t="e">
        <f ca="1">IF((A1)=(2),1,IF(AND((INDEX(B1:XFD1,((A3)+(1))+(0)))=("writeheap"),(INDEX(B5:B405,(B4)+(1)))=(295)),INDEX(B5:B405,(B4)+(2)),IF((A1)=(2),"",IF((296)=(C4),C300,C300))))</f>
        <v>#VALUE!</v>
      </c>
      <c r="F300" t="e">
        <f ca="1">IF((A1)=(2),"",IF((296)=(F4),IF(IF((INDEX(B1:XFD1,((A3)+(1))+(0)))=("store"),(INDEX(B1:XFD1,((A3)+(1))+(1)))=("F"),"false"),B3,F300),F300))</f>
        <v>#VALUE!</v>
      </c>
      <c r="G300" t="e">
        <f ca="1">IF((A1)=(2),"",IF((296)=(G4),IF(IF((INDEX(B1:XFD1,((A3)+(1))+(0)))=("store"),(INDEX(B1:XFD1,((A3)+(1))+(1)))=("G"),"false"),B3,G300),G300))</f>
        <v>#VALUE!</v>
      </c>
      <c r="H300" t="e">
        <f ca="1">IF((A1)=(2),"",IF((296)=(H4),IF(IF((INDEX(B1:XFD1,((A3)+(1))+(0)))=("store"),(INDEX(B1:XFD1,((A3)+(1))+(1)))=("H"),"false"),B3,H300),H300))</f>
        <v>#VALUE!</v>
      </c>
      <c r="I300" t="e">
        <f ca="1">IF((A1)=(2),"",IF((296)=(I4),IF(IF((INDEX(B1:XFD1,((A3)+(1))+(0)))=("store"),(INDEX(B1:XFD1,((A3)+(1))+(1)))=("I"),"false"),B3,I300),I300))</f>
        <v>#VALUE!</v>
      </c>
      <c r="J300" t="e">
        <f ca="1">IF((A1)=(2),"",IF((296)=(J4),IF(IF((INDEX(B1:XFD1,((A3)+(1))+(0)))=("store"),(INDEX(B1:XFD1,((A3)+(1))+(1)))=("J"),"false"),B3,J300),J300))</f>
        <v>#VALUE!</v>
      </c>
      <c r="K300" t="e">
        <f ca="1">IF((A1)=(2),"",IF((296)=(K4),IF(IF((INDEX(B1:XFD1,((A3)+(1))+(0)))=("store"),(INDEX(B1:XFD1,((A3)+(1))+(1)))=("K"),"false"),B3,K300),K300))</f>
        <v>#VALUE!</v>
      </c>
      <c r="L300" t="e">
        <f ca="1">IF((A1)=(2),"",IF((296)=(L4),IF(IF((INDEX(B1:XFD1,((A3)+(1))+(0)))=("store"),(INDEX(B1:XFD1,((A3)+(1))+(1)))=("L"),"false"),B3,L300),L300))</f>
        <v>#VALUE!</v>
      </c>
      <c r="M300" t="e">
        <f ca="1">IF((A1)=(2),"",IF((296)=(M4),IF(IF((INDEX(B1:XFD1,((A3)+(1))+(0)))=("store"),(INDEX(B1:XFD1,((A3)+(1))+(1)))=("M"),"false"),B3,M300),M300))</f>
        <v>#VALUE!</v>
      </c>
      <c r="N300" t="e">
        <f ca="1">IF((A1)=(2),"",IF((296)=(N4),IF(IF((INDEX(B1:XFD1,((A3)+(1))+(0)))=("store"),(INDEX(B1:XFD1,((A3)+(1))+(1)))=("N"),"false"),B3,N300),N300))</f>
        <v>#VALUE!</v>
      </c>
      <c r="O300" t="e">
        <f ca="1">IF((A1)=(2),"",IF((296)=(O4),IF(IF((INDEX(B1:XFD1,((A3)+(1))+(0)))=("store"),(INDEX(B1:XFD1,((A3)+(1))+(1)))=("O"),"false"),B3,O300),O300))</f>
        <v>#VALUE!</v>
      </c>
      <c r="P300" t="e">
        <f ca="1">IF((A1)=(2),"",IF((296)=(P4),IF(IF((INDEX(B1:XFD1,((A3)+(1))+(0)))=("store"),(INDEX(B1:XFD1,((A3)+(1))+(1)))=("P"),"false"),B3,P300),P300))</f>
        <v>#VALUE!</v>
      </c>
      <c r="Q300" t="e">
        <f ca="1">IF((A1)=(2),"",IF((296)=(Q4),IF(IF((INDEX(B1:XFD1,((A3)+(1))+(0)))=("store"),(INDEX(B1:XFD1,((A3)+(1))+(1)))=("Q"),"false"),B3,Q300),Q300))</f>
        <v>#VALUE!</v>
      </c>
      <c r="R300" t="e">
        <f ca="1">IF((A1)=(2),"",IF((296)=(R4),IF(IF((INDEX(B1:XFD1,((A3)+(1))+(0)))=("store"),(INDEX(B1:XFD1,((A3)+(1))+(1)))=("R"),"false"),B3,R300),R300))</f>
        <v>#VALUE!</v>
      </c>
      <c r="S300" t="e">
        <f ca="1">IF((A1)=(2),"",IF((296)=(S4),IF(IF((INDEX(B1:XFD1,((A3)+(1))+(0)))=("store"),(INDEX(B1:XFD1,((A3)+(1))+(1)))=("S"),"false"),B3,S300),S300))</f>
        <v>#VALUE!</v>
      </c>
      <c r="T300" t="e">
        <f ca="1">IF((A1)=(2),"",IF((296)=(T4),IF(IF((INDEX(B1:XFD1,((A3)+(1))+(0)))=("store"),(INDEX(B1:XFD1,((A3)+(1))+(1)))=("T"),"false"),B3,T300),T300))</f>
        <v>#VALUE!</v>
      </c>
      <c r="U300" t="e">
        <f ca="1">IF((A1)=(2),"",IF((296)=(U4),IF(IF((INDEX(B1:XFD1,((A3)+(1))+(0)))=("store"),(INDEX(B1:XFD1,((A3)+(1))+(1)))=("U"),"false"),B3,U300),U300))</f>
        <v>#VALUE!</v>
      </c>
      <c r="V300" t="e">
        <f ca="1">IF((A1)=(2),"",IF((296)=(V4),IF(IF((INDEX(B1:XFD1,((A3)+(1))+(0)))=("store"),(INDEX(B1:XFD1,((A3)+(1))+(1)))=("V"),"false"),B3,V300),V300))</f>
        <v>#VALUE!</v>
      </c>
      <c r="W300" t="e">
        <f ca="1">IF((A1)=(2),"",IF((296)=(W4),IF(IF((INDEX(B1:XFD1,((A3)+(1))+(0)))=("store"),(INDEX(B1:XFD1,((A3)+(1))+(1)))=("W"),"false"),B3,W300),W300))</f>
        <v>#VALUE!</v>
      </c>
      <c r="X300" t="e">
        <f ca="1">IF((A1)=(2),"",IF((296)=(X4),IF(IF((INDEX(B1:XFD1,((A3)+(1))+(0)))=("store"),(INDEX(B1:XFD1,((A3)+(1))+(1)))=("X"),"false"),B3,X300),X300))</f>
        <v>#VALUE!</v>
      </c>
      <c r="Y300" t="e">
        <f ca="1">IF((A1)=(2),"",IF((296)=(Y4),IF(IF((INDEX(B1:XFD1,((A3)+(1))+(0)))=("store"),(INDEX(B1:XFD1,((A3)+(1))+(1)))=("Y"),"false"),B3,Y300),Y300))</f>
        <v>#VALUE!</v>
      </c>
      <c r="Z300" t="e">
        <f ca="1">IF((A1)=(2),"",IF((296)=(Z4),IF(IF((INDEX(B1:XFD1,((A3)+(1))+(0)))=("store"),(INDEX(B1:XFD1,((A3)+(1))+(1)))=("Z"),"false"),B3,Z300),Z300))</f>
        <v>#VALUE!</v>
      </c>
      <c r="AA300" t="e">
        <f ca="1">IF((A1)=(2),"",IF((296)=(AA4),IF(IF((INDEX(B1:XFD1,((A3)+(1))+(0)))=("store"),(INDEX(B1:XFD1,((A3)+(1))+(1)))=("AA"),"false"),B3,AA300),AA300))</f>
        <v>#VALUE!</v>
      </c>
      <c r="AB300" t="e">
        <f ca="1">IF((A1)=(2),"",IF((296)=(AB4),IF(IF((INDEX(B1:XFD1,((A3)+(1))+(0)))=("store"),(INDEX(B1:XFD1,((A3)+(1))+(1)))=("AB"),"false"),B3,AB300),AB300))</f>
        <v>#VALUE!</v>
      </c>
      <c r="AC300" t="e">
        <f ca="1">IF((A1)=(2),"",IF((296)=(AC4),IF(IF((INDEX(B1:XFD1,((A3)+(1))+(0)))=("store"),(INDEX(B1:XFD1,((A3)+(1))+(1)))=("AC"),"false"),B3,AC300),AC300))</f>
        <v>#VALUE!</v>
      </c>
      <c r="AD300" t="e">
        <f ca="1">IF((A1)=(2),"",IF((296)=(AD4),IF(IF((INDEX(B1:XFD1,((A3)+(1))+(0)))=("store"),(INDEX(B1:XFD1,((A3)+(1))+(1)))=("AD"),"false"),B3,AD300),AD300))</f>
        <v>#VALUE!</v>
      </c>
    </row>
    <row r="301" spans="1:30" x14ac:dyDescent="0.25">
      <c r="A301" t="e">
        <f ca="1">IF((A1)=(2),"",IF((297)=(A4),IF(("call")=(INDEX(B1:XFD1,((A3)+(1))+(0))),(B3)*(2),IF(("goto")=(INDEX(B1:XFD1,((A3)+(1))+(0))),(INDEX(B1:XFD1,((A3)+(1))+(1)))*(2),IF(("gotoiftrue")=(INDEX(B1:XFD1,((A3)+(1))+(0))),IF(B3,(INDEX(B1:XFD1,((A3)+(1))+(1)))*(2),(A301)+(2)),(A301)+(2)))),A301))</f>
        <v>#VALUE!</v>
      </c>
      <c r="B301" t="e">
        <f ca="1">IF((A1)=(2),"",IF((297)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301)+(1)),IF(("add")=(INDEX(B1:XFD1,((A3)+(1))+(0))),(INDEX(B5:B405,(B4)+(1)))+(B301),IF(("equals")=(INDEX(B1:XFD1,((A3)+(1))+(0))),(INDEX(B5:B405,(B4)+(1)))=(B301),IF(("leq")=(INDEX(B1:XFD1,((A3)+(1))+(0))),(INDEX(B5:B405,(B4)+(1)))&lt;=(B301),IF(("greater")=(INDEX(B1:XFD1,((A3)+(1))+(0))),(INDEX(B5:B405,(B4)+(1)))&gt;(B301),IF(("mod")=(INDEX(B1:XFD1,((A3)+(1))+(0))),MOD(INDEX(B5:B405,(B4)+(1)),B301),B301))))))))),B301))</f>
        <v>#VALUE!</v>
      </c>
      <c r="C301" t="e">
        <f ca="1">IF((A1)=(2),1,IF(AND((INDEX(B1:XFD1,((A3)+(1))+(0)))=("writeheap"),(INDEX(B5:B405,(B4)+(1)))=(296)),INDEX(B5:B405,(B4)+(2)),IF((A1)=(2),"",IF((297)=(C4),C301,C301))))</f>
        <v>#VALUE!</v>
      </c>
      <c r="F301" t="e">
        <f ca="1">IF((A1)=(2),"",IF((297)=(F4),IF(IF((INDEX(B1:XFD1,((A3)+(1))+(0)))=("store"),(INDEX(B1:XFD1,((A3)+(1))+(1)))=("F"),"false"),B3,F301),F301))</f>
        <v>#VALUE!</v>
      </c>
      <c r="G301" t="e">
        <f ca="1">IF((A1)=(2),"",IF((297)=(G4),IF(IF((INDEX(B1:XFD1,((A3)+(1))+(0)))=("store"),(INDEX(B1:XFD1,((A3)+(1))+(1)))=("G"),"false"),B3,G301),G301))</f>
        <v>#VALUE!</v>
      </c>
      <c r="H301" t="e">
        <f ca="1">IF((A1)=(2),"",IF((297)=(H4),IF(IF((INDEX(B1:XFD1,((A3)+(1))+(0)))=("store"),(INDEX(B1:XFD1,((A3)+(1))+(1)))=("H"),"false"),B3,H301),H301))</f>
        <v>#VALUE!</v>
      </c>
      <c r="I301" t="e">
        <f ca="1">IF((A1)=(2),"",IF((297)=(I4),IF(IF((INDEX(B1:XFD1,((A3)+(1))+(0)))=("store"),(INDEX(B1:XFD1,((A3)+(1))+(1)))=("I"),"false"),B3,I301),I301))</f>
        <v>#VALUE!</v>
      </c>
      <c r="J301" t="e">
        <f ca="1">IF((A1)=(2),"",IF((297)=(J4),IF(IF((INDEX(B1:XFD1,((A3)+(1))+(0)))=("store"),(INDEX(B1:XFD1,((A3)+(1))+(1)))=("J"),"false"),B3,J301),J301))</f>
        <v>#VALUE!</v>
      </c>
      <c r="K301" t="e">
        <f ca="1">IF((A1)=(2),"",IF((297)=(K4),IF(IF((INDEX(B1:XFD1,((A3)+(1))+(0)))=("store"),(INDEX(B1:XFD1,((A3)+(1))+(1)))=("K"),"false"),B3,K301),K301))</f>
        <v>#VALUE!</v>
      </c>
      <c r="L301" t="e">
        <f ca="1">IF((A1)=(2),"",IF((297)=(L4),IF(IF((INDEX(B1:XFD1,((A3)+(1))+(0)))=("store"),(INDEX(B1:XFD1,((A3)+(1))+(1)))=("L"),"false"),B3,L301),L301))</f>
        <v>#VALUE!</v>
      </c>
      <c r="M301" t="e">
        <f ca="1">IF((A1)=(2),"",IF((297)=(M4),IF(IF((INDEX(B1:XFD1,((A3)+(1))+(0)))=("store"),(INDEX(B1:XFD1,((A3)+(1))+(1)))=("M"),"false"),B3,M301),M301))</f>
        <v>#VALUE!</v>
      </c>
      <c r="N301" t="e">
        <f ca="1">IF((A1)=(2),"",IF((297)=(N4),IF(IF((INDEX(B1:XFD1,((A3)+(1))+(0)))=("store"),(INDEX(B1:XFD1,((A3)+(1))+(1)))=("N"),"false"),B3,N301),N301))</f>
        <v>#VALUE!</v>
      </c>
      <c r="O301" t="e">
        <f ca="1">IF((A1)=(2),"",IF((297)=(O4),IF(IF((INDEX(B1:XFD1,((A3)+(1))+(0)))=("store"),(INDEX(B1:XFD1,((A3)+(1))+(1)))=("O"),"false"),B3,O301),O301))</f>
        <v>#VALUE!</v>
      </c>
      <c r="P301" t="e">
        <f ca="1">IF((A1)=(2),"",IF((297)=(P4),IF(IF((INDEX(B1:XFD1,((A3)+(1))+(0)))=("store"),(INDEX(B1:XFD1,((A3)+(1))+(1)))=("P"),"false"),B3,P301),P301))</f>
        <v>#VALUE!</v>
      </c>
      <c r="Q301" t="e">
        <f ca="1">IF((A1)=(2),"",IF((297)=(Q4),IF(IF((INDEX(B1:XFD1,((A3)+(1))+(0)))=("store"),(INDEX(B1:XFD1,((A3)+(1))+(1)))=("Q"),"false"),B3,Q301),Q301))</f>
        <v>#VALUE!</v>
      </c>
      <c r="R301" t="e">
        <f ca="1">IF((A1)=(2),"",IF((297)=(R4),IF(IF((INDEX(B1:XFD1,((A3)+(1))+(0)))=("store"),(INDEX(B1:XFD1,((A3)+(1))+(1)))=("R"),"false"),B3,R301),R301))</f>
        <v>#VALUE!</v>
      </c>
      <c r="S301" t="e">
        <f ca="1">IF((A1)=(2),"",IF((297)=(S4),IF(IF((INDEX(B1:XFD1,((A3)+(1))+(0)))=("store"),(INDEX(B1:XFD1,((A3)+(1))+(1)))=("S"),"false"),B3,S301),S301))</f>
        <v>#VALUE!</v>
      </c>
      <c r="T301" t="e">
        <f ca="1">IF((A1)=(2),"",IF((297)=(T4),IF(IF((INDEX(B1:XFD1,((A3)+(1))+(0)))=("store"),(INDEX(B1:XFD1,((A3)+(1))+(1)))=("T"),"false"),B3,T301),T301))</f>
        <v>#VALUE!</v>
      </c>
      <c r="U301" t="e">
        <f ca="1">IF((A1)=(2),"",IF((297)=(U4),IF(IF((INDEX(B1:XFD1,((A3)+(1))+(0)))=("store"),(INDEX(B1:XFD1,((A3)+(1))+(1)))=("U"),"false"),B3,U301),U301))</f>
        <v>#VALUE!</v>
      </c>
      <c r="V301" t="e">
        <f ca="1">IF((A1)=(2),"",IF((297)=(V4),IF(IF((INDEX(B1:XFD1,((A3)+(1))+(0)))=("store"),(INDEX(B1:XFD1,((A3)+(1))+(1)))=("V"),"false"),B3,V301),V301))</f>
        <v>#VALUE!</v>
      </c>
      <c r="W301" t="e">
        <f ca="1">IF((A1)=(2),"",IF((297)=(W4),IF(IF((INDEX(B1:XFD1,((A3)+(1))+(0)))=("store"),(INDEX(B1:XFD1,((A3)+(1))+(1)))=("W"),"false"),B3,W301),W301))</f>
        <v>#VALUE!</v>
      </c>
      <c r="X301" t="e">
        <f ca="1">IF((A1)=(2),"",IF((297)=(X4),IF(IF((INDEX(B1:XFD1,((A3)+(1))+(0)))=("store"),(INDEX(B1:XFD1,((A3)+(1))+(1)))=("X"),"false"),B3,X301),X301))</f>
        <v>#VALUE!</v>
      </c>
      <c r="Y301" t="e">
        <f ca="1">IF((A1)=(2),"",IF((297)=(Y4),IF(IF((INDEX(B1:XFD1,((A3)+(1))+(0)))=("store"),(INDEX(B1:XFD1,((A3)+(1))+(1)))=("Y"),"false"),B3,Y301),Y301))</f>
        <v>#VALUE!</v>
      </c>
      <c r="Z301" t="e">
        <f ca="1">IF((A1)=(2),"",IF((297)=(Z4),IF(IF((INDEX(B1:XFD1,((A3)+(1))+(0)))=("store"),(INDEX(B1:XFD1,((A3)+(1))+(1)))=("Z"),"false"),B3,Z301),Z301))</f>
        <v>#VALUE!</v>
      </c>
      <c r="AA301" t="e">
        <f ca="1">IF((A1)=(2),"",IF((297)=(AA4),IF(IF((INDEX(B1:XFD1,((A3)+(1))+(0)))=("store"),(INDEX(B1:XFD1,((A3)+(1))+(1)))=("AA"),"false"),B3,AA301),AA301))</f>
        <v>#VALUE!</v>
      </c>
      <c r="AB301" t="e">
        <f ca="1">IF((A1)=(2),"",IF((297)=(AB4),IF(IF((INDEX(B1:XFD1,((A3)+(1))+(0)))=("store"),(INDEX(B1:XFD1,((A3)+(1))+(1)))=("AB"),"false"),B3,AB301),AB301))</f>
        <v>#VALUE!</v>
      </c>
      <c r="AC301" t="e">
        <f ca="1">IF((A1)=(2),"",IF((297)=(AC4),IF(IF((INDEX(B1:XFD1,((A3)+(1))+(0)))=("store"),(INDEX(B1:XFD1,((A3)+(1))+(1)))=("AC"),"false"),B3,AC301),AC301))</f>
        <v>#VALUE!</v>
      </c>
      <c r="AD301" t="e">
        <f ca="1">IF((A1)=(2),"",IF((297)=(AD4),IF(IF((INDEX(B1:XFD1,((A3)+(1))+(0)))=("store"),(INDEX(B1:XFD1,((A3)+(1))+(1)))=("AD"),"false"),B3,AD301),AD301))</f>
        <v>#VALUE!</v>
      </c>
    </row>
    <row r="302" spans="1:30" x14ac:dyDescent="0.25">
      <c r="A302" t="e">
        <f ca="1">IF((A1)=(2),"",IF((298)=(A4),IF(("call")=(INDEX(B1:XFD1,((A3)+(1))+(0))),(B3)*(2),IF(("goto")=(INDEX(B1:XFD1,((A3)+(1))+(0))),(INDEX(B1:XFD1,((A3)+(1))+(1)))*(2),IF(("gotoiftrue")=(INDEX(B1:XFD1,((A3)+(1))+(0))),IF(B3,(INDEX(B1:XFD1,((A3)+(1))+(1)))*(2),(A302)+(2)),(A302)+(2)))),A302))</f>
        <v>#VALUE!</v>
      </c>
      <c r="B302" t="e">
        <f ca="1">IF((A1)=(2),"",IF((298)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302)+(1)),IF(("add")=(INDEX(B1:XFD1,((A3)+(1))+(0))),(INDEX(B5:B405,(B4)+(1)))+(B302),IF(("equals")=(INDEX(B1:XFD1,((A3)+(1))+(0))),(INDEX(B5:B405,(B4)+(1)))=(B302),IF(("leq")=(INDEX(B1:XFD1,((A3)+(1))+(0))),(INDEX(B5:B405,(B4)+(1)))&lt;=(B302),IF(("greater")=(INDEX(B1:XFD1,((A3)+(1))+(0))),(INDEX(B5:B405,(B4)+(1)))&gt;(B302),IF(("mod")=(INDEX(B1:XFD1,((A3)+(1))+(0))),MOD(INDEX(B5:B405,(B4)+(1)),B302),B302))))))))),B302))</f>
        <v>#VALUE!</v>
      </c>
      <c r="C302" t="e">
        <f ca="1">IF((A1)=(2),1,IF(AND((INDEX(B1:XFD1,((A3)+(1))+(0)))=("writeheap"),(INDEX(B5:B405,(B4)+(1)))=(297)),INDEX(B5:B405,(B4)+(2)),IF((A1)=(2),"",IF((298)=(C4),C302,C302))))</f>
        <v>#VALUE!</v>
      </c>
      <c r="F302" t="e">
        <f ca="1">IF((A1)=(2),"",IF((298)=(F4),IF(IF((INDEX(B1:XFD1,((A3)+(1))+(0)))=("store"),(INDEX(B1:XFD1,((A3)+(1))+(1)))=("F"),"false"),B3,F302),F302))</f>
        <v>#VALUE!</v>
      </c>
      <c r="G302" t="e">
        <f ca="1">IF((A1)=(2),"",IF((298)=(G4),IF(IF((INDEX(B1:XFD1,((A3)+(1))+(0)))=("store"),(INDEX(B1:XFD1,((A3)+(1))+(1)))=("G"),"false"),B3,G302),G302))</f>
        <v>#VALUE!</v>
      </c>
      <c r="H302" t="e">
        <f ca="1">IF((A1)=(2),"",IF((298)=(H4),IF(IF((INDEX(B1:XFD1,((A3)+(1))+(0)))=("store"),(INDEX(B1:XFD1,((A3)+(1))+(1)))=("H"),"false"),B3,H302),H302))</f>
        <v>#VALUE!</v>
      </c>
      <c r="I302" t="e">
        <f ca="1">IF((A1)=(2),"",IF((298)=(I4),IF(IF((INDEX(B1:XFD1,((A3)+(1))+(0)))=("store"),(INDEX(B1:XFD1,((A3)+(1))+(1)))=("I"),"false"),B3,I302),I302))</f>
        <v>#VALUE!</v>
      </c>
      <c r="J302" t="e">
        <f ca="1">IF((A1)=(2),"",IF((298)=(J4),IF(IF((INDEX(B1:XFD1,((A3)+(1))+(0)))=("store"),(INDEX(B1:XFD1,((A3)+(1))+(1)))=("J"),"false"),B3,J302),J302))</f>
        <v>#VALUE!</v>
      </c>
      <c r="K302" t="e">
        <f ca="1">IF((A1)=(2),"",IF((298)=(K4),IF(IF((INDEX(B1:XFD1,((A3)+(1))+(0)))=("store"),(INDEX(B1:XFD1,((A3)+(1))+(1)))=("K"),"false"),B3,K302),K302))</f>
        <v>#VALUE!</v>
      </c>
      <c r="L302" t="e">
        <f ca="1">IF((A1)=(2),"",IF((298)=(L4),IF(IF((INDEX(B1:XFD1,((A3)+(1))+(0)))=("store"),(INDEX(B1:XFD1,((A3)+(1))+(1)))=("L"),"false"),B3,L302),L302))</f>
        <v>#VALUE!</v>
      </c>
      <c r="M302" t="e">
        <f ca="1">IF((A1)=(2),"",IF((298)=(M4),IF(IF((INDEX(B1:XFD1,((A3)+(1))+(0)))=("store"),(INDEX(B1:XFD1,((A3)+(1))+(1)))=("M"),"false"),B3,M302),M302))</f>
        <v>#VALUE!</v>
      </c>
      <c r="N302" t="e">
        <f ca="1">IF((A1)=(2),"",IF((298)=(N4),IF(IF((INDEX(B1:XFD1,((A3)+(1))+(0)))=("store"),(INDEX(B1:XFD1,((A3)+(1))+(1)))=("N"),"false"),B3,N302),N302))</f>
        <v>#VALUE!</v>
      </c>
      <c r="O302" t="e">
        <f ca="1">IF((A1)=(2),"",IF((298)=(O4),IF(IF((INDEX(B1:XFD1,((A3)+(1))+(0)))=("store"),(INDEX(B1:XFD1,((A3)+(1))+(1)))=("O"),"false"),B3,O302),O302))</f>
        <v>#VALUE!</v>
      </c>
      <c r="P302" t="e">
        <f ca="1">IF((A1)=(2),"",IF((298)=(P4),IF(IF((INDEX(B1:XFD1,((A3)+(1))+(0)))=("store"),(INDEX(B1:XFD1,((A3)+(1))+(1)))=("P"),"false"),B3,P302),P302))</f>
        <v>#VALUE!</v>
      </c>
      <c r="Q302" t="e">
        <f ca="1">IF((A1)=(2),"",IF((298)=(Q4),IF(IF((INDEX(B1:XFD1,((A3)+(1))+(0)))=("store"),(INDEX(B1:XFD1,((A3)+(1))+(1)))=("Q"),"false"),B3,Q302),Q302))</f>
        <v>#VALUE!</v>
      </c>
      <c r="R302" t="e">
        <f ca="1">IF((A1)=(2),"",IF((298)=(R4),IF(IF((INDEX(B1:XFD1,((A3)+(1))+(0)))=("store"),(INDEX(B1:XFD1,((A3)+(1))+(1)))=("R"),"false"),B3,R302),R302))</f>
        <v>#VALUE!</v>
      </c>
      <c r="S302" t="e">
        <f ca="1">IF((A1)=(2),"",IF((298)=(S4),IF(IF((INDEX(B1:XFD1,((A3)+(1))+(0)))=("store"),(INDEX(B1:XFD1,((A3)+(1))+(1)))=("S"),"false"),B3,S302),S302))</f>
        <v>#VALUE!</v>
      </c>
      <c r="T302" t="e">
        <f ca="1">IF((A1)=(2),"",IF((298)=(T4),IF(IF((INDEX(B1:XFD1,((A3)+(1))+(0)))=("store"),(INDEX(B1:XFD1,((A3)+(1))+(1)))=("T"),"false"),B3,T302),T302))</f>
        <v>#VALUE!</v>
      </c>
      <c r="U302" t="e">
        <f ca="1">IF((A1)=(2),"",IF((298)=(U4),IF(IF((INDEX(B1:XFD1,((A3)+(1))+(0)))=("store"),(INDEX(B1:XFD1,((A3)+(1))+(1)))=("U"),"false"),B3,U302),U302))</f>
        <v>#VALUE!</v>
      </c>
      <c r="V302" t="e">
        <f ca="1">IF((A1)=(2),"",IF((298)=(V4),IF(IF((INDEX(B1:XFD1,((A3)+(1))+(0)))=("store"),(INDEX(B1:XFD1,((A3)+(1))+(1)))=("V"),"false"),B3,V302),V302))</f>
        <v>#VALUE!</v>
      </c>
      <c r="W302" t="e">
        <f ca="1">IF((A1)=(2),"",IF((298)=(W4),IF(IF((INDEX(B1:XFD1,((A3)+(1))+(0)))=("store"),(INDEX(B1:XFD1,((A3)+(1))+(1)))=("W"),"false"),B3,W302),W302))</f>
        <v>#VALUE!</v>
      </c>
      <c r="X302" t="e">
        <f ca="1">IF((A1)=(2),"",IF((298)=(X4),IF(IF((INDEX(B1:XFD1,((A3)+(1))+(0)))=("store"),(INDEX(B1:XFD1,((A3)+(1))+(1)))=("X"),"false"),B3,X302),X302))</f>
        <v>#VALUE!</v>
      </c>
      <c r="Y302" t="e">
        <f ca="1">IF((A1)=(2),"",IF((298)=(Y4),IF(IF((INDEX(B1:XFD1,((A3)+(1))+(0)))=("store"),(INDEX(B1:XFD1,((A3)+(1))+(1)))=("Y"),"false"),B3,Y302),Y302))</f>
        <v>#VALUE!</v>
      </c>
      <c r="Z302" t="e">
        <f ca="1">IF((A1)=(2),"",IF((298)=(Z4),IF(IF((INDEX(B1:XFD1,((A3)+(1))+(0)))=("store"),(INDEX(B1:XFD1,((A3)+(1))+(1)))=("Z"),"false"),B3,Z302),Z302))</f>
        <v>#VALUE!</v>
      </c>
      <c r="AA302" t="e">
        <f ca="1">IF((A1)=(2),"",IF((298)=(AA4),IF(IF((INDEX(B1:XFD1,((A3)+(1))+(0)))=("store"),(INDEX(B1:XFD1,((A3)+(1))+(1)))=("AA"),"false"),B3,AA302),AA302))</f>
        <v>#VALUE!</v>
      </c>
      <c r="AB302" t="e">
        <f ca="1">IF((A1)=(2),"",IF((298)=(AB4),IF(IF((INDEX(B1:XFD1,((A3)+(1))+(0)))=("store"),(INDEX(B1:XFD1,((A3)+(1))+(1)))=("AB"),"false"),B3,AB302),AB302))</f>
        <v>#VALUE!</v>
      </c>
      <c r="AC302" t="e">
        <f ca="1">IF((A1)=(2),"",IF((298)=(AC4),IF(IF((INDEX(B1:XFD1,((A3)+(1))+(0)))=("store"),(INDEX(B1:XFD1,((A3)+(1))+(1)))=("AC"),"false"),B3,AC302),AC302))</f>
        <v>#VALUE!</v>
      </c>
      <c r="AD302" t="e">
        <f ca="1">IF((A1)=(2),"",IF((298)=(AD4),IF(IF((INDEX(B1:XFD1,((A3)+(1))+(0)))=("store"),(INDEX(B1:XFD1,((A3)+(1))+(1)))=("AD"),"false"),B3,AD302),AD302))</f>
        <v>#VALUE!</v>
      </c>
    </row>
    <row r="303" spans="1:30" x14ac:dyDescent="0.25">
      <c r="A303" t="e">
        <f ca="1">IF((A1)=(2),"",IF((299)=(A4),IF(("call")=(INDEX(B1:XFD1,((A3)+(1))+(0))),(B3)*(2),IF(("goto")=(INDEX(B1:XFD1,((A3)+(1))+(0))),(INDEX(B1:XFD1,((A3)+(1))+(1)))*(2),IF(("gotoiftrue")=(INDEX(B1:XFD1,((A3)+(1))+(0))),IF(B3,(INDEX(B1:XFD1,((A3)+(1))+(1)))*(2),(A303)+(2)),(A303)+(2)))),A303))</f>
        <v>#VALUE!</v>
      </c>
      <c r="B303" t="e">
        <f ca="1">IF((A1)=(2),"",IF((299)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303)+(1)),IF(("add")=(INDEX(B1:XFD1,((A3)+(1))+(0))),(INDEX(B5:B405,(B4)+(1)))+(B303),IF(("equals")=(INDEX(B1:XFD1,((A3)+(1))+(0))),(INDEX(B5:B405,(B4)+(1)))=(B303),IF(("leq")=(INDEX(B1:XFD1,((A3)+(1))+(0))),(INDEX(B5:B405,(B4)+(1)))&lt;=(B303),IF(("greater")=(INDEX(B1:XFD1,((A3)+(1))+(0))),(INDEX(B5:B405,(B4)+(1)))&gt;(B303),IF(("mod")=(INDEX(B1:XFD1,((A3)+(1))+(0))),MOD(INDEX(B5:B405,(B4)+(1)),B303),B303))))))))),B303))</f>
        <v>#VALUE!</v>
      </c>
      <c r="C303" t="e">
        <f ca="1">IF((A1)=(2),1,IF(AND((INDEX(B1:XFD1,((A3)+(1))+(0)))=("writeheap"),(INDEX(B5:B405,(B4)+(1)))=(298)),INDEX(B5:B405,(B4)+(2)),IF((A1)=(2),"",IF((299)=(C4),C303,C303))))</f>
        <v>#VALUE!</v>
      </c>
      <c r="F303" t="e">
        <f ca="1">IF((A1)=(2),"",IF((299)=(F4),IF(IF((INDEX(B1:XFD1,((A3)+(1))+(0)))=("store"),(INDEX(B1:XFD1,((A3)+(1))+(1)))=("F"),"false"),B3,F303),F303))</f>
        <v>#VALUE!</v>
      </c>
      <c r="G303" t="e">
        <f ca="1">IF((A1)=(2),"",IF((299)=(G4),IF(IF((INDEX(B1:XFD1,((A3)+(1))+(0)))=("store"),(INDEX(B1:XFD1,((A3)+(1))+(1)))=("G"),"false"),B3,G303),G303))</f>
        <v>#VALUE!</v>
      </c>
      <c r="H303" t="e">
        <f ca="1">IF((A1)=(2),"",IF((299)=(H4),IF(IF((INDEX(B1:XFD1,((A3)+(1))+(0)))=("store"),(INDEX(B1:XFD1,((A3)+(1))+(1)))=("H"),"false"),B3,H303),H303))</f>
        <v>#VALUE!</v>
      </c>
      <c r="I303" t="e">
        <f ca="1">IF((A1)=(2),"",IF((299)=(I4),IF(IF((INDEX(B1:XFD1,((A3)+(1))+(0)))=("store"),(INDEX(B1:XFD1,((A3)+(1))+(1)))=("I"),"false"),B3,I303),I303))</f>
        <v>#VALUE!</v>
      </c>
      <c r="J303" t="e">
        <f ca="1">IF((A1)=(2),"",IF((299)=(J4),IF(IF((INDEX(B1:XFD1,((A3)+(1))+(0)))=("store"),(INDEX(B1:XFD1,((A3)+(1))+(1)))=("J"),"false"),B3,J303),J303))</f>
        <v>#VALUE!</v>
      </c>
      <c r="K303" t="e">
        <f ca="1">IF((A1)=(2),"",IF((299)=(K4),IF(IF((INDEX(B1:XFD1,((A3)+(1))+(0)))=("store"),(INDEX(B1:XFD1,((A3)+(1))+(1)))=("K"),"false"),B3,K303),K303))</f>
        <v>#VALUE!</v>
      </c>
      <c r="L303" t="e">
        <f ca="1">IF((A1)=(2),"",IF((299)=(L4),IF(IF((INDEX(B1:XFD1,((A3)+(1))+(0)))=("store"),(INDEX(B1:XFD1,((A3)+(1))+(1)))=("L"),"false"),B3,L303),L303))</f>
        <v>#VALUE!</v>
      </c>
      <c r="M303" t="e">
        <f ca="1">IF((A1)=(2),"",IF((299)=(M4),IF(IF((INDEX(B1:XFD1,((A3)+(1))+(0)))=("store"),(INDEX(B1:XFD1,((A3)+(1))+(1)))=("M"),"false"),B3,M303),M303))</f>
        <v>#VALUE!</v>
      </c>
      <c r="N303" t="e">
        <f ca="1">IF((A1)=(2),"",IF((299)=(N4),IF(IF((INDEX(B1:XFD1,((A3)+(1))+(0)))=("store"),(INDEX(B1:XFD1,((A3)+(1))+(1)))=("N"),"false"),B3,N303),N303))</f>
        <v>#VALUE!</v>
      </c>
      <c r="O303" t="e">
        <f ca="1">IF((A1)=(2),"",IF((299)=(O4),IF(IF((INDEX(B1:XFD1,((A3)+(1))+(0)))=("store"),(INDEX(B1:XFD1,((A3)+(1))+(1)))=("O"),"false"),B3,O303),O303))</f>
        <v>#VALUE!</v>
      </c>
      <c r="P303" t="e">
        <f ca="1">IF((A1)=(2),"",IF((299)=(P4),IF(IF((INDEX(B1:XFD1,((A3)+(1))+(0)))=("store"),(INDEX(B1:XFD1,((A3)+(1))+(1)))=("P"),"false"),B3,P303),P303))</f>
        <v>#VALUE!</v>
      </c>
      <c r="Q303" t="e">
        <f ca="1">IF((A1)=(2),"",IF((299)=(Q4),IF(IF((INDEX(B1:XFD1,((A3)+(1))+(0)))=("store"),(INDEX(B1:XFD1,((A3)+(1))+(1)))=("Q"),"false"),B3,Q303),Q303))</f>
        <v>#VALUE!</v>
      </c>
      <c r="R303" t="e">
        <f ca="1">IF((A1)=(2),"",IF((299)=(R4),IF(IF((INDEX(B1:XFD1,((A3)+(1))+(0)))=("store"),(INDEX(B1:XFD1,((A3)+(1))+(1)))=("R"),"false"),B3,R303),R303))</f>
        <v>#VALUE!</v>
      </c>
      <c r="S303" t="e">
        <f ca="1">IF((A1)=(2),"",IF((299)=(S4),IF(IF((INDEX(B1:XFD1,((A3)+(1))+(0)))=("store"),(INDEX(B1:XFD1,((A3)+(1))+(1)))=("S"),"false"),B3,S303),S303))</f>
        <v>#VALUE!</v>
      </c>
      <c r="T303" t="e">
        <f ca="1">IF((A1)=(2),"",IF((299)=(T4),IF(IF((INDEX(B1:XFD1,((A3)+(1))+(0)))=("store"),(INDEX(B1:XFD1,((A3)+(1))+(1)))=("T"),"false"),B3,T303),T303))</f>
        <v>#VALUE!</v>
      </c>
      <c r="U303" t="e">
        <f ca="1">IF((A1)=(2),"",IF((299)=(U4),IF(IF((INDEX(B1:XFD1,((A3)+(1))+(0)))=("store"),(INDEX(B1:XFD1,((A3)+(1))+(1)))=("U"),"false"),B3,U303),U303))</f>
        <v>#VALUE!</v>
      </c>
      <c r="V303" t="e">
        <f ca="1">IF((A1)=(2),"",IF((299)=(V4),IF(IF((INDEX(B1:XFD1,((A3)+(1))+(0)))=("store"),(INDEX(B1:XFD1,((A3)+(1))+(1)))=("V"),"false"),B3,V303),V303))</f>
        <v>#VALUE!</v>
      </c>
      <c r="W303" t="e">
        <f ca="1">IF((A1)=(2),"",IF((299)=(W4),IF(IF((INDEX(B1:XFD1,((A3)+(1))+(0)))=("store"),(INDEX(B1:XFD1,((A3)+(1))+(1)))=("W"),"false"),B3,W303),W303))</f>
        <v>#VALUE!</v>
      </c>
      <c r="X303" t="e">
        <f ca="1">IF((A1)=(2),"",IF((299)=(X4),IF(IF((INDEX(B1:XFD1,((A3)+(1))+(0)))=("store"),(INDEX(B1:XFD1,((A3)+(1))+(1)))=("X"),"false"),B3,X303),X303))</f>
        <v>#VALUE!</v>
      </c>
      <c r="Y303" t="e">
        <f ca="1">IF((A1)=(2),"",IF((299)=(Y4),IF(IF((INDEX(B1:XFD1,((A3)+(1))+(0)))=("store"),(INDEX(B1:XFD1,((A3)+(1))+(1)))=("Y"),"false"),B3,Y303),Y303))</f>
        <v>#VALUE!</v>
      </c>
      <c r="Z303" t="e">
        <f ca="1">IF((A1)=(2),"",IF((299)=(Z4),IF(IF((INDEX(B1:XFD1,((A3)+(1))+(0)))=("store"),(INDEX(B1:XFD1,((A3)+(1))+(1)))=("Z"),"false"),B3,Z303),Z303))</f>
        <v>#VALUE!</v>
      </c>
      <c r="AA303" t="e">
        <f ca="1">IF((A1)=(2),"",IF((299)=(AA4),IF(IF((INDEX(B1:XFD1,((A3)+(1))+(0)))=("store"),(INDEX(B1:XFD1,((A3)+(1))+(1)))=("AA"),"false"),B3,AA303),AA303))</f>
        <v>#VALUE!</v>
      </c>
      <c r="AB303" t="e">
        <f ca="1">IF((A1)=(2),"",IF((299)=(AB4),IF(IF((INDEX(B1:XFD1,((A3)+(1))+(0)))=("store"),(INDEX(B1:XFD1,((A3)+(1))+(1)))=("AB"),"false"),B3,AB303),AB303))</f>
        <v>#VALUE!</v>
      </c>
      <c r="AC303" t="e">
        <f ca="1">IF((A1)=(2),"",IF((299)=(AC4),IF(IF((INDEX(B1:XFD1,((A3)+(1))+(0)))=("store"),(INDEX(B1:XFD1,((A3)+(1))+(1)))=("AC"),"false"),B3,AC303),AC303))</f>
        <v>#VALUE!</v>
      </c>
      <c r="AD303" t="e">
        <f ca="1">IF((A1)=(2),"",IF((299)=(AD4),IF(IF((INDEX(B1:XFD1,((A3)+(1))+(0)))=("store"),(INDEX(B1:XFD1,((A3)+(1))+(1)))=("AD"),"false"),B3,AD303),AD303))</f>
        <v>#VALUE!</v>
      </c>
    </row>
    <row r="304" spans="1:30" x14ac:dyDescent="0.25">
      <c r="A304" t="e">
        <f ca="1">IF((A1)=(2),"",IF((300)=(A4),IF(("call")=(INDEX(B1:XFD1,((A3)+(1))+(0))),(B3)*(2),IF(("goto")=(INDEX(B1:XFD1,((A3)+(1))+(0))),(INDEX(B1:XFD1,((A3)+(1))+(1)))*(2),IF(("gotoiftrue")=(INDEX(B1:XFD1,((A3)+(1))+(0))),IF(B3,(INDEX(B1:XFD1,((A3)+(1))+(1)))*(2),(A304)+(2)),(A304)+(2)))),A304))</f>
        <v>#VALUE!</v>
      </c>
      <c r="B304" t="e">
        <f ca="1">IF((A1)=(2),"",IF((300)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304)+(1)),IF(("add")=(INDEX(B1:XFD1,((A3)+(1))+(0))),(INDEX(B5:B405,(B4)+(1)))+(B304),IF(("equals")=(INDEX(B1:XFD1,((A3)+(1))+(0))),(INDEX(B5:B405,(B4)+(1)))=(B304),IF(("leq")=(INDEX(B1:XFD1,((A3)+(1))+(0))),(INDEX(B5:B405,(B4)+(1)))&lt;=(B304),IF(("greater")=(INDEX(B1:XFD1,((A3)+(1))+(0))),(INDEX(B5:B405,(B4)+(1)))&gt;(B304),IF(("mod")=(INDEX(B1:XFD1,((A3)+(1))+(0))),MOD(INDEX(B5:B405,(B4)+(1)),B304),B304))))))))),B304))</f>
        <v>#VALUE!</v>
      </c>
      <c r="C304" t="e">
        <f ca="1">IF((A1)=(2),1,IF(AND((INDEX(B1:XFD1,((A3)+(1))+(0)))=("writeheap"),(INDEX(B5:B405,(B4)+(1)))=(299)),INDEX(B5:B405,(B4)+(2)),IF((A1)=(2),"",IF((300)=(C4),C304,C304))))</f>
        <v>#VALUE!</v>
      </c>
      <c r="F304" t="e">
        <f ca="1">IF((A1)=(2),"",IF((300)=(F4),IF(IF((INDEX(B1:XFD1,((A3)+(1))+(0)))=("store"),(INDEX(B1:XFD1,((A3)+(1))+(1)))=("F"),"false"),B3,F304),F304))</f>
        <v>#VALUE!</v>
      </c>
      <c r="G304" t="e">
        <f ca="1">IF((A1)=(2),"",IF((300)=(G4),IF(IF((INDEX(B1:XFD1,((A3)+(1))+(0)))=("store"),(INDEX(B1:XFD1,((A3)+(1))+(1)))=("G"),"false"),B3,G304),G304))</f>
        <v>#VALUE!</v>
      </c>
      <c r="H304" t="e">
        <f ca="1">IF((A1)=(2),"",IF((300)=(H4),IF(IF((INDEX(B1:XFD1,((A3)+(1))+(0)))=("store"),(INDEX(B1:XFD1,((A3)+(1))+(1)))=("H"),"false"),B3,H304),H304))</f>
        <v>#VALUE!</v>
      </c>
      <c r="I304" t="e">
        <f ca="1">IF((A1)=(2),"",IF((300)=(I4),IF(IF((INDEX(B1:XFD1,((A3)+(1))+(0)))=("store"),(INDEX(B1:XFD1,((A3)+(1))+(1)))=("I"),"false"),B3,I304),I304))</f>
        <v>#VALUE!</v>
      </c>
      <c r="J304" t="e">
        <f ca="1">IF((A1)=(2),"",IF((300)=(J4),IF(IF((INDEX(B1:XFD1,((A3)+(1))+(0)))=("store"),(INDEX(B1:XFD1,((A3)+(1))+(1)))=("J"),"false"),B3,J304),J304))</f>
        <v>#VALUE!</v>
      </c>
      <c r="K304" t="e">
        <f ca="1">IF((A1)=(2),"",IF((300)=(K4),IF(IF((INDEX(B1:XFD1,((A3)+(1))+(0)))=("store"),(INDEX(B1:XFD1,((A3)+(1))+(1)))=("K"),"false"),B3,K304),K304))</f>
        <v>#VALUE!</v>
      </c>
      <c r="L304" t="e">
        <f ca="1">IF((A1)=(2),"",IF((300)=(L4),IF(IF((INDEX(B1:XFD1,((A3)+(1))+(0)))=("store"),(INDEX(B1:XFD1,((A3)+(1))+(1)))=("L"),"false"),B3,L304),L304))</f>
        <v>#VALUE!</v>
      </c>
      <c r="M304" t="e">
        <f ca="1">IF((A1)=(2),"",IF((300)=(M4),IF(IF((INDEX(B1:XFD1,((A3)+(1))+(0)))=("store"),(INDEX(B1:XFD1,((A3)+(1))+(1)))=("M"),"false"),B3,M304),M304))</f>
        <v>#VALUE!</v>
      </c>
      <c r="N304" t="e">
        <f ca="1">IF((A1)=(2),"",IF((300)=(N4),IF(IF((INDEX(B1:XFD1,((A3)+(1))+(0)))=("store"),(INDEX(B1:XFD1,((A3)+(1))+(1)))=("N"),"false"),B3,N304),N304))</f>
        <v>#VALUE!</v>
      </c>
      <c r="O304" t="e">
        <f ca="1">IF((A1)=(2),"",IF((300)=(O4),IF(IF((INDEX(B1:XFD1,((A3)+(1))+(0)))=("store"),(INDEX(B1:XFD1,((A3)+(1))+(1)))=("O"),"false"),B3,O304),O304))</f>
        <v>#VALUE!</v>
      </c>
      <c r="P304" t="e">
        <f ca="1">IF((A1)=(2),"",IF((300)=(P4),IF(IF((INDEX(B1:XFD1,((A3)+(1))+(0)))=("store"),(INDEX(B1:XFD1,((A3)+(1))+(1)))=("P"),"false"),B3,P304),P304))</f>
        <v>#VALUE!</v>
      </c>
      <c r="Q304" t="e">
        <f ca="1">IF((A1)=(2),"",IF((300)=(Q4),IF(IF((INDEX(B1:XFD1,((A3)+(1))+(0)))=("store"),(INDEX(B1:XFD1,((A3)+(1))+(1)))=("Q"),"false"),B3,Q304),Q304))</f>
        <v>#VALUE!</v>
      </c>
      <c r="R304" t="e">
        <f ca="1">IF((A1)=(2),"",IF((300)=(R4),IF(IF((INDEX(B1:XFD1,((A3)+(1))+(0)))=("store"),(INDEX(B1:XFD1,((A3)+(1))+(1)))=("R"),"false"),B3,R304),R304))</f>
        <v>#VALUE!</v>
      </c>
      <c r="S304" t="e">
        <f ca="1">IF((A1)=(2),"",IF((300)=(S4),IF(IF((INDEX(B1:XFD1,((A3)+(1))+(0)))=("store"),(INDEX(B1:XFD1,((A3)+(1))+(1)))=("S"),"false"),B3,S304),S304))</f>
        <v>#VALUE!</v>
      </c>
      <c r="T304" t="e">
        <f ca="1">IF((A1)=(2),"",IF((300)=(T4),IF(IF((INDEX(B1:XFD1,((A3)+(1))+(0)))=("store"),(INDEX(B1:XFD1,((A3)+(1))+(1)))=("T"),"false"),B3,T304),T304))</f>
        <v>#VALUE!</v>
      </c>
      <c r="U304" t="e">
        <f ca="1">IF((A1)=(2),"",IF((300)=(U4),IF(IF((INDEX(B1:XFD1,((A3)+(1))+(0)))=("store"),(INDEX(B1:XFD1,((A3)+(1))+(1)))=("U"),"false"),B3,U304),U304))</f>
        <v>#VALUE!</v>
      </c>
      <c r="V304" t="e">
        <f ca="1">IF((A1)=(2),"",IF((300)=(V4),IF(IF((INDEX(B1:XFD1,((A3)+(1))+(0)))=("store"),(INDEX(B1:XFD1,((A3)+(1))+(1)))=("V"),"false"),B3,V304),V304))</f>
        <v>#VALUE!</v>
      </c>
      <c r="W304" t="e">
        <f ca="1">IF((A1)=(2),"",IF((300)=(W4),IF(IF((INDEX(B1:XFD1,((A3)+(1))+(0)))=("store"),(INDEX(B1:XFD1,((A3)+(1))+(1)))=("W"),"false"),B3,W304),W304))</f>
        <v>#VALUE!</v>
      </c>
      <c r="X304" t="e">
        <f ca="1">IF((A1)=(2),"",IF((300)=(X4),IF(IF((INDEX(B1:XFD1,((A3)+(1))+(0)))=("store"),(INDEX(B1:XFD1,((A3)+(1))+(1)))=("X"),"false"),B3,X304),X304))</f>
        <v>#VALUE!</v>
      </c>
      <c r="Y304" t="e">
        <f ca="1">IF((A1)=(2),"",IF((300)=(Y4),IF(IF((INDEX(B1:XFD1,((A3)+(1))+(0)))=("store"),(INDEX(B1:XFD1,((A3)+(1))+(1)))=("Y"),"false"),B3,Y304),Y304))</f>
        <v>#VALUE!</v>
      </c>
      <c r="Z304" t="e">
        <f ca="1">IF((A1)=(2),"",IF((300)=(Z4),IF(IF((INDEX(B1:XFD1,((A3)+(1))+(0)))=("store"),(INDEX(B1:XFD1,((A3)+(1))+(1)))=("Z"),"false"),B3,Z304),Z304))</f>
        <v>#VALUE!</v>
      </c>
      <c r="AA304" t="e">
        <f ca="1">IF((A1)=(2),"",IF((300)=(AA4),IF(IF((INDEX(B1:XFD1,((A3)+(1))+(0)))=("store"),(INDEX(B1:XFD1,((A3)+(1))+(1)))=("AA"),"false"),B3,AA304),AA304))</f>
        <v>#VALUE!</v>
      </c>
      <c r="AB304" t="e">
        <f ca="1">IF((A1)=(2),"",IF((300)=(AB4),IF(IF((INDEX(B1:XFD1,((A3)+(1))+(0)))=("store"),(INDEX(B1:XFD1,((A3)+(1))+(1)))=("AB"),"false"),B3,AB304),AB304))</f>
        <v>#VALUE!</v>
      </c>
      <c r="AC304" t="e">
        <f ca="1">IF((A1)=(2),"",IF((300)=(AC4),IF(IF((INDEX(B1:XFD1,((A3)+(1))+(0)))=("store"),(INDEX(B1:XFD1,((A3)+(1))+(1)))=("AC"),"false"),B3,AC304),AC304))</f>
        <v>#VALUE!</v>
      </c>
      <c r="AD304" t="e">
        <f ca="1">IF((A1)=(2),"",IF((300)=(AD4),IF(IF((INDEX(B1:XFD1,((A3)+(1))+(0)))=("store"),(INDEX(B1:XFD1,((A3)+(1))+(1)))=("AD"),"false"),B3,AD304),AD304))</f>
        <v>#VALUE!</v>
      </c>
    </row>
    <row r="305" spans="1:30" x14ac:dyDescent="0.25">
      <c r="A305" t="e">
        <f ca="1">IF((A1)=(2),"",IF((301)=(A4),IF(("call")=(INDEX(B1:XFD1,((A3)+(1))+(0))),(B3)*(2),IF(("goto")=(INDEX(B1:XFD1,((A3)+(1))+(0))),(INDEX(B1:XFD1,((A3)+(1))+(1)))*(2),IF(("gotoiftrue")=(INDEX(B1:XFD1,((A3)+(1))+(0))),IF(B3,(INDEX(B1:XFD1,((A3)+(1))+(1)))*(2),(A305)+(2)),(A305)+(2)))),A305))</f>
        <v>#VALUE!</v>
      </c>
      <c r="B305" t="e">
        <f ca="1">IF((A1)=(2),"",IF((301)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305)+(1)),IF(("add")=(INDEX(B1:XFD1,((A3)+(1))+(0))),(INDEX(B5:B405,(B4)+(1)))+(B305),IF(("equals")=(INDEX(B1:XFD1,((A3)+(1))+(0))),(INDEX(B5:B405,(B4)+(1)))=(B305),IF(("leq")=(INDEX(B1:XFD1,((A3)+(1))+(0))),(INDEX(B5:B405,(B4)+(1)))&lt;=(B305),IF(("greater")=(INDEX(B1:XFD1,((A3)+(1))+(0))),(INDEX(B5:B405,(B4)+(1)))&gt;(B305),IF(("mod")=(INDEX(B1:XFD1,((A3)+(1))+(0))),MOD(INDEX(B5:B405,(B4)+(1)),B305),B305))))))))),B305))</f>
        <v>#VALUE!</v>
      </c>
      <c r="C305" t="e">
        <f ca="1">IF((A1)=(2),1,IF(AND((INDEX(B1:XFD1,((A3)+(1))+(0)))=("writeheap"),(INDEX(B5:B405,(B4)+(1)))=(300)),INDEX(B5:B405,(B4)+(2)),IF((A1)=(2),"",IF((301)=(C4),C305,C305))))</f>
        <v>#VALUE!</v>
      </c>
      <c r="F305" t="e">
        <f ca="1">IF((A1)=(2),"",IF((301)=(F4),IF(IF((INDEX(B1:XFD1,((A3)+(1))+(0)))=("store"),(INDEX(B1:XFD1,((A3)+(1))+(1)))=("F"),"false"),B3,F305),F305))</f>
        <v>#VALUE!</v>
      </c>
      <c r="G305" t="e">
        <f ca="1">IF((A1)=(2),"",IF((301)=(G4),IF(IF((INDEX(B1:XFD1,((A3)+(1))+(0)))=("store"),(INDEX(B1:XFD1,((A3)+(1))+(1)))=("G"),"false"),B3,G305),G305))</f>
        <v>#VALUE!</v>
      </c>
      <c r="H305" t="e">
        <f ca="1">IF((A1)=(2),"",IF((301)=(H4),IF(IF((INDEX(B1:XFD1,((A3)+(1))+(0)))=("store"),(INDEX(B1:XFD1,((A3)+(1))+(1)))=("H"),"false"),B3,H305),H305))</f>
        <v>#VALUE!</v>
      </c>
      <c r="I305" t="e">
        <f ca="1">IF((A1)=(2),"",IF((301)=(I4),IF(IF((INDEX(B1:XFD1,((A3)+(1))+(0)))=("store"),(INDEX(B1:XFD1,((A3)+(1))+(1)))=("I"),"false"),B3,I305),I305))</f>
        <v>#VALUE!</v>
      </c>
      <c r="J305" t="e">
        <f ca="1">IF((A1)=(2),"",IF((301)=(J4),IF(IF((INDEX(B1:XFD1,((A3)+(1))+(0)))=("store"),(INDEX(B1:XFD1,((A3)+(1))+(1)))=("J"),"false"),B3,J305),J305))</f>
        <v>#VALUE!</v>
      </c>
      <c r="K305" t="e">
        <f ca="1">IF((A1)=(2),"",IF((301)=(K4),IF(IF((INDEX(B1:XFD1,((A3)+(1))+(0)))=("store"),(INDEX(B1:XFD1,((A3)+(1))+(1)))=("K"),"false"),B3,K305),K305))</f>
        <v>#VALUE!</v>
      </c>
      <c r="L305" t="e">
        <f ca="1">IF((A1)=(2),"",IF((301)=(L4),IF(IF((INDEX(B1:XFD1,((A3)+(1))+(0)))=("store"),(INDEX(B1:XFD1,((A3)+(1))+(1)))=("L"),"false"),B3,L305),L305))</f>
        <v>#VALUE!</v>
      </c>
      <c r="M305" t="e">
        <f ca="1">IF((A1)=(2),"",IF((301)=(M4),IF(IF((INDEX(B1:XFD1,((A3)+(1))+(0)))=("store"),(INDEX(B1:XFD1,((A3)+(1))+(1)))=("M"),"false"),B3,M305),M305))</f>
        <v>#VALUE!</v>
      </c>
      <c r="N305" t="e">
        <f ca="1">IF((A1)=(2),"",IF((301)=(N4),IF(IF((INDEX(B1:XFD1,((A3)+(1))+(0)))=("store"),(INDEX(B1:XFD1,((A3)+(1))+(1)))=("N"),"false"),B3,N305),N305))</f>
        <v>#VALUE!</v>
      </c>
      <c r="O305" t="e">
        <f ca="1">IF((A1)=(2),"",IF((301)=(O4),IF(IF((INDEX(B1:XFD1,((A3)+(1))+(0)))=("store"),(INDEX(B1:XFD1,((A3)+(1))+(1)))=("O"),"false"),B3,O305),O305))</f>
        <v>#VALUE!</v>
      </c>
      <c r="P305" t="e">
        <f ca="1">IF((A1)=(2),"",IF((301)=(P4),IF(IF((INDEX(B1:XFD1,((A3)+(1))+(0)))=("store"),(INDEX(B1:XFD1,((A3)+(1))+(1)))=("P"),"false"),B3,P305),P305))</f>
        <v>#VALUE!</v>
      </c>
      <c r="Q305" t="e">
        <f ca="1">IF((A1)=(2),"",IF((301)=(Q4),IF(IF((INDEX(B1:XFD1,((A3)+(1))+(0)))=("store"),(INDEX(B1:XFD1,((A3)+(1))+(1)))=("Q"),"false"),B3,Q305),Q305))</f>
        <v>#VALUE!</v>
      </c>
      <c r="R305" t="e">
        <f ca="1">IF((A1)=(2),"",IF((301)=(R4),IF(IF((INDEX(B1:XFD1,((A3)+(1))+(0)))=("store"),(INDEX(B1:XFD1,((A3)+(1))+(1)))=("R"),"false"),B3,R305),R305))</f>
        <v>#VALUE!</v>
      </c>
      <c r="S305" t="e">
        <f ca="1">IF((A1)=(2),"",IF((301)=(S4),IF(IF((INDEX(B1:XFD1,((A3)+(1))+(0)))=("store"),(INDEX(B1:XFD1,((A3)+(1))+(1)))=("S"),"false"),B3,S305),S305))</f>
        <v>#VALUE!</v>
      </c>
      <c r="T305" t="e">
        <f ca="1">IF((A1)=(2),"",IF((301)=(T4),IF(IF((INDEX(B1:XFD1,((A3)+(1))+(0)))=("store"),(INDEX(B1:XFD1,((A3)+(1))+(1)))=("T"),"false"),B3,T305),T305))</f>
        <v>#VALUE!</v>
      </c>
      <c r="U305" t="e">
        <f ca="1">IF((A1)=(2),"",IF((301)=(U4),IF(IF((INDEX(B1:XFD1,((A3)+(1))+(0)))=("store"),(INDEX(B1:XFD1,((A3)+(1))+(1)))=("U"),"false"),B3,U305),U305))</f>
        <v>#VALUE!</v>
      </c>
      <c r="V305" t="e">
        <f ca="1">IF((A1)=(2),"",IF((301)=(V4),IF(IF((INDEX(B1:XFD1,((A3)+(1))+(0)))=("store"),(INDEX(B1:XFD1,((A3)+(1))+(1)))=("V"),"false"),B3,V305),V305))</f>
        <v>#VALUE!</v>
      </c>
      <c r="W305" t="e">
        <f ca="1">IF((A1)=(2),"",IF((301)=(W4),IF(IF((INDEX(B1:XFD1,((A3)+(1))+(0)))=("store"),(INDEX(B1:XFD1,((A3)+(1))+(1)))=("W"),"false"),B3,W305),W305))</f>
        <v>#VALUE!</v>
      </c>
      <c r="X305" t="e">
        <f ca="1">IF((A1)=(2),"",IF((301)=(X4),IF(IF((INDEX(B1:XFD1,((A3)+(1))+(0)))=("store"),(INDEX(B1:XFD1,((A3)+(1))+(1)))=("X"),"false"),B3,X305),X305))</f>
        <v>#VALUE!</v>
      </c>
      <c r="Y305" t="e">
        <f ca="1">IF((A1)=(2),"",IF((301)=(Y4),IF(IF((INDEX(B1:XFD1,((A3)+(1))+(0)))=("store"),(INDEX(B1:XFD1,((A3)+(1))+(1)))=("Y"),"false"),B3,Y305),Y305))</f>
        <v>#VALUE!</v>
      </c>
      <c r="Z305" t="e">
        <f ca="1">IF((A1)=(2),"",IF((301)=(Z4),IF(IF((INDEX(B1:XFD1,((A3)+(1))+(0)))=("store"),(INDEX(B1:XFD1,((A3)+(1))+(1)))=("Z"),"false"),B3,Z305),Z305))</f>
        <v>#VALUE!</v>
      </c>
      <c r="AA305" t="e">
        <f ca="1">IF((A1)=(2),"",IF((301)=(AA4),IF(IF((INDEX(B1:XFD1,((A3)+(1))+(0)))=("store"),(INDEX(B1:XFD1,((A3)+(1))+(1)))=("AA"),"false"),B3,AA305),AA305))</f>
        <v>#VALUE!</v>
      </c>
      <c r="AB305" t="e">
        <f ca="1">IF((A1)=(2),"",IF((301)=(AB4),IF(IF((INDEX(B1:XFD1,((A3)+(1))+(0)))=("store"),(INDEX(B1:XFD1,((A3)+(1))+(1)))=("AB"),"false"),B3,AB305),AB305))</f>
        <v>#VALUE!</v>
      </c>
      <c r="AC305" t="e">
        <f ca="1">IF((A1)=(2),"",IF((301)=(AC4),IF(IF((INDEX(B1:XFD1,((A3)+(1))+(0)))=("store"),(INDEX(B1:XFD1,((A3)+(1))+(1)))=("AC"),"false"),B3,AC305),AC305))</f>
        <v>#VALUE!</v>
      </c>
      <c r="AD305" t="e">
        <f ca="1">IF((A1)=(2),"",IF((301)=(AD4),IF(IF((INDEX(B1:XFD1,((A3)+(1))+(0)))=("store"),(INDEX(B1:XFD1,((A3)+(1))+(1)))=("AD"),"false"),B3,AD305),AD305))</f>
        <v>#VALUE!</v>
      </c>
    </row>
    <row r="306" spans="1:30" x14ac:dyDescent="0.25">
      <c r="A306" t="e">
        <f ca="1">IF((A1)=(2),"",IF((302)=(A4),IF(("call")=(INDEX(B1:XFD1,((A3)+(1))+(0))),(B3)*(2),IF(("goto")=(INDEX(B1:XFD1,((A3)+(1))+(0))),(INDEX(B1:XFD1,((A3)+(1))+(1)))*(2),IF(("gotoiftrue")=(INDEX(B1:XFD1,((A3)+(1))+(0))),IF(B3,(INDEX(B1:XFD1,((A3)+(1))+(1)))*(2),(A306)+(2)),(A306)+(2)))),A306))</f>
        <v>#VALUE!</v>
      </c>
      <c r="B306" t="e">
        <f ca="1">IF((A1)=(2),"",IF((302)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306)+(1)),IF(("add")=(INDEX(B1:XFD1,((A3)+(1))+(0))),(INDEX(B5:B405,(B4)+(1)))+(B306),IF(("equals")=(INDEX(B1:XFD1,((A3)+(1))+(0))),(INDEX(B5:B405,(B4)+(1)))=(B306),IF(("leq")=(INDEX(B1:XFD1,((A3)+(1))+(0))),(INDEX(B5:B405,(B4)+(1)))&lt;=(B306),IF(("greater")=(INDEX(B1:XFD1,((A3)+(1))+(0))),(INDEX(B5:B405,(B4)+(1)))&gt;(B306),IF(("mod")=(INDEX(B1:XFD1,((A3)+(1))+(0))),MOD(INDEX(B5:B405,(B4)+(1)),B306),B306))))))))),B306))</f>
        <v>#VALUE!</v>
      </c>
      <c r="C306" t="e">
        <f ca="1">IF((A1)=(2),1,IF(AND((INDEX(B1:XFD1,((A3)+(1))+(0)))=("writeheap"),(INDEX(B5:B405,(B4)+(1)))=(301)),INDEX(B5:B405,(B4)+(2)),IF((A1)=(2),"",IF((302)=(C4),C306,C306))))</f>
        <v>#VALUE!</v>
      </c>
      <c r="F306" t="e">
        <f ca="1">IF((A1)=(2),"",IF((302)=(F4),IF(IF((INDEX(B1:XFD1,((A3)+(1))+(0)))=("store"),(INDEX(B1:XFD1,((A3)+(1))+(1)))=("F"),"false"),B3,F306),F306))</f>
        <v>#VALUE!</v>
      </c>
      <c r="G306" t="e">
        <f ca="1">IF((A1)=(2),"",IF((302)=(G4),IF(IF((INDEX(B1:XFD1,((A3)+(1))+(0)))=("store"),(INDEX(B1:XFD1,((A3)+(1))+(1)))=("G"),"false"),B3,G306),G306))</f>
        <v>#VALUE!</v>
      </c>
      <c r="H306" t="e">
        <f ca="1">IF((A1)=(2),"",IF((302)=(H4),IF(IF((INDEX(B1:XFD1,((A3)+(1))+(0)))=("store"),(INDEX(B1:XFD1,((A3)+(1))+(1)))=("H"),"false"),B3,H306),H306))</f>
        <v>#VALUE!</v>
      </c>
      <c r="I306" t="e">
        <f ca="1">IF((A1)=(2),"",IF((302)=(I4),IF(IF((INDEX(B1:XFD1,((A3)+(1))+(0)))=("store"),(INDEX(B1:XFD1,((A3)+(1))+(1)))=("I"),"false"),B3,I306),I306))</f>
        <v>#VALUE!</v>
      </c>
      <c r="J306" t="e">
        <f ca="1">IF((A1)=(2),"",IF((302)=(J4),IF(IF((INDEX(B1:XFD1,((A3)+(1))+(0)))=("store"),(INDEX(B1:XFD1,((A3)+(1))+(1)))=("J"),"false"),B3,J306),J306))</f>
        <v>#VALUE!</v>
      </c>
      <c r="K306" t="e">
        <f ca="1">IF((A1)=(2),"",IF((302)=(K4),IF(IF((INDEX(B1:XFD1,((A3)+(1))+(0)))=("store"),(INDEX(B1:XFD1,((A3)+(1))+(1)))=("K"),"false"),B3,K306),K306))</f>
        <v>#VALUE!</v>
      </c>
      <c r="L306" t="e">
        <f ca="1">IF((A1)=(2),"",IF((302)=(L4),IF(IF((INDEX(B1:XFD1,((A3)+(1))+(0)))=("store"),(INDEX(B1:XFD1,((A3)+(1))+(1)))=("L"),"false"),B3,L306),L306))</f>
        <v>#VALUE!</v>
      </c>
      <c r="M306" t="e">
        <f ca="1">IF((A1)=(2),"",IF((302)=(M4),IF(IF((INDEX(B1:XFD1,((A3)+(1))+(0)))=("store"),(INDEX(B1:XFD1,((A3)+(1))+(1)))=("M"),"false"),B3,M306),M306))</f>
        <v>#VALUE!</v>
      </c>
      <c r="N306" t="e">
        <f ca="1">IF((A1)=(2),"",IF((302)=(N4),IF(IF((INDEX(B1:XFD1,((A3)+(1))+(0)))=("store"),(INDEX(B1:XFD1,((A3)+(1))+(1)))=("N"),"false"),B3,N306),N306))</f>
        <v>#VALUE!</v>
      </c>
      <c r="O306" t="e">
        <f ca="1">IF((A1)=(2),"",IF((302)=(O4),IF(IF((INDEX(B1:XFD1,((A3)+(1))+(0)))=("store"),(INDEX(B1:XFD1,((A3)+(1))+(1)))=("O"),"false"),B3,O306),O306))</f>
        <v>#VALUE!</v>
      </c>
      <c r="P306" t="e">
        <f ca="1">IF((A1)=(2),"",IF((302)=(P4),IF(IF((INDEX(B1:XFD1,((A3)+(1))+(0)))=("store"),(INDEX(B1:XFD1,((A3)+(1))+(1)))=("P"),"false"),B3,P306),P306))</f>
        <v>#VALUE!</v>
      </c>
      <c r="Q306" t="e">
        <f ca="1">IF((A1)=(2),"",IF((302)=(Q4),IF(IF((INDEX(B1:XFD1,((A3)+(1))+(0)))=("store"),(INDEX(B1:XFD1,((A3)+(1))+(1)))=("Q"),"false"),B3,Q306),Q306))</f>
        <v>#VALUE!</v>
      </c>
      <c r="R306" t="e">
        <f ca="1">IF((A1)=(2),"",IF((302)=(R4),IF(IF((INDEX(B1:XFD1,((A3)+(1))+(0)))=("store"),(INDEX(B1:XFD1,((A3)+(1))+(1)))=("R"),"false"),B3,R306),R306))</f>
        <v>#VALUE!</v>
      </c>
      <c r="S306" t="e">
        <f ca="1">IF((A1)=(2),"",IF((302)=(S4),IF(IF((INDEX(B1:XFD1,((A3)+(1))+(0)))=("store"),(INDEX(B1:XFD1,((A3)+(1))+(1)))=("S"),"false"),B3,S306),S306))</f>
        <v>#VALUE!</v>
      </c>
      <c r="T306" t="e">
        <f ca="1">IF((A1)=(2),"",IF((302)=(T4),IF(IF((INDEX(B1:XFD1,((A3)+(1))+(0)))=("store"),(INDEX(B1:XFD1,((A3)+(1))+(1)))=("T"),"false"),B3,T306),T306))</f>
        <v>#VALUE!</v>
      </c>
      <c r="U306" t="e">
        <f ca="1">IF((A1)=(2),"",IF((302)=(U4),IF(IF((INDEX(B1:XFD1,((A3)+(1))+(0)))=("store"),(INDEX(B1:XFD1,((A3)+(1))+(1)))=("U"),"false"),B3,U306),U306))</f>
        <v>#VALUE!</v>
      </c>
      <c r="V306" t="e">
        <f ca="1">IF((A1)=(2),"",IF((302)=(V4),IF(IF((INDEX(B1:XFD1,((A3)+(1))+(0)))=("store"),(INDEX(B1:XFD1,((A3)+(1))+(1)))=("V"),"false"),B3,V306),V306))</f>
        <v>#VALUE!</v>
      </c>
      <c r="W306" t="e">
        <f ca="1">IF((A1)=(2),"",IF((302)=(W4),IF(IF((INDEX(B1:XFD1,((A3)+(1))+(0)))=("store"),(INDEX(B1:XFD1,((A3)+(1))+(1)))=("W"),"false"),B3,W306),W306))</f>
        <v>#VALUE!</v>
      </c>
      <c r="X306" t="e">
        <f ca="1">IF((A1)=(2),"",IF((302)=(X4),IF(IF((INDEX(B1:XFD1,((A3)+(1))+(0)))=("store"),(INDEX(B1:XFD1,((A3)+(1))+(1)))=("X"),"false"),B3,X306),X306))</f>
        <v>#VALUE!</v>
      </c>
      <c r="Y306" t="e">
        <f ca="1">IF((A1)=(2),"",IF((302)=(Y4),IF(IF((INDEX(B1:XFD1,((A3)+(1))+(0)))=("store"),(INDEX(B1:XFD1,((A3)+(1))+(1)))=("Y"),"false"),B3,Y306),Y306))</f>
        <v>#VALUE!</v>
      </c>
      <c r="Z306" t="e">
        <f ca="1">IF((A1)=(2),"",IF((302)=(Z4),IF(IF((INDEX(B1:XFD1,((A3)+(1))+(0)))=("store"),(INDEX(B1:XFD1,((A3)+(1))+(1)))=("Z"),"false"),B3,Z306),Z306))</f>
        <v>#VALUE!</v>
      </c>
      <c r="AA306" t="e">
        <f ca="1">IF((A1)=(2),"",IF((302)=(AA4),IF(IF((INDEX(B1:XFD1,((A3)+(1))+(0)))=("store"),(INDEX(B1:XFD1,((A3)+(1))+(1)))=("AA"),"false"),B3,AA306),AA306))</f>
        <v>#VALUE!</v>
      </c>
      <c r="AB306" t="e">
        <f ca="1">IF((A1)=(2),"",IF((302)=(AB4),IF(IF((INDEX(B1:XFD1,((A3)+(1))+(0)))=("store"),(INDEX(B1:XFD1,((A3)+(1))+(1)))=("AB"),"false"),B3,AB306),AB306))</f>
        <v>#VALUE!</v>
      </c>
      <c r="AC306" t="e">
        <f ca="1">IF((A1)=(2),"",IF((302)=(AC4),IF(IF((INDEX(B1:XFD1,((A3)+(1))+(0)))=("store"),(INDEX(B1:XFD1,((A3)+(1))+(1)))=("AC"),"false"),B3,AC306),AC306))</f>
        <v>#VALUE!</v>
      </c>
      <c r="AD306" t="e">
        <f ca="1">IF((A1)=(2),"",IF((302)=(AD4),IF(IF((INDEX(B1:XFD1,((A3)+(1))+(0)))=("store"),(INDEX(B1:XFD1,((A3)+(1))+(1)))=("AD"),"false"),B3,AD306),AD306))</f>
        <v>#VALUE!</v>
      </c>
    </row>
    <row r="307" spans="1:30" x14ac:dyDescent="0.25">
      <c r="A307" t="e">
        <f ca="1">IF((A1)=(2),"",IF((303)=(A4),IF(("call")=(INDEX(B1:XFD1,((A3)+(1))+(0))),(B3)*(2),IF(("goto")=(INDEX(B1:XFD1,((A3)+(1))+(0))),(INDEX(B1:XFD1,((A3)+(1))+(1)))*(2),IF(("gotoiftrue")=(INDEX(B1:XFD1,((A3)+(1))+(0))),IF(B3,(INDEX(B1:XFD1,((A3)+(1))+(1)))*(2),(A307)+(2)),(A307)+(2)))),A307))</f>
        <v>#VALUE!</v>
      </c>
      <c r="B307" t="e">
        <f ca="1">IF((A1)=(2),"",IF((303)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307)+(1)),IF(("add")=(INDEX(B1:XFD1,((A3)+(1))+(0))),(INDEX(B5:B405,(B4)+(1)))+(B307),IF(("equals")=(INDEX(B1:XFD1,((A3)+(1))+(0))),(INDEX(B5:B405,(B4)+(1)))=(B307),IF(("leq")=(INDEX(B1:XFD1,((A3)+(1))+(0))),(INDEX(B5:B405,(B4)+(1)))&lt;=(B307),IF(("greater")=(INDEX(B1:XFD1,((A3)+(1))+(0))),(INDEX(B5:B405,(B4)+(1)))&gt;(B307),IF(("mod")=(INDEX(B1:XFD1,((A3)+(1))+(0))),MOD(INDEX(B5:B405,(B4)+(1)),B307),B307))))))))),B307))</f>
        <v>#VALUE!</v>
      </c>
      <c r="C307" t="e">
        <f ca="1">IF((A1)=(2),1,IF(AND((INDEX(B1:XFD1,((A3)+(1))+(0)))=("writeheap"),(INDEX(B5:B405,(B4)+(1)))=(302)),INDEX(B5:B405,(B4)+(2)),IF((A1)=(2),"",IF((303)=(C4),C307,C307))))</f>
        <v>#VALUE!</v>
      </c>
      <c r="F307" t="e">
        <f ca="1">IF((A1)=(2),"",IF((303)=(F4),IF(IF((INDEX(B1:XFD1,((A3)+(1))+(0)))=("store"),(INDEX(B1:XFD1,((A3)+(1))+(1)))=("F"),"false"),B3,F307),F307))</f>
        <v>#VALUE!</v>
      </c>
      <c r="G307" t="e">
        <f ca="1">IF((A1)=(2),"",IF((303)=(G4),IF(IF((INDEX(B1:XFD1,((A3)+(1))+(0)))=("store"),(INDEX(B1:XFD1,((A3)+(1))+(1)))=("G"),"false"),B3,G307),G307))</f>
        <v>#VALUE!</v>
      </c>
      <c r="H307" t="e">
        <f ca="1">IF((A1)=(2),"",IF((303)=(H4),IF(IF((INDEX(B1:XFD1,((A3)+(1))+(0)))=("store"),(INDEX(B1:XFD1,((A3)+(1))+(1)))=("H"),"false"),B3,H307),H307))</f>
        <v>#VALUE!</v>
      </c>
      <c r="I307" t="e">
        <f ca="1">IF((A1)=(2),"",IF((303)=(I4),IF(IF((INDEX(B1:XFD1,((A3)+(1))+(0)))=("store"),(INDEX(B1:XFD1,((A3)+(1))+(1)))=("I"),"false"),B3,I307),I307))</f>
        <v>#VALUE!</v>
      </c>
      <c r="J307" t="e">
        <f ca="1">IF((A1)=(2),"",IF((303)=(J4),IF(IF((INDEX(B1:XFD1,((A3)+(1))+(0)))=("store"),(INDEX(B1:XFD1,((A3)+(1))+(1)))=("J"),"false"),B3,J307),J307))</f>
        <v>#VALUE!</v>
      </c>
      <c r="K307" t="e">
        <f ca="1">IF((A1)=(2),"",IF((303)=(K4),IF(IF((INDEX(B1:XFD1,((A3)+(1))+(0)))=("store"),(INDEX(B1:XFD1,((A3)+(1))+(1)))=("K"),"false"),B3,K307),K307))</f>
        <v>#VALUE!</v>
      </c>
      <c r="L307" t="e">
        <f ca="1">IF((A1)=(2),"",IF((303)=(L4),IF(IF((INDEX(B1:XFD1,((A3)+(1))+(0)))=("store"),(INDEX(B1:XFD1,((A3)+(1))+(1)))=("L"),"false"),B3,L307),L307))</f>
        <v>#VALUE!</v>
      </c>
      <c r="M307" t="e">
        <f ca="1">IF((A1)=(2),"",IF((303)=(M4),IF(IF((INDEX(B1:XFD1,((A3)+(1))+(0)))=("store"),(INDEX(B1:XFD1,((A3)+(1))+(1)))=("M"),"false"),B3,M307),M307))</f>
        <v>#VALUE!</v>
      </c>
      <c r="N307" t="e">
        <f ca="1">IF((A1)=(2),"",IF((303)=(N4),IF(IF((INDEX(B1:XFD1,((A3)+(1))+(0)))=("store"),(INDEX(B1:XFD1,((A3)+(1))+(1)))=("N"),"false"),B3,N307),N307))</f>
        <v>#VALUE!</v>
      </c>
      <c r="O307" t="e">
        <f ca="1">IF((A1)=(2),"",IF((303)=(O4),IF(IF((INDEX(B1:XFD1,((A3)+(1))+(0)))=("store"),(INDEX(B1:XFD1,((A3)+(1))+(1)))=("O"),"false"),B3,O307),O307))</f>
        <v>#VALUE!</v>
      </c>
      <c r="P307" t="e">
        <f ca="1">IF((A1)=(2),"",IF((303)=(P4),IF(IF((INDEX(B1:XFD1,((A3)+(1))+(0)))=("store"),(INDEX(B1:XFD1,((A3)+(1))+(1)))=("P"),"false"),B3,P307),P307))</f>
        <v>#VALUE!</v>
      </c>
      <c r="Q307" t="e">
        <f ca="1">IF((A1)=(2),"",IF((303)=(Q4),IF(IF((INDEX(B1:XFD1,((A3)+(1))+(0)))=("store"),(INDEX(B1:XFD1,((A3)+(1))+(1)))=("Q"),"false"),B3,Q307),Q307))</f>
        <v>#VALUE!</v>
      </c>
      <c r="R307" t="e">
        <f ca="1">IF((A1)=(2),"",IF((303)=(R4),IF(IF((INDEX(B1:XFD1,((A3)+(1))+(0)))=("store"),(INDEX(B1:XFD1,((A3)+(1))+(1)))=("R"),"false"),B3,R307),R307))</f>
        <v>#VALUE!</v>
      </c>
      <c r="S307" t="e">
        <f ca="1">IF((A1)=(2),"",IF((303)=(S4),IF(IF((INDEX(B1:XFD1,((A3)+(1))+(0)))=("store"),(INDEX(B1:XFD1,((A3)+(1))+(1)))=("S"),"false"),B3,S307),S307))</f>
        <v>#VALUE!</v>
      </c>
      <c r="T307" t="e">
        <f ca="1">IF((A1)=(2),"",IF((303)=(T4),IF(IF((INDEX(B1:XFD1,((A3)+(1))+(0)))=("store"),(INDEX(B1:XFD1,((A3)+(1))+(1)))=("T"),"false"),B3,T307),T307))</f>
        <v>#VALUE!</v>
      </c>
      <c r="U307" t="e">
        <f ca="1">IF((A1)=(2),"",IF((303)=(U4),IF(IF((INDEX(B1:XFD1,((A3)+(1))+(0)))=("store"),(INDEX(B1:XFD1,((A3)+(1))+(1)))=("U"),"false"),B3,U307),U307))</f>
        <v>#VALUE!</v>
      </c>
      <c r="V307" t="e">
        <f ca="1">IF((A1)=(2),"",IF((303)=(V4),IF(IF((INDEX(B1:XFD1,((A3)+(1))+(0)))=("store"),(INDEX(B1:XFD1,((A3)+(1))+(1)))=("V"),"false"),B3,V307),V307))</f>
        <v>#VALUE!</v>
      </c>
      <c r="W307" t="e">
        <f ca="1">IF((A1)=(2),"",IF((303)=(W4),IF(IF((INDEX(B1:XFD1,((A3)+(1))+(0)))=("store"),(INDEX(B1:XFD1,((A3)+(1))+(1)))=("W"),"false"),B3,W307),W307))</f>
        <v>#VALUE!</v>
      </c>
      <c r="X307" t="e">
        <f ca="1">IF((A1)=(2),"",IF((303)=(X4),IF(IF((INDEX(B1:XFD1,((A3)+(1))+(0)))=("store"),(INDEX(B1:XFD1,((A3)+(1))+(1)))=("X"),"false"),B3,X307),X307))</f>
        <v>#VALUE!</v>
      </c>
      <c r="Y307" t="e">
        <f ca="1">IF((A1)=(2),"",IF((303)=(Y4),IF(IF((INDEX(B1:XFD1,((A3)+(1))+(0)))=("store"),(INDEX(B1:XFD1,((A3)+(1))+(1)))=("Y"),"false"),B3,Y307),Y307))</f>
        <v>#VALUE!</v>
      </c>
      <c r="Z307" t="e">
        <f ca="1">IF((A1)=(2),"",IF((303)=(Z4),IF(IF((INDEX(B1:XFD1,((A3)+(1))+(0)))=("store"),(INDEX(B1:XFD1,((A3)+(1))+(1)))=("Z"),"false"),B3,Z307),Z307))</f>
        <v>#VALUE!</v>
      </c>
      <c r="AA307" t="e">
        <f ca="1">IF((A1)=(2),"",IF((303)=(AA4),IF(IF((INDEX(B1:XFD1,((A3)+(1))+(0)))=("store"),(INDEX(B1:XFD1,((A3)+(1))+(1)))=("AA"),"false"),B3,AA307),AA307))</f>
        <v>#VALUE!</v>
      </c>
      <c r="AB307" t="e">
        <f ca="1">IF((A1)=(2),"",IF((303)=(AB4),IF(IF((INDEX(B1:XFD1,((A3)+(1))+(0)))=("store"),(INDEX(B1:XFD1,((A3)+(1))+(1)))=("AB"),"false"),B3,AB307),AB307))</f>
        <v>#VALUE!</v>
      </c>
      <c r="AC307" t="e">
        <f ca="1">IF((A1)=(2),"",IF((303)=(AC4),IF(IF((INDEX(B1:XFD1,((A3)+(1))+(0)))=("store"),(INDEX(B1:XFD1,((A3)+(1))+(1)))=("AC"),"false"),B3,AC307),AC307))</f>
        <v>#VALUE!</v>
      </c>
      <c r="AD307" t="e">
        <f ca="1">IF((A1)=(2),"",IF((303)=(AD4),IF(IF((INDEX(B1:XFD1,((A3)+(1))+(0)))=("store"),(INDEX(B1:XFD1,((A3)+(1))+(1)))=("AD"),"false"),B3,AD307),AD307))</f>
        <v>#VALUE!</v>
      </c>
    </row>
    <row r="308" spans="1:30" x14ac:dyDescent="0.25">
      <c r="A308" t="e">
        <f ca="1">IF((A1)=(2),"",IF((304)=(A4),IF(("call")=(INDEX(B1:XFD1,((A3)+(1))+(0))),(B3)*(2),IF(("goto")=(INDEX(B1:XFD1,((A3)+(1))+(0))),(INDEX(B1:XFD1,((A3)+(1))+(1)))*(2),IF(("gotoiftrue")=(INDEX(B1:XFD1,((A3)+(1))+(0))),IF(B3,(INDEX(B1:XFD1,((A3)+(1))+(1)))*(2),(A308)+(2)),(A308)+(2)))),A308))</f>
        <v>#VALUE!</v>
      </c>
      <c r="B308" t="e">
        <f ca="1">IF((A1)=(2),"",IF((304)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308)+(1)),IF(("add")=(INDEX(B1:XFD1,((A3)+(1))+(0))),(INDEX(B5:B405,(B4)+(1)))+(B308),IF(("equals")=(INDEX(B1:XFD1,((A3)+(1))+(0))),(INDEX(B5:B405,(B4)+(1)))=(B308),IF(("leq")=(INDEX(B1:XFD1,((A3)+(1))+(0))),(INDEX(B5:B405,(B4)+(1)))&lt;=(B308),IF(("greater")=(INDEX(B1:XFD1,((A3)+(1))+(0))),(INDEX(B5:B405,(B4)+(1)))&gt;(B308),IF(("mod")=(INDEX(B1:XFD1,((A3)+(1))+(0))),MOD(INDEX(B5:B405,(B4)+(1)),B308),B308))))))))),B308))</f>
        <v>#VALUE!</v>
      </c>
      <c r="C308" t="e">
        <f ca="1">IF((A1)=(2),1,IF(AND((INDEX(B1:XFD1,((A3)+(1))+(0)))=("writeheap"),(INDEX(B5:B405,(B4)+(1)))=(303)),INDEX(B5:B405,(B4)+(2)),IF((A1)=(2),"",IF((304)=(C4),C308,C308))))</f>
        <v>#VALUE!</v>
      </c>
      <c r="F308" t="e">
        <f ca="1">IF((A1)=(2),"",IF((304)=(F4),IF(IF((INDEX(B1:XFD1,((A3)+(1))+(0)))=("store"),(INDEX(B1:XFD1,((A3)+(1))+(1)))=("F"),"false"),B3,F308),F308))</f>
        <v>#VALUE!</v>
      </c>
      <c r="G308" t="e">
        <f ca="1">IF((A1)=(2),"",IF((304)=(G4),IF(IF((INDEX(B1:XFD1,((A3)+(1))+(0)))=("store"),(INDEX(B1:XFD1,((A3)+(1))+(1)))=("G"),"false"),B3,G308),G308))</f>
        <v>#VALUE!</v>
      </c>
      <c r="H308" t="e">
        <f ca="1">IF((A1)=(2),"",IF((304)=(H4),IF(IF((INDEX(B1:XFD1,((A3)+(1))+(0)))=("store"),(INDEX(B1:XFD1,((A3)+(1))+(1)))=("H"),"false"),B3,H308),H308))</f>
        <v>#VALUE!</v>
      </c>
      <c r="I308" t="e">
        <f ca="1">IF((A1)=(2),"",IF((304)=(I4),IF(IF((INDEX(B1:XFD1,((A3)+(1))+(0)))=("store"),(INDEX(B1:XFD1,((A3)+(1))+(1)))=("I"),"false"),B3,I308),I308))</f>
        <v>#VALUE!</v>
      </c>
      <c r="J308" t="e">
        <f ca="1">IF((A1)=(2),"",IF((304)=(J4),IF(IF((INDEX(B1:XFD1,((A3)+(1))+(0)))=("store"),(INDEX(B1:XFD1,((A3)+(1))+(1)))=("J"),"false"),B3,J308),J308))</f>
        <v>#VALUE!</v>
      </c>
      <c r="K308" t="e">
        <f ca="1">IF((A1)=(2),"",IF((304)=(K4),IF(IF((INDEX(B1:XFD1,((A3)+(1))+(0)))=("store"),(INDEX(B1:XFD1,((A3)+(1))+(1)))=("K"),"false"),B3,K308),K308))</f>
        <v>#VALUE!</v>
      </c>
      <c r="L308" t="e">
        <f ca="1">IF((A1)=(2),"",IF((304)=(L4),IF(IF((INDEX(B1:XFD1,((A3)+(1))+(0)))=("store"),(INDEX(B1:XFD1,((A3)+(1))+(1)))=("L"),"false"),B3,L308),L308))</f>
        <v>#VALUE!</v>
      </c>
      <c r="M308" t="e">
        <f ca="1">IF((A1)=(2),"",IF((304)=(M4),IF(IF((INDEX(B1:XFD1,((A3)+(1))+(0)))=("store"),(INDEX(B1:XFD1,((A3)+(1))+(1)))=("M"),"false"),B3,M308),M308))</f>
        <v>#VALUE!</v>
      </c>
      <c r="N308" t="e">
        <f ca="1">IF((A1)=(2),"",IF((304)=(N4),IF(IF((INDEX(B1:XFD1,((A3)+(1))+(0)))=("store"),(INDEX(B1:XFD1,((A3)+(1))+(1)))=("N"),"false"),B3,N308),N308))</f>
        <v>#VALUE!</v>
      </c>
      <c r="O308" t="e">
        <f ca="1">IF((A1)=(2),"",IF((304)=(O4),IF(IF((INDEX(B1:XFD1,((A3)+(1))+(0)))=("store"),(INDEX(B1:XFD1,((A3)+(1))+(1)))=("O"),"false"),B3,O308),O308))</f>
        <v>#VALUE!</v>
      </c>
      <c r="P308" t="e">
        <f ca="1">IF((A1)=(2),"",IF((304)=(P4),IF(IF((INDEX(B1:XFD1,((A3)+(1))+(0)))=("store"),(INDEX(B1:XFD1,((A3)+(1))+(1)))=("P"),"false"),B3,P308),P308))</f>
        <v>#VALUE!</v>
      </c>
      <c r="Q308" t="e">
        <f ca="1">IF((A1)=(2),"",IF((304)=(Q4),IF(IF((INDEX(B1:XFD1,((A3)+(1))+(0)))=("store"),(INDEX(B1:XFD1,((A3)+(1))+(1)))=("Q"),"false"),B3,Q308),Q308))</f>
        <v>#VALUE!</v>
      </c>
      <c r="R308" t="e">
        <f ca="1">IF((A1)=(2),"",IF((304)=(R4),IF(IF((INDEX(B1:XFD1,((A3)+(1))+(0)))=("store"),(INDEX(B1:XFD1,((A3)+(1))+(1)))=("R"),"false"),B3,R308),R308))</f>
        <v>#VALUE!</v>
      </c>
      <c r="S308" t="e">
        <f ca="1">IF((A1)=(2),"",IF((304)=(S4),IF(IF((INDEX(B1:XFD1,((A3)+(1))+(0)))=("store"),(INDEX(B1:XFD1,((A3)+(1))+(1)))=("S"),"false"),B3,S308),S308))</f>
        <v>#VALUE!</v>
      </c>
      <c r="T308" t="e">
        <f ca="1">IF((A1)=(2),"",IF((304)=(T4),IF(IF((INDEX(B1:XFD1,((A3)+(1))+(0)))=("store"),(INDEX(B1:XFD1,((A3)+(1))+(1)))=("T"),"false"),B3,T308),T308))</f>
        <v>#VALUE!</v>
      </c>
      <c r="U308" t="e">
        <f ca="1">IF((A1)=(2),"",IF((304)=(U4),IF(IF((INDEX(B1:XFD1,((A3)+(1))+(0)))=("store"),(INDEX(B1:XFD1,((A3)+(1))+(1)))=("U"),"false"),B3,U308),U308))</f>
        <v>#VALUE!</v>
      </c>
      <c r="V308" t="e">
        <f ca="1">IF((A1)=(2),"",IF((304)=(V4),IF(IF((INDEX(B1:XFD1,((A3)+(1))+(0)))=("store"),(INDEX(B1:XFD1,((A3)+(1))+(1)))=("V"),"false"),B3,V308),V308))</f>
        <v>#VALUE!</v>
      </c>
      <c r="W308" t="e">
        <f ca="1">IF((A1)=(2),"",IF((304)=(W4),IF(IF((INDEX(B1:XFD1,((A3)+(1))+(0)))=("store"),(INDEX(B1:XFD1,((A3)+(1))+(1)))=("W"),"false"),B3,W308),W308))</f>
        <v>#VALUE!</v>
      </c>
      <c r="X308" t="e">
        <f ca="1">IF((A1)=(2),"",IF((304)=(X4),IF(IF((INDEX(B1:XFD1,((A3)+(1))+(0)))=("store"),(INDEX(B1:XFD1,((A3)+(1))+(1)))=("X"),"false"),B3,X308),X308))</f>
        <v>#VALUE!</v>
      </c>
      <c r="Y308" t="e">
        <f ca="1">IF((A1)=(2),"",IF((304)=(Y4),IF(IF((INDEX(B1:XFD1,((A3)+(1))+(0)))=("store"),(INDEX(B1:XFD1,((A3)+(1))+(1)))=("Y"),"false"),B3,Y308),Y308))</f>
        <v>#VALUE!</v>
      </c>
      <c r="Z308" t="e">
        <f ca="1">IF((A1)=(2),"",IF((304)=(Z4),IF(IF((INDEX(B1:XFD1,((A3)+(1))+(0)))=("store"),(INDEX(B1:XFD1,((A3)+(1))+(1)))=("Z"),"false"),B3,Z308),Z308))</f>
        <v>#VALUE!</v>
      </c>
      <c r="AA308" t="e">
        <f ca="1">IF((A1)=(2),"",IF((304)=(AA4),IF(IF((INDEX(B1:XFD1,((A3)+(1))+(0)))=("store"),(INDEX(B1:XFD1,((A3)+(1))+(1)))=("AA"),"false"),B3,AA308),AA308))</f>
        <v>#VALUE!</v>
      </c>
      <c r="AB308" t="e">
        <f ca="1">IF((A1)=(2),"",IF((304)=(AB4),IF(IF((INDEX(B1:XFD1,((A3)+(1))+(0)))=("store"),(INDEX(B1:XFD1,((A3)+(1))+(1)))=("AB"),"false"),B3,AB308),AB308))</f>
        <v>#VALUE!</v>
      </c>
      <c r="AC308" t="e">
        <f ca="1">IF((A1)=(2),"",IF((304)=(AC4),IF(IF((INDEX(B1:XFD1,((A3)+(1))+(0)))=("store"),(INDEX(B1:XFD1,((A3)+(1))+(1)))=("AC"),"false"),B3,AC308),AC308))</f>
        <v>#VALUE!</v>
      </c>
      <c r="AD308" t="e">
        <f ca="1">IF((A1)=(2),"",IF((304)=(AD4),IF(IF((INDEX(B1:XFD1,((A3)+(1))+(0)))=("store"),(INDEX(B1:XFD1,((A3)+(1))+(1)))=("AD"),"false"),B3,AD308),AD308))</f>
        <v>#VALUE!</v>
      </c>
    </row>
    <row r="309" spans="1:30" x14ac:dyDescent="0.25">
      <c r="A309" t="e">
        <f ca="1">IF((A1)=(2),"",IF((305)=(A4),IF(("call")=(INDEX(B1:XFD1,((A3)+(1))+(0))),(B3)*(2),IF(("goto")=(INDEX(B1:XFD1,((A3)+(1))+(0))),(INDEX(B1:XFD1,((A3)+(1))+(1)))*(2),IF(("gotoiftrue")=(INDEX(B1:XFD1,((A3)+(1))+(0))),IF(B3,(INDEX(B1:XFD1,((A3)+(1))+(1)))*(2),(A309)+(2)),(A309)+(2)))),A309))</f>
        <v>#VALUE!</v>
      </c>
      <c r="B309" t="e">
        <f ca="1">IF((A1)=(2),"",IF((305)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309)+(1)),IF(("add")=(INDEX(B1:XFD1,((A3)+(1))+(0))),(INDEX(B5:B405,(B4)+(1)))+(B309),IF(("equals")=(INDEX(B1:XFD1,((A3)+(1))+(0))),(INDEX(B5:B405,(B4)+(1)))=(B309),IF(("leq")=(INDEX(B1:XFD1,((A3)+(1))+(0))),(INDEX(B5:B405,(B4)+(1)))&lt;=(B309),IF(("greater")=(INDEX(B1:XFD1,((A3)+(1))+(0))),(INDEX(B5:B405,(B4)+(1)))&gt;(B309),IF(("mod")=(INDEX(B1:XFD1,((A3)+(1))+(0))),MOD(INDEX(B5:B405,(B4)+(1)),B309),B309))))))))),B309))</f>
        <v>#VALUE!</v>
      </c>
      <c r="C309" t="e">
        <f ca="1">IF((A1)=(2),1,IF(AND((INDEX(B1:XFD1,((A3)+(1))+(0)))=("writeheap"),(INDEX(B5:B405,(B4)+(1)))=(304)),INDEX(B5:B405,(B4)+(2)),IF((A1)=(2),"",IF((305)=(C4),C309,C309))))</f>
        <v>#VALUE!</v>
      </c>
      <c r="F309" t="e">
        <f ca="1">IF((A1)=(2),"",IF((305)=(F4),IF(IF((INDEX(B1:XFD1,((A3)+(1))+(0)))=("store"),(INDEX(B1:XFD1,((A3)+(1))+(1)))=("F"),"false"),B3,F309),F309))</f>
        <v>#VALUE!</v>
      </c>
      <c r="G309" t="e">
        <f ca="1">IF((A1)=(2),"",IF((305)=(G4),IF(IF((INDEX(B1:XFD1,((A3)+(1))+(0)))=("store"),(INDEX(B1:XFD1,((A3)+(1))+(1)))=("G"),"false"),B3,G309),G309))</f>
        <v>#VALUE!</v>
      </c>
      <c r="H309" t="e">
        <f ca="1">IF((A1)=(2),"",IF((305)=(H4),IF(IF((INDEX(B1:XFD1,((A3)+(1))+(0)))=("store"),(INDEX(B1:XFD1,((A3)+(1))+(1)))=("H"),"false"),B3,H309),H309))</f>
        <v>#VALUE!</v>
      </c>
      <c r="I309" t="e">
        <f ca="1">IF((A1)=(2),"",IF((305)=(I4),IF(IF((INDEX(B1:XFD1,((A3)+(1))+(0)))=("store"),(INDEX(B1:XFD1,((A3)+(1))+(1)))=("I"),"false"),B3,I309),I309))</f>
        <v>#VALUE!</v>
      </c>
      <c r="J309" t="e">
        <f ca="1">IF((A1)=(2),"",IF((305)=(J4),IF(IF((INDEX(B1:XFD1,((A3)+(1))+(0)))=("store"),(INDEX(B1:XFD1,((A3)+(1))+(1)))=("J"),"false"),B3,J309),J309))</f>
        <v>#VALUE!</v>
      </c>
      <c r="K309" t="e">
        <f ca="1">IF((A1)=(2),"",IF((305)=(K4),IF(IF((INDEX(B1:XFD1,((A3)+(1))+(0)))=("store"),(INDEX(B1:XFD1,((A3)+(1))+(1)))=("K"),"false"),B3,K309),K309))</f>
        <v>#VALUE!</v>
      </c>
      <c r="L309" t="e">
        <f ca="1">IF((A1)=(2),"",IF((305)=(L4),IF(IF((INDEX(B1:XFD1,((A3)+(1))+(0)))=("store"),(INDEX(B1:XFD1,((A3)+(1))+(1)))=("L"),"false"),B3,L309),L309))</f>
        <v>#VALUE!</v>
      </c>
      <c r="M309" t="e">
        <f ca="1">IF((A1)=(2),"",IF((305)=(M4),IF(IF((INDEX(B1:XFD1,((A3)+(1))+(0)))=("store"),(INDEX(B1:XFD1,((A3)+(1))+(1)))=("M"),"false"),B3,M309),M309))</f>
        <v>#VALUE!</v>
      </c>
      <c r="N309" t="e">
        <f ca="1">IF((A1)=(2),"",IF((305)=(N4),IF(IF((INDEX(B1:XFD1,((A3)+(1))+(0)))=("store"),(INDEX(B1:XFD1,((A3)+(1))+(1)))=("N"),"false"),B3,N309),N309))</f>
        <v>#VALUE!</v>
      </c>
      <c r="O309" t="e">
        <f ca="1">IF((A1)=(2),"",IF((305)=(O4),IF(IF((INDEX(B1:XFD1,((A3)+(1))+(0)))=("store"),(INDEX(B1:XFD1,((A3)+(1))+(1)))=("O"),"false"),B3,O309),O309))</f>
        <v>#VALUE!</v>
      </c>
      <c r="P309" t="e">
        <f ca="1">IF((A1)=(2),"",IF((305)=(P4),IF(IF((INDEX(B1:XFD1,((A3)+(1))+(0)))=("store"),(INDEX(B1:XFD1,((A3)+(1))+(1)))=("P"),"false"),B3,P309),P309))</f>
        <v>#VALUE!</v>
      </c>
      <c r="Q309" t="e">
        <f ca="1">IF((A1)=(2),"",IF((305)=(Q4),IF(IF((INDEX(B1:XFD1,((A3)+(1))+(0)))=("store"),(INDEX(B1:XFD1,((A3)+(1))+(1)))=("Q"),"false"),B3,Q309),Q309))</f>
        <v>#VALUE!</v>
      </c>
      <c r="R309" t="e">
        <f ca="1">IF((A1)=(2),"",IF((305)=(R4),IF(IF((INDEX(B1:XFD1,((A3)+(1))+(0)))=("store"),(INDEX(B1:XFD1,((A3)+(1))+(1)))=("R"),"false"),B3,R309),R309))</f>
        <v>#VALUE!</v>
      </c>
      <c r="S309" t="e">
        <f ca="1">IF((A1)=(2),"",IF((305)=(S4),IF(IF((INDEX(B1:XFD1,((A3)+(1))+(0)))=("store"),(INDEX(B1:XFD1,((A3)+(1))+(1)))=("S"),"false"),B3,S309),S309))</f>
        <v>#VALUE!</v>
      </c>
      <c r="T309" t="e">
        <f ca="1">IF((A1)=(2),"",IF((305)=(T4),IF(IF((INDEX(B1:XFD1,((A3)+(1))+(0)))=("store"),(INDEX(B1:XFD1,((A3)+(1))+(1)))=("T"),"false"),B3,T309),T309))</f>
        <v>#VALUE!</v>
      </c>
      <c r="U309" t="e">
        <f ca="1">IF((A1)=(2),"",IF((305)=(U4),IF(IF((INDEX(B1:XFD1,((A3)+(1))+(0)))=("store"),(INDEX(B1:XFD1,((A3)+(1))+(1)))=("U"),"false"),B3,U309),U309))</f>
        <v>#VALUE!</v>
      </c>
      <c r="V309" t="e">
        <f ca="1">IF((A1)=(2),"",IF((305)=(V4),IF(IF((INDEX(B1:XFD1,((A3)+(1))+(0)))=("store"),(INDEX(B1:XFD1,((A3)+(1))+(1)))=("V"),"false"),B3,V309),V309))</f>
        <v>#VALUE!</v>
      </c>
      <c r="W309" t="e">
        <f ca="1">IF((A1)=(2),"",IF((305)=(W4),IF(IF((INDEX(B1:XFD1,((A3)+(1))+(0)))=("store"),(INDEX(B1:XFD1,((A3)+(1))+(1)))=("W"),"false"),B3,W309),W309))</f>
        <v>#VALUE!</v>
      </c>
      <c r="X309" t="e">
        <f ca="1">IF((A1)=(2),"",IF((305)=(X4),IF(IF((INDEX(B1:XFD1,((A3)+(1))+(0)))=("store"),(INDEX(B1:XFD1,((A3)+(1))+(1)))=("X"),"false"),B3,X309),X309))</f>
        <v>#VALUE!</v>
      </c>
      <c r="Y309" t="e">
        <f ca="1">IF((A1)=(2),"",IF((305)=(Y4),IF(IF((INDEX(B1:XFD1,((A3)+(1))+(0)))=("store"),(INDEX(B1:XFD1,((A3)+(1))+(1)))=("Y"),"false"),B3,Y309),Y309))</f>
        <v>#VALUE!</v>
      </c>
      <c r="Z309" t="e">
        <f ca="1">IF((A1)=(2),"",IF((305)=(Z4),IF(IF((INDEX(B1:XFD1,((A3)+(1))+(0)))=("store"),(INDEX(B1:XFD1,((A3)+(1))+(1)))=("Z"),"false"),B3,Z309),Z309))</f>
        <v>#VALUE!</v>
      </c>
      <c r="AA309" t="e">
        <f ca="1">IF((A1)=(2),"",IF((305)=(AA4),IF(IF((INDEX(B1:XFD1,((A3)+(1))+(0)))=("store"),(INDEX(B1:XFD1,((A3)+(1))+(1)))=("AA"),"false"),B3,AA309),AA309))</f>
        <v>#VALUE!</v>
      </c>
      <c r="AB309" t="e">
        <f ca="1">IF((A1)=(2),"",IF((305)=(AB4),IF(IF((INDEX(B1:XFD1,((A3)+(1))+(0)))=("store"),(INDEX(B1:XFD1,((A3)+(1))+(1)))=("AB"),"false"),B3,AB309),AB309))</f>
        <v>#VALUE!</v>
      </c>
      <c r="AC309" t="e">
        <f ca="1">IF((A1)=(2),"",IF((305)=(AC4),IF(IF((INDEX(B1:XFD1,((A3)+(1))+(0)))=("store"),(INDEX(B1:XFD1,((A3)+(1))+(1)))=("AC"),"false"),B3,AC309),AC309))</f>
        <v>#VALUE!</v>
      </c>
      <c r="AD309" t="e">
        <f ca="1">IF((A1)=(2),"",IF((305)=(AD4),IF(IF((INDEX(B1:XFD1,((A3)+(1))+(0)))=("store"),(INDEX(B1:XFD1,((A3)+(1))+(1)))=("AD"),"false"),B3,AD309),AD309))</f>
        <v>#VALUE!</v>
      </c>
    </row>
    <row r="310" spans="1:30" x14ac:dyDescent="0.25">
      <c r="A310" t="e">
        <f ca="1">IF((A1)=(2),"",IF((306)=(A4),IF(("call")=(INDEX(B1:XFD1,((A3)+(1))+(0))),(B3)*(2),IF(("goto")=(INDEX(B1:XFD1,((A3)+(1))+(0))),(INDEX(B1:XFD1,((A3)+(1))+(1)))*(2),IF(("gotoiftrue")=(INDEX(B1:XFD1,((A3)+(1))+(0))),IF(B3,(INDEX(B1:XFD1,((A3)+(1))+(1)))*(2),(A310)+(2)),(A310)+(2)))),A310))</f>
        <v>#VALUE!</v>
      </c>
      <c r="B310" t="e">
        <f ca="1">IF((A1)=(2),"",IF((306)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310)+(1)),IF(("add")=(INDEX(B1:XFD1,((A3)+(1))+(0))),(INDEX(B5:B405,(B4)+(1)))+(B310),IF(("equals")=(INDEX(B1:XFD1,((A3)+(1))+(0))),(INDEX(B5:B405,(B4)+(1)))=(B310),IF(("leq")=(INDEX(B1:XFD1,((A3)+(1))+(0))),(INDEX(B5:B405,(B4)+(1)))&lt;=(B310),IF(("greater")=(INDEX(B1:XFD1,((A3)+(1))+(0))),(INDEX(B5:B405,(B4)+(1)))&gt;(B310),IF(("mod")=(INDEX(B1:XFD1,((A3)+(1))+(0))),MOD(INDEX(B5:B405,(B4)+(1)),B310),B310))))))))),B310))</f>
        <v>#VALUE!</v>
      </c>
      <c r="C310" t="e">
        <f ca="1">IF((A1)=(2),1,IF(AND((INDEX(B1:XFD1,((A3)+(1))+(0)))=("writeheap"),(INDEX(B5:B405,(B4)+(1)))=(305)),INDEX(B5:B405,(B4)+(2)),IF((A1)=(2),"",IF((306)=(C4),C310,C310))))</f>
        <v>#VALUE!</v>
      </c>
      <c r="F310" t="e">
        <f ca="1">IF((A1)=(2),"",IF((306)=(F4),IF(IF((INDEX(B1:XFD1,((A3)+(1))+(0)))=("store"),(INDEX(B1:XFD1,((A3)+(1))+(1)))=("F"),"false"),B3,F310),F310))</f>
        <v>#VALUE!</v>
      </c>
      <c r="G310" t="e">
        <f ca="1">IF((A1)=(2),"",IF((306)=(G4),IF(IF((INDEX(B1:XFD1,((A3)+(1))+(0)))=("store"),(INDEX(B1:XFD1,((A3)+(1))+(1)))=("G"),"false"),B3,G310),G310))</f>
        <v>#VALUE!</v>
      </c>
      <c r="H310" t="e">
        <f ca="1">IF((A1)=(2),"",IF((306)=(H4),IF(IF((INDEX(B1:XFD1,((A3)+(1))+(0)))=("store"),(INDEX(B1:XFD1,((A3)+(1))+(1)))=("H"),"false"),B3,H310),H310))</f>
        <v>#VALUE!</v>
      </c>
      <c r="I310" t="e">
        <f ca="1">IF((A1)=(2),"",IF((306)=(I4),IF(IF((INDEX(B1:XFD1,((A3)+(1))+(0)))=("store"),(INDEX(B1:XFD1,((A3)+(1))+(1)))=("I"),"false"),B3,I310),I310))</f>
        <v>#VALUE!</v>
      </c>
      <c r="J310" t="e">
        <f ca="1">IF((A1)=(2),"",IF((306)=(J4),IF(IF((INDEX(B1:XFD1,((A3)+(1))+(0)))=("store"),(INDEX(B1:XFD1,((A3)+(1))+(1)))=("J"),"false"),B3,J310),J310))</f>
        <v>#VALUE!</v>
      </c>
      <c r="K310" t="e">
        <f ca="1">IF((A1)=(2),"",IF((306)=(K4),IF(IF((INDEX(B1:XFD1,((A3)+(1))+(0)))=("store"),(INDEX(B1:XFD1,((A3)+(1))+(1)))=("K"),"false"),B3,K310),K310))</f>
        <v>#VALUE!</v>
      </c>
      <c r="L310" t="e">
        <f ca="1">IF((A1)=(2),"",IF((306)=(L4),IF(IF((INDEX(B1:XFD1,((A3)+(1))+(0)))=("store"),(INDEX(B1:XFD1,((A3)+(1))+(1)))=("L"),"false"),B3,L310),L310))</f>
        <v>#VALUE!</v>
      </c>
      <c r="M310" t="e">
        <f ca="1">IF((A1)=(2),"",IF((306)=(M4),IF(IF((INDEX(B1:XFD1,((A3)+(1))+(0)))=("store"),(INDEX(B1:XFD1,((A3)+(1))+(1)))=("M"),"false"),B3,M310),M310))</f>
        <v>#VALUE!</v>
      </c>
      <c r="N310" t="e">
        <f ca="1">IF((A1)=(2),"",IF((306)=(N4),IF(IF((INDEX(B1:XFD1,((A3)+(1))+(0)))=("store"),(INDEX(B1:XFD1,((A3)+(1))+(1)))=("N"),"false"),B3,N310),N310))</f>
        <v>#VALUE!</v>
      </c>
      <c r="O310" t="e">
        <f ca="1">IF((A1)=(2),"",IF((306)=(O4),IF(IF((INDEX(B1:XFD1,((A3)+(1))+(0)))=("store"),(INDEX(B1:XFD1,((A3)+(1))+(1)))=("O"),"false"),B3,O310),O310))</f>
        <v>#VALUE!</v>
      </c>
      <c r="P310" t="e">
        <f ca="1">IF((A1)=(2),"",IF((306)=(P4),IF(IF((INDEX(B1:XFD1,((A3)+(1))+(0)))=("store"),(INDEX(B1:XFD1,((A3)+(1))+(1)))=("P"),"false"),B3,P310),P310))</f>
        <v>#VALUE!</v>
      </c>
      <c r="Q310" t="e">
        <f ca="1">IF((A1)=(2),"",IF((306)=(Q4),IF(IF((INDEX(B1:XFD1,((A3)+(1))+(0)))=("store"),(INDEX(B1:XFD1,((A3)+(1))+(1)))=("Q"),"false"),B3,Q310),Q310))</f>
        <v>#VALUE!</v>
      </c>
      <c r="R310" t="e">
        <f ca="1">IF((A1)=(2),"",IF((306)=(R4),IF(IF((INDEX(B1:XFD1,((A3)+(1))+(0)))=("store"),(INDEX(B1:XFD1,((A3)+(1))+(1)))=("R"),"false"),B3,R310),R310))</f>
        <v>#VALUE!</v>
      </c>
      <c r="S310" t="e">
        <f ca="1">IF((A1)=(2),"",IF((306)=(S4),IF(IF((INDEX(B1:XFD1,((A3)+(1))+(0)))=("store"),(INDEX(B1:XFD1,((A3)+(1))+(1)))=("S"),"false"),B3,S310),S310))</f>
        <v>#VALUE!</v>
      </c>
      <c r="T310" t="e">
        <f ca="1">IF((A1)=(2),"",IF((306)=(T4),IF(IF((INDEX(B1:XFD1,((A3)+(1))+(0)))=("store"),(INDEX(B1:XFD1,((A3)+(1))+(1)))=("T"),"false"),B3,T310),T310))</f>
        <v>#VALUE!</v>
      </c>
      <c r="U310" t="e">
        <f ca="1">IF((A1)=(2),"",IF((306)=(U4),IF(IF((INDEX(B1:XFD1,((A3)+(1))+(0)))=("store"),(INDEX(B1:XFD1,((A3)+(1))+(1)))=("U"),"false"),B3,U310),U310))</f>
        <v>#VALUE!</v>
      </c>
      <c r="V310" t="e">
        <f ca="1">IF((A1)=(2),"",IF((306)=(V4),IF(IF((INDEX(B1:XFD1,((A3)+(1))+(0)))=("store"),(INDEX(B1:XFD1,((A3)+(1))+(1)))=("V"),"false"),B3,V310),V310))</f>
        <v>#VALUE!</v>
      </c>
      <c r="W310" t="e">
        <f ca="1">IF((A1)=(2),"",IF((306)=(W4),IF(IF((INDEX(B1:XFD1,((A3)+(1))+(0)))=("store"),(INDEX(B1:XFD1,((A3)+(1))+(1)))=("W"),"false"),B3,W310),W310))</f>
        <v>#VALUE!</v>
      </c>
      <c r="X310" t="e">
        <f ca="1">IF((A1)=(2),"",IF((306)=(X4),IF(IF((INDEX(B1:XFD1,((A3)+(1))+(0)))=("store"),(INDEX(B1:XFD1,((A3)+(1))+(1)))=("X"),"false"),B3,X310),X310))</f>
        <v>#VALUE!</v>
      </c>
      <c r="Y310" t="e">
        <f ca="1">IF((A1)=(2),"",IF((306)=(Y4),IF(IF((INDEX(B1:XFD1,((A3)+(1))+(0)))=("store"),(INDEX(B1:XFD1,((A3)+(1))+(1)))=("Y"),"false"),B3,Y310),Y310))</f>
        <v>#VALUE!</v>
      </c>
      <c r="Z310" t="e">
        <f ca="1">IF((A1)=(2),"",IF((306)=(Z4),IF(IF((INDEX(B1:XFD1,((A3)+(1))+(0)))=("store"),(INDEX(B1:XFD1,((A3)+(1))+(1)))=("Z"),"false"),B3,Z310),Z310))</f>
        <v>#VALUE!</v>
      </c>
      <c r="AA310" t="e">
        <f ca="1">IF((A1)=(2),"",IF((306)=(AA4),IF(IF((INDEX(B1:XFD1,((A3)+(1))+(0)))=("store"),(INDEX(B1:XFD1,((A3)+(1))+(1)))=("AA"),"false"),B3,AA310),AA310))</f>
        <v>#VALUE!</v>
      </c>
      <c r="AB310" t="e">
        <f ca="1">IF((A1)=(2),"",IF((306)=(AB4),IF(IF((INDEX(B1:XFD1,((A3)+(1))+(0)))=("store"),(INDEX(B1:XFD1,((A3)+(1))+(1)))=("AB"),"false"),B3,AB310),AB310))</f>
        <v>#VALUE!</v>
      </c>
      <c r="AC310" t="e">
        <f ca="1">IF((A1)=(2),"",IF((306)=(AC4),IF(IF((INDEX(B1:XFD1,((A3)+(1))+(0)))=("store"),(INDEX(B1:XFD1,((A3)+(1))+(1)))=("AC"),"false"),B3,AC310),AC310))</f>
        <v>#VALUE!</v>
      </c>
      <c r="AD310" t="e">
        <f ca="1">IF((A1)=(2),"",IF((306)=(AD4),IF(IF((INDEX(B1:XFD1,((A3)+(1))+(0)))=("store"),(INDEX(B1:XFD1,((A3)+(1))+(1)))=("AD"),"false"),B3,AD310),AD310))</f>
        <v>#VALUE!</v>
      </c>
    </row>
    <row r="311" spans="1:30" x14ac:dyDescent="0.25">
      <c r="A311" t="e">
        <f ca="1">IF((A1)=(2),"",IF((307)=(A4),IF(("call")=(INDEX(B1:XFD1,((A3)+(1))+(0))),(B3)*(2),IF(("goto")=(INDEX(B1:XFD1,((A3)+(1))+(0))),(INDEX(B1:XFD1,((A3)+(1))+(1)))*(2),IF(("gotoiftrue")=(INDEX(B1:XFD1,((A3)+(1))+(0))),IF(B3,(INDEX(B1:XFD1,((A3)+(1))+(1)))*(2),(A311)+(2)),(A311)+(2)))),A311))</f>
        <v>#VALUE!</v>
      </c>
      <c r="B311" t="e">
        <f ca="1">IF((A1)=(2),"",IF((307)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311)+(1)),IF(("add")=(INDEX(B1:XFD1,((A3)+(1))+(0))),(INDEX(B5:B405,(B4)+(1)))+(B311),IF(("equals")=(INDEX(B1:XFD1,((A3)+(1))+(0))),(INDEX(B5:B405,(B4)+(1)))=(B311),IF(("leq")=(INDEX(B1:XFD1,((A3)+(1))+(0))),(INDEX(B5:B405,(B4)+(1)))&lt;=(B311),IF(("greater")=(INDEX(B1:XFD1,((A3)+(1))+(0))),(INDEX(B5:B405,(B4)+(1)))&gt;(B311),IF(("mod")=(INDEX(B1:XFD1,((A3)+(1))+(0))),MOD(INDEX(B5:B405,(B4)+(1)),B311),B311))))))))),B311))</f>
        <v>#VALUE!</v>
      </c>
      <c r="C311" t="e">
        <f ca="1">IF((A1)=(2),1,IF(AND((INDEX(B1:XFD1,((A3)+(1))+(0)))=("writeheap"),(INDEX(B5:B405,(B4)+(1)))=(306)),INDEX(B5:B405,(B4)+(2)),IF((A1)=(2),"",IF((307)=(C4),C311,C311))))</f>
        <v>#VALUE!</v>
      </c>
      <c r="F311" t="e">
        <f ca="1">IF((A1)=(2),"",IF((307)=(F4),IF(IF((INDEX(B1:XFD1,((A3)+(1))+(0)))=("store"),(INDEX(B1:XFD1,((A3)+(1))+(1)))=("F"),"false"),B3,F311),F311))</f>
        <v>#VALUE!</v>
      </c>
      <c r="G311" t="e">
        <f ca="1">IF((A1)=(2),"",IF((307)=(G4),IF(IF((INDEX(B1:XFD1,((A3)+(1))+(0)))=("store"),(INDEX(B1:XFD1,((A3)+(1))+(1)))=("G"),"false"),B3,G311),G311))</f>
        <v>#VALUE!</v>
      </c>
      <c r="H311" t="e">
        <f ca="1">IF((A1)=(2),"",IF((307)=(H4),IF(IF((INDEX(B1:XFD1,((A3)+(1))+(0)))=("store"),(INDEX(B1:XFD1,((A3)+(1))+(1)))=("H"),"false"),B3,H311),H311))</f>
        <v>#VALUE!</v>
      </c>
      <c r="I311" t="e">
        <f ca="1">IF((A1)=(2),"",IF((307)=(I4),IF(IF((INDEX(B1:XFD1,((A3)+(1))+(0)))=("store"),(INDEX(B1:XFD1,((A3)+(1))+(1)))=("I"),"false"),B3,I311),I311))</f>
        <v>#VALUE!</v>
      </c>
      <c r="J311" t="e">
        <f ca="1">IF((A1)=(2),"",IF((307)=(J4),IF(IF((INDEX(B1:XFD1,((A3)+(1))+(0)))=("store"),(INDEX(B1:XFD1,((A3)+(1))+(1)))=("J"),"false"),B3,J311),J311))</f>
        <v>#VALUE!</v>
      </c>
      <c r="K311" t="e">
        <f ca="1">IF((A1)=(2),"",IF((307)=(K4),IF(IF((INDEX(B1:XFD1,((A3)+(1))+(0)))=("store"),(INDEX(B1:XFD1,((A3)+(1))+(1)))=("K"),"false"),B3,K311),K311))</f>
        <v>#VALUE!</v>
      </c>
      <c r="L311" t="e">
        <f ca="1">IF((A1)=(2),"",IF((307)=(L4),IF(IF((INDEX(B1:XFD1,((A3)+(1))+(0)))=("store"),(INDEX(B1:XFD1,((A3)+(1))+(1)))=("L"),"false"),B3,L311),L311))</f>
        <v>#VALUE!</v>
      </c>
      <c r="M311" t="e">
        <f ca="1">IF((A1)=(2),"",IF((307)=(M4),IF(IF((INDEX(B1:XFD1,((A3)+(1))+(0)))=("store"),(INDEX(B1:XFD1,((A3)+(1))+(1)))=("M"),"false"),B3,M311),M311))</f>
        <v>#VALUE!</v>
      </c>
      <c r="N311" t="e">
        <f ca="1">IF((A1)=(2),"",IF((307)=(N4),IF(IF((INDEX(B1:XFD1,((A3)+(1))+(0)))=("store"),(INDEX(B1:XFD1,((A3)+(1))+(1)))=("N"),"false"),B3,N311),N311))</f>
        <v>#VALUE!</v>
      </c>
      <c r="O311" t="e">
        <f ca="1">IF((A1)=(2),"",IF((307)=(O4),IF(IF((INDEX(B1:XFD1,((A3)+(1))+(0)))=("store"),(INDEX(B1:XFD1,((A3)+(1))+(1)))=("O"),"false"),B3,O311),O311))</f>
        <v>#VALUE!</v>
      </c>
      <c r="P311" t="e">
        <f ca="1">IF((A1)=(2),"",IF((307)=(P4),IF(IF((INDEX(B1:XFD1,((A3)+(1))+(0)))=("store"),(INDEX(B1:XFD1,((A3)+(1))+(1)))=("P"),"false"),B3,P311),P311))</f>
        <v>#VALUE!</v>
      </c>
      <c r="Q311" t="e">
        <f ca="1">IF((A1)=(2),"",IF((307)=(Q4),IF(IF((INDEX(B1:XFD1,((A3)+(1))+(0)))=("store"),(INDEX(B1:XFD1,((A3)+(1))+(1)))=("Q"),"false"),B3,Q311),Q311))</f>
        <v>#VALUE!</v>
      </c>
      <c r="R311" t="e">
        <f ca="1">IF((A1)=(2),"",IF((307)=(R4),IF(IF((INDEX(B1:XFD1,((A3)+(1))+(0)))=("store"),(INDEX(B1:XFD1,((A3)+(1))+(1)))=("R"),"false"),B3,R311),R311))</f>
        <v>#VALUE!</v>
      </c>
      <c r="S311" t="e">
        <f ca="1">IF((A1)=(2),"",IF((307)=(S4),IF(IF((INDEX(B1:XFD1,((A3)+(1))+(0)))=("store"),(INDEX(B1:XFD1,((A3)+(1))+(1)))=("S"),"false"),B3,S311),S311))</f>
        <v>#VALUE!</v>
      </c>
      <c r="T311" t="e">
        <f ca="1">IF((A1)=(2),"",IF((307)=(T4),IF(IF((INDEX(B1:XFD1,((A3)+(1))+(0)))=("store"),(INDEX(B1:XFD1,((A3)+(1))+(1)))=("T"),"false"),B3,T311),T311))</f>
        <v>#VALUE!</v>
      </c>
      <c r="U311" t="e">
        <f ca="1">IF((A1)=(2),"",IF((307)=(U4),IF(IF((INDEX(B1:XFD1,((A3)+(1))+(0)))=("store"),(INDEX(B1:XFD1,((A3)+(1))+(1)))=("U"),"false"),B3,U311),U311))</f>
        <v>#VALUE!</v>
      </c>
      <c r="V311" t="e">
        <f ca="1">IF((A1)=(2),"",IF((307)=(V4),IF(IF((INDEX(B1:XFD1,((A3)+(1))+(0)))=("store"),(INDEX(B1:XFD1,((A3)+(1))+(1)))=("V"),"false"),B3,V311),V311))</f>
        <v>#VALUE!</v>
      </c>
      <c r="W311" t="e">
        <f ca="1">IF((A1)=(2),"",IF((307)=(W4),IF(IF((INDEX(B1:XFD1,((A3)+(1))+(0)))=("store"),(INDEX(B1:XFD1,((A3)+(1))+(1)))=("W"),"false"),B3,W311),W311))</f>
        <v>#VALUE!</v>
      </c>
      <c r="X311" t="e">
        <f ca="1">IF((A1)=(2),"",IF((307)=(X4),IF(IF((INDEX(B1:XFD1,((A3)+(1))+(0)))=("store"),(INDEX(B1:XFD1,((A3)+(1))+(1)))=("X"),"false"),B3,X311),X311))</f>
        <v>#VALUE!</v>
      </c>
      <c r="Y311" t="e">
        <f ca="1">IF((A1)=(2),"",IF((307)=(Y4),IF(IF((INDEX(B1:XFD1,((A3)+(1))+(0)))=("store"),(INDEX(B1:XFD1,((A3)+(1))+(1)))=("Y"),"false"),B3,Y311),Y311))</f>
        <v>#VALUE!</v>
      </c>
      <c r="Z311" t="e">
        <f ca="1">IF((A1)=(2),"",IF((307)=(Z4),IF(IF((INDEX(B1:XFD1,((A3)+(1))+(0)))=("store"),(INDEX(B1:XFD1,((A3)+(1))+(1)))=("Z"),"false"),B3,Z311),Z311))</f>
        <v>#VALUE!</v>
      </c>
      <c r="AA311" t="e">
        <f ca="1">IF((A1)=(2),"",IF((307)=(AA4),IF(IF((INDEX(B1:XFD1,((A3)+(1))+(0)))=("store"),(INDEX(B1:XFD1,((A3)+(1))+(1)))=("AA"),"false"),B3,AA311),AA311))</f>
        <v>#VALUE!</v>
      </c>
      <c r="AB311" t="e">
        <f ca="1">IF((A1)=(2),"",IF((307)=(AB4),IF(IF((INDEX(B1:XFD1,((A3)+(1))+(0)))=("store"),(INDEX(B1:XFD1,((A3)+(1))+(1)))=("AB"),"false"),B3,AB311),AB311))</f>
        <v>#VALUE!</v>
      </c>
      <c r="AC311" t="e">
        <f ca="1">IF((A1)=(2),"",IF((307)=(AC4),IF(IF((INDEX(B1:XFD1,((A3)+(1))+(0)))=("store"),(INDEX(B1:XFD1,((A3)+(1))+(1)))=("AC"),"false"),B3,AC311),AC311))</f>
        <v>#VALUE!</v>
      </c>
      <c r="AD311" t="e">
        <f ca="1">IF((A1)=(2),"",IF((307)=(AD4),IF(IF((INDEX(B1:XFD1,((A3)+(1))+(0)))=("store"),(INDEX(B1:XFD1,((A3)+(1))+(1)))=("AD"),"false"),B3,AD311),AD311))</f>
        <v>#VALUE!</v>
      </c>
    </row>
    <row r="312" spans="1:30" x14ac:dyDescent="0.25">
      <c r="A312" t="e">
        <f ca="1">IF((A1)=(2),"",IF((308)=(A4),IF(("call")=(INDEX(B1:XFD1,((A3)+(1))+(0))),(B3)*(2),IF(("goto")=(INDEX(B1:XFD1,((A3)+(1))+(0))),(INDEX(B1:XFD1,((A3)+(1))+(1)))*(2),IF(("gotoiftrue")=(INDEX(B1:XFD1,((A3)+(1))+(0))),IF(B3,(INDEX(B1:XFD1,((A3)+(1))+(1)))*(2),(A312)+(2)),(A312)+(2)))),A312))</f>
        <v>#VALUE!</v>
      </c>
      <c r="B312" t="e">
        <f ca="1">IF((A1)=(2),"",IF((308)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312)+(1)),IF(("add")=(INDEX(B1:XFD1,((A3)+(1))+(0))),(INDEX(B5:B405,(B4)+(1)))+(B312),IF(("equals")=(INDEX(B1:XFD1,((A3)+(1))+(0))),(INDEX(B5:B405,(B4)+(1)))=(B312),IF(("leq")=(INDEX(B1:XFD1,((A3)+(1))+(0))),(INDEX(B5:B405,(B4)+(1)))&lt;=(B312),IF(("greater")=(INDEX(B1:XFD1,((A3)+(1))+(0))),(INDEX(B5:B405,(B4)+(1)))&gt;(B312),IF(("mod")=(INDEX(B1:XFD1,((A3)+(1))+(0))),MOD(INDEX(B5:B405,(B4)+(1)),B312),B312))))))))),B312))</f>
        <v>#VALUE!</v>
      </c>
      <c r="C312" t="e">
        <f ca="1">IF((A1)=(2),1,IF(AND((INDEX(B1:XFD1,((A3)+(1))+(0)))=("writeheap"),(INDEX(B5:B405,(B4)+(1)))=(307)),INDEX(B5:B405,(B4)+(2)),IF((A1)=(2),"",IF((308)=(C4),C312,C312))))</f>
        <v>#VALUE!</v>
      </c>
      <c r="F312" t="e">
        <f ca="1">IF((A1)=(2),"",IF((308)=(F4),IF(IF((INDEX(B1:XFD1,((A3)+(1))+(0)))=("store"),(INDEX(B1:XFD1,((A3)+(1))+(1)))=("F"),"false"),B3,F312),F312))</f>
        <v>#VALUE!</v>
      </c>
      <c r="G312" t="e">
        <f ca="1">IF((A1)=(2),"",IF((308)=(G4),IF(IF((INDEX(B1:XFD1,((A3)+(1))+(0)))=("store"),(INDEX(B1:XFD1,((A3)+(1))+(1)))=("G"),"false"),B3,G312),G312))</f>
        <v>#VALUE!</v>
      </c>
      <c r="H312" t="e">
        <f ca="1">IF((A1)=(2),"",IF((308)=(H4),IF(IF((INDEX(B1:XFD1,((A3)+(1))+(0)))=("store"),(INDEX(B1:XFD1,((A3)+(1))+(1)))=("H"),"false"),B3,H312),H312))</f>
        <v>#VALUE!</v>
      </c>
      <c r="I312" t="e">
        <f ca="1">IF((A1)=(2),"",IF((308)=(I4),IF(IF((INDEX(B1:XFD1,((A3)+(1))+(0)))=("store"),(INDEX(B1:XFD1,((A3)+(1))+(1)))=("I"),"false"),B3,I312),I312))</f>
        <v>#VALUE!</v>
      </c>
      <c r="J312" t="e">
        <f ca="1">IF((A1)=(2),"",IF((308)=(J4),IF(IF((INDEX(B1:XFD1,((A3)+(1))+(0)))=("store"),(INDEX(B1:XFD1,((A3)+(1))+(1)))=("J"),"false"),B3,J312),J312))</f>
        <v>#VALUE!</v>
      </c>
      <c r="K312" t="e">
        <f ca="1">IF((A1)=(2),"",IF((308)=(K4),IF(IF((INDEX(B1:XFD1,((A3)+(1))+(0)))=("store"),(INDEX(B1:XFD1,((A3)+(1))+(1)))=("K"),"false"),B3,K312),K312))</f>
        <v>#VALUE!</v>
      </c>
      <c r="L312" t="e">
        <f ca="1">IF((A1)=(2),"",IF((308)=(L4),IF(IF((INDEX(B1:XFD1,((A3)+(1))+(0)))=("store"),(INDEX(B1:XFD1,((A3)+(1))+(1)))=("L"),"false"),B3,L312),L312))</f>
        <v>#VALUE!</v>
      </c>
      <c r="M312" t="e">
        <f ca="1">IF((A1)=(2),"",IF((308)=(M4),IF(IF((INDEX(B1:XFD1,((A3)+(1))+(0)))=("store"),(INDEX(B1:XFD1,((A3)+(1))+(1)))=("M"),"false"),B3,M312),M312))</f>
        <v>#VALUE!</v>
      </c>
      <c r="N312" t="e">
        <f ca="1">IF((A1)=(2),"",IF((308)=(N4),IF(IF((INDEX(B1:XFD1,((A3)+(1))+(0)))=("store"),(INDEX(B1:XFD1,((A3)+(1))+(1)))=("N"),"false"),B3,N312),N312))</f>
        <v>#VALUE!</v>
      </c>
      <c r="O312" t="e">
        <f ca="1">IF((A1)=(2),"",IF((308)=(O4),IF(IF((INDEX(B1:XFD1,((A3)+(1))+(0)))=("store"),(INDEX(B1:XFD1,((A3)+(1))+(1)))=("O"),"false"),B3,O312),O312))</f>
        <v>#VALUE!</v>
      </c>
      <c r="P312" t="e">
        <f ca="1">IF((A1)=(2),"",IF((308)=(P4),IF(IF((INDEX(B1:XFD1,((A3)+(1))+(0)))=("store"),(INDEX(B1:XFD1,((A3)+(1))+(1)))=("P"),"false"),B3,P312),P312))</f>
        <v>#VALUE!</v>
      </c>
      <c r="Q312" t="e">
        <f ca="1">IF((A1)=(2),"",IF((308)=(Q4),IF(IF((INDEX(B1:XFD1,((A3)+(1))+(0)))=("store"),(INDEX(B1:XFD1,((A3)+(1))+(1)))=("Q"),"false"),B3,Q312),Q312))</f>
        <v>#VALUE!</v>
      </c>
      <c r="R312" t="e">
        <f ca="1">IF((A1)=(2),"",IF((308)=(R4),IF(IF((INDEX(B1:XFD1,((A3)+(1))+(0)))=("store"),(INDEX(B1:XFD1,((A3)+(1))+(1)))=("R"),"false"),B3,R312),R312))</f>
        <v>#VALUE!</v>
      </c>
      <c r="S312" t="e">
        <f ca="1">IF((A1)=(2),"",IF((308)=(S4),IF(IF((INDEX(B1:XFD1,((A3)+(1))+(0)))=("store"),(INDEX(B1:XFD1,((A3)+(1))+(1)))=("S"),"false"),B3,S312),S312))</f>
        <v>#VALUE!</v>
      </c>
      <c r="T312" t="e">
        <f ca="1">IF((A1)=(2),"",IF((308)=(T4),IF(IF((INDEX(B1:XFD1,((A3)+(1))+(0)))=("store"),(INDEX(B1:XFD1,((A3)+(1))+(1)))=("T"),"false"),B3,T312),T312))</f>
        <v>#VALUE!</v>
      </c>
      <c r="U312" t="e">
        <f ca="1">IF((A1)=(2),"",IF((308)=(U4),IF(IF((INDEX(B1:XFD1,((A3)+(1))+(0)))=("store"),(INDEX(B1:XFD1,((A3)+(1))+(1)))=("U"),"false"),B3,U312),U312))</f>
        <v>#VALUE!</v>
      </c>
      <c r="V312" t="e">
        <f ca="1">IF((A1)=(2),"",IF((308)=(V4),IF(IF((INDEX(B1:XFD1,((A3)+(1))+(0)))=("store"),(INDEX(B1:XFD1,((A3)+(1))+(1)))=("V"),"false"),B3,V312),V312))</f>
        <v>#VALUE!</v>
      </c>
      <c r="W312" t="e">
        <f ca="1">IF((A1)=(2),"",IF((308)=(W4),IF(IF((INDEX(B1:XFD1,((A3)+(1))+(0)))=("store"),(INDEX(B1:XFD1,((A3)+(1))+(1)))=("W"),"false"),B3,W312),W312))</f>
        <v>#VALUE!</v>
      </c>
      <c r="X312" t="e">
        <f ca="1">IF((A1)=(2),"",IF((308)=(X4),IF(IF((INDEX(B1:XFD1,((A3)+(1))+(0)))=("store"),(INDEX(B1:XFD1,((A3)+(1))+(1)))=("X"),"false"),B3,X312),X312))</f>
        <v>#VALUE!</v>
      </c>
      <c r="Y312" t="e">
        <f ca="1">IF((A1)=(2),"",IF((308)=(Y4),IF(IF((INDEX(B1:XFD1,((A3)+(1))+(0)))=("store"),(INDEX(B1:XFD1,((A3)+(1))+(1)))=("Y"),"false"),B3,Y312),Y312))</f>
        <v>#VALUE!</v>
      </c>
      <c r="Z312" t="e">
        <f ca="1">IF((A1)=(2),"",IF((308)=(Z4),IF(IF((INDEX(B1:XFD1,((A3)+(1))+(0)))=("store"),(INDEX(B1:XFD1,((A3)+(1))+(1)))=("Z"),"false"),B3,Z312),Z312))</f>
        <v>#VALUE!</v>
      </c>
      <c r="AA312" t="e">
        <f ca="1">IF((A1)=(2),"",IF((308)=(AA4),IF(IF((INDEX(B1:XFD1,((A3)+(1))+(0)))=("store"),(INDEX(B1:XFD1,((A3)+(1))+(1)))=("AA"),"false"),B3,AA312),AA312))</f>
        <v>#VALUE!</v>
      </c>
      <c r="AB312" t="e">
        <f ca="1">IF((A1)=(2),"",IF((308)=(AB4),IF(IF((INDEX(B1:XFD1,((A3)+(1))+(0)))=("store"),(INDEX(B1:XFD1,((A3)+(1))+(1)))=("AB"),"false"),B3,AB312),AB312))</f>
        <v>#VALUE!</v>
      </c>
      <c r="AC312" t="e">
        <f ca="1">IF((A1)=(2),"",IF((308)=(AC4),IF(IF((INDEX(B1:XFD1,((A3)+(1))+(0)))=("store"),(INDEX(B1:XFD1,((A3)+(1))+(1)))=("AC"),"false"),B3,AC312),AC312))</f>
        <v>#VALUE!</v>
      </c>
      <c r="AD312" t="e">
        <f ca="1">IF((A1)=(2),"",IF((308)=(AD4),IF(IF((INDEX(B1:XFD1,((A3)+(1))+(0)))=("store"),(INDEX(B1:XFD1,((A3)+(1))+(1)))=("AD"),"false"),B3,AD312),AD312))</f>
        <v>#VALUE!</v>
      </c>
    </row>
    <row r="313" spans="1:30" x14ac:dyDescent="0.25">
      <c r="A313" t="e">
        <f ca="1">IF((A1)=(2),"",IF((309)=(A4),IF(("call")=(INDEX(B1:XFD1,((A3)+(1))+(0))),(B3)*(2),IF(("goto")=(INDEX(B1:XFD1,((A3)+(1))+(0))),(INDEX(B1:XFD1,((A3)+(1))+(1)))*(2),IF(("gotoiftrue")=(INDEX(B1:XFD1,((A3)+(1))+(0))),IF(B3,(INDEX(B1:XFD1,((A3)+(1))+(1)))*(2),(A313)+(2)),(A313)+(2)))),A313))</f>
        <v>#VALUE!</v>
      </c>
      <c r="B313" t="e">
        <f ca="1">IF((A1)=(2),"",IF((309)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313)+(1)),IF(("add")=(INDEX(B1:XFD1,((A3)+(1))+(0))),(INDEX(B5:B405,(B4)+(1)))+(B313),IF(("equals")=(INDEX(B1:XFD1,((A3)+(1))+(0))),(INDEX(B5:B405,(B4)+(1)))=(B313),IF(("leq")=(INDEX(B1:XFD1,((A3)+(1))+(0))),(INDEX(B5:B405,(B4)+(1)))&lt;=(B313),IF(("greater")=(INDEX(B1:XFD1,((A3)+(1))+(0))),(INDEX(B5:B405,(B4)+(1)))&gt;(B313),IF(("mod")=(INDEX(B1:XFD1,((A3)+(1))+(0))),MOD(INDEX(B5:B405,(B4)+(1)),B313),B313))))))))),B313))</f>
        <v>#VALUE!</v>
      </c>
      <c r="C313" t="e">
        <f ca="1">IF((A1)=(2),1,IF(AND((INDEX(B1:XFD1,((A3)+(1))+(0)))=("writeheap"),(INDEX(B5:B405,(B4)+(1)))=(308)),INDEX(B5:B405,(B4)+(2)),IF((A1)=(2),"",IF((309)=(C4),C313,C313))))</f>
        <v>#VALUE!</v>
      </c>
      <c r="F313" t="e">
        <f ca="1">IF((A1)=(2),"",IF((309)=(F4),IF(IF((INDEX(B1:XFD1,((A3)+(1))+(0)))=("store"),(INDEX(B1:XFD1,((A3)+(1))+(1)))=("F"),"false"),B3,F313),F313))</f>
        <v>#VALUE!</v>
      </c>
      <c r="G313" t="e">
        <f ca="1">IF((A1)=(2),"",IF((309)=(G4),IF(IF((INDEX(B1:XFD1,((A3)+(1))+(0)))=("store"),(INDEX(B1:XFD1,((A3)+(1))+(1)))=("G"),"false"),B3,G313),G313))</f>
        <v>#VALUE!</v>
      </c>
      <c r="H313" t="e">
        <f ca="1">IF((A1)=(2),"",IF((309)=(H4),IF(IF((INDEX(B1:XFD1,((A3)+(1))+(0)))=("store"),(INDEX(B1:XFD1,((A3)+(1))+(1)))=("H"),"false"),B3,H313),H313))</f>
        <v>#VALUE!</v>
      </c>
      <c r="I313" t="e">
        <f ca="1">IF((A1)=(2),"",IF((309)=(I4),IF(IF((INDEX(B1:XFD1,((A3)+(1))+(0)))=("store"),(INDEX(B1:XFD1,((A3)+(1))+(1)))=("I"),"false"),B3,I313),I313))</f>
        <v>#VALUE!</v>
      </c>
      <c r="J313" t="e">
        <f ca="1">IF((A1)=(2),"",IF((309)=(J4),IF(IF((INDEX(B1:XFD1,((A3)+(1))+(0)))=("store"),(INDEX(B1:XFD1,((A3)+(1))+(1)))=("J"),"false"),B3,J313),J313))</f>
        <v>#VALUE!</v>
      </c>
      <c r="K313" t="e">
        <f ca="1">IF((A1)=(2),"",IF((309)=(K4),IF(IF((INDEX(B1:XFD1,((A3)+(1))+(0)))=("store"),(INDEX(B1:XFD1,((A3)+(1))+(1)))=("K"),"false"),B3,K313),K313))</f>
        <v>#VALUE!</v>
      </c>
      <c r="L313" t="e">
        <f ca="1">IF((A1)=(2),"",IF((309)=(L4),IF(IF((INDEX(B1:XFD1,((A3)+(1))+(0)))=("store"),(INDEX(B1:XFD1,((A3)+(1))+(1)))=("L"),"false"),B3,L313),L313))</f>
        <v>#VALUE!</v>
      </c>
      <c r="M313" t="e">
        <f ca="1">IF((A1)=(2),"",IF((309)=(M4),IF(IF((INDEX(B1:XFD1,((A3)+(1))+(0)))=("store"),(INDEX(B1:XFD1,((A3)+(1))+(1)))=("M"),"false"),B3,M313),M313))</f>
        <v>#VALUE!</v>
      </c>
      <c r="N313" t="e">
        <f ca="1">IF((A1)=(2),"",IF((309)=(N4),IF(IF((INDEX(B1:XFD1,((A3)+(1))+(0)))=("store"),(INDEX(B1:XFD1,((A3)+(1))+(1)))=("N"),"false"),B3,N313),N313))</f>
        <v>#VALUE!</v>
      </c>
      <c r="O313" t="e">
        <f ca="1">IF((A1)=(2),"",IF((309)=(O4),IF(IF((INDEX(B1:XFD1,((A3)+(1))+(0)))=("store"),(INDEX(B1:XFD1,((A3)+(1))+(1)))=("O"),"false"),B3,O313),O313))</f>
        <v>#VALUE!</v>
      </c>
      <c r="P313" t="e">
        <f ca="1">IF((A1)=(2),"",IF((309)=(P4),IF(IF((INDEX(B1:XFD1,((A3)+(1))+(0)))=("store"),(INDEX(B1:XFD1,((A3)+(1))+(1)))=("P"),"false"),B3,P313),P313))</f>
        <v>#VALUE!</v>
      </c>
      <c r="Q313" t="e">
        <f ca="1">IF((A1)=(2),"",IF((309)=(Q4),IF(IF((INDEX(B1:XFD1,((A3)+(1))+(0)))=("store"),(INDEX(B1:XFD1,((A3)+(1))+(1)))=("Q"),"false"),B3,Q313),Q313))</f>
        <v>#VALUE!</v>
      </c>
      <c r="R313" t="e">
        <f ca="1">IF((A1)=(2),"",IF((309)=(R4),IF(IF((INDEX(B1:XFD1,((A3)+(1))+(0)))=("store"),(INDEX(B1:XFD1,((A3)+(1))+(1)))=("R"),"false"),B3,R313),R313))</f>
        <v>#VALUE!</v>
      </c>
      <c r="S313" t="e">
        <f ca="1">IF((A1)=(2),"",IF((309)=(S4),IF(IF((INDEX(B1:XFD1,((A3)+(1))+(0)))=("store"),(INDEX(B1:XFD1,((A3)+(1))+(1)))=("S"),"false"),B3,S313),S313))</f>
        <v>#VALUE!</v>
      </c>
      <c r="T313" t="e">
        <f ca="1">IF((A1)=(2),"",IF((309)=(T4),IF(IF((INDEX(B1:XFD1,((A3)+(1))+(0)))=("store"),(INDEX(B1:XFD1,((A3)+(1))+(1)))=("T"),"false"),B3,T313),T313))</f>
        <v>#VALUE!</v>
      </c>
      <c r="U313" t="e">
        <f ca="1">IF((A1)=(2),"",IF((309)=(U4),IF(IF((INDEX(B1:XFD1,((A3)+(1))+(0)))=("store"),(INDEX(B1:XFD1,((A3)+(1))+(1)))=("U"),"false"),B3,U313),U313))</f>
        <v>#VALUE!</v>
      </c>
      <c r="V313" t="e">
        <f ca="1">IF((A1)=(2),"",IF((309)=(V4),IF(IF((INDEX(B1:XFD1,((A3)+(1))+(0)))=("store"),(INDEX(B1:XFD1,((A3)+(1))+(1)))=("V"),"false"),B3,V313),V313))</f>
        <v>#VALUE!</v>
      </c>
      <c r="W313" t="e">
        <f ca="1">IF((A1)=(2),"",IF((309)=(W4),IF(IF((INDEX(B1:XFD1,((A3)+(1))+(0)))=("store"),(INDEX(B1:XFD1,((A3)+(1))+(1)))=("W"),"false"),B3,W313),W313))</f>
        <v>#VALUE!</v>
      </c>
      <c r="X313" t="e">
        <f ca="1">IF((A1)=(2),"",IF((309)=(X4),IF(IF((INDEX(B1:XFD1,((A3)+(1))+(0)))=("store"),(INDEX(B1:XFD1,((A3)+(1))+(1)))=("X"),"false"),B3,X313),X313))</f>
        <v>#VALUE!</v>
      </c>
      <c r="Y313" t="e">
        <f ca="1">IF((A1)=(2),"",IF((309)=(Y4),IF(IF((INDEX(B1:XFD1,((A3)+(1))+(0)))=("store"),(INDEX(B1:XFD1,((A3)+(1))+(1)))=("Y"),"false"),B3,Y313),Y313))</f>
        <v>#VALUE!</v>
      </c>
      <c r="Z313" t="e">
        <f ca="1">IF((A1)=(2),"",IF((309)=(Z4),IF(IF((INDEX(B1:XFD1,((A3)+(1))+(0)))=("store"),(INDEX(B1:XFD1,((A3)+(1))+(1)))=("Z"),"false"),B3,Z313),Z313))</f>
        <v>#VALUE!</v>
      </c>
      <c r="AA313" t="e">
        <f ca="1">IF((A1)=(2),"",IF((309)=(AA4),IF(IF((INDEX(B1:XFD1,((A3)+(1))+(0)))=("store"),(INDEX(B1:XFD1,((A3)+(1))+(1)))=("AA"),"false"),B3,AA313),AA313))</f>
        <v>#VALUE!</v>
      </c>
      <c r="AB313" t="e">
        <f ca="1">IF((A1)=(2),"",IF((309)=(AB4),IF(IF((INDEX(B1:XFD1,((A3)+(1))+(0)))=("store"),(INDEX(B1:XFD1,((A3)+(1))+(1)))=("AB"),"false"),B3,AB313),AB313))</f>
        <v>#VALUE!</v>
      </c>
      <c r="AC313" t="e">
        <f ca="1">IF((A1)=(2),"",IF((309)=(AC4),IF(IF((INDEX(B1:XFD1,((A3)+(1))+(0)))=("store"),(INDEX(B1:XFD1,((A3)+(1))+(1)))=("AC"),"false"),B3,AC313),AC313))</f>
        <v>#VALUE!</v>
      </c>
      <c r="AD313" t="e">
        <f ca="1">IF((A1)=(2),"",IF((309)=(AD4),IF(IF((INDEX(B1:XFD1,((A3)+(1))+(0)))=("store"),(INDEX(B1:XFD1,((A3)+(1))+(1)))=("AD"),"false"),B3,AD313),AD313))</f>
        <v>#VALUE!</v>
      </c>
    </row>
    <row r="314" spans="1:30" x14ac:dyDescent="0.25">
      <c r="A314" t="e">
        <f ca="1">IF((A1)=(2),"",IF((310)=(A4),IF(("call")=(INDEX(B1:XFD1,((A3)+(1))+(0))),(B3)*(2),IF(("goto")=(INDEX(B1:XFD1,((A3)+(1))+(0))),(INDEX(B1:XFD1,((A3)+(1))+(1)))*(2),IF(("gotoiftrue")=(INDEX(B1:XFD1,((A3)+(1))+(0))),IF(B3,(INDEX(B1:XFD1,((A3)+(1))+(1)))*(2),(A314)+(2)),(A314)+(2)))),A314))</f>
        <v>#VALUE!</v>
      </c>
      <c r="B314" t="e">
        <f ca="1">IF((A1)=(2),"",IF((310)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314)+(1)),IF(("add")=(INDEX(B1:XFD1,((A3)+(1))+(0))),(INDEX(B5:B405,(B4)+(1)))+(B314),IF(("equals")=(INDEX(B1:XFD1,((A3)+(1))+(0))),(INDEX(B5:B405,(B4)+(1)))=(B314),IF(("leq")=(INDEX(B1:XFD1,((A3)+(1))+(0))),(INDEX(B5:B405,(B4)+(1)))&lt;=(B314),IF(("greater")=(INDEX(B1:XFD1,((A3)+(1))+(0))),(INDEX(B5:B405,(B4)+(1)))&gt;(B314),IF(("mod")=(INDEX(B1:XFD1,((A3)+(1))+(0))),MOD(INDEX(B5:B405,(B4)+(1)),B314),B314))))))))),B314))</f>
        <v>#VALUE!</v>
      </c>
      <c r="C314" t="e">
        <f ca="1">IF((A1)=(2),1,IF(AND((INDEX(B1:XFD1,((A3)+(1))+(0)))=("writeheap"),(INDEX(B5:B405,(B4)+(1)))=(309)),INDEX(B5:B405,(B4)+(2)),IF((A1)=(2),"",IF((310)=(C4),C314,C314))))</f>
        <v>#VALUE!</v>
      </c>
      <c r="F314" t="e">
        <f ca="1">IF((A1)=(2),"",IF((310)=(F4),IF(IF((INDEX(B1:XFD1,((A3)+(1))+(0)))=("store"),(INDEX(B1:XFD1,((A3)+(1))+(1)))=("F"),"false"),B3,F314),F314))</f>
        <v>#VALUE!</v>
      </c>
      <c r="G314" t="e">
        <f ca="1">IF((A1)=(2),"",IF((310)=(G4),IF(IF((INDEX(B1:XFD1,((A3)+(1))+(0)))=("store"),(INDEX(B1:XFD1,((A3)+(1))+(1)))=("G"),"false"),B3,G314),G314))</f>
        <v>#VALUE!</v>
      </c>
      <c r="H314" t="e">
        <f ca="1">IF((A1)=(2),"",IF((310)=(H4),IF(IF((INDEX(B1:XFD1,((A3)+(1))+(0)))=("store"),(INDEX(B1:XFD1,((A3)+(1))+(1)))=("H"),"false"),B3,H314),H314))</f>
        <v>#VALUE!</v>
      </c>
      <c r="I314" t="e">
        <f ca="1">IF((A1)=(2),"",IF((310)=(I4),IF(IF((INDEX(B1:XFD1,((A3)+(1))+(0)))=("store"),(INDEX(B1:XFD1,((A3)+(1))+(1)))=("I"),"false"),B3,I314),I314))</f>
        <v>#VALUE!</v>
      </c>
      <c r="J314" t="e">
        <f ca="1">IF((A1)=(2),"",IF((310)=(J4),IF(IF((INDEX(B1:XFD1,((A3)+(1))+(0)))=("store"),(INDEX(B1:XFD1,((A3)+(1))+(1)))=("J"),"false"),B3,J314),J314))</f>
        <v>#VALUE!</v>
      </c>
      <c r="K314" t="e">
        <f ca="1">IF((A1)=(2),"",IF((310)=(K4),IF(IF((INDEX(B1:XFD1,((A3)+(1))+(0)))=("store"),(INDEX(B1:XFD1,((A3)+(1))+(1)))=("K"),"false"),B3,K314),K314))</f>
        <v>#VALUE!</v>
      </c>
      <c r="L314" t="e">
        <f ca="1">IF((A1)=(2),"",IF((310)=(L4),IF(IF((INDEX(B1:XFD1,((A3)+(1))+(0)))=("store"),(INDEX(B1:XFD1,((A3)+(1))+(1)))=("L"),"false"),B3,L314),L314))</f>
        <v>#VALUE!</v>
      </c>
      <c r="M314" t="e">
        <f ca="1">IF((A1)=(2),"",IF((310)=(M4),IF(IF((INDEX(B1:XFD1,((A3)+(1))+(0)))=("store"),(INDEX(B1:XFD1,((A3)+(1))+(1)))=("M"),"false"),B3,M314),M314))</f>
        <v>#VALUE!</v>
      </c>
      <c r="N314" t="e">
        <f ca="1">IF((A1)=(2),"",IF((310)=(N4),IF(IF((INDEX(B1:XFD1,((A3)+(1))+(0)))=("store"),(INDEX(B1:XFD1,((A3)+(1))+(1)))=("N"),"false"),B3,N314),N314))</f>
        <v>#VALUE!</v>
      </c>
      <c r="O314" t="e">
        <f ca="1">IF((A1)=(2),"",IF((310)=(O4),IF(IF((INDEX(B1:XFD1,((A3)+(1))+(0)))=("store"),(INDEX(B1:XFD1,((A3)+(1))+(1)))=("O"),"false"),B3,O314),O314))</f>
        <v>#VALUE!</v>
      </c>
      <c r="P314" t="e">
        <f ca="1">IF((A1)=(2),"",IF((310)=(P4),IF(IF((INDEX(B1:XFD1,((A3)+(1))+(0)))=("store"),(INDEX(B1:XFD1,((A3)+(1))+(1)))=("P"),"false"),B3,P314),P314))</f>
        <v>#VALUE!</v>
      </c>
      <c r="Q314" t="e">
        <f ca="1">IF((A1)=(2),"",IF((310)=(Q4),IF(IF((INDEX(B1:XFD1,((A3)+(1))+(0)))=("store"),(INDEX(B1:XFD1,((A3)+(1))+(1)))=("Q"),"false"),B3,Q314),Q314))</f>
        <v>#VALUE!</v>
      </c>
      <c r="R314" t="e">
        <f ca="1">IF((A1)=(2),"",IF((310)=(R4),IF(IF((INDEX(B1:XFD1,((A3)+(1))+(0)))=("store"),(INDEX(B1:XFD1,((A3)+(1))+(1)))=("R"),"false"),B3,R314),R314))</f>
        <v>#VALUE!</v>
      </c>
      <c r="S314" t="e">
        <f ca="1">IF((A1)=(2),"",IF((310)=(S4),IF(IF((INDEX(B1:XFD1,((A3)+(1))+(0)))=("store"),(INDEX(B1:XFD1,((A3)+(1))+(1)))=("S"),"false"),B3,S314),S314))</f>
        <v>#VALUE!</v>
      </c>
      <c r="T314" t="e">
        <f ca="1">IF((A1)=(2),"",IF((310)=(T4),IF(IF((INDEX(B1:XFD1,((A3)+(1))+(0)))=("store"),(INDEX(B1:XFD1,((A3)+(1))+(1)))=("T"),"false"),B3,T314),T314))</f>
        <v>#VALUE!</v>
      </c>
      <c r="U314" t="e">
        <f ca="1">IF((A1)=(2),"",IF((310)=(U4),IF(IF((INDEX(B1:XFD1,((A3)+(1))+(0)))=("store"),(INDEX(B1:XFD1,((A3)+(1))+(1)))=("U"),"false"),B3,U314),U314))</f>
        <v>#VALUE!</v>
      </c>
      <c r="V314" t="e">
        <f ca="1">IF((A1)=(2),"",IF((310)=(V4),IF(IF((INDEX(B1:XFD1,((A3)+(1))+(0)))=("store"),(INDEX(B1:XFD1,((A3)+(1))+(1)))=("V"),"false"),B3,V314),V314))</f>
        <v>#VALUE!</v>
      </c>
      <c r="W314" t="e">
        <f ca="1">IF((A1)=(2),"",IF((310)=(W4),IF(IF((INDEX(B1:XFD1,((A3)+(1))+(0)))=("store"),(INDEX(B1:XFD1,((A3)+(1))+(1)))=("W"),"false"),B3,W314),W314))</f>
        <v>#VALUE!</v>
      </c>
      <c r="X314" t="e">
        <f ca="1">IF((A1)=(2),"",IF((310)=(X4),IF(IF((INDEX(B1:XFD1,((A3)+(1))+(0)))=("store"),(INDEX(B1:XFD1,((A3)+(1))+(1)))=("X"),"false"),B3,X314),X314))</f>
        <v>#VALUE!</v>
      </c>
      <c r="Y314" t="e">
        <f ca="1">IF((A1)=(2),"",IF((310)=(Y4),IF(IF((INDEX(B1:XFD1,((A3)+(1))+(0)))=("store"),(INDEX(B1:XFD1,((A3)+(1))+(1)))=("Y"),"false"),B3,Y314),Y314))</f>
        <v>#VALUE!</v>
      </c>
      <c r="Z314" t="e">
        <f ca="1">IF((A1)=(2),"",IF((310)=(Z4),IF(IF((INDEX(B1:XFD1,((A3)+(1))+(0)))=("store"),(INDEX(B1:XFD1,((A3)+(1))+(1)))=("Z"),"false"),B3,Z314),Z314))</f>
        <v>#VALUE!</v>
      </c>
      <c r="AA314" t="e">
        <f ca="1">IF((A1)=(2),"",IF((310)=(AA4),IF(IF((INDEX(B1:XFD1,((A3)+(1))+(0)))=("store"),(INDEX(B1:XFD1,((A3)+(1))+(1)))=("AA"),"false"),B3,AA314),AA314))</f>
        <v>#VALUE!</v>
      </c>
      <c r="AB314" t="e">
        <f ca="1">IF((A1)=(2),"",IF((310)=(AB4),IF(IF((INDEX(B1:XFD1,((A3)+(1))+(0)))=("store"),(INDEX(B1:XFD1,((A3)+(1))+(1)))=("AB"),"false"),B3,AB314),AB314))</f>
        <v>#VALUE!</v>
      </c>
      <c r="AC314" t="e">
        <f ca="1">IF((A1)=(2),"",IF((310)=(AC4),IF(IF((INDEX(B1:XFD1,((A3)+(1))+(0)))=("store"),(INDEX(B1:XFD1,((A3)+(1))+(1)))=("AC"),"false"),B3,AC314),AC314))</f>
        <v>#VALUE!</v>
      </c>
      <c r="AD314" t="e">
        <f ca="1">IF((A1)=(2),"",IF((310)=(AD4),IF(IF((INDEX(B1:XFD1,((A3)+(1))+(0)))=("store"),(INDEX(B1:XFD1,((A3)+(1))+(1)))=("AD"),"false"),B3,AD314),AD314))</f>
        <v>#VALUE!</v>
      </c>
    </row>
    <row r="315" spans="1:30" x14ac:dyDescent="0.25">
      <c r="A315" t="e">
        <f ca="1">IF((A1)=(2),"",IF((311)=(A4),IF(("call")=(INDEX(B1:XFD1,((A3)+(1))+(0))),(B3)*(2),IF(("goto")=(INDEX(B1:XFD1,((A3)+(1))+(0))),(INDEX(B1:XFD1,((A3)+(1))+(1)))*(2),IF(("gotoiftrue")=(INDEX(B1:XFD1,((A3)+(1))+(0))),IF(B3,(INDEX(B1:XFD1,((A3)+(1))+(1)))*(2),(A315)+(2)),(A315)+(2)))),A315))</f>
        <v>#VALUE!</v>
      </c>
      <c r="B315" t="e">
        <f ca="1">IF((A1)=(2),"",IF((311)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315)+(1)),IF(("add")=(INDEX(B1:XFD1,((A3)+(1))+(0))),(INDEX(B5:B405,(B4)+(1)))+(B315),IF(("equals")=(INDEX(B1:XFD1,((A3)+(1))+(0))),(INDEX(B5:B405,(B4)+(1)))=(B315),IF(("leq")=(INDEX(B1:XFD1,((A3)+(1))+(0))),(INDEX(B5:B405,(B4)+(1)))&lt;=(B315),IF(("greater")=(INDEX(B1:XFD1,((A3)+(1))+(0))),(INDEX(B5:B405,(B4)+(1)))&gt;(B315),IF(("mod")=(INDEX(B1:XFD1,((A3)+(1))+(0))),MOD(INDEX(B5:B405,(B4)+(1)),B315),B315))))))))),B315))</f>
        <v>#VALUE!</v>
      </c>
      <c r="C315" t="e">
        <f ca="1">IF((A1)=(2),1,IF(AND((INDEX(B1:XFD1,((A3)+(1))+(0)))=("writeheap"),(INDEX(B5:B405,(B4)+(1)))=(310)),INDEX(B5:B405,(B4)+(2)),IF((A1)=(2),"",IF((311)=(C4),C315,C315))))</f>
        <v>#VALUE!</v>
      </c>
      <c r="F315" t="e">
        <f ca="1">IF((A1)=(2),"",IF((311)=(F4),IF(IF((INDEX(B1:XFD1,((A3)+(1))+(0)))=("store"),(INDEX(B1:XFD1,((A3)+(1))+(1)))=("F"),"false"),B3,F315),F315))</f>
        <v>#VALUE!</v>
      </c>
      <c r="G315" t="e">
        <f ca="1">IF((A1)=(2),"",IF((311)=(G4),IF(IF((INDEX(B1:XFD1,((A3)+(1))+(0)))=("store"),(INDEX(B1:XFD1,((A3)+(1))+(1)))=("G"),"false"),B3,G315),G315))</f>
        <v>#VALUE!</v>
      </c>
      <c r="H315" t="e">
        <f ca="1">IF((A1)=(2),"",IF((311)=(H4),IF(IF((INDEX(B1:XFD1,((A3)+(1))+(0)))=("store"),(INDEX(B1:XFD1,((A3)+(1))+(1)))=("H"),"false"),B3,H315),H315))</f>
        <v>#VALUE!</v>
      </c>
      <c r="I315" t="e">
        <f ca="1">IF((A1)=(2),"",IF((311)=(I4),IF(IF((INDEX(B1:XFD1,((A3)+(1))+(0)))=("store"),(INDEX(B1:XFD1,((A3)+(1))+(1)))=("I"),"false"),B3,I315),I315))</f>
        <v>#VALUE!</v>
      </c>
      <c r="J315" t="e">
        <f ca="1">IF((A1)=(2),"",IF((311)=(J4),IF(IF((INDEX(B1:XFD1,((A3)+(1))+(0)))=("store"),(INDEX(B1:XFD1,((A3)+(1))+(1)))=("J"),"false"),B3,J315),J315))</f>
        <v>#VALUE!</v>
      </c>
      <c r="K315" t="e">
        <f ca="1">IF((A1)=(2),"",IF((311)=(K4),IF(IF((INDEX(B1:XFD1,((A3)+(1))+(0)))=("store"),(INDEX(B1:XFD1,((A3)+(1))+(1)))=("K"),"false"),B3,K315),K315))</f>
        <v>#VALUE!</v>
      </c>
      <c r="L315" t="e">
        <f ca="1">IF((A1)=(2),"",IF((311)=(L4),IF(IF((INDEX(B1:XFD1,((A3)+(1))+(0)))=("store"),(INDEX(B1:XFD1,((A3)+(1))+(1)))=("L"),"false"),B3,L315),L315))</f>
        <v>#VALUE!</v>
      </c>
      <c r="M315" t="e">
        <f ca="1">IF((A1)=(2),"",IF((311)=(M4),IF(IF((INDEX(B1:XFD1,((A3)+(1))+(0)))=("store"),(INDEX(B1:XFD1,((A3)+(1))+(1)))=("M"),"false"),B3,M315),M315))</f>
        <v>#VALUE!</v>
      </c>
      <c r="N315" t="e">
        <f ca="1">IF((A1)=(2),"",IF((311)=(N4),IF(IF((INDEX(B1:XFD1,((A3)+(1))+(0)))=("store"),(INDEX(B1:XFD1,((A3)+(1))+(1)))=("N"),"false"),B3,N315),N315))</f>
        <v>#VALUE!</v>
      </c>
      <c r="O315" t="e">
        <f ca="1">IF((A1)=(2),"",IF((311)=(O4),IF(IF((INDEX(B1:XFD1,((A3)+(1))+(0)))=("store"),(INDEX(B1:XFD1,((A3)+(1))+(1)))=("O"),"false"),B3,O315),O315))</f>
        <v>#VALUE!</v>
      </c>
      <c r="P315" t="e">
        <f ca="1">IF((A1)=(2),"",IF((311)=(P4),IF(IF((INDEX(B1:XFD1,((A3)+(1))+(0)))=("store"),(INDEX(B1:XFD1,((A3)+(1))+(1)))=("P"),"false"),B3,P315),P315))</f>
        <v>#VALUE!</v>
      </c>
      <c r="Q315" t="e">
        <f ca="1">IF((A1)=(2),"",IF((311)=(Q4),IF(IF((INDEX(B1:XFD1,((A3)+(1))+(0)))=("store"),(INDEX(B1:XFD1,((A3)+(1))+(1)))=("Q"),"false"),B3,Q315),Q315))</f>
        <v>#VALUE!</v>
      </c>
      <c r="R315" t="e">
        <f ca="1">IF((A1)=(2),"",IF((311)=(R4),IF(IF((INDEX(B1:XFD1,((A3)+(1))+(0)))=("store"),(INDEX(B1:XFD1,((A3)+(1))+(1)))=("R"),"false"),B3,R315),R315))</f>
        <v>#VALUE!</v>
      </c>
      <c r="S315" t="e">
        <f ca="1">IF((A1)=(2),"",IF((311)=(S4),IF(IF((INDEX(B1:XFD1,((A3)+(1))+(0)))=("store"),(INDEX(B1:XFD1,((A3)+(1))+(1)))=("S"),"false"),B3,S315),S315))</f>
        <v>#VALUE!</v>
      </c>
      <c r="T315" t="e">
        <f ca="1">IF((A1)=(2),"",IF((311)=(T4),IF(IF((INDEX(B1:XFD1,((A3)+(1))+(0)))=("store"),(INDEX(B1:XFD1,((A3)+(1))+(1)))=("T"),"false"),B3,T315),T315))</f>
        <v>#VALUE!</v>
      </c>
      <c r="U315" t="e">
        <f ca="1">IF((A1)=(2),"",IF((311)=(U4),IF(IF((INDEX(B1:XFD1,((A3)+(1))+(0)))=("store"),(INDEX(B1:XFD1,((A3)+(1))+(1)))=("U"),"false"),B3,U315),U315))</f>
        <v>#VALUE!</v>
      </c>
      <c r="V315" t="e">
        <f ca="1">IF((A1)=(2),"",IF((311)=(V4),IF(IF((INDEX(B1:XFD1,((A3)+(1))+(0)))=("store"),(INDEX(B1:XFD1,((A3)+(1))+(1)))=("V"),"false"),B3,V315),V315))</f>
        <v>#VALUE!</v>
      </c>
      <c r="W315" t="e">
        <f ca="1">IF((A1)=(2),"",IF((311)=(W4),IF(IF((INDEX(B1:XFD1,((A3)+(1))+(0)))=("store"),(INDEX(B1:XFD1,((A3)+(1))+(1)))=("W"),"false"),B3,W315),W315))</f>
        <v>#VALUE!</v>
      </c>
      <c r="X315" t="e">
        <f ca="1">IF((A1)=(2),"",IF((311)=(X4),IF(IF((INDEX(B1:XFD1,((A3)+(1))+(0)))=("store"),(INDEX(B1:XFD1,((A3)+(1))+(1)))=("X"),"false"),B3,X315),X315))</f>
        <v>#VALUE!</v>
      </c>
      <c r="Y315" t="e">
        <f ca="1">IF((A1)=(2),"",IF((311)=(Y4),IF(IF((INDEX(B1:XFD1,((A3)+(1))+(0)))=("store"),(INDEX(B1:XFD1,((A3)+(1))+(1)))=("Y"),"false"),B3,Y315),Y315))</f>
        <v>#VALUE!</v>
      </c>
      <c r="Z315" t="e">
        <f ca="1">IF((A1)=(2),"",IF((311)=(Z4),IF(IF((INDEX(B1:XFD1,((A3)+(1))+(0)))=("store"),(INDEX(B1:XFD1,((A3)+(1))+(1)))=("Z"),"false"),B3,Z315),Z315))</f>
        <v>#VALUE!</v>
      </c>
      <c r="AA315" t="e">
        <f ca="1">IF((A1)=(2),"",IF((311)=(AA4),IF(IF((INDEX(B1:XFD1,((A3)+(1))+(0)))=("store"),(INDEX(B1:XFD1,((A3)+(1))+(1)))=("AA"),"false"),B3,AA315),AA315))</f>
        <v>#VALUE!</v>
      </c>
      <c r="AB315" t="e">
        <f ca="1">IF((A1)=(2),"",IF((311)=(AB4),IF(IF((INDEX(B1:XFD1,((A3)+(1))+(0)))=("store"),(INDEX(B1:XFD1,((A3)+(1))+(1)))=("AB"),"false"),B3,AB315),AB315))</f>
        <v>#VALUE!</v>
      </c>
      <c r="AC315" t="e">
        <f ca="1">IF((A1)=(2),"",IF((311)=(AC4),IF(IF((INDEX(B1:XFD1,((A3)+(1))+(0)))=("store"),(INDEX(B1:XFD1,((A3)+(1))+(1)))=("AC"),"false"),B3,AC315),AC315))</f>
        <v>#VALUE!</v>
      </c>
      <c r="AD315" t="e">
        <f ca="1">IF((A1)=(2),"",IF((311)=(AD4),IF(IF((INDEX(B1:XFD1,((A3)+(1))+(0)))=("store"),(INDEX(B1:XFD1,((A3)+(1))+(1)))=("AD"),"false"),B3,AD315),AD315))</f>
        <v>#VALUE!</v>
      </c>
    </row>
    <row r="316" spans="1:30" x14ac:dyDescent="0.25">
      <c r="A316" t="e">
        <f ca="1">IF((A1)=(2),"",IF((312)=(A4),IF(("call")=(INDEX(B1:XFD1,((A3)+(1))+(0))),(B3)*(2),IF(("goto")=(INDEX(B1:XFD1,((A3)+(1))+(0))),(INDEX(B1:XFD1,((A3)+(1))+(1)))*(2),IF(("gotoiftrue")=(INDEX(B1:XFD1,((A3)+(1))+(0))),IF(B3,(INDEX(B1:XFD1,((A3)+(1))+(1)))*(2),(A316)+(2)),(A316)+(2)))),A316))</f>
        <v>#VALUE!</v>
      </c>
      <c r="B316" t="e">
        <f ca="1">IF((A1)=(2),"",IF((312)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316)+(1)),IF(("add")=(INDEX(B1:XFD1,((A3)+(1))+(0))),(INDEX(B5:B405,(B4)+(1)))+(B316),IF(("equals")=(INDEX(B1:XFD1,((A3)+(1))+(0))),(INDEX(B5:B405,(B4)+(1)))=(B316),IF(("leq")=(INDEX(B1:XFD1,((A3)+(1))+(0))),(INDEX(B5:B405,(B4)+(1)))&lt;=(B316),IF(("greater")=(INDEX(B1:XFD1,((A3)+(1))+(0))),(INDEX(B5:B405,(B4)+(1)))&gt;(B316),IF(("mod")=(INDEX(B1:XFD1,((A3)+(1))+(0))),MOD(INDEX(B5:B405,(B4)+(1)),B316),B316))))))))),B316))</f>
        <v>#VALUE!</v>
      </c>
      <c r="C316" t="e">
        <f ca="1">IF((A1)=(2),1,IF(AND((INDEX(B1:XFD1,((A3)+(1))+(0)))=("writeheap"),(INDEX(B5:B405,(B4)+(1)))=(311)),INDEX(B5:B405,(B4)+(2)),IF((A1)=(2),"",IF((312)=(C4),C316,C316))))</f>
        <v>#VALUE!</v>
      </c>
      <c r="F316" t="e">
        <f ca="1">IF((A1)=(2),"",IF((312)=(F4),IF(IF((INDEX(B1:XFD1,((A3)+(1))+(0)))=("store"),(INDEX(B1:XFD1,((A3)+(1))+(1)))=("F"),"false"),B3,F316),F316))</f>
        <v>#VALUE!</v>
      </c>
      <c r="G316" t="e">
        <f ca="1">IF((A1)=(2),"",IF((312)=(G4),IF(IF((INDEX(B1:XFD1,((A3)+(1))+(0)))=("store"),(INDEX(B1:XFD1,((A3)+(1))+(1)))=("G"),"false"),B3,G316),G316))</f>
        <v>#VALUE!</v>
      </c>
      <c r="H316" t="e">
        <f ca="1">IF((A1)=(2),"",IF((312)=(H4),IF(IF((INDEX(B1:XFD1,((A3)+(1))+(0)))=("store"),(INDEX(B1:XFD1,((A3)+(1))+(1)))=("H"),"false"),B3,H316),H316))</f>
        <v>#VALUE!</v>
      </c>
      <c r="I316" t="e">
        <f ca="1">IF((A1)=(2),"",IF((312)=(I4),IF(IF((INDEX(B1:XFD1,((A3)+(1))+(0)))=("store"),(INDEX(B1:XFD1,((A3)+(1))+(1)))=("I"),"false"),B3,I316),I316))</f>
        <v>#VALUE!</v>
      </c>
      <c r="J316" t="e">
        <f ca="1">IF((A1)=(2),"",IF((312)=(J4),IF(IF((INDEX(B1:XFD1,((A3)+(1))+(0)))=("store"),(INDEX(B1:XFD1,((A3)+(1))+(1)))=("J"),"false"),B3,J316),J316))</f>
        <v>#VALUE!</v>
      </c>
      <c r="K316" t="e">
        <f ca="1">IF((A1)=(2),"",IF((312)=(K4),IF(IF((INDEX(B1:XFD1,((A3)+(1))+(0)))=("store"),(INDEX(B1:XFD1,((A3)+(1))+(1)))=("K"),"false"),B3,K316),K316))</f>
        <v>#VALUE!</v>
      </c>
      <c r="L316" t="e">
        <f ca="1">IF((A1)=(2),"",IF((312)=(L4),IF(IF((INDEX(B1:XFD1,((A3)+(1))+(0)))=("store"),(INDEX(B1:XFD1,((A3)+(1))+(1)))=("L"),"false"),B3,L316),L316))</f>
        <v>#VALUE!</v>
      </c>
      <c r="M316" t="e">
        <f ca="1">IF((A1)=(2),"",IF((312)=(M4),IF(IF((INDEX(B1:XFD1,((A3)+(1))+(0)))=("store"),(INDEX(B1:XFD1,((A3)+(1))+(1)))=("M"),"false"),B3,M316),M316))</f>
        <v>#VALUE!</v>
      </c>
      <c r="N316" t="e">
        <f ca="1">IF((A1)=(2),"",IF((312)=(N4),IF(IF((INDEX(B1:XFD1,((A3)+(1))+(0)))=("store"),(INDEX(B1:XFD1,((A3)+(1))+(1)))=("N"),"false"),B3,N316),N316))</f>
        <v>#VALUE!</v>
      </c>
      <c r="O316" t="e">
        <f ca="1">IF((A1)=(2),"",IF((312)=(O4),IF(IF((INDEX(B1:XFD1,((A3)+(1))+(0)))=("store"),(INDEX(B1:XFD1,((A3)+(1))+(1)))=("O"),"false"),B3,O316),O316))</f>
        <v>#VALUE!</v>
      </c>
      <c r="P316" t="e">
        <f ca="1">IF((A1)=(2),"",IF((312)=(P4),IF(IF((INDEX(B1:XFD1,((A3)+(1))+(0)))=("store"),(INDEX(B1:XFD1,((A3)+(1))+(1)))=("P"),"false"),B3,P316),P316))</f>
        <v>#VALUE!</v>
      </c>
      <c r="Q316" t="e">
        <f ca="1">IF((A1)=(2),"",IF((312)=(Q4),IF(IF((INDEX(B1:XFD1,((A3)+(1))+(0)))=("store"),(INDEX(B1:XFD1,((A3)+(1))+(1)))=("Q"),"false"),B3,Q316),Q316))</f>
        <v>#VALUE!</v>
      </c>
      <c r="R316" t="e">
        <f ca="1">IF((A1)=(2),"",IF((312)=(R4),IF(IF((INDEX(B1:XFD1,((A3)+(1))+(0)))=("store"),(INDEX(B1:XFD1,((A3)+(1))+(1)))=("R"),"false"),B3,R316),R316))</f>
        <v>#VALUE!</v>
      </c>
      <c r="S316" t="e">
        <f ca="1">IF((A1)=(2),"",IF((312)=(S4),IF(IF((INDEX(B1:XFD1,((A3)+(1))+(0)))=("store"),(INDEX(B1:XFD1,((A3)+(1))+(1)))=("S"),"false"),B3,S316),S316))</f>
        <v>#VALUE!</v>
      </c>
      <c r="T316" t="e">
        <f ca="1">IF((A1)=(2),"",IF((312)=(T4),IF(IF((INDEX(B1:XFD1,((A3)+(1))+(0)))=("store"),(INDEX(B1:XFD1,((A3)+(1))+(1)))=("T"),"false"),B3,T316),T316))</f>
        <v>#VALUE!</v>
      </c>
      <c r="U316" t="e">
        <f ca="1">IF((A1)=(2),"",IF((312)=(U4),IF(IF((INDEX(B1:XFD1,((A3)+(1))+(0)))=("store"),(INDEX(B1:XFD1,((A3)+(1))+(1)))=("U"),"false"),B3,U316),U316))</f>
        <v>#VALUE!</v>
      </c>
      <c r="V316" t="e">
        <f ca="1">IF((A1)=(2),"",IF((312)=(V4),IF(IF((INDEX(B1:XFD1,((A3)+(1))+(0)))=("store"),(INDEX(B1:XFD1,((A3)+(1))+(1)))=("V"),"false"),B3,V316),V316))</f>
        <v>#VALUE!</v>
      </c>
      <c r="W316" t="e">
        <f ca="1">IF((A1)=(2),"",IF((312)=(W4),IF(IF((INDEX(B1:XFD1,((A3)+(1))+(0)))=("store"),(INDEX(B1:XFD1,((A3)+(1))+(1)))=("W"),"false"),B3,W316),W316))</f>
        <v>#VALUE!</v>
      </c>
      <c r="X316" t="e">
        <f ca="1">IF((A1)=(2),"",IF((312)=(X4),IF(IF((INDEX(B1:XFD1,((A3)+(1))+(0)))=("store"),(INDEX(B1:XFD1,((A3)+(1))+(1)))=("X"),"false"),B3,X316),X316))</f>
        <v>#VALUE!</v>
      </c>
      <c r="Y316" t="e">
        <f ca="1">IF((A1)=(2),"",IF((312)=(Y4),IF(IF((INDEX(B1:XFD1,((A3)+(1))+(0)))=("store"),(INDEX(B1:XFD1,((A3)+(1))+(1)))=("Y"),"false"),B3,Y316),Y316))</f>
        <v>#VALUE!</v>
      </c>
      <c r="Z316" t="e">
        <f ca="1">IF((A1)=(2),"",IF((312)=(Z4),IF(IF((INDEX(B1:XFD1,((A3)+(1))+(0)))=("store"),(INDEX(B1:XFD1,((A3)+(1))+(1)))=("Z"),"false"),B3,Z316),Z316))</f>
        <v>#VALUE!</v>
      </c>
      <c r="AA316" t="e">
        <f ca="1">IF((A1)=(2),"",IF((312)=(AA4),IF(IF((INDEX(B1:XFD1,((A3)+(1))+(0)))=("store"),(INDEX(B1:XFD1,((A3)+(1))+(1)))=("AA"),"false"),B3,AA316),AA316))</f>
        <v>#VALUE!</v>
      </c>
      <c r="AB316" t="e">
        <f ca="1">IF((A1)=(2),"",IF((312)=(AB4),IF(IF((INDEX(B1:XFD1,((A3)+(1))+(0)))=("store"),(INDEX(B1:XFD1,((A3)+(1))+(1)))=("AB"),"false"),B3,AB316),AB316))</f>
        <v>#VALUE!</v>
      </c>
      <c r="AC316" t="e">
        <f ca="1">IF((A1)=(2),"",IF((312)=(AC4),IF(IF((INDEX(B1:XFD1,((A3)+(1))+(0)))=("store"),(INDEX(B1:XFD1,((A3)+(1))+(1)))=("AC"),"false"),B3,AC316),AC316))</f>
        <v>#VALUE!</v>
      </c>
      <c r="AD316" t="e">
        <f ca="1">IF((A1)=(2),"",IF((312)=(AD4),IF(IF((INDEX(B1:XFD1,((A3)+(1))+(0)))=("store"),(INDEX(B1:XFD1,((A3)+(1))+(1)))=("AD"),"false"),B3,AD316),AD316))</f>
        <v>#VALUE!</v>
      </c>
    </row>
    <row r="317" spans="1:30" x14ac:dyDescent="0.25">
      <c r="A317" t="e">
        <f ca="1">IF((A1)=(2),"",IF((313)=(A4),IF(("call")=(INDEX(B1:XFD1,((A3)+(1))+(0))),(B3)*(2),IF(("goto")=(INDEX(B1:XFD1,((A3)+(1))+(0))),(INDEX(B1:XFD1,((A3)+(1))+(1)))*(2),IF(("gotoiftrue")=(INDEX(B1:XFD1,((A3)+(1))+(0))),IF(B3,(INDEX(B1:XFD1,((A3)+(1))+(1)))*(2),(A317)+(2)),(A317)+(2)))),A317))</f>
        <v>#VALUE!</v>
      </c>
      <c r="B317" t="e">
        <f ca="1">IF((A1)=(2),"",IF((313)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317)+(1)),IF(("add")=(INDEX(B1:XFD1,((A3)+(1))+(0))),(INDEX(B5:B405,(B4)+(1)))+(B317),IF(("equals")=(INDEX(B1:XFD1,((A3)+(1))+(0))),(INDEX(B5:B405,(B4)+(1)))=(B317),IF(("leq")=(INDEX(B1:XFD1,((A3)+(1))+(0))),(INDEX(B5:B405,(B4)+(1)))&lt;=(B317),IF(("greater")=(INDEX(B1:XFD1,((A3)+(1))+(0))),(INDEX(B5:B405,(B4)+(1)))&gt;(B317),IF(("mod")=(INDEX(B1:XFD1,((A3)+(1))+(0))),MOD(INDEX(B5:B405,(B4)+(1)),B317),B317))))))))),B317))</f>
        <v>#VALUE!</v>
      </c>
      <c r="C317" t="e">
        <f ca="1">IF((A1)=(2),1,IF(AND((INDEX(B1:XFD1,((A3)+(1))+(0)))=("writeheap"),(INDEX(B5:B405,(B4)+(1)))=(312)),INDEX(B5:B405,(B4)+(2)),IF((A1)=(2),"",IF((313)=(C4),C317,C317))))</f>
        <v>#VALUE!</v>
      </c>
      <c r="F317" t="e">
        <f ca="1">IF((A1)=(2),"",IF((313)=(F4),IF(IF((INDEX(B1:XFD1,((A3)+(1))+(0)))=("store"),(INDEX(B1:XFD1,((A3)+(1))+(1)))=("F"),"false"),B3,F317),F317))</f>
        <v>#VALUE!</v>
      </c>
      <c r="G317" t="e">
        <f ca="1">IF((A1)=(2),"",IF((313)=(G4),IF(IF((INDEX(B1:XFD1,((A3)+(1))+(0)))=("store"),(INDEX(B1:XFD1,((A3)+(1))+(1)))=("G"),"false"),B3,G317),G317))</f>
        <v>#VALUE!</v>
      </c>
      <c r="H317" t="e">
        <f ca="1">IF((A1)=(2),"",IF((313)=(H4),IF(IF((INDEX(B1:XFD1,((A3)+(1))+(0)))=("store"),(INDEX(B1:XFD1,((A3)+(1))+(1)))=("H"),"false"),B3,H317),H317))</f>
        <v>#VALUE!</v>
      </c>
      <c r="I317" t="e">
        <f ca="1">IF((A1)=(2),"",IF((313)=(I4),IF(IF((INDEX(B1:XFD1,((A3)+(1))+(0)))=("store"),(INDEX(B1:XFD1,((A3)+(1))+(1)))=("I"),"false"),B3,I317),I317))</f>
        <v>#VALUE!</v>
      </c>
      <c r="J317" t="e">
        <f ca="1">IF((A1)=(2),"",IF((313)=(J4),IF(IF((INDEX(B1:XFD1,((A3)+(1))+(0)))=("store"),(INDEX(B1:XFD1,((A3)+(1))+(1)))=("J"),"false"),B3,J317),J317))</f>
        <v>#VALUE!</v>
      </c>
      <c r="K317" t="e">
        <f ca="1">IF((A1)=(2),"",IF((313)=(K4),IF(IF((INDEX(B1:XFD1,((A3)+(1))+(0)))=("store"),(INDEX(B1:XFD1,((A3)+(1))+(1)))=("K"),"false"),B3,K317),K317))</f>
        <v>#VALUE!</v>
      </c>
      <c r="L317" t="e">
        <f ca="1">IF((A1)=(2),"",IF((313)=(L4),IF(IF((INDEX(B1:XFD1,((A3)+(1))+(0)))=("store"),(INDEX(B1:XFD1,((A3)+(1))+(1)))=("L"),"false"),B3,L317),L317))</f>
        <v>#VALUE!</v>
      </c>
      <c r="M317" t="e">
        <f ca="1">IF((A1)=(2),"",IF((313)=(M4),IF(IF((INDEX(B1:XFD1,((A3)+(1))+(0)))=("store"),(INDEX(B1:XFD1,((A3)+(1))+(1)))=("M"),"false"),B3,M317),M317))</f>
        <v>#VALUE!</v>
      </c>
      <c r="N317" t="e">
        <f ca="1">IF((A1)=(2),"",IF((313)=(N4),IF(IF((INDEX(B1:XFD1,((A3)+(1))+(0)))=("store"),(INDEX(B1:XFD1,((A3)+(1))+(1)))=("N"),"false"),B3,N317),N317))</f>
        <v>#VALUE!</v>
      </c>
      <c r="O317" t="e">
        <f ca="1">IF((A1)=(2),"",IF((313)=(O4),IF(IF((INDEX(B1:XFD1,((A3)+(1))+(0)))=("store"),(INDEX(B1:XFD1,((A3)+(1))+(1)))=("O"),"false"),B3,O317),O317))</f>
        <v>#VALUE!</v>
      </c>
      <c r="P317" t="e">
        <f ca="1">IF((A1)=(2),"",IF((313)=(P4),IF(IF((INDEX(B1:XFD1,((A3)+(1))+(0)))=("store"),(INDEX(B1:XFD1,((A3)+(1))+(1)))=("P"),"false"),B3,P317),P317))</f>
        <v>#VALUE!</v>
      </c>
      <c r="Q317" t="e">
        <f ca="1">IF((A1)=(2),"",IF((313)=(Q4),IF(IF((INDEX(B1:XFD1,((A3)+(1))+(0)))=("store"),(INDEX(B1:XFD1,((A3)+(1))+(1)))=("Q"),"false"),B3,Q317),Q317))</f>
        <v>#VALUE!</v>
      </c>
      <c r="R317" t="e">
        <f ca="1">IF((A1)=(2),"",IF((313)=(R4),IF(IF((INDEX(B1:XFD1,((A3)+(1))+(0)))=("store"),(INDEX(B1:XFD1,((A3)+(1))+(1)))=("R"),"false"),B3,R317),R317))</f>
        <v>#VALUE!</v>
      </c>
      <c r="S317" t="e">
        <f ca="1">IF((A1)=(2),"",IF((313)=(S4),IF(IF((INDEX(B1:XFD1,((A3)+(1))+(0)))=("store"),(INDEX(B1:XFD1,((A3)+(1))+(1)))=("S"),"false"),B3,S317),S317))</f>
        <v>#VALUE!</v>
      </c>
      <c r="T317" t="e">
        <f ca="1">IF((A1)=(2),"",IF((313)=(T4),IF(IF((INDEX(B1:XFD1,((A3)+(1))+(0)))=("store"),(INDEX(B1:XFD1,((A3)+(1))+(1)))=("T"),"false"),B3,T317),T317))</f>
        <v>#VALUE!</v>
      </c>
      <c r="U317" t="e">
        <f ca="1">IF((A1)=(2),"",IF((313)=(U4),IF(IF((INDEX(B1:XFD1,((A3)+(1))+(0)))=("store"),(INDEX(B1:XFD1,((A3)+(1))+(1)))=("U"),"false"),B3,U317),U317))</f>
        <v>#VALUE!</v>
      </c>
      <c r="V317" t="e">
        <f ca="1">IF((A1)=(2),"",IF((313)=(V4),IF(IF((INDEX(B1:XFD1,((A3)+(1))+(0)))=("store"),(INDEX(B1:XFD1,((A3)+(1))+(1)))=("V"),"false"),B3,V317),V317))</f>
        <v>#VALUE!</v>
      </c>
      <c r="W317" t="e">
        <f ca="1">IF((A1)=(2),"",IF((313)=(W4),IF(IF((INDEX(B1:XFD1,((A3)+(1))+(0)))=("store"),(INDEX(B1:XFD1,((A3)+(1))+(1)))=("W"),"false"),B3,W317),W317))</f>
        <v>#VALUE!</v>
      </c>
      <c r="X317" t="e">
        <f ca="1">IF((A1)=(2),"",IF((313)=(X4),IF(IF((INDEX(B1:XFD1,((A3)+(1))+(0)))=("store"),(INDEX(B1:XFD1,((A3)+(1))+(1)))=("X"),"false"),B3,X317),X317))</f>
        <v>#VALUE!</v>
      </c>
      <c r="Y317" t="e">
        <f ca="1">IF((A1)=(2),"",IF((313)=(Y4),IF(IF((INDEX(B1:XFD1,((A3)+(1))+(0)))=("store"),(INDEX(B1:XFD1,((A3)+(1))+(1)))=("Y"),"false"),B3,Y317),Y317))</f>
        <v>#VALUE!</v>
      </c>
      <c r="Z317" t="e">
        <f ca="1">IF((A1)=(2),"",IF((313)=(Z4),IF(IF((INDEX(B1:XFD1,((A3)+(1))+(0)))=("store"),(INDEX(B1:XFD1,((A3)+(1))+(1)))=("Z"),"false"),B3,Z317),Z317))</f>
        <v>#VALUE!</v>
      </c>
      <c r="AA317" t="e">
        <f ca="1">IF((A1)=(2),"",IF((313)=(AA4),IF(IF((INDEX(B1:XFD1,((A3)+(1))+(0)))=("store"),(INDEX(B1:XFD1,((A3)+(1))+(1)))=("AA"),"false"),B3,AA317),AA317))</f>
        <v>#VALUE!</v>
      </c>
      <c r="AB317" t="e">
        <f ca="1">IF((A1)=(2),"",IF((313)=(AB4),IF(IF((INDEX(B1:XFD1,((A3)+(1))+(0)))=("store"),(INDEX(B1:XFD1,((A3)+(1))+(1)))=("AB"),"false"),B3,AB317),AB317))</f>
        <v>#VALUE!</v>
      </c>
      <c r="AC317" t="e">
        <f ca="1">IF((A1)=(2),"",IF((313)=(AC4),IF(IF((INDEX(B1:XFD1,((A3)+(1))+(0)))=("store"),(INDEX(B1:XFD1,((A3)+(1))+(1)))=("AC"),"false"),B3,AC317),AC317))</f>
        <v>#VALUE!</v>
      </c>
      <c r="AD317" t="e">
        <f ca="1">IF((A1)=(2),"",IF((313)=(AD4),IF(IF((INDEX(B1:XFD1,((A3)+(1))+(0)))=("store"),(INDEX(B1:XFD1,((A3)+(1))+(1)))=("AD"),"false"),B3,AD317),AD317))</f>
        <v>#VALUE!</v>
      </c>
    </row>
    <row r="318" spans="1:30" x14ac:dyDescent="0.25">
      <c r="A318" t="e">
        <f ca="1">IF((A1)=(2),"",IF((314)=(A4),IF(("call")=(INDEX(B1:XFD1,((A3)+(1))+(0))),(B3)*(2),IF(("goto")=(INDEX(B1:XFD1,((A3)+(1))+(0))),(INDEX(B1:XFD1,((A3)+(1))+(1)))*(2),IF(("gotoiftrue")=(INDEX(B1:XFD1,((A3)+(1))+(0))),IF(B3,(INDEX(B1:XFD1,((A3)+(1))+(1)))*(2),(A318)+(2)),(A318)+(2)))),A318))</f>
        <v>#VALUE!</v>
      </c>
      <c r="B318" t="e">
        <f ca="1">IF((A1)=(2),"",IF((314)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318)+(1)),IF(("add")=(INDEX(B1:XFD1,((A3)+(1))+(0))),(INDEX(B5:B405,(B4)+(1)))+(B318),IF(("equals")=(INDEX(B1:XFD1,((A3)+(1))+(0))),(INDEX(B5:B405,(B4)+(1)))=(B318),IF(("leq")=(INDEX(B1:XFD1,((A3)+(1))+(0))),(INDEX(B5:B405,(B4)+(1)))&lt;=(B318),IF(("greater")=(INDEX(B1:XFD1,((A3)+(1))+(0))),(INDEX(B5:B405,(B4)+(1)))&gt;(B318),IF(("mod")=(INDEX(B1:XFD1,((A3)+(1))+(0))),MOD(INDEX(B5:B405,(B4)+(1)),B318),B318))))))))),B318))</f>
        <v>#VALUE!</v>
      </c>
      <c r="C318" t="e">
        <f ca="1">IF((A1)=(2),1,IF(AND((INDEX(B1:XFD1,((A3)+(1))+(0)))=("writeheap"),(INDEX(B5:B405,(B4)+(1)))=(313)),INDEX(B5:B405,(B4)+(2)),IF((A1)=(2),"",IF((314)=(C4),C318,C318))))</f>
        <v>#VALUE!</v>
      </c>
      <c r="F318" t="e">
        <f ca="1">IF((A1)=(2),"",IF((314)=(F4),IF(IF((INDEX(B1:XFD1,((A3)+(1))+(0)))=("store"),(INDEX(B1:XFD1,((A3)+(1))+(1)))=("F"),"false"),B3,F318),F318))</f>
        <v>#VALUE!</v>
      </c>
      <c r="G318" t="e">
        <f ca="1">IF((A1)=(2),"",IF((314)=(G4),IF(IF((INDEX(B1:XFD1,((A3)+(1))+(0)))=("store"),(INDEX(B1:XFD1,((A3)+(1))+(1)))=("G"),"false"),B3,G318),G318))</f>
        <v>#VALUE!</v>
      </c>
      <c r="H318" t="e">
        <f ca="1">IF((A1)=(2),"",IF((314)=(H4),IF(IF((INDEX(B1:XFD1,((A3)+(1))+(0)))=("store"),(INDEX(B1:XFD1,((A3)+(1))+(1)))=("H"),"false"),B3,H318),H318))</f>
        <v>#VALUE!</v>
      </c>
      <c r="I318" t="e">
        <f ca="1">IF((A1)=(2),"",IF((314)=(I4),IF(IF((INDEX(B1:XFD1,((A3)+(1))+(0)))=("store"),(INDEX(B1:XFD1,((A3)+(1))+(1)))=("I"),"false"),B3,I318),I318))</f>
        <v>#VALUE!</v>
      </c>
      <c r="J318" t="e">
        <f ca="1">IF((A1)=(2),"",IF((314)=(J4),IF(IF((INDEX(B1:XFD1,((A3)+(1))+(0)))=("store"),(INDEX(B1:XFD1,((A3)+(1))+(1)))=("J"),"false"),B3,J318),J318))</f>
        <v>#VALUE!</v>
      </c>
      <c r="K318" t="e">
        <f ca="1">IF((A1)=(2),"",IF((314)=(K4),IF(IF((INDEX(B1:XFD1,((A3)+(1))+(0)))=("store"),(INDEX(B1:XFD1,((A3)+(1))+(1)))=("K"),"false"),B3,K318),K318))</f>
        <v>#VALUE!</v>
      </c>
      <c r="L318" t="e">
        <f ca="1">IF((A1)=(2),"",IF((314)=(L4),IF(IF((INDEX(B1:XFD1,((A3)+(1))+(0)))=("store"),(INDEX(B1:XFD1,((A3)+(1))+(1)))=("L"),"false"),B3,L318),L318))</f>
        <v>#VALUE!</v>
      </c>
      <c r="M318" t="e">
        <f ca="1">IF((A1)=(2),"",IF((314)=(M4),IF(IF((INDEX(B1:XFD1,((A3)+(1))+(0)))=("store"),(INDEX(B1:XFD1,((A3)+(1))+(1)))=("M"),"false"),B3,M318),M318))</f>
        <v>#VALUE!</v>
      </c>
      <c r="N318" t="e">
        <f ca="1">IF((A1)=(2),"",IF((314)=(N4),IF(IF((INDEX(B1:XFD1,((A3)+(1))+(0)))=("store"),(INDEX(B1:XFD1,((A3)+(1))+(1)))=("N"),"false"),B3,N318),N318))</f>
        <v>#VALUE!</v>
      </c>
      <c r="O318" t="e">
        <f ca="1">IF((A1)=(2),"",IF((314)=(O4),IF(IF((INDEX(B1:XFD1,((A3)+(1))+(0)))=("store"),(INDEX(B1:XFD1,((A3)+(1))+(1)))=("O"),"false"),B3,O318),O318))</f>
        <v>#VALUE!</v>
      </c>
      <c r="P318" t="e">
        <f ca="1">IF((A1)=(2),"",IF((314)=(P4),IF(IF((INDEX(B1:XFD1,((A3)+(1))+(0)))=("store"),(INDEX(B1:XFD1,((A3)+(1))+(1)))=("P"),"false"),B3,P318),P318))</f>
        <v>#VALUE!</v>
      </c>
      <c r="Q318" t="e">
        <f ca="1">IF((A1)=(2),"",IF((314)=(Q4),IF(IF((INDEX(B1:XFD1,((A3)+(1))+(0)))=("store"),(INDEX(B1:XFD1,((A3)+(1))+(1)))=("Q"),"false"),B3,Q318),Q318))</f>
        <v>#VALUE!</v>
      </c>
      <c r="R318" t="e">
        <f ca="1">IF((A1)=(2),"",IF((314)=(R4),IF(IF((INDEX(B1:XFD1,((A3)+(1))+(0)))=("store"),(INDEX(B1:XFD1,((A3)+(1))+(1)))=("R"),"false"),B3,R318),R318))</f>
        <v>#VALUE!</v>
      </c>
      <c r="S318" t="e">
        <f ca="1">IF((A1)=(2),"",IF((314)=(S4),IF(IF((INDEX(B1:XFD1,((A3)+(1))+(0)))=("store"),(INDEX(B1:XFD1,((A3)+(1))+(1)))=("S"),"false"),B3,S318),S318))</f>
        <v>#VALUE!</v>
      </c>
      <c r="T318" t="e">
        <f ca="1">IF((A1)=(2),"",IF((314)=(T4),IF(IF((INDEX(B1:XFD1,((A3)+(1))+(0)))=("store"),(INDEX(B1:XFD1,((A3)+(1))+(1)))=("T"),"false"),B3,T318),T318))</f>
        <v>#VALUE!</v>
      </c>
      <c r="U318" t="e">
        <f ca="1">IF((A1)=(2),"",IF((314)=(U4),IF(IF((INDEX(B1:XFD1,((A3)+(1))+(0)))=("store"),(INDEX(B1:XFD1,((A3)+(1))+(1)))=("U"),"false"),B3,U318),U318))</f>
        <v>#VALUE!</v>
      </c>
      <c r="V318" t="e">
        <f ca="1">IF((A1)=(2),"",IF((314)=(V4),IF(IF((INDEX(B1:XFD1,((A3)+(1))+(0)))=("store"),(INDEX(B1:XFD1,((A3)+(1))+(1)))=("V"),"false"),B3,V318),V318))</f>
        <v>#VALUE!</v>
      </c>
      <c r="W318" t="e">
        <f ca="1">IF((A1)=(2),"",IF((314)=(W4),IF(IF((INDEX(B1:XFD1,((A3)+(1))+(0)))=("store"),(INDEX(B1:XFD1,((A3)+(1))+(1)))=("W"),"false"),B3,W318),W318))</f>
        <v>#VALUE!</v>
      </c>
      <c r="X318" t="e">
        <f ca="1">IF((A1)=(2),"",IF((314)=(X4),IF(IF((INDEX(B1:XFD1,((A3)+(1))+(0)))=("store"),(INDEX(B1:XFD1,((A3)+(1))+(1)))=("X"),"false"),B3,X318),X318))</f>
        <v>#VALUE!</v>
      </c>
      <c r="Y318" t="e">
        <f ca="1">IF((A1)=(2),"",IF((314)=(Y4),IF(IF((INDEX(B1:XFD1,((A3)+(1))+(0)))=("store"),(INDEX(B1:XFD1,((A3)+(1))+(1)))=("Y"),"false"),B3,Y318),Y318))</f>
        <v>#VALUE!</v>
      </c>
      <c r="Z318" t="e">
        <f ca="1">IF((A1)=(2),"",IF((314)=(Z4),IF(IF((INDEX(B1:XFD1,((A3)+(1))+(0)))=("store"),(INDEX(B1:XFD1,((A3)+(1))+(1)))=("Z"),"false"),B3,Z318),Z318))</f>
        <v>#VALUE!</v>
      </c>
      <c r="AA318" t="e">
        <f ca="1">IF((A1)=(2),"",IF((314)=(AA4),IF(IF((INDEX(B1:XFD1,((A3)+(1))+(0)))=("store"),(INDEX(B1:XFD1,((A3)+(1))+(1)))=("AA"),"false"),B3,AA318),AA318))</f>
        <v>#VALUE!</v>
      </c>
      <c r="AB318" t="e">
        <f ca="1">IF((A1)=(2),"",IF((314)=(AB4),IF(IF((INDEX(B1:XFD1,((A3)+(1))+(0)))=("store"),(INDEX(B1:XFD1,((A3)+(1))+(1)))=("AB"),"false"),B3,AB318),AB318))</f>
        <v>#VALUE!</v>
      </c>
      <c r="AC318" t="e">
        <f ca="1">IF((A1)=(2),"",IF((314)=(AC4),IF(IF((INDEX(B1:XFD1,((A3)+(1))+(0)))=("store"),(INDEX(B1:XFD1,((A3)+(1))+(1)))=("AC"),"false"),B3,AC318),AC318))</f>
        <v>#VALUE!</v>
      </c>
      <c r="AD318" t="e">
        <f ca="1">IF((A1)=(2),"",IF((314)=(AD4),IF(IF((INDEX(B1:XFD1,((A3)+(1))+(0)))=("store"),(INDEX(B1:XFD1,((A3)+(1))+(1)))=("AD"),"false"),B3,AD318),AD318))</f>
        <v>#VALUE!</v>
      </c>
    </row>
    <row r="319" spans="1:30" x14ac:dyDescent="0.25">
      <c r="A319" t="e">
        <f ca="1">IF((A1)=(2),"",IF((315)=(A4),IF(("call")=(INDEX(B1:XFD1,((A3)+(1))+(0))),(B3)*(2),IF(("goto")=(INDEX(B1:XFD1,((A3)+(1))+(0))),(INDEX(B1:XFD1,((A3)+(1))+(1)))*(2),IF(("gotoiftrue")=(INDEX(B1:XFD1,((A3)+(1))+(0))),IF(B3,(INDEX(B1:XFD1,((A3)+(1))+(1)))*(2),(A319)+(2)),(A319)+(2)))),A319))</f>
        <v>#VALUE!</v>
      </c>
      <c r="B319" t="e">
        <f ca="1">IF((A1)=(2),"",IF((315)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319)+(1)),IF(("add")=(INDEX(B1:XFD1,((A3)+(1))+(0))),(INDEX(B5:B405,(B4)+(1)))+(B319),IF(("equals")=(INDEX(B1:XFD1,((A3)+(1))+(0))),(INDEX(B5:B405,(B4)+(1)))=(B319),IF(("leq")=(INDEX(B1:XFD1,((A3)+(1))+(0))),(INDEX(B5:B405,(B4)+(1)))&lt;=(B319),IF(("greater")=(INDEX(B1:XFD1,((A3)+(1))+(0))),(INDEX(B5:B405,(B4)+(1)))&gt;(B319),IF(("mod")=(INDEX(B1:XFD1,((A3)+(1))+(0))),MOD(INDEX(B5:B405,(B4)+(1)),B319),B319))))))))),B319))</f>
        <v>#VALUE!</v>
      </c>
      <c r="C319" t="e">
        <f ca="1">IF((A1)=(2),1,IF(AND((INDEX(B1:XFD1,((A3)+(1))+(0)))=("writeheap"),(INDEX(B5:B405,(B4)+(1)))=(314)),INDEX(B5:B405,(B4)+(2)),IF((A1)=(2),"",IF((315)=(C4),C319,C319))))</f>
        <v>#VALUE!</v>
      </c>
      <c r="F319" t="e">
        <f ca="1">IF((A1)=(2),"",IF((315)=(F4),IF(IF((INDEX(B1:XFD1,((A3)+(1))+(0)))=("store"),(INDEX(B1:XFD1,((A3)+(1))+(1)))=("F"),"false"),B3,F319),F319))</f>
        <v>#VALUE!</v>
      </c>
      <c r="G319" t="e">
        <f ca="1">IF((A1)=(2),"",IF((315)=(G4),IF(IF((INDEX(B1:XFD1,((A3)+(1))+(0)))=("store"),(INDEX(B1:XFD1,((A3)+(1))+(1)))=("G"),"false"),B3,G319),G319))</f>
        <v>#VALUE!</v>
      </c>
      <c r="H319" t="e">
        <f ca="1">IF((A1)=(2),"",IF((315)=(H4),IF(IF((INDEX(B1:XFD1,((A3)+(1))+(0)))=("store"),(INDEX(B1:XFD1,((A3)+(1))+(1)))=("H"),"false"),B3,H319),H319))</f>
        <v>#VALUE!</v>
      </c>
      <c r="I319" t="e">
        <f ca="1">IF((A1)=(2),"",IF((315)=(I4),IF(IF((INDEX(B1:XFD1,((A3)+(1))+(0)))=("store"),(INDEX(B1:XFD1,((A3)+(1))+(1)))=("I"),"false"),B3,I319),I319))</f>
        <v>#VALUE!</v>
      </c>
      <c r="J319" t="e">
        <f ca="1">IF((A1)=(2),"",IF((315)=(J4),IF(IF((INDEX(B1:XFD1,((A3)+(1))+(0)))=("store"),(INDEX(B1:XFD1,((A3)+(1))+(1)))=("J"),"false"),B3,J319),J319))</f>
        <v>#VALUE!</v>
      </c>
      <c r="K319" t="e">
        <f ca="1">IF((A1)=(2),"",IF((315)=(K4),IF(IF((INDEX(B1:XFD1,((A3)+(1))+(0)))=("store"),(INDEX(B1:XFD1,((A3)+(1))+(1)))=("K"),"false"),B3,K319),K319))</f>
        <v>#VALUE!</v>
      </c>
      <c r="L319" t="e">
        <f ca="1">IF((A1)=(2),"",IF((315)=(L4),IF(IF((INDEX(B1:XFD1,((A3)+(1))+(0)))=("store"),(INDEX(B1:XFD1,((A3)+(1))+(1)))=("L"),"false"),B3,L319),L319))</f>
        <v>#VALUE!</v>
      </c>
      <c r="M319" t="e">
        <f ca="1">IF((A1)=(2),"",IF((315)=(M4),IF(IF((INDEX(B1:XFD1,((A3)+(1))+(0)))=("store"),(INDEX(B1:XFD1,((A3)+(1))+(1)))=("M"),"false"),B3,M319),M319))</f>
        <v>#VALUE!</v>
      </c>
      <c r="N319" t="e">
        <f ca="1">IF((A1)=(2),"",IF((315)=(N4),IF(IF((INDEX(B1:XFD1,((A3)+(1))+(0)))=("store"),(INDEX(B1:XFD1,((A3)+(1))+(1)))=("N"),"false"),B3,N319),N319))</f>
        <v>#VALUE!</v>
      </c>
      <c r="O319" t="e">
        <f ca="1">IF((A1)=(2),"",IF((315)=(O4),IF(IF((INDEX(B1:XFD1,((A3)+(1))+(0)))=("store"),(INDEX(B1:XFD1,((A3)+(1))+(1)))=("O"),"false"),B3,O319),O319))</f>
        <v>#VALUE!</v>
      </c>
      <c r="P319" t="e">
        <f ca="1">IF((A1)=(2),"",IF((315)=(P4),IF(IF((INDEX(B1:XFD1,((A3)+(1))+(0)))=("store"),(INDEX(B1:XFD1,((A3)+(1))+(1)))=("P"),"false"),B3,P319),P319))</f>
        <v>#VALUE!</v>
      </c>
      <c r="Q319" t="e">
        <f ca="1">IF((A1)=(2),"",IF((315)=(Q4),IF(IF((INDEX(B1:XFD1,((A3)+(1))+(0)))=("store"),(INDEX(B1:XFD1,((A3)+(1))+(1)))=("Q"),"false"),B3,Q319),Q319))</f>
        <v>#VALUE!</v>
      </c>
      <c r="R319" t="e">
        <f ca="1">IF((A1)=(2),"",IF((315)=(R4),IF(IF((INDEX(B1:XFD1,((A3)+(1))+(0)))=("store"),(INDEX(B1:XFD1,((A3)+(1))+(1)))=("R"),"false"),B3,R319),R319))</f>
        <v>#VALUE!</v>
      </c>
      <c r="S319" t="e">
        <f ca="1">IF((A1)=(2),"",IF((315)=(S4),IF(IF((INDEX(B1:XFD1,((A3)+(1))+(0)))=("store"),(INDEX(B1:XFD1,((A3)+(1))+(1)))=("S"),"false"),B3,S319),S319))</f>
        <v>#VALUE!</v>
      </c>
      <c r="T319" t="e">
        <f ca="1">IF((A1)=(2),"",IF((315)=(T4),IF(IF((INDEX(B1:XFD1,((A3)+(1))+(0)))=("store"),(INDEX(B1:XFD1,((A3)+(1))+(1)))=("T"),"false"),B3,T319),T319))</f>
        <v>#VALUE!</v>
      </c>
      <c r="U319" t="e">
        <f ca="1">IF((A1)=(2),"",IF((315)=(U4),IF(IF((INDEX(B1:XFD1,((A3)+(1))+(0)))=("store"),(INDEX(B1:XFD1,((A3)+(1))+(1)))=("U"),"false"),B3,U319),U319))</f>
        <v>#VALUE!</v>
      </c>
      <c r="V319" t="e">
        <f ca="1">IF((A1)=(2),"",IF((315)=(V4),IF(IF((INDEX(B1:XFD1,((A3)+(1))+(0)))=("store"),(INDEX(B1:XFD1,((A3)+(1))+(1)))=("V"),"false"),B3,V319),V319))</f>
        <v>#VALUE!</v>
      </c>
      <c r="W319" t="e">
        <f ca="1">IF((A1)=(2),"",IF((315)=(W4),IF(IF((INDEX(B1:XFD1,((A3)+(1))+(0)))=("store"),(INDEX(B1:XFD1,((A3)+(1))+(1)))=("W"),"false"),B3,W319),W319))</f>
        <v>#VALUE!</v>
      </c>
      <c r="X319" t="e">
        <f ca="1">IF((A1)=(2),"",IF((315)=(X4),IF(IF((INDEX(B1:XFD1,((A3)+(1))+(0)))=("store"),(INDEX(B1:XFD1,((A3)+(1))+(1)))=("X"),"false"),B3,X319),X319))</f>
        <v>#VALUE!</v>
      </c>
      <c r="Y319" t="e">
        <f ca="1">IF((A1)=(2),"",IF((315)=(Y4),IF(IF((INDEX(B1:XFD1,((A3)+(1))+(0)))=("store"),(INDEX(B1:XFD1,((A3)+(1))+(1)))=("Y"),"false"),B3,Y319),Y319))</f>
        <v>#VALUE!</v>
      </c>
      <c r="Z319" t="e">
        <f ca="1">IF((A1)=(2),"",IF((315)=(Z4),IF(IF((INDEX(B1:XFD1,((A3)+(1))+(0)))=("store"),(INDEX(B1:XFD1,((A3)+(1))+(1)))=("Z"),"false"),B3,Z319),Z319))</f>
        <v>#VALUE!</v>
      </c>
      <c r="AA319" t="e">
        <f ca="1">IF((A1)=(2),"",IF((315)=(AA4),IF(IF((INDEX(B1:XFD1,((A3)+(1))+(0)))=("store"),(INDEX(B1:XFD1,((A3)+(1))+(1)))=("AA"),"false"),B3,AA319),AA319))</f>
        <v>#VALUE!</v>
      </c>
      <c r="AB319" t="e">
        <f ca="1">IF((A1)=(2),"",IF((315)=(AB4),IF(IF((INDEX(B1:XFD1,((A3)+(1))+(0)))=("store"),(INDEX(B1:XFD1,((A3)+(1))+(1)))=("AB"),"false"),B3,AB319),AB319))</f>
        <v>#VALUE!</v>
      </c>
      <c r="AC319" t="e">
        <f ca="1">IF((A1)=(2),"",IF((315)=(AC4),IF(IF((INDEX(B1:XFD1,((A3)+(1))+(0)))=("store"),(INDEX(B1:XFD1,((A3)+(1))+(1)))=("AC"),"false"),B3,AC319),AC319))</f>
        <v>#VALUE!</v>
      </c>
      <c r="AD319" t="e">
        <f ca="1">IF((A1)=(2),"",IF((315)=(AD4),IF(IF((INDEX(B1:XFD1,((A3)+(1))+(0)))=("store"),(INDEX(B1:XFD1,((A3)+(1))+(1)))=("AD"),"false"),B3,AD319),AD319))</f>
        <v>#VALUE!</v>
      </c>
    </row>
    <row r="320" spans="1:30" x14ac:dyDescent="0.25">
      <c r="A320" t="e">
        <f ca="1">IF((A1)=(2),"",IF((316)=(A4),IF(("call")=(INDEX(B1:XFD1,((A3)+(1))+(0))),(B3)*(2),IF(("goto")=(INDEX(B1:XFD1,((A3)+(1))+(0))),(INDEX(B1:XFD1,((A3)+(1))+(1)))*(2),IF(("gotoiftrue")=(INDEX(B1:XFD1,((A3)+(1))+(0))),IF(B3,(INDEX(B1:XFD1,((A3)+(1))+(1)))*(2),(A320)+(2)),(A320)+(2)))),A320))</f>
        <v>#VALUE!</v>
      </c>
      <c r="B320" t="e">
        <f ca="1">IF((A1)=(2),"",IF((316)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320)+(1)),IF(("add")=(INDEX(B1:XFD1,((A3)+(1))+(0))),(INDEX(B5:B405,(B4)+(1)))+(B320),IF(("equals")=(INDEX(B1:XFD1,((A3)+(1))+(0))),(INDEX(B5:B405,(B4)+(1)))=(B320),IF(("leq")=(INDEX(B1:XFD1,((A3)+(1))+(0))),(INDEX(B5:B405,(B4)+(1)))&lt;=(B320),IF(("greater")=(INDEX(B1:XFD1,((A3)+(1))+(0))),(INDEX(B5:B405,(B4)+(1)))&gt;(B320),IF(("mod")=(INDEX(B1:XFD1,((A3)+(1))+(0))),MOD(INDEX(B5:B405,(B4)+(1)),B320),B320))))))))),B320))</f>
        <v>#VALUE!</v>
      </c>
      <c r="C320" t="e">
        <f ca="1">IF((A1)=(2),1,IF(AND((INDEX(B1:XFD1,((A3)+(1))+(0)))=("writeheap"),(INDEX(B5:B405,(B4)+(1)))=(315)),INDEX(B5:B405,(B4)+(2)),IF((A1)=(2),"",IF((316)=(C4),C320,C320))))</f>
        <v>#VALUE!</v>
      </c>
      <c r="F320" t="e">
        <f ca="1">IF((A1)=(2),"",IF((316)=(F4),IF(IF((INDEX(B1:XFD1,((A3)+(1))+(0)))=("store"),(INDEX(B1:XFD1,((A3)+(1))+(1)))=("F"),"false"),B3,F320),F320))</f>
        <v>#VALUE!</v>
      </c>
      <c r="G320" t="e">
        <f ca="1">IF((A1)=(2),"",IF((316)=(G4),IF(IF((INDEX(B1:XFD1,((A3)+(1))+(0)))=("store"),(INDEX(B1:XFD1,((A3)+(1))+(1)))=("G"),"false"),B3,G320),G320))</f>
        <v>#VALUE!</v>
      </c>
      <c r="H320" t="e">
        <f ca="1">IF((A1)=(2),"",IF((316)=(H4),IF(IF((INDEX(B1:XFD1,((A3)+(1))+(0)))=("store"),(INDEX(B1:XFD1,((A3)+(1))+(1)))=("H"),"false"),B3,H320),H320))</f>
        <v>#VALUE!</v>
      </c>
      <c r="I320" t="e">
        <f ca="1">IF((A1)=(2),"",IF((316)=(I4),IF(IF((INDEX(B1:XFD1,((A3)+(1))+(0)))=("store"),(INDEX(B1:XFD1,((A3)+(1))+(1)))=("I"),"false"),B3,I320),I320))</f>
        <v>#VALUE!</v>
      </c>
      <c r="J320" t="e">
        <f ca="1">IF((A1)=(2),"",IF((316)=(J4),IF(IF((INDEX(B1:XFD1,((A3)+(1))+(0)))=("store"),(INDEX(B1:XFD1,((A3)+(1))+(1)))=("J"),"false"),B3,J320),J320))</f>
        <v>#VALUE!</v>
      </c>
      <c r="K320" t="e">
        <f ca="1">IF((A1)=(2),"",IF((316)=(K4),IF(IF((INDEX(B1:XFD1,((A3)+(1))+(0)))=("store"),(INDEX(B1:XFD1,((A3)+(1))+(1)))=("K"),"false"),B3,K320),K320))</f>
        <v>#VALUE!</v>
      </c>
      <c r="L320" t="e">
        <f ca="1">IF((A1)=(2),"",IF((316)=(L4),IF(IF((INDEX(B1:XFD1,((A3)+(1))+(0)))=("store"),(INDEX(B1:XFD1,((A3)+(1))+(1)))=("L"),"false"),B3,L320),L320))</f>
        <v>#VALUE!</v>
      </c>
      <c r="M320" t="e">
        <f ca="1">IF((A1)=(2),"",IF((316)=(M4),IF(IF((INDEX(B1:XFD1,((A3)+(1))+(0)))=("store"),(INDEX(B1:XFD1,((A3)+(1))+(1)))=("M"),"false"),B3,M320),M320))</f>
        <v>#VALUE!</v>
      </c>
      <c r="N320" t="e">
        <f ca="1">IF((A1)=(2),"",IF((316)=(N4),IF(IF((INDEX(B1:XFD1,((A3)+(1))+(0)))=("store"),(INDEX(B1:XFD1,((A3)+(1))+(1)))=("N"),"false"),B3,N320),N320))</f>
        <v>#VALUE!</v>
      </c>
      <c r="O320" t="e">
        <f ca="1">IF((A1)=(2),"",IF((316)=(O4),IF(IF((INDEX(B1:XFD1,((A3)+(1))+(0)))=("store"),(INDEX(B1:XFD1,((A3)+(1))+(1)))=("O"),"false"),B3,O320),O320))</f>
        <v>#VALUE!</v>
      </c>
      <c r="P320" t="e">
        <f ca="1">IF((A1)=(2),"",IF((316)=(P4),IF(IF((INDEX(B1:XFD1,((A3)+(1))+(0)))=("store"),(INDEX(B1:XFD1,((A3)+(1))+(1)))=("P"),"false"),B3,P320),P320))</f>
        <v>#VALUE!</v>
      </c>
      <c r="Q320" t="e">
        <f ca="1">IF((A1)=(2),"",IF((316)=(Q4),IF(IF((INDEX(B1:XFD1,((A3)+(1))+(0)))=("store"),(INDEX(B1:XFD1,((A3)+(1))+(1)))=("Q"),"false"),B3,Q320),Q320))</f>
        <v>#VALUE!</v>
      </c>
      <c r="R320" t="e">
        <f ca="1">IF((A1)=(2),"",IF((316)=(R4),IF(IF((INDEX(B1:XFD1,((A3)+(1))+(0)))=("store"),(INDEX(B1:XFD1,((A3)+(1))+(1)))=("R"),"false"),B3,R320),R320))</f>
        <v>#VALUE!</v>
      </c>
      <c r="S320" t="e">
        <f ca="1">IF((A1)=(2),"",IF((316)=(S4),IF(IF((INDEX(B1:XFD1,((A3)+(1))+(0)))=("store"),(INDEX(B1:XFD1,((A3)+(1))+(1)))=("S"),"false"),B3,S320),S320))</f>
        <v>#VALUE!</v>
      </c>
      <c r="T320" t="e">
        <f ca="1">IF((A1)=(2),"",IF((316)=(T4),IF(IF((INDEX(B1:XFD1,((A3)+(1))+(0)))=("store"),(INDEX(B1:XFD1,((A3)+(1))+(1)))=("T"),"false"),B3,T320),T320))</f>
        <v>#VALUE!</v>
      </c>
      <c r="U320" t="e">
        <f ca="1">IF((A1)=(2),"",IF((316)=(U4),IF(IF((INDEX(B1:XFD1,((A3)+(1))+(0)))=("store"),(INDEX(B1:XFD1,((A3)+(1))+(1)))=("U"),"false"),B3,U320),U320))</f>
        <v>#VALUE!</v>
      </c>
      <c r="V320" t="e">
        <f ca="1">IF((A1)=(2),"",IF((316)=(V4),IF(IF((INDEX(B1:XFD1,((A3)+(1))+(0)))=("store"),(INDEX(B1:XFD1,((A3)+(1))+(1)))=("V"),"false"),B3,V320),V320))</f>
        <v>#VALUE!</v>
      </c>
      <c r="W320" t="e">
        <f ca="1">IF((A1)=(2),"",IF((316)=(W4),IF(IF((INDEX(B1:XFD1,((A3)+(1))+(0)))=("store"),(INDEX(B1:XFD1,((A3)+(1))+(1)))=("W"),"false"),B3,W320),W320))</f>
        <v>#VALUE!</v>
      </c>
      <c r="X320" t="e">
        <f ca="1">IF((A1)=(2),"",IF((316)=(X4),IF(IF((INDEX(B1:XFD1,((A3)+(1))+(0)))=("store"),(INDEX(B1:XFD1,((A3)+(1))+(1)))=("X"),"false"),B3,X320),X320))</f>
        <v>#VALUE!</v>
      </c>
      <c r="Y320" t="e">
        <f ca="1">IF((A1)=(2),"",IF((316)=(Y4),IF(IF((INDEX(B1:XFD1,((A3)+(1))+(0)))=("store"),(INDEX(B1:XFD1,((A3)+(1))+(1)))=("Y"),"false"),B3,Y320),Y320))</f>
        <v>#VALUE!</v>
      </c>
      <c r="Z320" t="e">
        <f ca="1">IF((A1)=(2),"",IF((316)=(Z4),IF(IF((INDEX(B1:XFD1,((A3)+(1))+(0)))=("store"),(INDEX(B1:XFD1,((A3)+(1))+(1)))=("Z"),"false"),B3,Z320),Z320))</f>
        <v>#VALUE!</v>
      </c>
      <c r="AA320" t="e">
        <f ca="1">IF((A1)=(2),"",IF((316)=(AA4),IF(IF((INDEX(B1:XFD1,((A3)+(1))+(0)))=("store"),(INDEX(B1:XFD1,((A3)+(1))+(1)))=("AA"),"false"),B3,AA320),AA320))</f>
        <v>#VALUE!</v>
      </c>
      <c r="AB320" t="e">
        <f ca="1">IF((A1)=(2),"",IF((316)=(AB4),IF(IF((INDEX(B1:XFD1,((A3)+(1))+(0)))=("store"),(INDEX(B1:XFD1,((A3)+(1))+(1)))=("AB"),"false"),B3,AB320),AB320))</f>
        <v>#VALUE!</v>
      </c>
      <c r="AC320" t="e">
        <f ca="1">IF((A1)=(2),"",IF((316)=(AC4),IF(IF((INDEX(B1:XFD1,((A3)+(1))+(0)))=("store"),(INDEX(B1:XFD1,((A3)+(1))+(1)))=("AC"),"false"),B3,AC320),AC320))</f>
        <v>#VALUE!</v>
      </c>
      <c r="AD320" t="e">
        <f ca="1">IF((A1)=(2),"",IF((316)=(AD4),IF(IF((INDEX(B1:XFD1,((A3)+(1))+(0)))=("store"),(INDEX(B1:XFD1,((A3)+(1))+(1)))=("AD"),"false"),B3,AD320),AD320))</f>
        <v>#VALUE!</v>
      </c>
    </row>
    <row r="321" spans="1:30" x14ac:dyDescent="0.25">
      <c r="A321" t="e">
        <f ca="1">IF((A1)=(2),"",IF((317)=(A4),IF(("call")=(INDEX(B1:XFD1,((A3)+(1))+(0))),(B3)*(2),IF(("goto")=(INDEX(B1:XFD1,((A3)+(1))+(0))),(INDEX(B1:XFD1,((A3)+(1))+(1)))*(2),IF(("gotoiftrue")=(INDEX(B1:XFD1,((A3)+(1))+(0))),IF(B3,(INDEX(B1:XFD1,((A3)+(1))+(1)))*(2),(A321)+(2)),(A321)+(2)))),A321))</f>
        <v>#VALUE!</v>
      </c>
      <c r="B321" t="e">
        <f ca="1">IF((A1)=(2),"",IF((317)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321)+(1)),IF(("add")=(INDEX(B1:XFD1,((A3)+(1))+(0))),(INDEX(B5:B405,(B4)+(1)))+(B321),IF(("equals")=(INDEX(B1:XFD1,((A3)+(1))+(0))),(INDEX(B5:B405,(B4)+(1)))=(B321),IF(("leq")=(INDEX(B1:XFD1,((A3)+(1))+(0))),(INDEX(B5:B405,(B4)+(1)))&lt;=(B321),IF(("greater")=(INDEX(B1:XFD1,((A3)+(1))+(0))),(INDEX(B5:B405,(B4)+(1)))&gt;(B321),IF(("mod")=(INDEX(B1:XFD1,((A3)+(1))+(0))),MOD(INDEX(B5:B405,(B4)+(1)),B321),B321))))))))),B321))</f>
        <v>#VALUE!</v>
      </c>
      <c r="C321" t="e">
        <f ca="1">IF((A1)=(2),1,IF(AND((INDEX(B1:XFD1,((A3)+(1))+(0)))=("writeheap"),(INDEX(B5:B405,(B4)+(1)))=(316)),INDEX(B5:B405,(B4)+(2)),IF((A1)=(2),"",IF((317)=(C4),C321,C321))))</f>
        <v>#VALUE!</v>
      </c>
      <c r="F321" t="e">
        <f ca="1">IF((A1)=(2),"",IF((317)=(F4),IF(IF((INDEX(B1:XFD1,((A3)+(1))+(0)))=("store"),(INDEX(B1:XFD1,((A3)+(1))+(1)))=("F"),"false"),B3,F321),F321))</f>
        <v>#VALUE!</v>
      </c>
      <c r="G321" t="e">
        <f ca="1">IF((A1)=(2),"",IF((317)=(G4),IF(IF((INDEX(B1:XFD1,((A3)+(1))+(0)))=("store"),(INDEX(B1:XFD1,((A3)+(1))+(1)))=("G"),"false"),B3,G321),G321))</f>
        <v>#VALUE!</v>
      </c>
      <c r="H321" t="e">
        <f ca="1">IF((A1)=(2),"",IF((317)=(H4),IF(IF((INDEX(B1:XFD1,((A3)+(1))+(0)))=("store"),(INDEX(B1:XFD1,((A3)+(1))+(1)))=("H"),"false"),B3,H321),H321))</f>
        <v>#VALUE!</v>
      </c>
      <c r="I321" t="e">
        <f ca="1">IF((A1)=(2),"",IF((317)=(I4),IF(IF((INDEX(B1:XFD1,((A3)+(1))+(0)))=("store"),(INDEX(B1:XFD1,((A3)+(1))+(1)))=("I"),"false"),B3,I321),I321))</f>
        <v>#VALUE!</v>
      </c>
      <c r="J321" t="e">
        <f ca="1">IF((A1)=(2),"",IF((317)=(J4),IF(IF((INDEX(B1:XFD1,((A3)+(1))+(0)))=("store"),(INDEX(B1:XFD1,((A3)+(1))+(1)))=("J"),"false"),B3,J321),J321))</f>
        <v>#VALUE!</v>
      </c>
      <c r="K321" t="e">
        <f ca="1">IF((A1)=(2),"",IF((317)=(K4),IF(IF((INDEX(B1:XFD1,((A3)+(1))+(0)))=("store"),(INDEX(B1:XFD1,((A3)+(1))+(1)))=("K"),"false"),B3,K321),K321))</f>
        <v>#VALUE!</v>
      </c>
      <c r="L321" t="e">
        <f ca="1">IF((A1)=(2),"",IF((317)=(L4),IF(IF((INDEX(B1:XFD1,((A3)+(1))+(0)))=("store"),(INDEX(B1:XFD1,((A3)+(1))+(1)))=("L"),"false"),B3,L321),L321))</f>
        <v>#VALUE!</v>
      </c>
      <c r="M321" t="e">
        <f ca="1">IF((A1)=(2),"",IF((317)=(M4),IF(IF((INDEX(B1:XFD1,((A3)+(1))+(0)))=("store"),(INDEX(B1:XFD1,((A3)+(1))+(1)))=("M"),"false"),B3,M321),M321))</f>
        <v>#VALUE!</v>
      </c>
      <c r="N321" t="e">
        <f ca="1">IF((A1)=(2),"",IF((317)=(N4),IF(IF((INDEX(B1:XFD1,((A3)+(1))+(0)))=("store"),(INDEX(B1:XFD1,((A3)+(1))+(1)))=("N"),"false"),B3,N321),N321))</f>
        <v>#VALUE!</v>
      </c>
      <c r="O321" t="e">
        <f ca="1">IF((A1)=(2),"",IF((317)=(O4),IF(IF((INDEX(B1:XFD1,((A3)+(1))+(0)))=("store"),(INDEX(B1:XFD1,((A3)+(1))+(1)))=("O"),"false"),B3,O321),O321))</f>
        <v>#VALUE!</v>
      </c>
      <c r="P321" t="e">
        <f ca="1">IF((A1)=(2),"",IF((317)=(P4),IF(IF((INDEX(B1:XFD1,((A3)+(1))+(0)))=("store"),(INDEX(B1:XFD1,((A3)+(1))+(1)))=("P"),"false"),B3,P321),P321))</f>
        <v>#VALUE!</v>
      </c>
      <c r="Q321" t="e">
        <f ca="1">IF((A1)=(2),"",IF((317)=(Q4),IF(IF((INDEX(B1:XFD1,((A3)+(1))+(0)))=("store"),(INDEX(B1:XFD1,((A3)+(1))+(1)))=("Q"),"false"),B3,Q321),Q321))</f>
        <v>#VALUE!</v>
      </c>
      <c r="R321" t="e">
        <f ca="1">IF((A1)=(2),"",IF((317)=(R4),IF(IF((INDEX(B1:XFD1,((A3)+(1))+(0)))=("store"),(INDEX(B1:XFD1,((A3)+(1))+(1)))=("R"),"false"),B3,R321),R321))</f>
        <v>#VALUE!</v>
      </c>
      <c r="S321" t="e">
        <f ca="1">IF((A1)=(2),"",IF((317)=(S4),IF(IF((INDEX(B1:XFD1,((A3)+(1))+(0)))=("store"),(INDEX(B1:XFD1,((A3)+(1))+(1)))=("S"),"false"),B3,S321),S321))</f>
        <v>#VALUE!</v>
      </c>
      <c r="T321" t="e">
        <f ca="1">IF((A1)=(2),"",IF((317)=(T4),IF(IF((INDEX(B1:XFD1,((A3)+(1))+(0)))=("store"),(INDEX(B1:XFD1,((A3)+(1))+(1)))=("T"),"false"),B3,T321),T321))</f>
        <v>#VALUE!</v>
      </c>
      <c r="U321" t="e">
        <f ca="1">IF((A1)=(2),"",IF((317)=(U4),IF(IF((INDEX(B1:XFD1,((A3)+(1))+(0)))=("store"),(INDEX(B1:XFD1,((A3)+(1))+(1)))=("U"),"false"),B3,U321),U321))</f>
        <v>#VALUE!</v>
      </c>
      <c r="V321" t="e">
        <f ca="1">IF((A1)=(2),"",IF((317)=(V4),IF(IF((INDEX(B1:XFD1,((A3)+(1))+(0)))=("store"),(INDEX(B1:XFD1,((A3)+(1))+(1)))=("V"),"false"),B3,V321),V321))</f>
        <v>#VALUE!</v>
      </c>
      <c r="W321" t="e">
        <f ca="1">IF((A1)=(2),"",IF((317)=(W4),IF(IF((INDEX(B1:XFD1,((A3)+(1))+(0)))=("store"),(INDEX(B1:XFD1,((A3)+(1))+(1)))=("W"),"false"),B3,W321),W321))</f>
        <v>#VALUE!</v>
      </c>
      <c r="X321" t="e">
        <f ca="1">IF((A1)=(2),"",IF((317)=(X4),IF(IF((INDEX(B1:XFD1,((A3)+(1))+(0)))=("store"),(INDEX(B1:XFD1,((A3)+(1))+(1)))=("X"),"false"),B3,X321),X321))</f>
        <v>#VALUE!</v>
      </c>
      <c r="Y321" t="e">
        <f ca="1">IF((A1)=(2),"",IF((317)=(Y4),IF(IF((INDEX(B1:XFD1,((A3)+(1))+(0)))=("store"),(INDEX(B1:XFD1,((A3)+(1))+(1)))=("Y"),"false"),B3,Y321),Y321))</f>
        <v>#VALUE!</v>
      </c>
      <c r="Z321" t="e">
        <f ca="1">IF((A1)=(2),"",IF((317)=(Z4),IF(IF((INDEX(B1:XFD1,((A3)+(1))+(0)))=("store"),(INDEX(B1:XFD1,((A3)+(1))+(1)))=("Z"),"false"),B3,Z321),Z321))</f>
        <v>#VALUE!</v>
      </c>
      <c r="AA321" t="e">
        <f ca="1">IF((A1)=(2),"",IF((317)=(AA4),IF(IF((INDEX(B1:XFD1,((A3)+(1))+(0)))=("store"),(INDEX(B1:XFD1,((A3)+(1))+(1)))=("AA"),"false"),B3,AA321),AA321))</f>
        <v>#VALUE!</v>
      </c>
      <c r="AB321" t="e">
        <f ca="1">IF((A1)=(2),"",IF((317)=(AB4),IF(IF((INDEX(B1:XFD1,((A3)+(1))+(0)))=("store"),(INDEX(B1:XFD1,((A3)+(1))+(1)))=("AB"),"false"),B3,AB321),AB321))</f>
        <v>#VALUE!</v>
      </c>
      <c r="AC321" t="e">
        <f ca="1">IF((A1)=(2),"",IF((317)=(AC4),IF(IF((INDEX(B1:XFD1,((A3)+(1))+(0)))=("store"),(INDEX(B1:XFD1,((A3)+(1))+(1)))=("AC"),"false"),B3,AC321),AC321))</f>
        <v>#VALUE!</v>
      </c>
      <c r="AD321" t="e">
        <f ca="1">IF((A1)=(2),"",IF((317)=(AD4),IF(IF((INDEX(B1:XFD1,((A3)+(1))+(0)))=("store"),(INDEX(B1:XFD1,((A3)+(1))+(1)))=("AD"),"false"),B3,AD321),AD321))</f>
        <v>#VALUE!</v>
      </c>
    </row>
    <row r="322" spans="1:30" x14ac:dyDescent="0.25">
      <c r="A322" t="e">
        <f ca="1">IF((A1)=(2),"",IF((318)=(A4),IF(("call")=(INDEX(B1:XFD1,((A3)+(1))+(0))),(B3)*(2),IF(("goto")=(INDEX(B1:XFD1,((A3)+(1))+(0))),(INDEX(B1:XFD1,((A3)+(1))+(1)))*(2),IF(("gotoiftrue")=(INDEX(B1:XFD1,((A3)+(1))+(0))),IF(B3,(INDEX(B1:XFD1,((A3)+(1))+(1)))*(2),(A322)+(2)),(A322)+(2)))),A322))</f>
        <v>#VALUE!</v>
      </c>
      <c r="B322" t="e">
        <f ca="1">IF((A1)=(2),"",IF((318)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322)+(1)),IF(("add")=(INDEX(B1:XFD1,((A3)+(1))+(0))),(INDEX(B5:B405,(B4)+(1)))+(B322),IF(("equals")=(INDEX(B1:XFD1,((A3)+(1))+(0))),(INDEX(B5:B405,(B4)+(1)))=(B322),IF(("leq")=(INDEX(B1:XFD1,((A3)+(1))+(0))),(INDEX(B5:B405,(B4)+(1)))&lt;=(B322),IF(("greater")=(INDEX(B1:XFD1,((A3)+(1))+(0))),(INDEX(B5:B405,(B4)+(1)))&gt;(B322),IF(("mod")=(INDEX(B1:XFD1,((A3)+(1))+(0))),MOD(INDEX(B5:B405,(B4)+(1)),B322),B322))))))))),B322))</f>
        <v>#VALUE!</v>
      </c>
      <c r="C322" t="e">
        <f ca="1">IF((A1)=(2),1,IF(AND((INDEX(B1:XFD1,((A3)+(1))+(0)))=("writeheap"),(INDEX(B5:B405,(B4)+(1)))=(317)),INDEX(B5:B405,(B4)+(2)),IF((A1)=(2),"",IF((318)=(C4),C322,C322))))</f>
        <v>#VALUE!</v>
      </c>
      <c r="F322" t="e">
        <f ca="1">IF((A1)=(2),"",IF((318)=(F4),IF(IF((INDEX(B1:XFD1,((A3)+(1))+(0)))=("store"),(INDEX(B1:XFD1,((A3)+(1))+(1)))=("F"),"false"),B3,F322),F322))</f>
        <v>#VALUE!</v>
      </c>
      <c r="G322" t="e">
        <f ca="1">IF((A1)=(2),"",IF((318)=(G4),IF(IF((INDEX(B1:XFD1,((A3)+(1))+(0)))=("store"),(INDEX(B1:XFD1,((A3)+(1))+(1)))=("G"),"false"),B3,G322),G322))</f>
        <v>#VALUE!</v>
      </c>
      <c r="H322" t="e">
        <f ca="1">IF((A1)=(2),"",IF((318)=(H4),IF(IF((INDEX(B1:XFD1,((A3)+(1))+(0)))=("store"),(INDEX(B1:XFD1,((A3)+(1))+(1)))=("H"),"false"),B3,H322),H322))</f>
        <v>#VALUE!</v>
      </c>
      <c r="I322" t="e">
        <f ca="1">IF((A1)=(2),"",IF((318)=(I4),IF(IF((INDEX(B1:XFD1,((A3)+(1))+(0)))=("store"),(INDEX(B1:XFD1,((A3)+(1))+(1)))=("I"),"false"),B3,I322),I322))</f>
        <v>#VALUE!</v>
      </c>
      <c r="J322" t="e">
        <f ca="1">IF((A1)=(2),"",IF((318)=(J4),IF(IF((INDEX(B1:XFD1,((A3)+(1))+(0)))=("store"),(INDEX(B1:XFD1,((A3)+(1))+(1)))=("J"),"false"),B3,J322),J322))</f>
        <v>#VALUE!</v>
      </c>
      <c r="K322" t="e">
        <f ca="1">IF((A1)=(2),"",IF((318)=(K4),IF(IF((INDEX(B1:XFD1,((A3)+(1))+(0)))=("store"),(INDEX(B1:XFD1,((A3)+(1))+(1)))=("K"),"false"),B3,K322),K322))</f>
        <v>#VALUE!</v>
      </c>
      <c r="L322" t="e">
        <f ca="1">IF((A1)=(2),"",IF((318)=(L4),IF(IF((INDEX(B1:XFD1,((A3)+(1))+(0)))=("store"),(INDEX(B1:XFD1,((A3)+(1))+(1)))=("L"),"false"),B3,L322),L322))</f>
        <v>#VALUE!</v>
      </c>
      <c r="M322" t="e">
        <f ca="1">IF((A1)=(2),"",IF((318)=(M4),IF(IF((INDEX(B1:XFD1,((A3)+(1))+(0)))=("store"),(INDEX(B1:XFD1,((A3)+(1))+(1)))=("M"),"false"),B3,M322),M322))</f>
        <v>#VALUE!</v>
      </c>
      <c r="N322" t="e">
        <f ca="1">IF((A1)=(2),"",IF((318)=(N4),IF(IF((INDEX(B1:XFD1,((A3)+(1))+(0)))=("store"),(INDEX(B1:XFD1,((A3)+(1))+(1)))=("N"),"false"),B3,N322),N322))</f>
        <v>#VALUE!</v>
      </c>
      <c r="O322" t="e">
        <f ca="1">IF((A1)=(2),"",IF((318)=(O4),IF(IF((INDEX(B1:XFD1,((A3)+(1))+(0)))=("store"),(INDEX(B1:XFD1,((A3)+(1))+(1)))=("O"),"false"),B3,O322),O322))</f>
        <v>#VALUE!</v>
      </c>
      <c r="P322" t="e">
        <f ca="1">IF((A1)=(2),"",IF((318)=(P4),IF(IF((INDEX(B1:XFD1,((A3)+(1))+(0)))=("store"),(INDEX(B1:XFD1,((A3)+(1))+(1)))=("P"),"false"),B3,P322),P322))</f>
        <v>#VALUE!</v>
      </c>
      <c r="Q322" t="e">
        <f ca="1">IF((A1)=(2),"",IF((318)=(Q4),IF(IF((INDEX(B1:XFD1,((A3)+(1))+(0)))=("store"),(INDEX(B1:XFD1,((A3)+(1))+(1)))=("Q"),"false"),B3,Q322),Q322))</f>
        <v>#VALUE!</v>
      </c>
      <c r="R322" t="e">
        <f ca="1">IF((A1)=(2),"",IF((318)=(R4),IF(IF((INDEX(B1:XFD1,((A3)+(1))+(0)))=("store"),(INDEX(B1:XFD1,((A3)+(1))+(1)))=("R"),"false"),B3,R322),R322))</f>
        <v>#VALUE!</v>
      </c>
      <c r="S322" t="e">
        <f ca="1">IF((A1)=(2),"",IF((318)=(S4),IF(IF((INDEX(B1:XFD1,((A3)+(1))+(0)))=("store"),(INDEX(B1:XFD1,((A3)+(1))+(1)))=("S"),"false"),B3,S322),S322))</f>
        <v>#VALUE!</v>
      </c>
      <c r="T322" t="e">
        <f ca="1">IF((A1)=(2),"",IF((318)=(T4),IF(IF((INDEX(B1:XFD1,((A3)+(1))+(0)))=("store"),(INDEX(B1:XFD1,((A3)+(1))+(1)))=("T"),"false"),B3,T322),T322))</f>
        <v>#VALUE!</v>
      </c>
      <c r="U322" t="e">
        <f ca="1">IF((A1)=(2),"",IF((318)=(U4),IF(IF((INDEX(B1:XFD1,((A3)+(1))+(0)))=("store"),(INDEX(B1:XFD1,((A3)+(1))+(1)))=("U"),"false"),B3,U322),U322))</f>
        <v>#VALUE!</v>
      </c>
      <c r="V322" t="e">
        <f ca="1">IF((A1)=(2),"",IF((318)=(V4),IF(IF((INDEX(B1:XFD1,((A3)+(1))+(0)))=("store"),(INDEX(B1:XFD1,((A3)+(1))+(1)))=("V"),"false"),B3,V322),V322))</f>
        <v>#VALUE!</v>
      </c>
      <c r="W322" t="e">
        <f ca="1">IF((A1)=(2),"",IF((318)=(W4),IF(IF((INDEX(B1:XFD1,((A3)+(1))+(0)))=("store"),(INDEX(B1:XFD1,((A3)+(1))+(1)))=("W"),"false"),B3,W322),W322))</f>
        <v>#VALUE!</v>
      </c>
      <c r="X322" t="e">
        <f ca="1">IF((A1)=(2),"",IF((318)=(X4),IF(IF((INDEX(B1:XFD1,((A3)+(1))+(0)))=("store"),(INDEX(B1:XFD1,((A3)+(1))+(1)))=("X"),"false"),B3,X322),X322))</f>
        <v>#VALUE!</v>
      </c>
      <c r="Y322" t="e">
        <f ca="1">IF((A1)=(2),"",IF((318)=(Y4),IF(IF((INDEX(B1:XFD1,((A3)+(1))+(0)))=("store"),(INDEX(B1:XFD1,((A3)+(1))+(1)))=("Y"),"false"),B3,Y322),Y322))</f>
        <v>#VALUE!</v>
      </c>
      <c r="Z322" t="e">
        <f ca="1">IF((A1)=(2),"",IF((318)=(Z4),IF(IF((INDEX(B1:XFD1,((A3)+(1))+(0)))=("store"),(INDEX(B1:XFD1,((A3)+(1))+(1)))=("Z"),"false"),B3,Z322),Z322))</f>
        <v>#VALUE!</v>
      </c>
      <c r="AA322" t="e">
        <f ca="1">IF((A1)=(2),"",IF((318)=(AA4),IF(IF((INDEX(B1:XFD1,((A3)+(1))+(0)))=("store"),(INDEX(B1:XFD1,((A3)+(1))+(1)))=("AA"),"false"),B3,AA322),AA322))</f>
        <v>#VALUE!</v>
      </c>
      <c r="AB322" t="e">
        <f ca="1">IF((A1)=(2),"",IF((318)=(AB4),IF(IF((INDEX(B1:XFD1,((A3)+(1))+(0)))=("store"),(INDEX(B1:XFD1,((A3)+(1))+(1)))=("AB"),"false"),B3,AB322),AB322))</f>
        <v>#VALUE!</v>
      </c>
      <c r="AC322" t="e">
        <f ca="1">IF((A1)=(2),"",IF((318)=(AC4),IF(IF((INDEX(B1:XFD1,((A3)+(1))+(0)))=("store"),(INDEX(B1:XFD1,((A3)+(1))+(1)))=("AC"),"false"),B3,AC322),AC322))</f>
        <v>#VALUE!</v>
      </c>
      <c r="AD322" t="e">
        <f ca="1">IF((A1)=(2),"",IF((318)=(AD4),IF(IF((INDEX(B1:XFD1,((A3)+(1))+(0)))=("store"),(INDEX(B1:XFD1,((A3)+(1))+(1)))=("AD"),"false"),B3,AD322),AD322))</f>
        <v>#VALUE!</v>
      </c>
    </row>
    <row r="323" spans="1:30" x14ac:dyDescent="0.25">
      <c r="A323" t="e">
        <f ca="1">IF((A1)=(2),"",IF((319)=(A4),IF(("call")=(INDEX(B1:XFD1,((A3)+(1))+(0))),(B3)*(2),IF(("goto")=(INDEX(B1:XFD1,((A3)+(1))+(0))),(INDEX(B1:XFD1,((A3)+(1))+(1)))*(2),IF(("gotoiftrue")=(INDEX(B1:XFD1,((A3)+(1))+(0))),IF(B3,(INDEX(B1:XFD1,((A3)+(1))+(1)))*(2),(A323)+(2)),(A323)+(2)))),A323))</f>
        <v>#VALUE!</v>
      </c>
      <c r="B323" t="e">
        <f ca="1">IF((A1)=(2),"",IF((319)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323)+(1)),IF(("add")=(INDEX(B1:XFD1,((A3)+(1))+(0))),(INDEX(B5:B405,(B4)+(1)))+(B323),IF(("equals")=(INDEX(B1:XFD1,((A3)+(1))+(0))),(INDEX(B5:B405,(B4)+(1)))=(B323),IF(("leq")=(INDEX(B1:XFD1,((A3)+(1))+(0))),(INDEX(B5:B405,(B4)+(1)))&lt;=(B323),IF(("greater")=(INDEX(B1:XFD1,((A3)+(1))+(0))),(INDEX(B5:B405,(B4)+(1)))&gt;(B323),IF(("mod")=(INDEX(B1:XFD1,((A3)+(1))+(0))),MOD(INDEX(B5:B405,(B4)+(1)),B323),B323))))))))),B323))</f>
        <v>#VALUE!</v>
      </c>
      <c r="C323" t="e">
        <f ca="1">IF((A1)=(2),1,IF(AND((INDEX(B1:XFD1,((A3)+(1))+(0)))=("writeheap"),(INDEX(B5:B405,(B4)+(1)))=(318)),INDEX(B5:B405,(B4)+(2)),IF((A1)=(2),"",IF((319)=(C4),C323,C323))))</f>
        <v>#VALUE!</v>
      </c>
      <c r="F323" t="e">
        <f ca="1">IF((A1)=(2),"",IF((319)=(F4),IF(IF((INDEX(B1:XFD1,((A3)+(1))+(0)))=("store"),(INDEX(B1:XFD1,((A3)+(1))+(1)))=("F"),"false"),B3,F323),F323))</f>
        <v>#VALUE!</v>
      </c>
      <c r="G323" t="e">
        <f ca="1">IF((A1)=(2),"",IF((319)=(G4),IF(IF((INDEX(B1:XFD1,((A3)+(1))+(0)))=("store"),(INDEX(B1:XFD1,((A3)+(1))+(1)))=("G"),"false"),B3,G323),G323))</f>
        <v>#VALUE!</v>
      </c>
      <c r="H323" t="e">
        <f ca="1">IF((A1)=(2),"",IF((319)=(H4),IF(IF((INDEX(B1:XFD1,((A3)+(1))+(0)))=("store"),(INDEX(B1:XFD1,((A3)+(1))+(1)))=("H"),"false"),B3,H323),H323))</f>
        <v>#VALUE!</v>
      </c>
      <c r="I323" t="e">
        <f ca="1">IF((A1)=(2),"",IF((319)=(I4),IF(IF((INDEX(B1:XFD1,((A3)+(1))+(0)))=("store"),(INDEX(B1:XFD1,((A3)+(1))+(1)))=("I"),"false"),B3,I323),I323))</f>
        <v>#VALUE!</v>
      </c>
      <c r="J323" t="e">
        <f ca="1">IF((A1)=(2),"",IF((319)=(J4),IF(IF((INDEX(B1:XFD1,((A3)+(1))+(0)))=("store"),(INDEX(B1:XFD1,((A3)+(1))+(1)))=("J"),"false"),B3,J323),J323))</f>
        <v>#VALUE!</v>
      </c>
      <c r="K323" t="e">
        <f ca="1">IF((A1)=(2),"",IF((319)=(K4),IF(IF((INDEX(B1:XFD1,((A3)+(1))+(0)))=("store"),(INDEX(B1:XFD1,((A3)+(1))+(1)))=("K"),"false"),B3,K323),K323))</f>
        <v>#VALUE!</v>
      </c>
      <c r="L323" t="e">
        <f ca="1">IF((A1)=(2),"",IF((319)=(L4),IF(IF((INDEX(B1:XFD1,((A3)+(1))+(0)))=("store"),(INDEX(B1:XFD1,((A3)+(1))+(1)))=("L"),"false"),B3,L323),L323))</f>
        <v>#VALUE!</v>
      </c>
      <c r="M323" t="e">
        <f ca="1">IF((A1)=(2),"",IF((319)=(M4),IF(IF((INDEX(B1:XFD1,((A3)+(1))+(0)))=("store"),(INDEX(B1:XFD1,((A3)+(1))+(1)))=("M"),"false"),B3,M323),M323))</f>
        <v>#VALUE!</v>
      </c>
      <c r="N323" t="e">
        <f ca="1">IF((A1)=(2),"",IF((319)=(N4),IF(IF((INDEX(B1:XFD1,((A3)+(1))+(0)))=("store"),(INDEX(B1:XFD1,((A3)+(1))+(1)))=("N"),"false"),B3,N323),N323))</f>
        <v>#VALUE!</v>
      </c>
      <c r="O323" t="e">
        <f ca="1">IF((A1)=(2),"",IF((319)=(O4),IF(IF((INDEX(B1:XFD1,((A3)+(1))+(0)))=("store"),(INDEX(B1:XFD1,((A3)+(1))+(1)))=("O"),"false"),B3,O323),O323))</f>
        <v>#VALUE!</v>
      </c>
      <c r="P323" t="e">
        <f ca="1">IF((A1)=(2),"",IF((319)=(P4),IF(IF((INDEX(B1:XFD1,((A3)+(1))+(0)))=("store"),(INDEX(B1:XFD1,((A3)+(1))+(1)))=("P"),"false"),B3,P323),P323))</f>
        <v>#VALUE!</v>
      </c>
      <c r="Q323" t="e">
        <f ca="1">IF((A1)=(2),"",IF((319)=(Q4),IF(IF((INDEX(B1:XFD1,((A3)+(1))+(0)))=("store"),(INDEX(B1:XFD1,((A3)+(1))+(1)))=("Q"),"false"),B3,Q323),Q323))</f>
        <v>#VALUE!</v>
      </c>
      <c r="R323" t="e">
        <f ca="1">IF((A1)=(2),"",IF((319)=(R4),IF(IF((INDEX(B1:XFD1,((A3)+(1))+(0)))=("store"),(INDEX(B1:XFD1,((A3)+(1))+(1)))=("R"),"false"),B3,R323),R323))</f>
        <v>#VALUE!</v>
      </c>
      <c r="S323" t="e">
        <f ca="1">IF((A1)=(2),"",IF((319)=(S4),IF(IF((INDEX(B1:XFD1,((A3)+(1))+(0)))=("store"),(INDEX(B1:XFD1,((A3)+(1))+(1)))=("S"),"false"),B3,S323),S323))</f>
        <v>#VALUE!</v>
      </c>
      <c r="T323" t="e">
        <f ca="1">IF((A1)=(2),"",IF((319)=(T4),IF(IF((INDEX(B1:XFD1,((A3)+(1))+(0)))=("store"),(INDEX(B1:XFD1,((A3)+(1))+(1)))=("T"),"false"),B3,T323),T323))</f>
        <v>#VALUE!</v>
      </c>
      <c r="U323" t="e">
        <f ca="1">IF((A1)=(2),"",IF((319)=(U4),IF(IF((INDEX(B1:XFD1,((A3)+(1))+(0)))=("store"),(INDEX(B1:XFD1,((A3)+(1))+(1)))=("U"),"false"),B3,U323),U323))</f>
        <v>#VALUE!</v>
      </c>
      <c r="V323" t="e">
        <f ca="1">IF((A1)=(2),"",IF((319)=(V4),IF(IF((INDEX(B1:XFD1,((A3)+(1))+(0)))=("store"),(INDEX(B1:XFD1,((A3)+(1))+(1)))=("V"),"false"),B3,V323),V323))</f>
        <v>#VALUE!</v>
      </c>
      <c r="W323" t="e">
        <f ca="1">IF((A1)=(2),"",IF((319)=(W4),IF(IF((INDEX(B1:XFD1,((A3)+(1))+(0)))=("store"),(INDEX(B1:XFD1,((A3)+(1))+(1)))=("W"),"false"),B3,W323),W323))</f>
        <v>#VALUE!</v>
      </c>
      <c r="X323" t="e">
        <f ca="1">IF((A1)=(2),"",IF((319)=(X4),IF(IF((INDEX(B1:XFD1,((A3)+(1))+(0)))=("store"),(INDEX(B1:XFD1,((A3)+(1))+(1)))=("X"),"false"),B3,X323),X323))</f>
        <v>#VALUE!</v>
      </c>
      <c r="Y323" t="e">
        <f ca="1">IF((A1)=(2),"",IF((319)=(Y4),IF(IF((INDEX(B1:XFD1,((A3)+(1))+(0)))=("store"),(INDEX(B1:XFD1,((A3)+(1))+(1)))=("Y"),"false"),B3,Y323),Y323))</f>
        <v>#VALUE!</v>
      </c>
      <c r="Z323" t="e">
        <f ca="1">IF((A1)=(2),"",IF((319)=(Z4),IF(IF((INDEX(B1:XFD1,((A3)+(1))+(0)))=("store"),(INDEX(B1:XFD1,((A3)+(1))+(1)))=("Z"),"false"),B3,Z323),Z323))</f>
        <v>#VALUE!</v>
      </c>
      <c r="AA323" t="e">
        <f ca="1">IF((A1)=(2),"",IF((319)=(AA4),IF(IF((INDEX(B1:XFD1,((A3)+(1))+(0)))=("store"),(INDEX(B1:XFD1,((A3)+(1))+(1)))=("AA"),"false"),B3,AA323),AA323))</f>
        <v>#VALUE!</v>
      </c>
      <c r="AB323" t="e">
        <f ca="1">IF((A1)=(2),"",IF((319)=(AB4),IF(IF((INDEX(B1:XFD1,((A3)+(1))+(0)))=("store"),(INDEX(B1:XFD1,((A3)+(1))+(1)))=("AB"),"false"),B3,AB323),AB323))</f>
        <v>#VALUE!</v>
      </c>
      <c r="AC323" t="e">
        <f ca="1">IF((A1)=(2),"",IF((319)=(AC4),IF(IF((INDEX(B1:XFD1,((A3)+(1))+(0)))=("store"),(INDEX(B1:XFD1,((A3)+(1))+(1)))=("AC"),"false"),B3,AC323),AC323))</f>
        <v>#VALUE!</v>
      </c>
      <c r="AD323" t="e">
        <f ca="1">IF((A1)=(2),"",IF((319)=(AD4),IF(IF((INDEX(B1:XFD1,((A3)+(1))+(0)))=("store"),(INDEX(B1:XFD1,((A3)+(1))+(1)))=("AD"),"false"),B3,AD323),AD323))</f>
        <v>#VALUE!</v>
      </c>
    </row>
    <row r="324" spans="1:30" x14ac:dyDescent="0.25">
      <c r="A324" t="e">
        <f ca="1">IF((A1)=(2),"",IF((320)=(A4),IF(("call")=(INDEX(B1:XFD1,((A3)+(1))+(0))),(B3)*(2),IF(("goto")=(INDEX(B1:XFD1,((A3)+(1))+(0))),(INDEX(B1:XFD1,((A3)+(1))+(1)))*(2),IF(("gotoiftrue")=(INDEX(B1:XFD1,((A3)+(1))+(0))),IF(B3,(INDEX(B1:XFD1,((A3)+(1))+(1)))*(2),(A324)+(2)),(A324)+(2)))),A324))</f>
        <v>#VALUE!</v>
      </c>
      <c r="B324" t="e">
        <f ca="1">IF((A1)=(2),"",IF((320)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324)+(1)),IF(("add")=(INDEX(B1:XFD1,((A3)+(1))+(0))),(INDEX(B5:B405,(B4)+(1)))+(B324),IF(("equals")=(INDEX(B1:XFD1,((A3)+(1))+(0))),(INDEX(B5:B405,(B4)+(1)))=(B324),IF(("leq")=(INDEX(B1:XFD1,((A3)+(1))+(0))),(INDEX(B5:B405,(B4)+(1)))&lt;=(B324),IF(("greater")=(INDEX(B1:XFD1,((A3)+(1))+(0))),(INDEX(B5:B405,(B4)+(1)))&gt;(B324),IF(("mod")=(INDEX(B1:XFD1,((A3)+(1))+(0))),MOD(INDEX(B5:B405,(B4)+(1)),B324),B324))))))))),B324))</f>
        <v>#VALUE!</v>
      </c>
      <c r="C324" t="e">
        <f ca="1">IF((A1)=(2),1,IF(AND((INDEX(B1:XFD1,((A3)+(1))+(0)))=("writeheap"),(INDEX(B5:B405,(B4)+(1)))=(319)),INDEX(B5:B405,(B4)+(2)),IF((A1)=(2),"",IF((320)=(C4),C324,C324))))</f>
        <v>#VALUE!</v>
      </c>
      <c r="F324" t="e">
        <f ca="1">IF((A1)=(2),"",IF((320)=(F4),IF(IF((INDEX(B1:XFD1,((A3)+(1))+(0)))=("store"),(INDEX(B1:XFD1,((A3)+(1))+(1)))=("F"),"false"),B3,F324),F324))</f>
        <v>#VALUE!</v>
      </c>
      <c r="G324" t="e">
        <f ca="1">IF((A1)=(2),"",IF((320)=(G4),IF(IF((INDEX(B1:XFD1,((A3)+(1))+(0)))=("store"),(INDEX(B1:XFD1,((A3)+(1))+(1)))=("G"),"false"),B3,G324),G324))</f>
        <v>#VALUE!</v>
      </c>
      <c r="H324" t="e">
        <f ca="1">IF((A1)=(2),"",IF((320)=(H4),IF(IF((INDEX(B1:XFD1,((A3)+(1))+(0)))=("store"),(INDEX(B1:XFD1,((A3)+(1))+(1)))=("H"),"false"),B3,H324),H324))</f>
        <v>#VALUE!</v>
      </c>
      <c r="I324" t="e">
        <f ca="1">IF((A1)=(2),"",IF((320)=(I4),IF(IF((INDEX(B1:XFD1,((A3)+(1))+(0)))=("store"),(INDEX(B1:XFD1,((A3)+(1))+(1)))=("I"),"false"),B3,I324),I324))</f>
        <v>#VALUE!</v>
      </c>
      <c r="J324" t="e">
        <f ca="1">IF((A1)=(2),"",IF((320)=(J4),IF(IF((INDEX(B1:XFD1,((A3)+(1))+(0)))=("store"),(INDEX(B1:XFD1,((A3)+(1))+(1)))=("J"),"false"),B3,J324),J324))</f>
        <v>#VALUE!</v>
      </c>
      <c r="K324" t="e">
        <f ca="1">IF((A1)=(2),"",IF((320)=(K4),IF(IF((INDEX(B1:XFD1,((A3)+(1))+(0)))=("store"),(INDEX(B1:XFD1,((A3)+(1))+(1)))=("K"),"false"),B3,K324),K324))</f>
        <v>#VALUE!</v>
      </c>
      <c r="L324" t="e">
        <f ca="1">IF((A1)=(2),"",IF((320)=(L4),IF(IF((INDEX(B1:XFD1,((A3)+(1))+(0)))=("store"),(INDEX(B1:XFD1,((A3)+(1))+(1)))=("L"),"false"),B3,L324),L324))</f>
        <v>#VALUE!</v>
      </c>
      <c r="M324" t="e">
        <f ca="1">IF((A1)=(2),"",IF((320)=(M4),IF(IF((INDEX(B1:XFD1,((A3)+(1))+(0)))=("store"),(INDEX(B1:XFD1,((A3)+(1))+(1)))=("M"),"false"),B3,M324),M324))</f>
        <v>#VALUE!</v>
      </c>
      <c r="N324" t="e">
        <f ca="1">IF((A1)=(2),"",IF((320)=(N4),IF(IF((INDEX(B1:XFD1,((A3)+(1))+(0)))=("store"),(INDEX(B1:XFD1,((A3)+(1))+(1)))=("N"),"false"),B3,N324),N324))</f>
        <v>#VALUE!</v>
      </c>
      <c r="O324" t="e">
        <f ca="1">IF((A1)=(2),"",IF((320)=(O4),IF(IF((INDEX(B1:XFD1,((A3)+(1))+(0)))=("store"),(INDEX(B1:XFD1,((A3)+(1))+(1)))=("O"),"false"),B3,O324),O324))</f>
        <v>#VALUE!</v>
      </c>
      <c r="P324" t="e">
        <f ca="1">IF((A1)=(2),"",IF((320)=(P4),IF(IF((INDEX(B1:XFD1,((A3)+(1))+(0)))=("store"),(INDEX(B1:XFD1,((A3)+(1))+(1)))=("P"),"false"),B3,P324),P324))</f>
        <v>#VALUE!</v>
      </c>
      <c r="Q324" t="e">
        <f ca="1">IF((A1)=(2),"",IF((320)=(Q4),IF(IF((INDEX(B1:XFD1,((A3)+(1))+(0)))=("store"),(INDEX(B1:XFD1,((A3)+(1))+(1)))=("Q"),"false"),B3,Q324),Q324))</f>
        <v>#VALUE!</v>
      </c>
      <c r="R324" t="e">
        <f ca="1">IF((A1)=(2),"",IF((320)=(R4),IF(IF((INDEX(B1:XFD1,((A3)+(1))+(0)))=("store"),(INDEX(B1:XFD1,((A3)+(1))+(1)))=("R"),"false"),B3,R324),R324))</f>
        <v>#VALUE!</v>
      </c>
      <c r="S324" t="e">
        <f ca="1">IF((A1)=(2),"",IF((320)=(S4),IF(IF((INDEX(B1:XFD1,((A3)+(1))+(0)))=("store"),(INDEX(B1:XFD1,((A3)+(1))+(1)))=("S"),"false"),B3,S324),S324))</f>
        <v>#VALUE!</v>
      </c>
      <c r="T324" t="e">
        <f ca="1">IF((A1)=(2),"",IF((320)=(T4),IF(IF((INDEX(B1:XFD1,((A3)+(1))+(0)))=("store"),(INDEX(B1:XFD1,((A3)+(1))+(1)))=("T"),"false"),B3,T324),T324))</f>
        <v>#VALUE!</v>
      </c>
      <c r="U324" t="e">
        <f ca="1">IF((A1)=(2),"",IF((320)=(U4),IF(IF((INDEX(B1:XFD1,((A3)+(1))+(0)))=("store"),(INDEX(B1:XFD1,((A3)+(1))+(1)))=("U"),"false"),B3,U324),U324))</f>
        <v>#VALUE!</v>
      </c>
      <c r="V324" t="e">
        <f ca="1">IF((A1)=(2),"",IF((320)=(V4),IF(IF((INDEX(B1:XFD1,((A3)+(1))+(0)))=("store"),(INDEX(B1:XFD1,((A3)+(1))+(1)))=("V"),"false"),B3,V324),V324))</f>
        <v>#VALUE!</v>
      </c>
      <c r="W324" t="e">
        <f ca="1">IF((A1)=(2),"",IF((320)=(W4),IF(IF((INDEX(B1:XFD1,((A3)+(1))+(0)))=("store"),(INDEX(B1:XFD1,((A3)+(1))+(1)))=("W"),"false"),B3,W324),W324))</f>
        <v>#VALUE!</v>
      </c>
      <c r="X324" t="e">
        <f ca="1">IF((A1)=(2),"",IF((320)=(X4),IF(IF((INDEX(B1:XFD1,((A3)+(1))+(0)))=("store"),(INDEX(B1:XFD1,((A3)+(1))+(1)))=("X"),"false"),B3,X324),X324))</f>
        <v>#VALUE!</v>
      </c>
      <c r="Y324" t="e">
        <f ca="1">IF((A1)=(2),"",IF((320)=(Y4),IF(IF((INDEX(B1:XFD1,((A3)+(1))+(0)))=("store"),(INDEX(B1:XFD1,((A3)+(1))+(1)))=("Y"),"false"),B3,Y324),Y324))</f>
        <v>#VALUE!</v>
      </c>
      <c r="Z324" t="e">
        <f ca="1">IF((A1)=(2),"",IF((320)=(Z4),IF(IF((INDEX(B1:XFD1,((A3)+(1))+(0)))=("store"),(INDEX(B1:XFD1,((A3)+(1))+(1)))=("Z"),"false"),B3,Z324),Z324))</f>
        <v>#VALUE!</v>
      </c>
      <c r="AA324" t="e">
        <f ca="1">IF((A1)=(2),"",IF((320)=(AA4),IF(IF((INDEX(B1:XFD1,((A3)+(1))+(0)))=("store"),(INDEX(B1:XFD1,((A3)+(1))+(1)))=("AA"),"false"),B3,AA324),AA324))</f>
        <v>#VALUE!</v>
      </c>
      <c r="AB324" t="e">
        <f ca="1">IF((A1)=(2),"",IF((320)=(AB4),IF(IF((INDEX(B1:XFD1,((A3)+(1))+(0)))=("store"),(INDEX(B1:XFD1,((A3)+(1))+(1)))=("AB"),"false"),B3,AB324),AB324))</f>
        <v>#VALUE!</v>
      </c>
      <c r="AC324" t="e">
        <f ca="1">IF((A1)=(2),"",IF((320)=(AC4),IF(IF((INDEX(B1:XFD1,((A3)+(1))+(0)))=("store"),(INDEX(B1:XFD1,((A3)+(1))+(1)))=("AC"),"false"),B3,AC324),AC324))</f>
        <v>#VALUE!</v>
      </c>
      <c r="AD324" t="e">
        <f ca="1">IF((A1)=(2),"",IF((320)=(AD4),IF(IF((INDEX(B1:XFD1,((A3)+(1))+(0)))=("store"),(INDEX(B1:XFD1,((A3)+(1))+(1)))=("AD"),"false"),B3,AD324),AD324))</f>
        <v>#VALUE!</v>
      </c>
    </row>
    <row r="325" spans="1:30" x14ac:dyDescent="0.25">
      <c r="A325" t="e">
        <f ca="1">IF((A1)=(2),"",IF((321)=(A4),IF(("call")=(INDEX(B1:XFD1,((A3)+(1))+(0))),(B3)*(2),IF(("goto")=(INDEX(B1:XFD1,((A3)+(1))+(0))),(INDEX(B1:XFD1,((A3)+(1))+(1)))*(2),IF(("gotoiftrue")=(INDEX(B1:XFD1,((A3)+(1))+(0))),IF(B3,(INDEX(B1:XFD1,((A3)+(1))+(1)))*(2),(A325)+(2)),(A325)+(2)))),A325))</f>
        <v>#VALUE!</v>
      </c>
      <c r="B325" t="e">
        <f ca="1">IF((A1)=(2),"",IF((321)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325)+(1)),IF(("add")=(INDEX(B1:XFD1,((A3)+(1))+(0))),(INDEX(B5:B405,(B4)+(1)))+(B325),IF(("equals")=(INDEX(B1:XFD1,((A3)+(1))+(0))),(INDEX(B5:B405,(B4)+(1)))=(B325),IF(("leq")=(INDEX(B1:XFD1,((A3)+(1))+(0))),(INDEX(B5:B405,(B4)+(1)))&lt;=(B325),IF(("greater")=(INDEX(B1:XFD1,((A3)+(1))+(0))),(INDEX(B5:B405,(B4)+(1)))&gt;(B325),IF(("mod")=(INDEX(B1:XFD1,((A3)+(1))+(0))),MOD(INDEX(B5:B405,(B4)+(1)),B325),B325))))))))),B325))</f>
        <v>#VALUE!</v>
      </c>
      <c r="C325" t="e">
        <f ca="1">IF((A1)=(2),1,IF(AND((INDEX(B1:XFD1,((A3)+(1))+(0)))=("writeheap"),(INDEX(B5:B405,(B4)+(1)))=(320)),INDEX(B5:B405,(B4)+(2)),IF((A1)=(2),"",IF((321)=(C4),C325,C325))))</f>
        <v>#VALUE!</v>
      </c>
      <c r="F325" t="e">
        <f ca="1">IF((A1)=(2),"",IF((321)=(F4),IF(IF((INDEX(B1:XFD1,((A3)+(1))+(0)))=("store"),(INDEX(B1:XFD1,((A3)+(1))+(1)))=("F"),"false"),B3,F325),F325))</f>
        <v>#VALUE!</v>
      </c>
      <c r="G325" t="e">
        <f ca="1">IF((A1)=(2),"",IF((321)=(G4),IF(IF((INDEX(B1:XFD1,((A3)+(1))+(0)))=("store"),(INDEX(B1:XFD1,((A3)+(1))+(1)))=("G"),"false"),B3,G325),G325))</f>
        <v>#VALUE!</v>
      </c>
      <c r="H325" t="e">
        <f ca="1">IF((A1)=(2),"",IF((321)=(H4),IF(IF((INDEX(B1:XFD1,((A3)+(1))+(0)))=("store"),(INDEX(B1:XFD1,((A3)+(1))+(1)))=("H"),"false"),B3,H325),H325))</f>
        <v>#VALUE!</v>
      </c>
      <c r="I325" t="e">
        <f ca="1">IF((A1)=(2),"",IF((321)=(I4),IF(IF((INDEX(B1:XFD1,((A3)+(1))+(0)))=("store"),(INDEX(B1:XFD1,((A3)+(1))+(1)))=("I"),"false"),B3,I325),I325))</f>
        <v>#VALUE!</v>
      </c>
      <c r="J325" t="e">
        <f ca="1">IF((A1)=(2),"",IF((321)=(J4),IF(IF((INDEX(B1:XFD1,((A3)+(1))+(0)))=("store"),(INDEX(B1:XFD1,((A3)+(1))+(1)))=("J"),"false"),B3,J325),J325))</f>
        <v>#VALUE!</v>
      </c>
      <c r="K325" t="e">
        <f ca="1">IF((A1)=(2),"",IF((321)=(K4),IF(IF((INDEX(B1:XFD1,((A3)+(1))+(0)))=("store"),(INDEX(B1:XFD1,((A3)+(1))+(1)))=("K"),"false"),B3,K325),K325))</f>
        <v>#VALUE!</v>
      </c>
      <c r="L325" t="e">
        <f ca="1">IF((A1)=(2),"",IF((321)=(L4),IF(IF((INDEX(B1:XFD1,((A3)+(1))+(0)))=("store"),(INDEX(B1:XFD1,((A3)+(1))+(1)))=("L"),"false"),B3,L325),L325))</f>
        <v>#VALUE!</v>
      </c>
      <c r="M325" t="e">
        <f ca="1">IF((A1)=(2),"",IF((321)=(M4),IF(IF((INDEX(B1:XFD1,((A3)+(1))+(0)))=("store"),(INDEX(B1:XFD1,((A3)+(1))+(1)))=("M"),"false"),B3,M325),M325))</f>
        <v>#VALUE!</v>
      </c>
      <c r="N325" t="e">
        <f ca="1">IF((A1)=(2),"",IF((321)=(N4),IF(IF((INDEX(B1:XFD1,((A3)+(1))+(0)))=("store"),(INDEX(B1:XFD1,((A3)+(1))+(1)))=("N"),"false"),B3,N325),N325))</f>
        <v>#VALUE!</v>
      </c>
      <c r="O325" t="e">
        <f ca="1">IF((A1)=(2),"",IF((321)=(O4),IF(IF((INDEX(B1:XFD1,((A3)+(1))+(0)))=("store"),(INDEX(B1:XFD1,((A3)+(1))+(1)))=("O"),"false"),B3,O325),O325))</f>
        <v>#VALUE!</v>
      </c>
      <c r="P325" t="e">
        <f ca="1">IF((A1)=(2),"",IF((321)=(P4),IF(IF((INDEX(B1:XFD1,((A3)+(1))+(0)))=("store"),(INDEX(B1:XFD1,((A3)+(1))+(1)))=("P"),"false"),B3,P325),P325))</f>
        <v>#VALUE!</v>
      </c>
      <c r="Q325" t="e">
        <f ca="1">IF((A1)=(2),"",IF((321)=(Q4),IF(IF((INDEX(B1:XFD1,((A3)+(1))+(0)))=("store"),(INDEX(B1:XFD1,((A3)+(1))+(1)))=("Q"),"false"),B3,Q325),Q325))</f>
        <v>#VALUE!</v>
      </c>
      <c r="R325" t="e">
        <f ca="1">IF((A1)=(2),"",IF((321)=(R4),IF(IF((INDEX(B1:XFD1,((A3)+(1))+(0)))=("store"),(INDEX(B1:XFD1,((A3)+(1))+(1)))=("R"),"false"),B3,R325),R325))</f>
        <v>#VALUE!</v>
      </c>
      <c r="S325" t="e">
        <f ca="1">IF((A1)=(2),"",IF((321)=(S4),IF(IF((INDEX(B1:XFD1,((A3)+(1))+(0)))=("store"),(INDEX(B1:XFD1,((A3)+(1))+(1)))=("S"),"false"),B3,S325),S325))</f>
        <v>#VALUE!</v>
      </c>
      <c r="T325" t="e">
        <f ca="1">IF((A1)=(2),"",IF((321)=(T4),IF(IF((INDEX(B1:XFD1,((A3)+(1))+(0)))=("store"),(INDEX(B1:XFD1,((A3)+(1))+(1)))=("T"),"false"),B3,T325),T325))</f>
        <v>#VALUE!</v>
      </c>
      <c r="U325" t="e">
        <f ca="1">IF((A1)=(2),"",IF((321)=(U4),IF(IF((INDEX(B1:XFD1,((A3)+(1))+(0)))=("store"),(INDEX(B1:XFD1,((A3)+(1))+(1)))=("U"),"false"),B3,U325),U325))</f>
        <v>#VALUE!</v>
      </c>
      <c r="V325" t="e">
        <f ca="1">IF((A1)=(2),"",IF((321)=(V4),IF(IF((INDEX(B1:XFD1,((A3)+(1))+(0)))=("store"),(INDEX(B1:XFD1,((A3)+(1))+(1)))=("V"),"false"),B3,V325),V325))</f>
        <v>#VALUE!</v>
      </c>
      <c r="W325" t="e">
        <f ca="1">IF((A1)=(2),"",IF((321)=(W4),IF(IF((INDEX(B1:XFD1,((A3)+(1))+(0)))=("store"),(INDEX(B1:XFD1,((A3)+(1))+(1)))=("W"),"false"),B3,W325),W325))</f>
        <v>#VALUE!</v>
      </c>
      <c r="X325" t="e">
        <f ca="1">IF((A1)=(2),"",IF((321)=(X4),IF(IF((INDEX(B1:XFD1,((A3)+(1))+(0)))=("store"),(INDEX(B1:XFD1,((A3)+(1))+(1)))=("X"),"false"),B3,X325),X325))</f>
        <v>#VALUE!</v>
      </c>
      <c r="Y325" t="e">
        <f ca="1">IF((A1)=(2),"",IF((321)=(Y4),IF(IF((INDEX(B1:XFD1,((A3)+(1))+(0)))=("store"),(INDEX(B1:XFD1,((A3)+(1))+(1)))=("Y"),"false"),B3,Y325),Y325))</f>
        <v>#VALUE!</v>
      </c>
      <c r="Z325" t="e">
        <f ca="1">IF((A1)=(2),"",IF((321)=(Z4),IF(IF((INDEX(B1:XFD1,((A3)+(1))+(0)))=("store"),(INDEX(B1:XFD1,((A3)+(1))+(1)))=("Z"),"false"),B3,Z325),Z325))</f>
        <v>#VALUE!</v>
      </c>
      <c r="AA325" t="e">
        <f ca="1">IF((A1)=(2),"",IF((321)=(AA4),IF(IF((INDEX(B1:XFD1,((A3)+(1))+(0)))=("store"),(INDEX(B1:XFD1,((A3)+(1))+(1)))=("AA"),"false"),B3,AA325),AA325))</f>
        <v>#VALUE!</v>
      </c>
      <c r="AB325" t="e">
        <f ca="1">IF((A1)=(2),"",IF((321)=(AB4),IF(IF((INDEX(B1:XFD1,((A3)+(1))+(0)))=("store"),(INDEX(B1:XFD1,((A3)+(1))+(1)))=("AB"),"false"),B3,AB325),AB325))</f>
        <v>#VALUE!</v>
      </c>
      <c r="AC325" t="e">
        <f ca="1">IF((A1)=(2),"",IF((321)=(AC4),IF(IF((INDEX(B1:XFD1,((A3)+(1))+(0)))=("store"),(INDEX(B1:XFD1,((A3)+(1))+(1)))=("AC"),"false"),B3,AC325),AC325))</f>
        <v>#VALUE!</v>
      </c>
      <c r="AD325" t="e">
        <f ca="1">IF((A1)=(2),"",IF((321)=(AD4),IF(IF((INDEX(B1:XFD1,((A3)+(1))+(0)))=("store"),(INDEX(B1:XFD1,((A3)+(1))+(1)))=("AD"),"false"),B3,AD325),AD325))</f>
        <v>#VALUE!</v>
      </c>
    </row>
    <row r="326" spans="1:30" x14ac:dyDescent="0.25">
      <c r="A326" t="e">
        <f ca="1">IF((A1)=(2),"",IF((322)=(A4),IF(("call")=(INDEX(B1:XFD1,((A3)+(1))+(0))),(B3)*(2),IF(("goto")=(INDEX(B1:XFD1,((A3)+(1))+(0))),(INDEX(B1:XFD1,((A3)+(1))+(1)))*(2),IF(("gotoiftrue")=(INDEX(B1:XFD1,((A3)+(1))+(0))),IF(B3,(INDEX(B1:XFD1,((A3)+(1))+(1)))*(2),(A326)+(2)),(A326)+(2)))),A326))</f>
        <v>#VALUE!</v>
      </c>
      <c r="B326" t="e">
        <f ca="1">IF((A1)=(2),"",IF((322)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326)+(1)),IF(("add")=(INDEX(B1:XFD1,((A3)+(1))+(0))),(INDEX(B5:B405,(B4)+(1)))+(B326),IF(("equals")=(INDEX(B1:XFD1,((A3)+(1))+(0))),(INDEX(B5:B405,(B4)+(1)))=(B326),IF(("leq")=(INDEX(B1:XFD1,((A3)+(1))+(0))),(INDEX(B5:B405,(B4)+(1)))&lt;=(B326),IF(("greater")=(INDEX(B1:XFD1,((A3)+(1))+(0))),(INDEX(B5:B405,(B4)+(1)))&gt;(B326),IF(("mod")=(INDEX(B1:XFD1,((A3)+(1))+(0))),MOD(INDEX(B5:B405,(B4)+(1)),B326),B326))))))))),B326))</f>
        <v>#VALUE!</v>
      </c>
      <c r="C326" t="e">
        <f ca="1">IF((A1)=(2),1,IF(AND((INDEX(B1:XFD1,((A3)+(1))+(0)))=("writeheap"),(INDEX(B5:B405,(B4)+(1)))=(321)),INDEX(B5:B405,(B4)+(2)),IF((A1)=(2),"",IF((322)=(C4),C326,C326))))</f>
        <v>#VALUE!</v>
      </c>
      <c r="F326" t="e">
        <f ca="1">IF((A1)=(2),"",IF((322)=(F4),IF(IF((INDEX(B1:XFD1,((A3)+(1))+(0)))=("store"),(INDEX(B1:XFD1,((A3)+(1))+(1)))=("F"),"false"),B3,F326),F326))</f>
        <v>#VALUE!</v>
      </c>
      <c r="G326" t="e">
        <f ca="1">IF((A1)=(2),"",IF((322)=(G4),IF(IF((INDEX(B1:XFD1,((A3)+(1))+(0)))=("store"),(INDEX(B1:XFD1,((A3)+(1))+(1)))=("G"),"false"),B3,G326),G326))</f>
        <v>#VALUE!</v>
      </c>
      <c r="H326" t="e">
        <f ca="1">IF((A1)=(2),"",IF((322)=(H4),IF(IF((INDEX(B1:XFD1,((A3)+(1))+(0)))=("store"),(INDEX(B1:XFD1,((A3)+(1))+(1)))=("H"),"false"),B3,H326),H326))</f>
        <v>#VALUE!</v>
      </c>
      <c r="I326" t="e">
        <f ca="1">IF((A1)=(2),"",IF((322)=(I4),IF(IF((INDEX(B1:XFD1,((A3)+(1))+(0)))=("store"),(INDEX(B1:XFD1,((A3)+(1))+(1)))=("I"),"false"),B3,I326),I326))</f>
        <v>#VALUE!</v>
      </c>
      <c r="J326" t="e">
        <f ca="1">IF((A1)=(2),"",IF((322)=(J4),IF(IF((INDEX(B1:XFD1,((A3)+(1))+(0)))=("store"),(INDEX(B1:XFD1,((A3)+(1))+(1)))=("J"),"false"),B3,J326),J326))</f>
        <v>#VALUE!</v>
      </c>
      <c r="K326" t="e">
        <f ca="1">IF((A1)=(2),"",IF((322)=(K4),IF(IF((INDEX(B1:XFD1,((A3)+(1))+(0)))=("store"),(INDEX(B1:XFD1,((A3)+(1))+(1)))=("K"),"false"),B3,K326),K326))</f>
        <v>#VALUE!</v>
      </c>
      <c r="L326" t="e">
        <f ca="1">IF((A1)=(2),"",IF((322)=(L4),IF(IF((INDEX(B1:XFD1,((A3)+(1))+(0)))=("store"),(INDEX(B1:XFD1,((A3)+(1))+(1)))=("L"),"false"),B3,L326),L326))</f>
        <v>#VALUE!</v>
      </c>
      <c r="M326" t="e">
        <f ca="1">IF((A1)=(2),"",IF((322)=(M4),IF(IF((INDEX(B1:XFD1,((A3)+(1))+(0)))=("store"),(INDEX(B1:XFD1,((A3)+(1))+(1)))=("M"),"false"),B3,M326),M326))</f>
        <v>#VALUE!</v>
      </c>
      <c r="N326" t="e">
        <f ca="1">IF((A1)=(2),"",IF((322)=(N4),IF(IF((INDEX(B1:XFD1,((A3)+(1))+(0)))=("store"),(INDEX(B1:XFD1,((A3)+(1))+(1)))=("N"),"false"),B3,N326),N326))</f>
        <v>#VALUE!</v>
      </c>
      <c r="O326" t="e">
        <f ca="1">IF((A1)=(2),"",IF((322)=(O4),IF(IF((INDEX(B1:XFD1,((A3)+(1))+(0)))=("store"),(INDEX(B1:XFD1,((A3)+(1))+(1)))=("O"),"false"),B3,O326),O326))</f>
        <v>#VALUE!</v>
      </c>
      <c r="P326" t="e">
        <f ca="1">IF((A1)=(2),"",IF((322)=(P4),IF(IF((INDEX(B1:XFD1,((A3)+(1))+(0)))=("store"),(INDEX(B1:XFD1,((A3)+(1))+(1)))=("P"),"false"),B3,P326),P326))</f>
        <v>#VALUE!</v>
      </c>
      <c r="Q326" t="e">
        <f ca="1">IF((A1)=(2),"",IF((322)=(Q4),IF(IF((INDEX(B1:XFD1,((A3)+(1))+(0)))=("store"),(INDEX(B1:XFD1,((A3)+(1))+(1)))=("Q"),"false"),B3,Q326),Q326))</f>
        <v>#VALUE!</v>
      </c>
      <c r="R326" t="e">
        <f ca="1">IF((A1)=(2),"",IF((322)=(R4),IF(IF((INDEX(B1:XFD1,((A3)+(1))+(0)))=("store"),(INDEX(B1:XFD1,((A3)+(1))+(1)))=("R"),"false"),B3,R326),R326))</f>
        <v>#VALUE!</v>
      </c>
      <c r="S326" t="e">
        <f ca="1">IF((A1)=(2),"",IF((322)=(S4),IF(IF((INDEX(B1:XFD1,((A3)+(1))+(0)))=("store"),(INDEX(B1:XFD1,((A3)+(1))+(1)))=("S"),"false"),B3,S326),S326))</f>
        <v>#VALUE!</v>
      </c>
      <c r="T326" t="e">
        <f ca="1">IF((A1)=(2),"",IF((322)=(T4),IF(IF((INDEX(B1:XFD1,((A3)+(1))+(0)))=("store"),(INDEX(B1:XFD1,((A3)+(1))+(1)))=("T"),"false"),B3,T326),T326))</f>
        <v>#VALUE!</v>
      </c>
      <c r="U326" t="e">
        <f ca="1">IF((A1)=(2),"",IF((322)=(U4),IF(IF((INDEX(B1:XFD1,((A3)+(1))+(0)))=("store"),(INDEX(B1:XFD1,((A3)+(1))+(1)))=("U"),"false"),B3,U326),U326))</f>
        <v>#VALUE!</v>
      </c>
      <c r="V326" t="e">
        <f ca="1">IF((A1)=(2),"",IF((322)=(V4),IF(IF((INDEX(B1:XFD1,((A3)+(1))+(0)))=("store"),(INDEX(B1:XFD1,((A3)+(1))+(1)))=("V"),"false"),B3,V326),V326))</f>
        <v>#VALUE!</v>
      </c>
      <c r="W326" t="e">
        <f ca="1">IF((A1)=(2),"",IF((322)=(W4),IF(IF((INDEX(B1:XFD1,((A3)+(1))+(0)))=("store"),(INDEX(B1:XFD1,((A3)+(1))+(1)))=("W"),"false"),B3,W326),W326))</f>
        <v>#VALUE!</v>
      </c>
      <c r="X326" t="e">
        <f ca="1">IF((A1)=(2),"",IF((322)=(X4),IF(IF((INDEX(B1:XFD1,((A3)+(1))+(0)))=("store"),(INDEX(B1:XFD1,((A3)+(1))+(1)))=("X"),"false"),B3,X326),X326))</f>
        <v>#VALUE!</v>
      </c>
      <c r="Y326" t="e">
        <f ca="1">IF((A1)=(2),"",IF((322)=(Y4),IF(IF((INDEX(B1:XFD1,((A3)+(1))+(0)))=("store"),(INDEX(B1:XFD1,((A3)+(1))+(1)))=("Y"),"false"),B3,Y326),Y326))</f>
        <v>#VALUE!</v>
      </c>
      <c r="Z326" t="e">
        <f ca="1">IF((A1)=(2),"",IF((322)=(Z4),IF(IF((INDEX(B1:XFD1,((A3)+(1))+(0)))=("store"),(INDEX(B1:XFD1,((A3)+(1))+(1)))=("Z"),"false"),B3,Z326),Z326))</f>
        <v>#VALUE!</v>
      </c>
      <c r="AA326" t="e">
        <f ca="1">IF((A1)=(2),"",IF((322)=(AA4),IF(IF((INDEX(B1:XFD1,((A3)+(1))+(0)))=("store"),(INDEX(B1:XFD1,((A3)+(1))+(1)))=("AA"),"false"),B3,AA326),AA326))</f>
        <v>#VALUE!</v>
      </c>
      <c r="AB326" t="e">
        <f ca="1">IF((A1)=(2),"",IF((322)=(AB4),IF(IF((INDEX(B1:XFD1,((A3)+(1))+(0)))=("store"),(INDEX(B1:XFD1,((A3)+(1))+(1)))=("AB"),"false"),B3,AB326),AB326))</f>
        <v>#VALUE!</v>
      </c>
      <c r="AC326" t="e">
        <f ca="1">IF((A1)=(2),"",IF((322)=(AC4),IF(IF((INDEX(B1:XFD1,((A3)+(1))+(0)))=("store"),(INDEX(B1:XFD1,((A3)+(1))+(1)))=("AC"),"false"),B3,AC326),AC326))</f>
        <v>#VALUE!</v>
      </c>
      <c r="AD326" t="e">
        <f ca="1">IF((A1)=(2),"",IF((322)=(AD4),IF(IF((INDEX(B1:XFD1,((A3)+(1))+(0)))=("store"),(INDEX(B1:XFD1,((A3)+(1))+(1)))=("AD"),"false"),B3,AD326),AD326))</f>
        <v>#VALUE!</v>
      </c>
    </row>
    <row r="327" spans="1:30" x14ac:dyDescent="0.25">
      <c r="A327" t="e">
        <f ca="1">IF((A1)=(2),"",IF((323)=(A4),IF(("call")=(INDEX(B1:XFD1,((A3)+(1))+(0))),(B3)*(2),IF(("goto")=(INDEX(B1:XFD1,((A3)+(1))+(0))),(INDEX(B1:XFD1,((A3)+(1))+(1)))*(2),IF(("gotoiftrue")=(INDEX(B1:XFD1,((A3)+(1))+(0))),IF(B3,(INDEX(B1:XFD1,((A3)+(1))+(1)))*(2),(A327)+(2)),(A327)+(2)))),A327))</f>
        <v>#VALUE!</v>
      </c>
      <c r="B327" t="e">
        <f ca="1">IF((A1)=(2),"",IF((323)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327)+(1)),IF(("add")=(INDEX(B1:XFD1,((A3)+(1))+(0))),(INDEX(B5:B405,(B4)+(1)))+(B327),IF(("equals")=(INDEX(B1:XFD1,((A3)+(1))+(0))),(INDEX(B5:B405,(B4)+(1)))=(B327),IF(("leq")=(INDEX(B1:XFD1,((A3)+(1))+(0))),(INDEX(B5:B405,(B4)+(1)))&lt;=(B327),IF(("greater")=(INDEX(B1:XFD1,((A3)+(1))+(0))),(INDEX(B5:B405,(B4)+(1)))&gt;(B327),IF(("mod")=(INDEX(B1:XFD1,((A3)+(1))+(0))),MOD(INDEX(B5:B405,(B4)+(1)),B327),B327))))))))),B327))</f>
        <v>#VALUE!</v>
      </c>
      <c r="C327" t="e">
        <f ca="1">IF((A1)=(2),1,IF(AND((INDEX(B1:XFD1,((A3)+(1))+(0)))=("writeheap"),(INDEX(B5:B405,(B4)+(1)))=(322)),INDEX(B5:B405,(B4)+(2)),IF((A1)=(2),"",IF((323)=(C4),C327,C327))))</f>
        <v>#VALUE!</v>
      </c>
      <c r="F327" t="e">
        <f ca="1">IF((A1)=(2),"",IF((323)=(F4),IF(IF((INDEX(B1:XFD1,((A3)+(1))+(0)))=("store"),(INDEX(B1:XFD1,((A3)+(1))+(1)))=("F"),"false"),B3,F327),F327))</f>
        <v>#VALUE!</v>
      </c>
      <c r="G327" t="e">
        <f ca="1">IF((A1)=(2),"",IF((323)=(G4),IF(IF((INDEX(B1:XFD1,((A3)+(1))+(0)))=("store"),(INDEX(B1:XFD1,((A3)+(1))+(1)))=("G"),"false"),B3,G327),G327))</f>
        <v>#VALUE!</v>
      </c>
      <c r="H327" t="e">
        <f ca="1">IF((A1)=(2),"",IF((323)=(H4),IF(IF((INDEX(B1:XFD1,((A3)+(1))+(0)))=("store"),(INDEX(B1:XFD1,((A3)+(1))+(1)))=("H"),"false"),B3,H327),H327))</f>
        <v>#VALUE!</v>
      </c>
      <c r="I327" t="e">
        <f ca="1">IF((A1)=(2),"",IF((323)=(I4),IF(IF((INDEX(B1:XFD1,((A3)+(1))+(0)))=("store"),(INDEX(B1:XFD1,((A3)+(1))+(1)))=("I"),"false"),B3,I327),I327))</f>
        <v>#VALUE!</v>
      </c>
      <c r="J327" t="e">
        <f ca="1">IF((A1)=(2),"",IF((323)=(J4),IF(IF((INDEX(B1:XFD1,((A3)+(1))+(0)))=("store"),(INDEX(B1:XFD1,((A3)+(1))+(1)))=("J"),"false"),B3,J327),J327))</f>
        <v>#VALUE!</v>
      </c>
      <c r="K327" t="e">
        <f ca="1">IF((A1)=(2),"",IF((323)=(K4),IF(IF((INDEX(B1:XFD1,((A3)+(1))+(0)))=("store"),(INDEX(B1:XFD1,((A3)+(1))+(1)))=("K"),"false"),B3,K327),K327))</f>
        <v>#VALUE!</v>
      </c>
      <c r="L327" t="e">
        <f ca="1">IF((A1)=(2),"",IF((323)=(L4),IF(IF((INDEX(B1:XFD1,((A3)+(1))+(0)))=("store"),(INDEX(B1:XFD1,((A3)+(1))+(1)))=("L"),"false"),B3,L327),L327))</f>
        <v>#VALUE!</v>
      </c>
      <c r="M327" t="e">
        <f ca="1">IF((A1)=(2),"",IF((323)=(M4),IF(IF((INDEX(B1:XFD1,((A3)+(1))+(0)))=("store"),(INDEX(B1:XFD1,((A3)+(1))+(1)))=("M"),"false"),B3,M327),M327))</f>
        <v>#VALUE!</v>
      </c>
      <c r="N327" t="e">
        <f ca="1">IF((A1)=(2),"",IF((323)=(N4),IF(IF((INDEX(B1:XFD1,((A3)+(1))+(0)))=("store"),(INDEX(B1:XFD1,((A3)+(1))+(1)))=("N"),"false"),B3,N327),N327))</f>
        <v>#VALUE!</v>
      </c>
      <c r="O327" t="e">
        <f ca="1">IF((A1)=(2),"",IF((323)=(O4),IF(IF((INDEX(B1:XFD1,((A3)+(1))+(0)))=("store"),(INDEX(B1:XFD1,((A3)+(1))+(1)))=("O"),"false"),B3,O327),O327))</f>
        <v>#VALUE!</v>
      </c>
      <c r="P327" t="e">
        <f ca="1">IF((A1)=(2),"",IF((323)=(P4),IF(IF((INDEX(B1:XFD1,((A3)+(1))+(0)))=("store"),(INDEX(B1:XFD1,((A3)+(1))+(1)))=("P"),"false"),B3,P327),P327))</f>
        <v>#VALUE!</v>
      </c>
      <c r="Q327" t="e">
        <f ca="1">IF((A1)=(2),"",IF((323)=(Q4),IF(IF((INDEX(B1:XFD1,((A3)+(1))+(0)))=("store"),(INDEX(B1:XFD1,((A3)+(1))+(1)))=("Q"),"false"),B3,Q327),Q327))</f>
        <v>#VALUE!</v>
      </c>
      <c r="R327" t="e">
        <f ca="1">IF((A1)=(2),"",IF((323)=(R4),IF(IF((INDEX(B1:XFD1,((A3)+(1))+(0)))=("store"),(INDEX(B1:XFD1,((A3)+(1))+(1)))=("R"),"false"),B3,R327),R327))</f>
        <v>#VALUE!</v>
      </c>
      <c r="S327" t="e">
        <f ca="1">IF((A1)=(2),"",IF((323)=(S4),IF(IF((INDEX(B1:XFD1,((A3)+(1))+(0)))=("store"),(INDEX(B1:XFD1,((A3)+(1))+(1)))=("S"),"false"),B3,S327),S327))</f>
        <v>#VALUE!</v>
      </c>
      <c r="T327" t="e">
        <f ca="1">IF((A1)=(2),"",IF((323)=(T4),IF(IF((INDEX(B1:XFD1,((A3)+(1))+(0)))=("store"),(INDEX(B1:XFD1,((A3)+(1))+(1)))=("T"),"false"),B3,T327),T327))</f>
        <v>#VALUE!</v>
      </c>
      <c r="U327" t="e">
        <f ca="1">IF((A1)=(2),"",IF((323)=(U4),IF(IF((INDEX(B1:XFD1,((A3)+(1))+(0)))=("store"),(INDEX(B1:XFD1,((A3)+(1))+(1)))=("U"),"false"),B3,U327),U327))</f>
        <v>#VALUE!</v>
      </c>
      <c r="V327" t="e">
        <f ca="1">IF((A1)=(2),"",IF((323)=(V4),IF(IF((INDEX(B1:XFD1,((A3)+(1))+(0)))=("store"),(INDEX(B1:XFD1,((A3)+(1))+(1)))=("V"),"false"),B3,V327),V327))</f>
        <v>#VALUE!</v>
      </c>
      <c r="W327" t="e">
        <f ca="1">IF((A1)=(2),"",IF((323)=(W4),IF(IF((INDEX(B1:XFD1,((A3)+(1))+(0)))=("store"),(INDEX(B1:XFD1,((A3)+(1))+(1)))=("W"),"false"),B3,W327),W327))</f>
        <v>#VALUE!</v>
      </c>
      <c r="X327" t="e">
        <f ca="1">IF((A1)=(2),"",IF((323)=(X4),IF(IF((INDEX(B1:XFD1,((A3)+(1))+(0)))=("store"),(INDEX(B1:XFD1,((A3)+(1))+(1)))=("X"),"false"),B3,X327),X327))</f>
        <v>#VALUE!</v>
      </c>
      <c r="Y327" t="e">
        <f ca="1">IF((A1)=(2),"",IF((323)=(Y4),IF(IF((INDEX(B1:XFD1,((A3)+(1))+(0)))=("store"),(INDEX(B1:XFD1,((A3)+(1))+(1)))=("Y"),"false"),B3,Y327),Y327))</f>
        <v>#VALUE!</v>
      </c>
      <c r="Z327" t="e">
        <f ca="1">IF((A1)=(2),"",IF((323)=(Z4),IF(IF((INDEX(B1:XFD1,((A3)+(1))+(0)))=("store"),(INDEX(B1:XFD1,((A3)+(1))+(1)))=("Z"),"false"),B3,Z327),Z327))</f>
        <v>#VALUE!</v>
      </c>
      <c r="AA327" t="e">
        <f ca="1">IF((A1)=(2),"",IF((323)=(AA4),IF(IF((INDEX(B1:XFD1,((A3)+(1))+(0)))=("store"),(INDEX(B1:XFD1,((A3)+(1))+(1)))=("AA"),"false"),B3,AA327),AA327))</f>
        <v>#VALUE!</v>
      </c>
      <c r="AB327" t="e">
        <f ca="1">IF((A1)=(2),"",IF((323)=(AB4),IF(IF((INDEX(B1:XFD1,((A3)+(1))+(0)))=("store"),(INDEX(B1:XFD1,((A3)+(1))+(1)))=("AB"),"false"),B3,AB327),AB327))</f>
        <v>#VALUE!</v>
      </c>
      <c r="AC327" t="e">
        <f ca="1">IF((A1)=(2),"",IF((323)=(AC4),IF(IF((INDEX(B1:XFD1,((A3)+(1))+(0)))=("store"),(INDEX(B1:XFD1,((A3)+(1))+(1)))=("AC"),"false"),B3,AC327),AC327))</f>
        <v>#VALUE!</v>
      </c>
      <c r="AD327" t="e">
        <f ca="1">IF((A1)=(2),"",IF((323)=(AD4),IF(IF((INDEX(B1:XFD1,((A3)+(1))+(0)))=("store"),(INDEX(B1:XFD1,((A3)+(1))+(1)))=("AD"),"false"),B3,AD327),AD327))</f>
        <v>#VALUE!</v>
      </c>
    </row>
    <row r="328" spans="1:30" x14ac:dyDescent="0.25">
      <c r="A328" t="e">
        <f ca="1">IF((A1)=(2),"",IF((324)=(A4),IF(("call")=(INDEX(B1:XFD1,((A3)+(1))+(0))),(B3)*(2),IF(("goto")=(INDEX(B1:XFD1,((A3)+(1))+(0))),(INDEX(B1:XFD1,((A3)+(1))+(1)))*(2),IF(("gotoiftrue")=(INDEX(B1:XFD1,((A3)+(1))+(0))),IF(B3,(INDEX(B1:XFD1,((A3)+(1))+(1)))*(2),(A328)+(2)),(A328)+(2)))),A328))</f>
        <v>#VALUE!</v>
      </c>
      <c r="B328" t="e">
        <f ca="1">IF((A1)=(2),"",IF((324)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328)+(1)),IF(("add")=(INDEX(B1:XFD1,((A3)+(1))+(0))),(INDEX(B5:B405,(B4)+(1)))+(B328),IF(("equals")=(INDEX(B1:XFD1,((A3)+(1))+(0))),(INDEX(B5:B405,(B4)+(1)))=(B328),IF(("leq")=(INDEX(B1:XFD1,((A3)+(1))+(0))),(INDEX(B5:B405,(B4)+(1)))&lt;=(B328),IF(("greater")=(INDEX(B1:XFD1,((A3)+(1))+(0))),(INDEX(B5:B405,(B4)+(1)))&gt;(B328),IF(("mod")=(INDEX(B1:XFD1,((A3)+(1))+(0))),MOD(INDEX(B5:B405,(B4)+(1)),B328),B328))))))))),B328))</f>
        <v>#VALUE!</v>
      </c>
      <c r="C328" t="e">
        <f ca="1">IF((A1)=(2),1,IF(AND((INDEX(B1:XFD1,((A3)+(1))+(0)))=("writeheap"),(INDEX(B5:B405,(B4)+(1)))=(323)),INDEX(B5:B405,(B4)+(2)),IF((A1)=(2),"",IF((324)=(C4),C328,C328))))</f>
        <v>#VALUE!</v>
      </c>
      <c r="F328" t="e">
        <f ca="1">IF((A1)=(2),"",IF((324)=(F4),IF(IF((INDEX(B1:XFD1,((A3)+(1))+(0)))=("store"),(INDEX(B1:XFD1,((A3)+(1))+(1)))=("F"),"false"),B3,F328),F328))</f>
        <v>#VALUE!</v>
      </c>
      <c r="G328" t="e">
        <f ca="1">IF((A1)=(2),"",IF((324)=(G4),IF(IF((INDEX(B1:XFD1,((A3)+(1))+(0)))=("store"),(INDEX(B1:XFD1,((A3)+(1))+(1)))=("G"),"false"),B3,G328),G328))</f>
        <v>#VALUE!</v>
      </c>
      <c r="H328" t="e">
        <f ca="1">IF((A1)=(2),"",IF((324)=(H4),IF(IF((INDEX(B1:XFD1,((A3)+(1))+(0)))=("store"),(INDEX(B1:XFD1,((A3)+(1))+(1)))=("H"),"false"),B3,H328),H328))</f>
        <v>#VALUE!</v>
      </c>
      <c r="I328" t="e">
        <f ca="1">IF((A1)=(2),"",IF((324)=(I4),IF(IF((INDEX(B1:XFD1,((A3)+(1))+(0)))=("store"),(INDEX(B1:XFD1,((A3)+(1))+(1)))=("I"),"false"),B3,I328),I328))</f>
        <v>#VALUE!</v>
      </c>
      <c r="J328" t="e">
        <f ca="1">IF((A1)=(2),"",IF((324)=(J4),IF(IF((INDEX(B1:XFD1,((A3)+(1))+(0)))=("store"),(INDEX(B1:XFD1,((A3)+(1))+(1)))=("J"),"false"),B3,J328),J328))</f>
        <v>#VALUE!</v>
      </c>
      <c r="K328" t="e">
        <f ca="1">IF((A1)=(2),"",IF((324)=(K4),IF(IF((INDEX(B1:XFD1,((A3)+(1))+(0)))=("store"),(INDEX(B1:XFD1,((A3)+(1))+(1)))=("K"),"false"),B3,K328),K328))</f>
        <v>#VALUE!</v>
      </c>
      <c r="L328" t="e">
        <f ca="1">IF((A1)=(2),"",IF((324)=(L4),IF(IF((INDEX(B1:XFD1,((A3)+(1))+(0)))=("store"),(INDEX(B1:XFD1,((A3)+(1))+(1)))=("L"),"false"),B3,L328),L328))</f>
        <v>#VALUE!</v>
      </c>
      <c r="M328" t="e">
        <f ca="1">IF((A1)=(2),"",IF((324)=(M4),IF(IF((INDEX(B1:XFD1,((A3)+(1))+(0)))=("store"),(INDEX(B1:XFD1,((A3)+(1))+(1)))=("M"),"false"),B3,M328),M328))</f>
        <v>#VALUE!</v>
      </c>
      <c r="N328" t="e">
        <f ca="1">IF((A1)=(2),"",IF((324)=(N4),IF(IF((INDEX(B1:XFD1,((A3)+(1))+(0)))=("store"),(INDEX(B1:XFD1,((A3)+(1))+(1)))=("N"),"false"),B3,N328),N328))</f>
        <v>#VALUE!</v>
      </c>
      <c r="O328" t="e">
        <f ca="1">IF((A1)=(2),"",IF((324)=(O4),IF(IF((INDEX(B1:XFD1,((A3)+(1))+(0)))=("store"),(INDEX(B1:XFD1,((A3)+(1))+(1)))=("O"),"false"),B3,O328),O328))</f>
        <v>#VALUE!</v>
      </c>
      <c r="P328" t="e">
        <f ca="1">IF((A1)=(2),"",IF((324)=(P4),IF(IF((INDEX(B1:XFD1,((A3)+(1))+(0)))=("store"),(INDEX(B1:XFD1,((A3)+(1))+(1)))=("P"),"false"),B3,P328),P328))</f>
        <v>#VALUE!</v>
      </c>
      <c r="Q328" t="e">
        <f ca="1">IF((A1)=(2),"",IF((324)=(Q4),IF(IF((INDEX(B1:XFD1,((A3)+(1))+(0)))=("store"),(INDEX(B1:XFD1,((A3)+(1))+(1)))=("Q"),"false"),B3,Q328),Q328))</f>
        <v>#VALUE!</v>
      </c>
      <c r="R328" t="e">
        <f ca="1">IF((A1)=(2),"",IF((324)=(R4),IF(IF((INDEX(B1:XFD1,((A3)+(1))+(0)))=("store"),(INDEX(B1:XFD1,((A3)+(1))+(1)))=("R"),"false"),B3,R328),R328))</f>
        <v>#VALUE!</v>
      </c>
      <c r="S328" t="e">
        <f ca="1">IF((A1)=(2),"",IF((324)=(S4),IF(IF((INDEX(B1:XFD1,((A3)+(1))+(0)))=("store"),(INDEX(B1:XFD1,((A3)+(1))+(1)))=("S"),"false"),B3,S328),S328))</f>
        <v>#VALUE!</v>
      </c>
      <c r="T328" t="e">
        <f ca="1">IF((A1)=(2),"",IF((324)=(T4),IF(IF((INDEX(B1:XFD1,((A3)+(1))+(0)))=("store"),(INDEX(B1:XFD1,((A3)+(1))+(1)))=("T"),"false"),B3,T328),T328))</f>
        <v>#VALUE!</v>
      </c>
      <c r="U328" t="e">
        <f ca="1">IF((A1)=(2),"",IF((324)=(U4),IF(IF((INDEX(B1:XFD1,((A3)+(1))+(0)))=("store"),(INDEX(B1:XFD1,((A3)+(1))+(1)))=("U"),"false"),B3,U328),U328))</f>
        <v>#VALUE!</v>
      </c>
      <c r="V328" t="e">
        <f ca="1">IF((A1)=(2),"",IF((324)=(V4),IF(IF((INDEX(B1:XFD1,((A3)+(1))+(0)))=("store"),(INDEX(B1:XFD1,((A3)+(1))+(1)))=("V"),"false"),B3,V328),V328))</f>
        <v>#VALUE!</v>
      </c>
      <c r="W328" t="e">
        <f ca="1">IF((A1)=(2),"",IF((324)=(W4),IF(IF((INDEX(B1:XFD1,((A3)+(1))+(0)))=("store"),(INDEX(B1:XFD1,((A3)+(1))+(1)))=("W"),"false"),B3,W328),W328))</f>
        <v>#VALUE!</v>
      </c>
      <c r="X328" t="e">
        <f ca="1">IF((A1)=(2),"",IF((324)=(X4),IF(IF((INDEX(B1:XFD1,((A3)+(1))+(0)))=("store"),(INDEX(B1:XFD1,((A3)+(1))+(1)))=("X"),"false"),B3,X328),X328))</f>
        <v>#VALUE!</v>
      </c>
      <c r="Y328" t="e">
        <f ca="1">IF((A1)=(2),"",IF((324)=(Y4),IF(IF((INDEX(B1:XFD1,((A3)+(1))+(0)))=("store"),(INDEX(B1:XFD1,((A3)+(1))+(1)))=("Y"),"false"),B3,Y328),Y328))</f>
        <v>#VALUE!</v>
      </c>
      <c r="Z328" t="e">
        <f ca="1">IF((A1)=(2),"",IF((324)=(Z4),IF(IF((INDEX(B1:XFD1,((A3)+(1))+(0)))=("store"),(INDEX(B1:XFD1,((A3)+(1))+(1)))=("Z"),"false"),B3,Z328),Z328))</f>
        <v>#VALUE!</v>
      </c>
      <c r="AA328" t="e">
        <f ca="1">IF((A1)=(2),"",IF((324)=(AA4),IF(IF((INDEX(B1:XFD1,((A3)+(1))+(0)))=("store"),(INDEX(B1:XFD1,((A3)+(1))+(1)))=("AA"),"false"),B3,AA328),AA328))</f>
        <v>#VALUE!</v>
      </c>
      <c r="AB328" t="e">
        <f ca="1">IF((A1)=(2),"",IF((324)=(AB4),IF(IF((INDEX(B1:XFD1,((A3)+(1))+(0)))=("store"),(INDEX(B1:XFD1,((A3)+(1))+(1)))=("AB"),"false"),B3,AB328),AB328))</f>
        <v>#VALUE!</v>
      </c>
      <c r="AC328" t="e">
        <f ca="1">IF((A1)=(2),"",IF((324)=(AC4),IF(IF((INDEX(B1:XFD1,((A3)+(1))+(0)))=("store"),(INDEX(B1:XFD1,((A3)+(1))+(1)))=("AC"),"false"),B3,AC328),AC328))</f>
        <v>#VALUE!</v>
      </c>
      <c r="AD328" t="e">
        <f ca="1">IF((A1)=(2),"",IF((324)=(AD4),IF(IF((INDEX(B1:XFD1,((A3)+(1))+(0)))=("store"),(INDEX(B1:XFD1,((A3)+(1))+(1)))=("AD"),"false"),B3,AD328),AD328))</f>
        <v>#VALUE!</v>
      </c>
    </row>
    <row r="329" spans="1:30" x14ac:dyDescent="0.25">
      <c r="A329" t="e">
        <f ca="1">IF((A1)=(2),"",IF((325)=(A4),IF(("call")=(INDEX(B1:XFD1,((A3)+(1))+(0))),(B3)*(2),IF(("goto")=(INDEX(B1:XFD1,((A3)+(1))+(0))),(INDEX(B1:XFD1,((A3)+(1))+(1)))*(2),IF(("gotoiftrue")=(INDEX(B1:XFD1,((A3)+(1))+(0))),IF(B3,(INDEX(B1:XFD1,((A3)+(1))+(1)))*(2),(A329)+(2)),(A329)+(2)))),A329))</f>
        <v>#VALUE!</v>
      </c>
      <c r="B329" t="e">
        <f ca="1">IF((A1)=(2),"",IF((325)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329)+(1)),IF(("add")=(INDEX(B1:XFD1,((A3)+(1))+(0))),(INDEX(B5:B405,(B4)+(1)))+(B329),IF(("equals")=(INDEX(B1:XFD1,((A3)+(1))+(0))),(INDEX(B5:B405,(B4)+(1)))=(B329),IF(("leq")=(INDEX(B1:XFD1,((A3)+(1))+(0))),(INDEX(B5:B405,(B4)+(1)))&lt;=(B329),IF(("greater")=(INDEX(B1:XFD1,((A3)+(1))+(0))),(INDEX(B5:B405,(B4)+(1)))&gt;(B329),IF(("mod")=(INDEX(B1:XFD1,((A3)+(1))+(0))),MOD(INDEX(B5:B405,(B4)+(1)),B329),B329))))))))),B329))</f>
        <v>#VALUE!</v>
      </c>
      <c r="C329" t="e">
        <f ca="1">IF((A1)=(2),1,IF(AND((INDEX(B1:XFD1,((A3)+(1))+(0)))=("writeheap"),(INDEX(B5:B405,(B4)+(1)))=(324)),INDEX(B5:B405,(B4)+(2)),IF((A1)=(2),"",IF((325)=(C4),C329,C329))))</f>
        <v>#VALUE!</v>
      </c>
      <c r="F329" t="e">
        <f ca="1">IF((A1)=(2),"",IF((325)=(F4),IF(IF((INDEX(B1:XFD1,((A3)+(1))+(0)))=("store"),(INDEX(B1:XFD1,((A3)+(1))+(1)))=("F"),"false"),B3,F329),F329))</f>
        <v>#VALUE!</v>
      </c>
      <c r="G329" t="e">
        <f ca="1">IF((A1)=(2),"",IF((325)=(G4),IF(IF((INDEX(B1:XFD1,((A3)+(1))+(0)))=("store"),(INDEX(B1:XFD1,((A3)+(1))+(1)))=("G"),"false"),B3,G329),G329))</f>
        <v>#VALUE!</v>
      </c>
      <c r="H329" t="e">
        <f ca="1">IF((A1)=(2),"",IF((325)=(H4),IF(IF((INDEX(B1:XFD1,((A3)+(1))+(0)))=("store"),(INDEX(B1:XFD1,((A3)+(1))+(1)))=("H"),"false"),B3,H329),H329))</f>
        <v>#VALUE!</v>
      </c>
      <c r="I329" t="e">
        <f ca="1">IF((A1)=(2),"",IF((325)=(I4),IF(IF((INDEX(B1:XFD1,((A3)+(1))+(0)))=("store"),(INDEX(B1:XFD1,((A3)+(1))+(1)))=("I"),"false"),B3,I329),I329))</f>
        <v>#VALUE!</v>
      </c>
      <c r="J329" t="e">
        <f ca="1">IF((A1)=(2),"",IF((325)=(J4),IF(IF((INDEX(B1:XFD1,((A3)+(1))+(0)))=("store"),(INDEX(B1:XFD1,((A3)+(1))+(1)))=("J"),"false"),B3,J329),J329))</f>
        <v>#VALUE!</v>
      </c>
      <c r="K329" t="e">
        <f ca="1">IF((A1)=(2),"",IF((325)=(K4),IF(IF((INDEX(B1:XFD1,((A3)+(1))+(0)))=("store"),(INDEX(B1:XFD1,((A3)+(1))+(1)))=("K"),"false"),B3,K329),K329))</f>
        <v>#VALUE!</v>
      </c>
      <c r="L329" t="e">
        <f ca="1">IF((A1)=(2),"",IF((325)=(L4),IF(IF((INDEX(B1:XFD1,((A3)+(1))+(0)))=("store"),(INDEX(B1:XFD1,((A3)+(1))+(1)))=("L"),"false"),B3,L329),L329))</f>
        <v>#VALUE!</v>
      </c>
      <c r="M329" t="e">
        <f ca="1">IF((A1)=(2),"",IF((325)=(M4),IF(IF((INDEX(B1:XFD1,((A3)+(1))+(0)))=("store"),(INDEX(B1:XFD1,((A3)+(1))+(1)))=("M"),"false"),B3,M329),M329))</f>
        <v>#VALUE!</v>
      </c>
      <c r="N329" t="e">
        <f ca="1">IF((A1)=(2),"",IF((325)=(N4),IF(IF((INDEX(B1:XFD1,((A3)+(1))+(0)))=("store"),(INDEX(B1:XFD1,((A3)+(1))+(1)))=("N"),"false"),B3,N329),N329))</f>
        <v>#VALUE!</v>
      </c>
      <c r="O329" t="e">
        <f ca="1">IF((A1)=(2),"",IF((325)=(O4),IF(IF((INDEX(B1:XFD1,((A3)+(1))+(0)))=("store"),(INDEX(B1:XFD1,((A3)+(1))+(1)))=("O"),"false"),B3,O329),O329))</f>
        <v>#VALUE!</v>
      </c>
      <c r="P329" t="e">
        <f ca="1">IF((A1)=(2),"",IF((325)=(P4),IF(IF((INDEX(B1:XFD1,((A3)+(1))+(0)))=("store"),(INDEX(B1:XFD1,((A3)+(1))+(1)))=("P"),"false"),B3,P329),P329))</f>
        <v>#VALUE!</v>
      </c>
      <c r="Q329" t="e">
        <f ca="1">IF((A1)=(2),"",IF((325)=(Q4),IF(IF((INDEX(B1:XFD1,((A3)+(1))+(0)))=("store"),(INDEX(B1:XFD1,((A3)+(1))+(1)))=("Q"),"false"),B3,Q329),Q329))</f>
        <v>#VALUE!</v>
      </c>
      <c r="R329" t="e">
        <f ca="1">IF((A1)=(2),"",IF((325)=(R4),IF(IF((INDEX(B1:XFD1,((A3)+(1))+(0)))=("store"),(INDEX(B1:XFD1,((A3)+(1))+(1)))=("R"),"false"),B3,R329),R329))</f>
        <v>#VALUE!</v>
      </c>
      <c r="S329" t="e">
        <f ca="1">IF((A1)=(2),"",IF((325)=(S4),IF(IF((INDEX(B1:XFD1,((A3)+(1))+(0)))=("store"),(INDEX(B1:XFD1,((A3)+(1))+(1)))=("S"),"false"),B3,S329),S329))</f>
        <v>#VALUE!</v>
      </c>
      <c r="T329" t="e">
        <f ca="1">IF((A1)=(2),"",IF((325)=(T4),IF(IF((INDEX(B1:XFD1,((A3)+(1))+(0)))=("store"),(INDEX(B1:XFD1,((A3)+(1))+(1)))=("T"),"false"),B3,T329),T329))</f>
        <v>#VALUE!</v>
      </c>
      <c r="U329" t="e">
        <f ca="1">IF((A1)=(2),"",IF((325)=(U4),IF(IF((INDEX(B1:XFD1,((A3)+(1))+(0)))=("store"),(INDEX(B1:XFD1,((A3)+(1))+(1)))=("U"),"false"),B3,U329),U329))</f>
        <v>#VALUE!</v>
      </c>
      <c r="V329" t="e">
        <f ca="1">IF((A1)=(2),"",IF((325)=(V4),IF(IF((INDEX(B1:XFD1,((A3)+(1))+(0)))=("store"),(INDEX(B1:XFD1,((A3)+(1))+(1)))=("V"),"false"),B3,V329),V329))</f>
        <v>#VALUE!</v>
      </c>
      <c r="W329" t="e">
        <f ca="1">IF((A1)=(2),"",IF((325)=(W4),IF(IF((INDEX(B1:XFD1,((A3)+(1))+(0)))=("store"),(INDEX(B1:XFD1,((A3)+(1))+(1)))=("W"),"false"),B3,W329),W329))</f>
        <v>#VALUE!</v>
      </c>
      <c r="X329" t="e">
        <f ca="1">IF((A1)=(2),"",IF((325)=(X4),IF(IF((INDEX(B1:XFD1,((A3)+(1))+(0)))=("store"),(INDEX(B1:XFD1,((A3)+(1))+(1)))=("X"),"false"),B3,X329),X329))</f>
        <v>#VALUE!</v>
      </c>
      <c r="Y329" t="e">
        <f ca="1">IF((A1)=(2),"",IF((325)=(Y4),IF(IF((INDEX(B1:XFD1,((A3)+(1))+(0)))=("store"),(INDEX(B1:XFD1,((A3)+(1))+(1)))=("Y"),"false"),B3,Y329),Y329))</f>
        <v>#VALUE!</v>
      </c>
      <c r="Z329" t="e">
        <f ca="1">IF((A1)=(2),"",IF((325)=(Z4),IF(IF((INDEX(B1:XFD1,((A3)+(1))+(0)))=("store"),(INDEX(B1:XFD1,((A3)+(1))+(1)))=("Z"),"false"),B3,Z329),Z329))</f>
        <v>#VALUE!</v>
      </c>
      <c r="AA329" t="e">
        <f ca="1">IF((A1)=(2),"",IF((325)=(AA4),IF(IF((INDEX(B1:XFD1,((A3)+(1))+(0)))=("store"),(INDEX(B1:XFD1,((A3)+(1))+(1)))=("AA"),"false"),B3,AA329),AA329))</f>
        <v>#VALUE!</v>
      </c>
      <c r="AB329" t="e">
        <f ca="1">IF((A1)=(2),"",IF((325)=(AB4),IF(IF((INDEX(B1:XFD1,((A3)+(1))+(0)))=("store"),(INDEX(B1:XFD1,((A3)+(1))+(1)))=("AB"),"false"),B3,AB329),AB329))</f>
        <v>#VALUE!</v>
      </c>
      <c r="AC329" t="e">
        <f ca="1">IF((A1)=(2),"",IF((325)=(AC4),IF(IF((INDEX(B1:XFD1,((A3)+(1))+(0)))=("store"),(INDEX(B1:XFD1,((A3)+(1))+(1)))=("AC"),"false"),B3,AC329),AC329))</f>
        <v>#VALUE!</v>
      </c>
      <c r="AD329" t="e">
        <f ca="1">IF((A1)=(2),"",IF((325)=(AD4),IF(IF((INDEX(B1:XFD1,((A3)+(1))+(0)))=("store"),(INDEX(B1:XFD1,((A3)+(1))+(1)))=("AD"),"false"),B3,AD329),AD329))</f>
        <v>#VALUE!</v>
      </c>
    </row>
    <row r="330" spans="1:30" x14ac:dyDescent="0.25">
      <c r="A330" t="e">
        <f ca="1">IF((A1)=(2),"",IF((326)=(A4),IF(("call")=(INDEX(B1:XFD1,((A3)+(1))+(0))),(B3)*(2),IF(("goto")=(INDEX(B1:XFD1,((A3)+(1))+(0))),(INDEX(B1:XFD1,((A3)+(1))+(1)))*(2),IF(("gotoiftrue")=(INDEX(B1:XFD1,((A3)+(1))+(0))),IF(B3,(INDEX(B1:XFD1,((A3)+(1))+(1)))*(2),(A330)+(2)),(A330)+(2)))),A330))</f>
        <v>#VALUE!</v>
      </c>
      <c r="B330" t="e">
        <f ca="1">IF((A1)=(2),"",IF((326)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330)+(1)),IF(("add")=(INDEX(B1:XFD1,((A3)+(1))+(0))),(INDEX(B5:B405,(B4)+(1)))+(B330),IF(("equals")=(INDEX(B1:XFD1,((A3)+(1))+(0))),(INDEX(B5:B405,(B4)+(1)))=(B330),IF(("leq")=(INDEX(B1:XFD1,((A3)+(1))+(0))),(INDEX(B5:B405,(B4)+(1)))&lt;=(B330),IF(("greater")=(INDEX(B1:XFD1,((A3)+(1))+(0))),(INDEX(B5:B405,(B4)+(1)))&gt;(B330),IF(("mod")=(INDEX(B1:XFD1,((A3)+(1))+(0))),MOD(INDEX(B5:B405,(B4)+(1)),B330),B330))))))))),B330))</f>
        <v>#VALUE!</v>
      </c>
      <c r="C330" t="e">
        <f ca="1">IF((A1)=(2),1,IF(AND((INDEX(B1:XFD1,((A3)+(1))+(0)))=("writeheap"),(INDEX(B5:B405,(B4)+(1)))=(325)),INDEX(B5:B405,(B4)+(2)),IF((A1)=(2),"",IF((326)=(C4),C330,C330))))</f>
        <v>#VALUE!</v>
      </c>
      <c r="F330" t="e">
        <f ca="1">IF((A1)=(2),"",IF((326)=(F4),IF(IF((INDEX(B1:XFD1,((A3)+(1))+(0)))=("store"),(INDEX(B1:XFD1,((A3)+(1))+(1)))=("F"),"false"),B3,F330),F330))</f>
        <v>#VALUE!</v>
      </c>
      <c r="G330" t="e">
        <f ca="1">IF((A1)=(2),"",IF((326)=(G4),IF(IF((INDEX(B1:XFD1,((A3)+(1))+(0)))=("store"),(INDEX(B1:XFD1,((A3)+(1))+(1)))=("G"),"false"),B3,G330),G330))</f>
        <v>#VALUE!</v>
      </c>
      <c r="H330" t="e">
        <f ca="1">IF((A1)=(2),"",IF((326)=(H4),IF(IF((INDEX(B1:XFD1,((A3)+(1))+(0)))=("store"),(INDEX(B1:XFD1,((A3)+(1))+(1)))=("H"),"false"),B3,H330),H330))</f>
        <v>#VALUE!</v>
      </c>
      <c r="I330" t="e">
        <f ca="1">IF((A1)=(2),"",IF((326)=(I4),IF(IF((INDEX(B1:XFD1,((A3)+(1))+(0)))=("store"),(INDEX(B1:XFD1,((A3)+(1))+(1)))=("I"),"false"),B3,I330),I330))</f>
        <v>#VALUE!</v>
      </c>
      <c r="J330" t="e">
        <f ca="1">IF((A1)=(2),"",IF((326)=(J4),IF(IF((INDEX(B1:XFD1,((A3)+(1))+(0)))=("store"),(INDEX(B1:XFD1,((A3)+(1))+(1)))=("J"),"false"),B3,J330),J330))</f>
        <v>#VALUE!</v>
      </c>
      <c r="K330" t="e">
        <f ca="1">IF((A1)=(2),"",IF((326)=(K4),IF(IF((INDEX(B1:XFD1,((A3)+(1))+(0)))=("store"),(INDEX(B1:XFD1,((A3)+(1))+(1)))=("K"),"false"),B3,K330),K330))</f>
        <v>#VALUE!</v>
      </c>
      <c r="L330" t="e">
        <f ca="1">IF((A1)=(2),"",IF((326)=(L4),IF(IF((INDEX(B1:XFD1,((A3)+(1))+(0)))=("store"),(INDEX(B1:XFD1,((A3)+(1))+(1)))=("L"),"false"),B3,L330),L330))</f>
        <v>#VALUE!</v>
      </c>
      <c r="M330" t="e">
        <f ca="1">IF((A1)=(2),"",IF((326)=(M4),IF(IF((INDEX(B1:XFD1,((A3)+(1))+(0)))=("store"),(INDEX(B1:XFD1,((A3)+(1))+(1)))=("M"),"false"),B3,M330),M330))</f>
        <v>#VALUE!</v>
      </c>
      <c r="N330" t="e">
        <f ca="1">IF((A1)=(2),"",IF((326)=(N4),IF(IF((INDEX(B1:XFD1,((A3)+(1))+(0)))=("store"),(INDEX(B1:XFD1,((A3)+(1))+(1)))=("N"),"false"),B3,N330),N330))</f>
        <v>#VALUE!</v>
      </c>
      <c r="O330" t="e">
        <f ca="1">IF((A1)=(2),"",IF((326)=(O4),IF(IF((INDEX(B1:XFD1,((A3)+(1))+(0)))=("store"),(INDEX(B1:XFD1,((A3)+(1))+(1)))=("O"),"false"),B3,O330),O330))</f>
        <v>#VALUE!</v>
      </c>
      <c r="P330" t="e">
        <f ca="1">IF((A1)=(2),"",IF((326)=(P4),IF(IF((INDEX(B1:XFD1,((A3)+(1))+(0)))=("store"),(INDEX(B1:XFD1,((A3)+(1))+(1)))=("P"),"false"),B3,P330),P330))</f>
        <v>#VALUE!</v>
      </c>
      <c r="Q330" t="e">
        <f ca="1">IF((A1)=(2),"",IF((326)=(Q4),IF(IF((INDEX(B1:XFD1,((A3)+(1))+(0)))=("store"),(INDEX(B1:XFD1,((A3)+(1))+(1)))=("Q"),"false"),B3,Q330),Q330))</f>
        <v>#VALUE!</v>
      </c>
      <c r="R330" t="e">
        <f ca="1">IF((A1)=(2),"",IF((326)=(R4),IF(IF((INDEX(B1:XFD1,((A3)+(1))+(0)))=("store"),(INDEX(B1:XFD1,((A3)+(1))+(1)))=("R"),"false"),B3,R330),R330))</f>
        <v>#VALUE!</v>
      </c>
      <c r="S330" t="e">
        <f ca="1">IF((A1)=(2),"",IF((326)=(S4),IF(IF((INDEX(B1:XFD1,((A3)+(1))+(0)))=("store"),(INDEX(B1:XFD1,((A3)+(1))+(1)))=("S"),"false"),B3,S330),S330))</f>
        <v>#VALUE!</v>
      </c>
      <c r="T330" t="e">
        <f ca="1">IF((A1)=(2),"",IF((326)=(T4),IF(IF((INDEX(B1:XFD1,((A3)+(1))+(0)))=("store"),(INDEX(B1:XFD1,((A3)+(1))+(1)))=("T"),"false"),B3,T330),T330))</f>
        <v>#VALUE!</v>
      </c>
      <c r="U330" t="e">
        <f ca="1">IF((A1)=(2),"",IF((326)=(U4),IF(IF((INDEX(B1:XFD1,((A3)+(1))+(0)))=("store"),(INDEX(B1:XFD1,((A3)+(1))+(1)))=("U"),"false"),B3,U330),U330))</f>
        <v>#VALUE!</v>
      </c>
      <c r="V330" t="e">
        <f ca="1">IF((A1)=(2),"",IF((326)=(V4),IF(IF((INDEX(B1:XFD1,((A3)+(1))+(0)))=("store"),(INDEX(B1:XFD1,((A3)+(1))+(1)))=("V"),"false"),B3,V330),V330))</f>
        <v>#VALUE!</v>
      </c>
      <c r="W330" t="e">
        <f ca="1">IF((A1)=(2),"",IF((326)=(W4),IF(IF((INDEX(B1:XFD1,((A3)+(1))+(0)))=("store"),(INDEX(B1:XFD1,((A3)+(1))+(1)))=("W"),"false"),B3,W330),W330))</f>
        <v>#VALUE!</v>
      </c>
      <c r="X330" t="e">
        <f ca="1">IF((A1)=(2),"",IF((326)=(X4),IF(IF((INDEX(B1:XFD1,((A3)+(1))+(0)))=("store"),(INDEX(B1:XFD1,((A3)+(1))+(1)))=("X"),"false"),B3,X330),X330))</f>
        <v>#VALUE!</v>
      </c>
      <c r="Y330" t="e">
        <f ca="1">IF((A1)=(2),"",IF((326)=(Y4),IF(IF((INDEX(B1:XFD1,((A3)+(1))+(0)))=("store"),(INDEX(B1:XFD1,((A3)+(1))+(1)))=("Y"),"false"),B3,Y330),Y330))</f>
        <v>#VALUE!</v>
      </c>
      <c r="Z330" t="e">
        <f ca="1">IF((A1)=(2),"",IF((326)=(Z4),IF(IF((INDEX(B1:XFD1,((A3)+(1))+(0)))=("store"),(INDEX(B1:XFD1,((A3)+(1))+(1)))=("Z"),"false"),B3,Z330),Z330))</f>
        <v>#VALUE!</v>
      </c>
      <c r="AA330" t="e">
        <f ca="1">IF((A1)=(2),"",IF((326)=(AA4),IF(IF((INDEX(B1:XFD1,((A3)+(1))+(0)))=("store"),(INDEX(B1:XFD1,((A3)+(1))+(1)))=("AA"),"false"),B3,AA330),AA330))</f>
        <v>#VALUE!</v>
      </c>
      <c r="AB330" t="e">
        <f ca="1">IF((A1)=(2),"",IF((326)=(AB4),IF(IF((INDEX(B1:XFD1,((A3)+(1))+(0)))=("store"),(INDEX(B1:XFD1,((A3)+(1))+(1)))=("AB"),"false"),B3,AB330),AB330))</f>
        <v>#VALUE!</v>
      </c>
      <c r="AC330" t="e">
        <f ca="1">IF((A1)=(2),"",IF((326)=(AC4),IF(IF((INDEX(B1:XFD1,((A3)+(1))+(0)))=("store"),(INDEX(B1:XFD1,((A3)+(1))+(1)))=("AC"),"false"),B3,AC330),AC330))</f>
        <v>#VALUE!</v>
      </c>
      <c r="AD330" t="e">
        <f ca="1">IF((A1)=(2),"",IF((326)=(AD4),IF(IF((INDEX(B1:XFD1,((A3)+(1))+(0)))=("store"),(INDEX(B1:XFD1,((A3)+(1))+(1)))=("AD"),"false"),B3,AD330),AD330))</f>
        <v>#VALUE!</v>
      </c>
    </row>
    <row r="331" spans="1:30" x14ac:dyDescent="0.25">
      <c r="A331" t="e">
        <f ca="1">IF((A1)=(2),"",IF((327)=(A4),IF(("call")=(INDEX(B1:XFD1,((A3)+(1))+(0))),(B3)*(2),IF(("goto")=(INDEX(B1:XFD1,((A3)+(1))+(0))),(INDEX(B1:XFD1,((A3)+(1))+(1)))*(2),IF(("gotoiftrue")=(INDEX(B1:XFD1,((A3)+(1))+(0))),IF(B3,(INDEX(B1:XFD1,((A3)+(1))+(1)))*(2),(A331)+(2)),(A331)+(2)))),A331))</f>
        <v>#VALUE!</v>
      </c>
      <c r="B331" t="e">
        <f ca="1">IF((A1)=(2),"",IF((327)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331)+(1)),IF(("add")=(INDEX(B1:XFD1,((A3)+(1))+(0))),(INDEX(B5:B405,(B4)+(1)))+(B331),IF(("equals")=(INDEX(B1:XFD1,((A3)+(1))+(0))),(INDEX(B5:B405,(B4)+(1)))=(B331),IF(("leq")=(INDEX(B1:XFD1,((A3)+(1))+(0))),(INDEX(B5:B405,(B4)+(1)))&lt;=(B331),IF(("greater")=(INDEX(B1:XFD1,((A3)+(1))+(0))),(INDEX(B5:B405,(B4)+(1)))&gt;(B331),IF(("mod")=(INDEX(B1:XFD1,((A3)+(1))+(0))),MOD(INDEX(B5:B405,(B4)+(1)),B331),B331))))))))),B331))</f>
        <v>#VALUE!</v>
      </c>
      <c r="C331" t="e">
        <f ca="1">IF((A1)=(2),1,IF(AND((INDEX(B1:XFD1,((A3)+(1))+(0)))=("writeheap"),(INDEX(B5:B405,(B4)+(1)))=(326)),INDEX(B5:B405,(B4)+(2)),IF((A1)=(2),"",IF((327)=(C4),C331,C331))))</f>
        <v>#VALUE!</v>
      </c>
      <c r="F331" t="e">
        <f ca="1">IF((A1)=(2),"",IF((327)=(F4),IF(IF((INDEX(B1:XFD1,((A3)+(1))+(0)))=("store"),(INDEX(B1:XFD1,((A3)+(1))+(1)))=("F"),"false"),B3,F331),F331))</f>
        <v>#VALUE!</v>
      </c>
      <c r="G331" t="e">
        <f ca="1">IF((A1)=(2),"",IF((327)=(G4),IF(IF((INDEX(B1:XFD1,((A3)+(1))+(0)))=("store"),(INDEX(B1:XFD1,((A3)+(1))+(1)))=("G"),"false"),B3,G331),G331))</f>
        <v>#VALUE!</v>
      </c>
      <c r="H331" t="e">
        <f ca="1">IF((A1)=(2),"",IF((327)=(H4),IF(IF((INDEX(B1:XFD1,((A3)+(1))+(0)))=("store"),(INDEX(B1:XFD1,((A3)+(1))+(1)))=("H"),"false"),B3,H331),H331))</f>
        <v>#VALUE!</v>
      </c>
      <c r="I331" t="e">
        <f ca="1">IF((A1)=(2),"",IF((327)=(I4),IF(IF((INDEX(B1:XFD1,((A3)+(1))+(0)))=("store"),(INDEX(B1:XFD1,((A3)+(1))+(1)))=("I"),"false"),B3,I331),I331))</f>
        <v>#VALUE!</v>
      </c>
      <c r="J331" t="e">
        <f ca="1">IF((A1)=(2),"",IF((327)=(J4),IF(IF((INDEX(B1:XFD1,((A3)+(1))+(0)))=("store"),(INDEX(B1:XFD1,((A3)+(1))+(1)))=("J"),"false"),B3,J331),J331))</f>
        <v>#VALUE!</v>
      </c>
      <c r="K331" t="e">
        <f ca="1">IF((A1)=(2),"",IF((327)=(K4),IF(IF((INDEX(B1:XFD1,((A3)+(1))+(0)))=("store"),(INDEX(B1:XFD1,((A3)+(1))+(1)))=("K"),"false"),B3,K331),K331))</f>
        <v>#VALUE!</v>
      </c>
      <c r="L331" t="e">
        <f ca="1">IF((A1)=(2),"",IF((327)=(L4),IF(IF((INDEX(B1:XFD1,((A3)+(1))+(0)))=("store"),(INDEX(B1:XFD1,((A3)+(1))+(1)))=("L"),"false"),B3,L331),L331))</f>
        <v>#VALUE!</v>
      </c>
      <c r="M331" t="e">
        <f ca="1">IF((A1)=(2),"",IF((327)=(M4),IF(IF((INDEX(B1:XFD1,((A3)+(1))+(0)))=("store"),(INDEX(B1:XFD1,((A3)+(1))+(1)))=("M"),"false"),B3,M331),M331))</f>
        <v>#VALUE!</v>
      </c>
      <c r="N331" t="e">
        <f ca="1">IF((A1)=(2),"",IF((327)=(N4),IF(IF((INDEX(B1:XFD1,((A3)+(1))+(0)))=("store"),(INDEX(B1:XFD1,((A3)+(1))+(1)))=("N"),"false"),B3,N331),N331))</f>
        <v>#VALUE!</v>
      </c>
      <c r="O331" t="e">
        <f ca="1">IF((A1)=(2),"",IF((327)=(O4),IF(IF((INDEX(B1:XFD1,((A3)+(1))+(0)))=("store"),(INDEX(B1:XFD1,((A3)+(1))+(1)))=("O"),"false"),B3,O331),O331))</f>
        <v>#VALUE!</v>
      </c>
      <c r="P331" t="e">
        <f ca="1">IF((A1)=(2),"",IF((327)=(P4),IF(IF((INDEX(B1:XFD1,((A3)+(1))+(0)))=("store"),(INDEX(B1:XFD1,((A3)+(1))+(1)))=("P"),"false"),B3,P331),P331))</f>
        <v>#VALUE!</v>
      </c>
      <c r="Q331" t="e">
        <f ca="1">IF((A1)=(2),"",IF((327)=(Q4),IF(IF((INDEX(B1:XFD1,((A3)+(1))+(0)))=("store"),(INDEX(B1:XFD1,((A3)+(1))+(1)))=("Q"),"false"),B3,Q331),Q331))</f>
        <v>#VALUE!</v>
      </c>
      <c r="R331" t="e">
        <f ca="1">IF((A1)=(2),"",IF((327)=(R4),IF(IF((INDEX(B1:XFD1,((A3)+(1))+(0)))=("store"),(INDEX(B1:XFD1,((A3)+(1))+(1)))=("R"),"false"),B3,R331),R331))</f>
        <v>#VALUE!</v>
      </c>
      <c r="S331" t="e">
        <f ca="1">IF((A1)=(2),"",IF((327)=(S4),IF(IF((INDEX(B1:XFD1,((A3)+(1))+(0)))=("store"),(INDEX(B1:XFD1,((A3)+(1))+(1)))=("S"),"false"),B3,S331),S331))</f>
        <v>#VALUE!</v>
      </c>
      <c r="T331" t="e">
        <f ca="1">IF((A1)=(2),"",IF((327)=(T4),IF(IF((INDEX(B1:XFD1,((A3)+(1))+(0)))=("store"),(INDEX(B1:XFD1,((A3)+(1))+(1)))=("T"),"false"),B3,T331),T331))</f>
        <v>#VALUE!</v>
      </c>
      <c r="U331" t="e">
        <f ca="1">IF((A1)=(2),"",IF((327)=(U4),IF(IF((INDEX(B1:XFD1,((A3)+(1))+(0)))=("store"),(INDEX(B1:XFD1,((A3)+(1))+(1)))=("U"),"false"),B3,U331),U331))</f>
        <v>#VALUE!</v>
      </c>
      <c r="V331" t="e">
        <f ca="1">IF((A1)=(2),"",IF((327)=(V4),IF(IF((INDEX(B1:XFD1,((A3)+(1))+(0)))=("store"),(INDEX(B1:XFD1,((A3)+(1))+(1)))=("V"),"false"),B3,V331),V331))</f>
        <v>#VALUE!</v>
      </c>
      <c r="W331" t="e">
        <f ca="1">IF((A1)=(2),"",IF((327)=(W4),IF(IF((INDEX(B1:XFD1,((A3)+(1))+(0)))=("store"),(INDEX(B1:XFD1,((A3)+(1))+(1)))=("W"),"false"),B3,W331),W331))</f>
        <v>#VALUE!</v>
      </c>
      <c r="X331" t="e">
        <f ca="1">IF((A1)=(2),"",IF((327)=(X4),IF(IF((INDEX(B1:XFD1,((A3)+(1))+(0)))=("store"),(INDEX(B1:XFD1,((A3)+(1))+(1)))=("X"),"false"),B3,X331),X331))</f>
        <v>#VALUE!</v>
      </c>
      <c r="Y331" t="e">
        <f ca="1">IF((A1)=(2),"",IF((327)=(Y4),IF(IF((INDEX(B1:XFD1,((A3)+(1))+(0)))=("store"),(INDEX(B1:XFD1,((A3)+(1))+(1)))=("Y"),"false"),B3,Y331),Y331))</f>
        <v>#VALUE!</v>
      </c>
      <c r="Z331" t="e">
        <f ca="1">IF((A1)=(2),"",IF((327)=(Z4),IF(IF((INDEX(B1:XFD1,((A3)+(1))+(0)))=("store"),(INDEX(B1:XFD1,((A3)+(1))+(1)))=("Z"),"false"),B3,Z331),Z331))</f>
        <v>#VALUE!</v>
      </c>
      <c r="AA331" t="e">
        <f ca="1">IF((A1)=(2),"",IF((327)=(AA4),IF(IF((INDEX(B1:XFD1,((A3)+(1))+(0)))=("store"),(INDEX(B1:XFD1,((A3)+(1))+(1)))=("AA"),"false"),B3,AA331),AA331))</f>
        <v>#VALUE!</v>
      </c>
      <c r="AB331" t="e">
        <f ca="1">IF((A1)=(2),"",IF((327)=(AB4),IF(IF((INDEX(B1:XFD1,((A3)+(1))+(0)))=("store"),(INDEX(B1:XFD1,((A3)+(1))+(1)))=("AB"),"false"),B3,AB331),AB331))</f>
        <v>#VALUE!</v>
      </c>
      <c r="AC331" t="e">
        <f ca="1">IF((A1)=(2),"",IF((327)=(AC4),IF(IF((INDEX(B1:XFD1,((A3)+(1))+(0)))=("store"),(INDEX(B1:XFD1,((A3)+(1))+(1)))=("AC"),"false"),B3,AC331),AC331))</f>
        <v>#VALUE!</v>
      </c>
      <c r="AD331" t="e">
        <f ca="1">IF((A1)=(2),"",IF((327)=(AD4),IF(IF((INDEX(B1:XFD1,((A3)+(1))+(0)))=("store"),(INDEX(B1:XFD1,((A3)+(1))+(1)))=("AD"),"false"),B3,AD331),AD331))</f>
        <v>#VALUE!</v>
      </c>
    </row>
    <row r="332" spans="1:30" x14ac:dyDescent="0.25">
      <c r="A332" t="e">
        <f ca="1">IF((A1)=(2),"",IF((328)=(A4),IF(("call")=(INDEX(B1:XFD1,((A3)+(1))+(0))),(B3)*(2),IF(("goto")=(INDEX(B1:XFD1,((A3)+(1))+(0))),(INDEX(B1:XFD1,((A3)+(1))+(1)))*(2),IF(("gotoiftrue")=(INDEX(B1:XFD1,((A3)+(1))+(0))),IF(B3,(INDEX(B1:XFD1,((A3)+(1))+(1)))*(2),(A332)+(2)),(A332)+(2)))),A332))</f>
        <v>#VALUE!</v>
      </c>
      <c r="B332" t="e">
        <f ca="1">IF((A1)=(2),"",IF((328)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332)+(1)),IF(("add")=(INDEX(B1:XFD1,((A3)+(1))+(0))),(INDEX(B5:B405,(B4)+(1)))+(B332),IF(("equals")=(INDEX(B1:XFD1,((A3)+(1))+(0))),(INDEX(B5:B405,(B4)+(1)))=(B332),IF(("leq")=(INDEX(B1:XFD1,((A3)+(1))+(0))),(INDEX(B5:B405,(B4)+(1)))&lt;=(B332),IF(("greater")=(INDEX(B1:XFD1,((A3)+(1))+(0))),(INDEX(B5:B405,(B4)+(1)))&gt;(B332),IF(("mod")=(INDEX(B1:XFD1,((A3)+(1))+(0))),MOD(INDEX(B5:B405,(B4)+(1)),B332),B332))))))))),B332))</f>
        <v>#VALUE!</v>
      </c>
      <c r="C332" t="e">
        <f ca="1">IF((A1)=(2),1,IF(AND((INDEX(B1:XFD1,((A3)+(1))+(0)))=("writeheap"),(INDEX(B5:B405,(B4)+(1)))=(327)),INDEX(B5:B405,(B4)+(2)),IF((A1)=(2),"",IF((328)=(C4),C332,C332))))</f>
        <v>#VALUE!</v>
      </c>
      <c r="F332" t="e">
        <f ca="1">IF((A1)=(2),"",IF((328)=(F4),IF(IF((INDEX(B1:XFD1,((A3)+(1))+(0)))=("store"),(INDEX(B1:XFD1,((A3)+(1))+(1)))=("F"),"false"),B3,F332),F332))</f>
        <v>#VALUE!</v>
      </c>
      <c r="G332" t="e">
        <f ca="1">IF((A1)=(2),"",IF((328)=(G4),IF(IF((INDEX(B1:XFD1,((A3)+(1))+(0)))=("store"),(INDEX(B1:XFD1,((A3)+(1))+(1)))=("G"),"false"),B3,G332),G332))</f>
        <v>#VALUE!</v>
      </c>
      <c r="H332" t="e">
        <f ca="1">IF((A1)=(2),"",IF((328)=(H4),IF(IF((INDEX(B1:XFD1,((A3)+(1))+(0)))=("store"),(INDEX(B1:XFD1,((A3)+(1))+(1)))=("H"),"false"),B3,H332),H332))</f>
        <v>#VALUE!</v>
      </c>
      <c r="I332" t="e">
        <f ca="1">IF((A1)=(2),"",IF((328)=(I4),IF(IF((INDEX(B1:XFD1,((A3)+(1))+(0)))=("store"),(INDEX(B1:XFD1,((A3)+(1))+(1)))=("I"),"false"),B3,I332),I332))</f>
        <v>#VALUE!</v>
      </c>
      <c r="J332" t="e">
        <f ca="1">IF((A1)=(2),"",IF((328)=(J4),IF(IF((INDEX(B1:XFD1,((A3)+(1))+(0)))=("store"),(INDEX(B1:XFD1,((A3)+(1))+(1)))=("J"),"false"),B3,J332),J332))</f>
        <v>#VALUE!</v>
      </c>
      <c r="K332" t="e">
        <f ca="1">IF((A1)=(2),"",IF((328)=(K4),IF(IF((INDEX(B1:XFD1,((A3)+(1))+(0)))=("store"),(INDEX(B1:XFD1,((A3)+(1))+(1)))=("K"),"false"),B3,K332),K332))</f>
        <v>#VALUE!</v>
      </c>
      <c r="L332" t="e">
        <f ca="1">IF((A1)=(2),"",IF((328)=(L4),IF(IF((INDEX(B1:XFD1,((A3)+(1))+(0)))=("store"),(INDEX(B1:XFD1,((A3)+(1))+(1)))=("L"),"false"),B3,L332),L332))</f>
        <v>#VALUE!</v>
      </c>
      <c r="M332" t="e">
        <f ca="1">IF((A1)=(2),"",IF((328)=(M4),IF(IF((INDEX(B1:XFD1,((A3)+(1))+(0)))=("store"),(INDEX(B1:XFD1,((A3)+(1))+(1)))=("M"),"false"),B3,M332),M332))</f>
        <v>#VALUE!</v>
      </c>
      <c r="N332" t="e">
        <f ca="1">IF((A1)=(2),"",IF((328)=(N4),IF(IF((INDEX(B1:XFD1,((A3)+(1))+(0)))=("store"),(INDEX(B1:XFD1,((A3)+(1))+(1)))=("N"),"false"),B3,N332),N332))</f>
        <v>#VALUE!</v>
      </c>
      <c r="O332" t="e">
        <f ca="1">IF((A1)=(2),"",IF((328)=(O4),IF(IF((INDEX(B1:XFD1,((A3)+(1))+(0)))=("store"),(INDEX(B1:XFD1,((A3)+(1))+(1)))=("O"),"false"),B3,O332),O332))</f>
        <v>#VALUE!</v>
      </c>
      <c r="P332" t="e">
        <f ca="1">IF((A1)=(2),"",IF((328)=(P4),IF(IF((INDEX(B1:XFD1,((A3)+(1))+(0)))=("store"),(INDEX(B1:XFD1,((A3)+(1))+(1)))=("P"),"false"),B3,P332),P332))</f>
        <v>#VALUE!</v>
      </c>
      <c r="Q332" t="e">
        <f ca="1">IF((A1)=(2),"",IF((328)=(Q4),IF(IF((INDEX(B1:XFD1,((A3)+(1))+(0)))=("store"),(INDEX(B1:XFD1,((A3)+(1))+(1)))=("Q"),"false"),B3,Q332),Q332))</f>
        <v>#VALUE!</v>
      </c>
      <c r="R332" t="e">
        <f ca="1">IF((A1)=(2),"",IF((328)=(R4),IF(IF((INDEX(B1:XFD1,((A3)+(1))+(0)))=("store"),(INDEX(B1:XFD1,((A3)+(1))+(1)))=("R"),"false"),B3,R332),R332))</f>
        <v>#VALUE!</v>
      </c>
      <c r="S332" t="e">
        <f ca="1">IF((A1)=(2),"",IF((328)=(S4),IF(IF((INDEX(B1:XFD1,((A3)+(1))+(0)))=("store"),(INDEX(B1:XFD1,((A3)+(1))+(1)))=("S"),"false"),B3,S332),S332))</f>
        <v>#VALUE!</v>
      </c>
      <c r="T332" t="e">
        <f ca="1">IF((A1)=(2),"",IF((328)=(T4),IF(IF((INDEX(B1:XFD1,((A3)+(1))+(0)))=("store"),(INDEX(B1:XFD1,((A3)+(1))+(1)))=("T"),"false"),B3,T332),T332))</f>
        <v>#VALUE!</v>
      </c>
      <c r="U332" t="e">
        <f ca="1">IF((A1)=(2),"",IF((328)=(U4),IF(IF((INDEX(B1:XFD1,((A3)+(1))+(0)))=("store"),(INDEX(B1:XFD1,((A3)+(1))+(1)))=("U"),"false"),B3,U332),U332))</f>
        <v>#VALUE!</v>
      </c>
      <c r="V332" t="e">
        <f ca="1">IF((A1)=(2),"",IF((328)=(V4),IF(IF((INDEX(B1:XFD1,((A3)+(1))+(0)))=("store"),(INDEX(B1:XFD1,((A3)+(1))+(1)))=("V"),"false"),B3,V332),V332))</f>
        <v>#VALUE!</v>
      </c>
      <c r="W332" t="e">
        <f ca="1">IF((A1)=(2),"",IF((328)=(W4),IF(IF((INDEX(B1:XFD1,((A3)+(1))+(0)))=("store"),(INDEX(B1:XFD1,((A3)+(1))+(1)))=("W"),"false"),B3,W332),W332))</f>
        <v>#VALUE!</v>
      </c>
      <c r="X332" t="e">
        <f ca="1">IF((A1)=(2),"",IF((328)=(X4),IF(IF((INDEX(B1:XFD1,((A3)+(1))+(0)))=("store"),(INDEX(B1:XFD1,((A3)+(1))+(1)))=("X"),"false"),B3,X332),X332))</f>
        <v>#VALUE!</v>
      </c>
      <c r="Y332" t="e">
        <f ca="1">IF((A1)=(2),"",IF((328)=(Y4),IF(IF((INDEX(B1:XFD1,((A3)+(1))+(0)))=("store"),(INDEX(B1:XFD1,((A3)+(1))+(1)))=("Y"),"false"),B3,Y332),Y332))</f>
        <v>#VALUE!</v>
      </c>
      <c r="Z332" t="e">
        <f ca="1">IF((A1)=(2),"",IF((328)=(Z4),IF(IF((INDEX(B1:XFD1,((A3)+(1))+(0)))=("store"),(INDEX(B1:XFD1,((A3)+(1))+(1)))=("Z"),"false"),B3,Z332),Z332))</f>
        <v>#VALUE!</v>
      </c>
      <c r="AA332" t="e">
        <f ca="1">IF((A1)=(2),"",IF((328)=(AA4),IF(IF((INDEX(B1:XFD1,((A3)+(1))+(0)))=("store"),(INDEX(B1:XFD1,((A3)+(1))+(1)))=("AA"),"false"),B3,AA332),AA332))</f>
        <v>#VALUE!</v>
      </c>
      <c r="AB332" t="e">
        <f ca="1">IF((A1)=(2),"",IF((328)=(AB4),IF(IF((INDEX(B1:XFD1,((A3)+(1))+(0)))=("store"),(INDEX(B1:XFD1,((A3)+(1))+(1)))=("AB"),"false"),B3,AB332),AB332))</f>
        <v>#VALUE!</v>
      </c>
      <c r="AC332" t="e">
        <f ca="1">IF((A1)=(2),"",IF((328)=(AC4),IF(IF((INDEX(B1:XFD1,((A3)+(1))+(0)))=("store"),(INDEX(B1:XFD1,((A3)+(1))+(1)))=("AC"),"false"),B3,AC332),AC332))</f>
        <v>#VALUE!</v>
      </c>
      <c r="AD332" t="e">
        <f ca="1">IF((A1)=(2),"",IF((328)=(AD4),IF(IF((INDEX(B1:XFD1,((A3)+(1))+(0)))=("store"),(INDEX(B1:XFD1,((A3)+(1))+(1)))=("AD"),"false"),B3,AD332),AD332))</f>
        <v>#VALUE!</v>
      </c>
    </row>
    <row r="333" spans="1:30" x14ac:dyDescent="0.25">
      <c r="A333" t="e">
        <f ca="1">IF((A1)=(2),"",IF((329)=(A4),IF(("call")=(INDEX(B1:XFD1,((A3)+(1))+(0))),(B3)*(2),IF(("goto")=(INDEX(B1:XFD1,((A3)+(1))+(0))),(INDEX(B1:XFD1,((A3)+(1))+(1)))*(2),IF(("gotoiftrue")=(INDEX(B1:XFD1,((A3)+(1))+(0))),IF(B3,(INDEX(B1:XFD1,((A3)+(1))+(1)))*(2),(A333)+(2)),(A333)+(2)))),A333))</f>
        <v>#VALUE!</v>
      </c>
      <c r="B333" t="e">
        <f ca="1">IF((A1)=(2),"",IF((329)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333)+(1)),IF(("add")=(INDEX(B1:XFD1,((A3)+(1))+(0))),(INDEX(B5:B405,(B4)+(1)))+(B333),IF(("equals")=(INDEX(B1:XFD1,((A3)+(1))+(0))),(INDEX(B5:B405,(B4)+(1)))=(B333),IF(("leq")=(INDEX(B1:XFD1,((A3)+(1))+(0))),(INDEX(B5:B405,(B4)+(1)))&lt;=(B333),IF(("greater")=(INDEX(B1:XFD1,((A3)+(1))+(0))),(INDEX(B5:B405,(B4)+(1)))&gt;(B333),IF(("mod")=(INDEX(B1:XFD1,((A3)+(1))+(0))),MOD(INDEX(B5:B405,(B4)+(1)),B333),B333))))))))),B333))</f>
        <v>#VALUE!</v>
      </c>
      <c r="C333" t="e">
        <f ca="1">IF((A1)=(2),1,IF(AND((INDEX(B1:XFD1,((A3)+(1))+(0)))=("writeheap"),(INDEX(B5:B405,(B4)+(1)))=(328)),INDEX(B5:B405,(B4)+(2)),IF((A1)=(2),"",IF((329)=(C4),C333,C333))))</f>
        <v>#VALUE!</v>
      </c>
      <c r="F333" t="e">
        <f ca="1">IF((A1)=(2),"",IF((329)=(F4),IF(IF((INDEX(B1:XFD1,((A3)+(1))+(0)))=("store"),(INDEX(B1:XFD1,((A3)+(1))+(1)))=("F"),"false"),B3,F333),F333))</f>
        <v>#VALUE!</v>
      </c>
      <c r="G333" t="e">
        <f ca="1">IF((A1)=(2),"",IF((329)=(G4),IF(IF((INDEX(B1:XFD1,((A3)+(1))+(0)))=("store"),(INDEX(B1:XFD1,((A3)+(1))+(1)))=("G"),"false"),B3,G333),G333))</f>
        <v>#VALUE!</v>
      </c>
      <c r="H333" t="e">
        <f ca="1">IF((A1)=(2),"",IF((329)=(H4),IF(IF((INDEX(B1:XFD1,((A3)+(1))+(0)))=("store"),(INDEX(B1:XFD1,((A3)+(1))+(1)))=("H"),"false"),B3,H333),H333))</f>
        <v>#VALUE!</v>
      </c>
      <c r="I333" t="e">
        <f ca="1">IF((A1)=(2),"",IF((329)=(I4),IF(IF((INDEX(B1:XFD1,((A3)+(1))+(0)))=("store"),(INDEX(B1:XFD1,((A3)+(1))+(1)))=("I"),"false"),B3,I333),I333))</f>
        <v>#VALUE!</v>
      </c>
      <c r="J333" t="e">
        <f ca="1">IF((A1)=(2),"",IF((329)=(J4),IF(IF((INDEX(B1:XFD1,((A3)+(1))+(0)))=("store"),(INDEX(B1:XFD1,((A3)+(1))+(1)))=("J"),"false"),B3,J333),J333))</f>
        <v>#VALUE!</v>
      </c>
      <c r="K333" t="e">
        <f ca="1">IF((A1)=(2),"",IF((329)=(K4),IF(IF((INDEX(B1:XFD1,((A3)+(1))+(0)))=("store"),(INDEX(B1:XFD1,((A3)+(1))+(1)))=("K"),"false"),B3,K333),K333))</f>
        <v>#VALUE!</v>
      </c>
      <c r="L333" t="e">
        <f ca="1">IF((A1)=(2),"",IF((329)=(L4),IF(IF((INDEX(B1:XFD1,((A3)+(1))+(0)))=("store"),(INDEX(B1:XFD1,((A3)+(1))+(1)))=("L"),"false"),B3,L333),L333))</f>
        <v>#VALUE!</v>
      </c>
      <c r="M333" t="e">
        <f ca="1">IF((A1)=(2),"",IF((329)=(M4),IF(IF((INDEX(B1:XFD1,((A3)+(1))+(0)))=("store"),(INDEX(B1:XFD1,((A3)+(1))+(1)))=("M"),"false"),B3,M333),M333))</f>
        <v>#VALUE!</v>
      </c>
      <c r="N333" t="e">
        <f ca="1">IF((A1)=(2),"",IF((329)=(N4),IF(IF((INDEX(B1:XFD1,((A3)+(1))+(0)))=("store"),(INDEX(B1:XFD1,((A3)+(1))+(1)))=("N"),"false"),B3,N333),N333))</f>
        <v>#VALUE!</v>
      </c>
      <c r="O333" t="e">
        <f ca="1">IF((A1)=(2),"",IF((329)=(O4),IF(IF((INDEX(B1:XFD1,((A3)+(1))+(0)))=("store"),(INDEX(B1:XFD1,((A3)+(1))+(1)))=("O"),"false"),B3,O333),O333))</f>
        <v>#VALUE!</v>
      </c>
      <c r="P333" t="e">
        <f ca="1">IF((A1)=(2),"",IF((329)=(P4),IF(IF((INDEX(B1:XFD1,((A3)+(1))+(0)))=("store"),(INDEX(B1:XFD1,((A3)+(1))+(1)))=("P"),"false"),B3,P333),P333))</f>
        <v>#VALUE!</v>
      </c>
      <c r="Q333" t="e">
        <f ca="1">IF((A1)=(2),"",IF((329)=(Q4),IF(IF((INDEX(B1:XFD1,((A3)+(1))+(0)))=("store"),(INDEX(B1:XFD1,((A3)+(1))+(1)))=("Q"),"false"),B3,Q333),Q333))</f>
        <v>#VALUE!</v>
      </c>
      <c r="R333" t="e">
        <f ca="1">IF((A1)=(2),"",IF((329)=(R4),IF(IF((INDEX(B1:XFD1,((A3)+(1))+(0)))=("store"),(INDEX(B1:XFD1,((A3)+(1))+(1)))=("R"),"false"),B3,R333),R333))</f>
        <v>#VALUE!</v>
      </c>
      <c r="S333" t="e">
        <f ca="1">IF((A1)=(2),"",IF((329)=(S4),IF(IF((INDEX(B1:XFD1,((A3)+(1))+(0)))=("store"),(INDEX(B1:XFD1,((A3)+(1))+(1)))=("S"),"false"),B3,S333),S333))</f>
        <v>#VALUE!</v>
      </c>
      <c r="T333" t="e">
        <f ca="1">IF((A1)=(2),"",IF((329)=(T4),IF(IF((INDEX(B1:XFD1,((A3)+(1))+(0)))=("store"),(INDEX(B1:XFD1,((A3)+(1))+(1)))=("T"),"false"),B3,T333),T333))</f>
        <v>#VALUE!</v>
      </c>
      <c r="U333" t="e">
        <f ca="1">IF((A1)=(2),"",IF((329)=(U4),IF(IF((INDEX(B1:XFD1,((A3)+(1))+(0)))=("store"),(INDEX(B1:XFD1,((A3)+(1))+(1)))=("U"),"false"),B3,U333),U333))</f>
        <v>#VALUE!</v>
      </c>
      <c r="V333" t="e">
        <f ca="1">IF((A1)=(2),"",IF((329)=(V4),IF(IF((INDEX(B1:XFD1,((A3)+(1))+(0)))=("store"),(INDEX(B1:XFD1,((A3)+(1))+(1)))=("V"),"false"),B3,V333),V333))</f>
        <v>#VALUE!</v>
      </c>
      <c r="W333" t="e">
        <f ca="1">IF((A1)=(2),"",IF((329)=(W4),IF(IF((INDEX(B1:XFD1,((A3)+(1))+(0)))=("store"),(INDEX(B1:XFD1,((A3)+(1))+(1)))=("W"),"false"),B3,W333),W333))</f>
        <v>#VALUE!</v>
      </c>
      <c r="X333" t="e">
        <f ca="1">IF((A1)=(2),"",IF((329)=(X4),IF(IF((INDEX(B1:XFD1,((A3)+(1))+(0)))=("store"),(INDEX(B1:XFD1,((A3)+(1))+(1)))=("X"),"false"),B3,X333),X333))</f>
        <v>#VALUE!</v>
      </c>
      <c r="Y333" t="e">
        <f ca="1">IF((A1)=(2),"",IF((329)=(Y4),IF(IF((INDEX(B1:XFD1,((A3)+(1))+(0)))=("store"),(INDEX(B1:XFD1,((A3)+(1))+(1)))=("Y"),"false"),B3,Y333),Y333))</f>
        <v>#VALUE!</v>
      </c>
      <c r="Z333" t="e">
        <f ca="1">IF((A1)=(2),"",IF((329)=(Z4),IF(IF((INDEX(B1:XFD1,((A3)+(1))+(0)))=("store"),(INDEX(B1:XFD1,((A3)+(1))+(1)))=("Z"),"false"),B3,Z333),Z333))</f>
        <v>#VALUE!</v>
      </c>
      <c r="AA333" t="e">
        <f ca="1">IF((A1)=(2),"",IF((329)=(AA4),IF(IF((INDEX(B1:XFD1,((A3)+(1))+(0)))=("store"),(INDEX(B1:XFD1,((A3)+(1))+(1)))=("AA"),"false"),B3,AA333),AA333))</f>
        <v>#VALUE!</v>
      </c>
      <c r="AB333" t="e">
        <f ca="1">IF((A1)=(2),"",IF((329)=(AB4),IF(IF((INDEX(B1:XFD1,((A3)+(1))+(0)))=("store"),(INDEX(B1:XFD1,((A3)+(1))+(1)))=("AB"),"false"),B3,AB333),AB333))</f>
        <v>#VALUE!</v>
      </c>
      <c r="AC333" t="e">
        <f ca="1">IF((A1)=(2),"",IF((329)=(AC4),IF(IF((INDEX(B1:XFD1,((A3)+(1))+(0)))=("store"),(INDEX(B1:XFD1,((A3)+(1))+(1)))=("AC"),"false"),B3,AC333),AC333))</f>
        <v>#VALUE!</v>
      </c>
      <c r="AD333" t="e">
        <f ca="1">IF((A1)=(2),"",IF((329)=(AD4),IF(IF((INDEX(B1:XFD1,((A3)+(1))+(0)))=("store"),(INDEX(B1:XFD1,((A3)+(1))+(1)))=("AD"),"false"),B3,AD333),AD333))</f>
        <v>#VALUE!</v>
      </c>
    </row>
    <row r="334" spans="1:30" x14ac:dyDescent="0.25">
      <c r="A334" t="e">
        <f ca="1">IF((A1)=(2),"",IF((330)=(A4),IF(("call")=(INDEX(B1:XFD1,((A3)+(1))+(0))),(B3)*(2),IF(("goto")=(INDEX(B1:XFD1,((A3)+(1))+(0))),(INDEX(B1:XFD1,((A3)+(1))+(1)))*(2),IF(("gotoiftrue")=(INDEX(B1:XFD1,((A3)+(1))+(0))),IF(B3,(INDEX(B1:XFD1,((A3)+(1))+(1)))*(2),(A334)+(2)),(A334)+(2)))),A334))</f>
        <v>#VALUE!</v>
      </c>
      <c r="B334" t="e">
        <f ca="1">IF((A1)=(2),"",IF((330)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334)+(1)),IF(("add")=(INDEX(B1:XFD1,((A3)+(1))+(0))),(INDEX(B5:B405,(B4)+(1)))+(B334),IF(("equals")=(INDEX(B1:XFD1,((A3)+(1))+(0))),(INDEX(B5:B405,(B4)+(1)))=(B334),IF(("leq")=(INDEX(B1:XFD1,((A3)+(1))+(0))),(INDEX(B5:B405,(B4)+(1)))&lt;=(B334),IF(("greater")=(INDEX(B1:XFD1,((A3)+(1))+(0))),(INDEX(B5:B405,(B4)+(1)))&gt;(B334),IF(("mod")=(INDEX(B1:XFD1,((A3)+(1))+(0))),MOD(INDEX(B5:B405,(B4)+(1)),B334),B334))))))))),B334))</f>
        <v>#VALUE!</v>
      </c>
      <c r="C334" t="e">
        <f ca="1">IF((A1)=(2),1,IF(AND((INDEX(B1:XFD1,((A3)+(1))+(0)))=("writeheap"),(INDEX(B5:B405,(B4)+(1)))=(329)),INDEX(B5:B405,(B4)+(2)),IF((A1)=(2),"",IF((330)=(C4),C334,C334))))</f>
        <v>#VALUE!</v>
      </c>
      <c r="F334" t="e">
        <f ca="1">IF((A1)=(2),"",IF((330)=(F4),IF(IF((INDEX(B1:XFD1,((A3)+(1))+(0)))=("store"),(INDEX(B1:XFD1,((A3)+(1))+(1)))=("F"),"false"),B3,F334),F334))</f>
        <v>#VALUE!</v>
      </c>
      <c r="G334" t="e">
        <f ca="1">IF((A1)=(2),"",IF((330)=(G4),IF(IF((INDEX(B1:XFD1,((A3)+(1))+(0)))=("store"),(INDEX(B1:XFD1,((A3)+(1))+(1)))=("G"),"false"),B3,G334),G334))</f>
        <v>#VALUE!</v>
      </c>
      <c r="H334" t="e">
        <f ca="1">IF((A1)=(2),"",IF((330)=(H4),IF(IF((INDEX(B1:XFD1,((A3)+(1))+(0)))=("store"),(INDEX(B1:XFD1,((A3)+(1))+(1)))=("H"),"false"),B3,H334),H334))</f>
        <v>#VALUE!</v>
      </c>
      <c r="I334" t="e">
        <f ca="1">IF((A1)=(2),"",IF((330)=(I4),IF(IF((INDEX(B1:XFD1,((A3)+(1))+(0)))=("store"),(INDEX(B1:XFD1,((A3)+(1))+(1)))=("I"),"false"),B3,I334),I334))</f>
        <v>#VALUE!</v>
      </c>
      <c r="J334" t="e">
        <f ca="1">IF((A1)=(2),"",IF((330)=(J4),IF(IF((INDEX(B1:XFD1,((A3)+(1))+(0)))=("store"),(INDEX(B1:XFD1,((A3)+(1))+(1)))=("J"),"false"),B3,J334),J334))</f>
        <v>#VALUE!</v>
      </c>
      <c r="K334" t="e">
        <f ca="1">IF((A1)=(2),"",IF((330)=(K4),IF(IF((INDEX(B1:XFD1,((A3)+(1))+(0)))=("store"),(INDEX(B1:XFD1,((A3)+(1))+(1)))=("K"),"false"),B3,K334),K334))</f>
        <v>#VALUE!</v>
      </c>
      <c r="L334" t="e">
        <f ca="1">IF((A1)=(2),"",IF((330)=(L4),IF(IF((INDEX(B1:XFD1,((A3)+(1))+(0)))=("store"),(INDEX(B1:XFD1,((A3)+(1))+(1)))=("L"),"false"),B3,L334),L334))</f>
        <v>#VALUE!</v>
      </c>
      <c r="M334" t="e">
        <f ca="1">IF((A1)=(2),"",IF((330)=(M4),IF(IF((INDEX(B1:XFD1,((A3)+(1))+(0)))=("store"),(INDEX(B1:XFD1,((A3)+(1))+(1)))=("M"),"false"),B3,M334),M334))</f>
        <v>#VALUE!</v>
      </c>
      <c r="N334" t="e">
        <f ca="1">IF((A1)=(2),"",IF((330)=(N4),IF(IF((INDEX(B1:XFD1,((A3)+(1))+(0)))=("store"),(INDEX(B1:XFD1,((A3)+(1))+(1)))=("N"),"false"),B3,N334),N334))</f>
        <v>#VALUE!</v>
      </c>
      <c r="O334" t="e">
        <f ca="1">IF((A1)=(2),"",IF((330)=(O4),IF(IF((INDEX(B1:XFD1,((A3)+(1))+(0)))=("store"),(INDEX(B1:XFD1,((A3)+(1))+(1)))=("O"),"false"),B3,O334),O334))</f>
        <v>#VALUE!</v>
      </c>
      <c r="P334" t="e">
        <f ca="1">IF((A1)=(2),"",IF((330)=(P4),IF(IF((INDEX(B1:XFD1,((A3)+(1))+(0)))=("store"),(INDEX(B1:XFD1,((A3)+(1))+(1)))=("P"),"false"),B3,P334),P334))</f>
        <v>#VALUE!</v>
      </c>
      <c r="Q334" t="e">
        <f ca="1">IF((A1)=(2),"",IF((330)=(Q4),IF(IF((INDEX(B1:XFD1,((A3)+(1))+(0)))=("store"),(INDEX(B1:XFD1,((A3)+(1))+(1)))=("Q"),"false"),B3,Q334),Q334))</f>
        <v>#VALUE!</v>
      </c>
      <c r="R334" t="e">
        <f ca="1">IF((A1)=(2),"",IF((330)=(R4),IF(IF((INDEX(B1:XFD1,((A3)+(1))+(0)))=("store"),(INDEX(B1:XFD1,((A3)+(1))+(1)))=("R"),"false"),B3,R334),R334))</f>
        <v>#VALUE!</v>
      </c>
      <c r="S334" t="e">
        <f ca="1">IF((A1)=(2),"",IF((330)=(S4),IF(IF((INDEX(B1:XFD1,((A3)+(1))+(0)))=("store"),(INDEX(B1:XFD1,((A3)+(1))+(1)))=("S"),"false"),B3,S334),S334))</f>
        <v>#VALUE!</v>
      </c>
      <c r="T334" t="e">
        <f ca="1">IF((A1)=(2),"",IF((330)=(T4),IF(IF((INDEX(B1:XFD1,((A3)+(1))+(0)))=("store"),(INDEX(B1:XFD1,((A3)+(1))+(1)))=("T"),"false"),B3,T334),T334))</f>
        <v>#VALUE!</v>
      </c>
      <c r="U334" t="e">
        <f ca="1">IF((A1)=(2),"",IF((330)=(U4),IF(IF((INDEX(B1:XFD1,((A3)+(1))+(0)))=("store"),(INDEX(B1:XFD1,((A3)+(1))+(1)))=("U"),"false"),B3,U334),U334))</f>
        <v>#VALUE!</v>
      </c>
      <c r="V334" t="e">
        <f ca="1">IF((A1)=(2),"",IF((330)=(V4),IF(IF((INDEX(B1:XFD1,((A3)+(1))+(0)))=("store"),(INDEX(B1:XFD1,((A3)+(1))+(1)))=("V"),"false"),B3,V334),V334))</f>
        <v>#VALUE!</v>
      </c>
      <c r="W334" t="e">
        <f ca="1">IF((A1)=(2),"",IF((330)=(W4),IF(IF((INDEX(B1:XFD1,((A3)+(1))+(0)))=("store"),(INDEX(B1:XFD1,((A3)+(1))+(1)))=("W"),"false"),B3,W334),W334))</f>
        <v>#VALUE!</v>
      </c>
      <c r="X334" t="e">
        <f ca="1">IF((A1)=(2),"",IF((330)=(X4),IF(IF((INDEX(B1:XFD1,((A3)+(1))+(0)))=("store"),(INDEX(B1:XFD1,((A3)+(1))+(1)))=("X"),"false"),B3,X334),X334))</f>
        <v>#VALUE!</v>
      </c>
      <c r="Y334" t="e">
        <f ca="1">IF((A1)=(2),"",IF((330)=(Y4),IF(IF((INDEX(B1:XFD1,((A3)+(1))+(0)))=("store"),(INDEX(B1:XFD1,((A3)+(1))+(1)))=("Y"),"false"),B3,Y334),Y334))</f>
        <v>#VALUE!</v>
      </c>
      <c r="Z334" t="e">
        <f ca="1">IF((A1)=(2),"",IF((330)=(Z4),IF(IF((INDEX(B1:XFD1,((A3)+(1))+(0)))=("store"),(INDEX(B1:XFD1,((A3)+(1))+(1)))=("Z"),"false"),B3,Z334),Z334))</f>
        <v>#VALUE!</v>
      </c>
      <c r="AA334" t="e">
        <f ca="1">IF((A1)=(2),"",IF((330)=(AA4),IF(IF((INDEX(B1:XFD1,((A3)+(1))+(0)))=("store"),(INDEX(B1:XFD1,((A3)+(1))+(1)))=("AA"),"false"),B3,AA334),AA334))</f>
        <v>#VALUE!</v>
      </c>
      <c r="AB334" t="e">
        <f ca="1">IF((A1)=(2),"",IF((330)=(AB4),IF(IF((INDEX(B1:XFD1,((A3)+(1))+(0)))=("store"),(INDEX(B1:XFD1,((A3)+(1))+(1)))=("AB"),"false"),B3,AB334),AB334))</f>
        <v>#VALUE!</v>
      </c>
      <c r="AC334" t="e">
        <f ca="1">IF((A1)=(2),"",IF((330)=(AC4),IF(IF((INDEX(B1:XFD1,((A3)+(1))+(0)))=("store"),(INDEX(B1:XFD1,((A3)+(1))+(1)))=("AC"),"false"),B3,AC334),AC334))</f>
        <v>#VALUE!</v>
      </c>
      <c r="AD334" t="e">
        <f ca="1">IF((A1)=(2),"",IF((330)=(AD4),IF(IF((INDEX(B1:XFD1,((A3)+(1))+(0)))=("store"),(INDEX(B1:XFD1,((A3)+(1))+(1)))=("AD"),"false"),B3,AD334),AD334))</f>
        <v>#VALUE!</v>
      </c>
    </row>
    <row r="335" spans="1:30" x14ac:dyDescent="0.25">
      <c r="A335" t="e">
        <f ca="1">IF((A1)=(2),"",IF((331)=(A4),IF(("call")=(INDEX(B1:XFD1,((A3)+(1))+(0))),(B3)*(2),IF(("goto")=(INDEX(B1:XFD1,((A3)+(1))+(0))),(INDEX(B1:XFD1,((A3)+(1))+(1)))*(2),IF(("gotoiftrue")=(INDEX(B1:XFD1,((A3)+(1))+(0))),IF(B3,(INDEX(B1:XFD1,((A3)+(1))+(1)))*(2),(A335)+(2)),(A335)+(2)))),A335))</f>
        <v>#VALUE!</v>
      </c>
      <c r="B335" t="e">
        <f ca="1">IF((A1)=(2),"",IF((331)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335)+(1)),IF(("add")=(INDEX(B1:XFD1,((A3)+(1))+(0))),(INDEX(B5:B405,(B4)+(1)))+(B335),IF(("equals")=(INDEX(B1:XFD1,((A3)+(1))+(0))),(INDEX(B5:B405,(B4)+(1)))=(B335),IF(("leq")=(INDEX(B1:XFD1,((A3)+(1))+(0))),(INDEX(B5:B405,(B4)+(1)))&lt;=(B335),IF(("greater")=(INDEX(B1:XFD1,((A3)+(1))+(0))),(INDEX(B5:B405,(B4)+(1)))&gt;(B335),IF(("mod")=(INDEX(B1:XFD1,((A3)+(1))+(0))),MOD(INDEX(B5:B405,(B4)+(1)),B335),B335))))))))),B335))</f>
        <v>#VALUE!</v>
      </c>
      <c r="C335" t="e">
        <f ca="1">IF((A1)=(2),1,IF(AND((INDEX(B1:XFD1,((A3)+(1))+(0)))=("writeheap"),(INDEX(B5:B405,(B4)+(1)))=(330)),INDEX(B5:B405,(B4)+(2)),IF((A1)=(2),"",IF((331)=(C4),C335,C335))))</f>
        <v>#VALUE!</v>
      </c>
      <c r="F335" t="e">
        <f ca="1">IF((A1)=(2),"",IF((331)=(F4),IF(IF((INDEX(B1:XFD1,((A3)+(1))+(0)))=("store"),(INDEX(B1:XFD1,((A3)+(1))+(1)))=("F"),"false"),B3,F335),F335))</f>
        <v>#VALUE!</v>
      </c>
      <c r="G335" t="e">
        <f ca="1">IF((A1)=(2),"",IF((331)=(G4),IF(IF((INDEX(B1:XFD1,((A3)+(1))+(0)))=("store"),(INDEX(B1:XFD1,((A3)+(1))+(1)))=("G"),"false"),B3,G335),G335))</f>
        <v>#VALUE!</v>
      </c>
      <c r="H335" t="e">
        <f ca="1">IF((A1)=(2),"",IF((331)=(H4),IF(IF((INDEX(B1:XFD1,((A3)+(1))+(0)))=("store"),(INDEX(B1:XFD1,((A3)+(1))+(1)))=("H"),"false"),B3,H335),H335))</f>
        <v>#VALUE!</v>
      </c>
      <c r="I335" t="e">
        <f ca="1">IF((A1)=(2),"",IF((331)=(I4),IF(IF((INDEX(B1:XFD1,((A3)+(1))+(0)))=("store"),(INDEX(B1:XFD1,((A3)+(1))+(1)))=("I"),"false"),B3,I335),I335))</f>
        <v>#VALUE!</v>
      </c>
      <c r="J335" t="e">
        <f ca="1">IF((A1)=(2),"",IF((331)=(J4),IF(IF((INDEX(B1:XFD1,((A3)+(1))+(0)))=("store"),(INDEX(B1:XFD1,((A3)+(1))+(1)))=("J"),"false"),B3,J335),J335))</f>
        <v>#VALUE!</v>
      </c>
      <c r="K335" t="e">
        <f ca="1">IF((A1)=(2),"",IF((331)=(K4),IF(IF((INDEX(B1:XFD1,((A3)+(1))+(0)))=("store"),(INDEX(B1:XFD1,((A3)+(1))+(1)))=("K"),"false"),B3,K335),K335))</f>
        <v>#VALUE!</v>
      </c>
      <c r="L335" t="e">
        <f ca="1">IF((A1)=(2),"",IF((331)=(L4),IF(IF((INDEX(B1:XFD1,((A3)+(1))+(0)))=("store"),(INDEX(B1:XFD1,((A3)+(1))+(1)))=("L"),"false"),B3,L335),L335))</f>
        <v>#VALUE!</v>
      </c>
      <c r="M335" t="e">
        <f ca="1">IF((A1)=(2),"",IF((331)=(M4),IF(IF((INDEX(B1:XFD1,((A3)+(1))+(0)))=("store"),(INDEX(B1:XFD1,((A3)+(1))+(1)))=("M"),"false"),B3,M335),M335))</f>
        <v>#VALUE!</v>
      </c>
      <c r="N335" t="e">
        <f ca="1">IF((A1)=(2),"",IF((331)=(N4),IF(IF((INDEX(B1:XFD1,((A3)+(1))+(0)))=("store"),(INDEX(B1:XFD1,((A3)+(1))+(1)))=("N"),"false"),B3,N335),N335))</f>
        <v>#VALUE!</v>
      </c>
      <c r="O335" t="e">
        <f ca="1">IF((A1)=(2),"",IF((331)=(O4),IF(IF((INDEX(B1:XFD1,((A3)+(1))+(0)))=("store"),(INDEX(B1:XFD1,((A3)+(1))+(1)))=("O"),"false"),B3,O335),O335))</f>
        <v>#VALUE!</v>
      </c>
      <c r="P335" t="e">
        <f ca="1">IF((A1)=(2),"",IF((331)=(P4),IF(IF((INDEX(B1:XFD1,((A3)+(1))+(0)))=("store"),(INDEX(B1:XFD1,((A3)+(1))+(1)))=("P"),"false"),B3,P335),P335))</f>
        <v>#VALUE!</v>
      </c>
      <c r="Q335" t="e">
        <f ca="1">IF((A1)=(2),"",IF((331)=(Q4),IF(IF((INDEX(B1:XFD1,((A3)+(1))+(0)))=("store"),(INDEX(B1:XFD1,((A3)+(1))+(1)))=("Q"),"false"),B3,Q335),Q335))</f>
        <v>#VALUE!</v>
      </c>
      <c r="R335" t="e">
        <f ca="1">IF((A1)=(2),"",IF((331)=(R4),IF(IF((INDEX(B1:XFD1,((A3)+(1))+(0)))=("store"),(INDEX(B1:XFD1,((A3)+(1))+(1)))=("R"),"false"),B3,R335),R335))</f>
        <v>#VALUE!</v>
      </c>
      <c r="S335" t="e">
        <f ca="1">IF((A1)=(2),"",IF((331)=(S4),IF(IF((INDEX(B1:XFD1,((A3)+(1))+(0)))=("store"),(INDEX(B1:XFD1,((A3)+(1))+(1)))=("S"),"false"),B3,S335),S335))</f>
        <v>#VALUE!</v>
      </c>
      <c r="T335" t="e">
        <f ca="1">IF((A1)=(2),"",IF((331)=(T4),IF(IF((INDEX(B1:XFD1,((A3)+(1))+(0)))=("store"),(INDEX(B1:XFD1,((A3)+(1))+(1)))=("T"),"false"),B3,T335),T335))</f>
        <v>#VALUE!</v>
      </c>
      <c r="U335" t="e">
        <f ca="1">IF((A1)=(2),"",IF((331)=(U4),IF(IF((INDEX(B1:XFD1,((A3)+(1))+(0)))=("store"),(INDEX(B1:XFD1,((A3)+(1))+(1)))=("U"),"false"),B3,U335),U335))</f>
        <v>#VALUE!</v>
      </c>
      <c r="V335" t="e">
        <f ca="1">IF((A1)=(2),"",IF((331)=(V4),IF(IF((INDEX(B1:XFD1,((A3)+(1))+(0)))=("store"),(INDEX(B1:XFD1,((A3)+(1))+(1)))=("V"),"false"),B3,V335),V335))</f>
        <v>#VALUE!</v>
      </c>
      <c r="W335" t="e">
        <f ca="1">IF((A1)=(2),"",IF((331)=(W4),IF(IF((INDEX(B1:XFD1,((A3)+(1))+(0)))=("store"),(INDEX(B1:XFD1,((A3)+(1))+(1)))=("W"),"false"),B3,W335),W335))</f>
        <v>#VALUE!</v>
      </c>
      <c r="X335" t="e">
        <f ca="1">IF((A1)=(2),"",IF((331)=(X4),IF(IF((INDEX(B1:XFD1,((A3)+(1))+(0)))=("store"),(INDEX(B1:XFD1,((A3)+(1))+(1)))=("X"),"false"),B3,X335),X335))</f>
        <v>#VALUE!</v>
      </c>
      <c r="Y335" t="e">
        <f ca="1">IF((A1)=(2),"",IF((331)=(Y4),IF(IF((INDEX(B1:XFD1,((A3)+(1))+(0)))=("store"),(INDEX(B1:XFD1,((A3)+(1))+(1)))=("Y"),"false"),B3,Y335),Y335))</f>
        <v>#VALUE!</v>
      </c>
      <c r="Z335" t="e">
        <f ca="1">IF((A1)=(2),"",IF((331)=(Z4),IF(IF((INDEX(B1:XFD1,((A3)+(1))+(0)))=("store"),(INDEX(B1:XFD1,((A3)+(1))+(1)))=("Z"),"false"),B3,Z335),Z335))</f>
        <v>#VALUE!</v>
      </c>
      <c r="AA335" t="e">
        <f ca="1">IF((A1)=(2),"",IF((331)=(AA4),IF(IF((INDEX(B1:XFD1,((A3)+(1))+(0)))=("store"),(INDEX(B1:XFD1,((A3)+(1))+(1)))=("AA"),"false"),B3,AA335),AA335))</f>
        <v>#VALUE!</v>
      </c>
      <c r="AB335" t="e">
        <f ca="1">IF((A1)=(2),"",IF((331)=(AB4),IF(IF((INDEX(B1:XFD1,((A3)+(1))+(0)))=("store"),(INDEX(B1:XFD1,((A3)+(1))+(1)))=("AB"),"false"),B3,AB335),AB335))</f>
        <v>#VALUE!</v>
      </c>
      <c r="AC335" t="e">
        <f ca="1">IF((A1)=(2),"",IF((331)=(AC4),IF(IF((INDEX(B1:XFD1,((A3)+(1))+(0)))=("store"),(INDEX(B1:XFD1,((A3)+(1))+(1)))=("AC"),"false"),B3,AC335),AC335))</f>
        <v>#VALUE!</v>
      </c>
      <c r="AD335" t="e">
        <f ca="1">IF((A1)=(2),"",IF((331)=(AD4),IF(IF((INDEX(B1:XFD1,((A3)+(1))+(0)))=("store"),(INDEX(B1:XFD1,((A3)+(1))+(1)))=("AD"),"false"),B3,AD335),AD335))</f>
        <v>#VALUE!</v>
      </c>
    </row>
    <row r="336" spans="1:30" x14ac:dyDescent="0.25">
      <c r="A336" t="e">
        <f ca="1">IF((A1)=(2),"",IF((332)=(A4),IF(("call")=(INDEX(B1:XFD1,((A3)+(1))+(0))),(B3)*(2),IF(("goto")=(INDEX(B1:XFD1,((A3)+(1))+(0))),(INDEX(B1:XFD1,((A3)+(1))+(1)))*(2),IF(("gotoiftrue")=(INDEX(B1:XFD1,((A3)+(1))+(0))),IF(B3,(INDEX(B1:XFD1,((A3)+(1))+(1)))*(2),(A336)+(2)),(A336)+(2)))),A336))</f>
        <v>#VALUE!</v>
      </c>
      <c r="B336" t="e">
        <f ca="1">IF((A1)=(2),"",IF((332)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336)+(1)),IF(("add")=(INDEX(B1:XFD1,((A3)+(1))+(0))),(INDEX(B5:B405,(B4)+(1)))+(B336),IF(("equals")=(INDEX(B1:XFD1,((A3)+(1))+(0))),(INDEX(B5:B405,(B4)+(1)))=(B336),IF(("leq")=(INDEX(B1:XFD1,((A3)+(1))+(0))),(INDEX(B5:B405,(B4)+(1)))&lt;=(B336),IF(("greater")=(INDEX(B1:XFD1,((A3)+(1))+(0))),(INDEX(B5:B405,(B4)+(1)))&gt;(B336),IF(("mod")=(INDEX(B1:XFD1,((A3)+(1))+(0))),MOD(INDEX(B5:B405,(B4)+(1)),B336),B336))))))))),B336))</f>
        <v>#VALUE!</v>
      </c>
      <c r="C336" t="e">
        <f ca="1">IF((A1)=(2),1,IF(AND((INDEX(B1:XFD1,((A3)+(1))+(0)))=("writeheap"),(INDEX(B5:B405,(B4)+(1)))=(331)),INDEX(B5:B405,(B4)+(2)),IF((A1)=(2),"",IF((332)=(C4),C336,C336))))</f>
        <v>#VALUE!</v>
      </c>
      <c r="F336" t="e">
        <f ca="1">IF((A1)=(2),"",IF((332)=(F4),IF(IF((INDEX(B1:XFD1,((A3)+(1))+(0)))=("store"),(INDEX(B1:XFD1,((A3)+(1))+(1)))=("F"),"false"),B3,F336),F336))</f>
        <v>#VALUE!</v>
      </c>
      <c r="G336" t="e">
        <f ca="1">IF((A1)=(2),"",IF((332)=(G4),IF(IF((INDEX(B1:XFD1,((A3)+(1))+(0)))=("store"),(INDEX(B1:XFD1,((A3)+(1))+(1)))=("G"),"false"),B3,G336),G336))</f>
        <v>#VALUE!</v>
      </c>
      <c r="H336" t="e">
        <f ca="1">IF((A1)=(2),"",IF((332)=(H4),IF(IF((INDEX(B1:XFD1,((A3)+(1))+(0)))=("store"),(INDEX(B1:XFD1,((A3)+(1))+(1)))=("H"),"false"),B3,H336),H336))</f>
        <v>#VALUE!</v>
      </c>
      <c r="I336" t="e">
        <f ca="1">IF((A1)=(2),"",IF((332)=(I4),IF(IF((INDEX(B1:XFD1,((A3)+(1))+(0)))=("store"),(INDEX(B1:XFD1,((A3)+(1))+(1)))=("I"),"false"),B3,I336),I336))</f>
        <v>#VALUE!</v>
      </c>
      <c r="J336" t="e">
        <f ca="1">IF((A1)=(2),"",IF((332)=(J4),IF(IF((INDEX(B1:XFD1,((A3)+(1))+(0)))=("store"),(INDEX(B1:XFD1,((A3)+(1))+(1)))=("J"),"false"),B3,J336),J336))</f>
        <v>#VALUE!</v>
      </c>
      <c r="K336" t="e">
        <f ca="1">IF((A1)=(2),"",IF((332)=(K4),IF(IF((INDEX(B1:XFD1,((A3)+(1))+(0)))=("store"),(INDEX(B1:XFD1,((A3)+(1))+(1)))=("K"),"false"),B3,K336),K336))</f>
        <v>#VALUE!</v>
      </c>
      <c r="L336" t="e">
        <f ca="1">IF((A1)=(2),"",IF((332)=(L4),IF(IF((INDEX(B1:XFD1,((A3)+(1))+(0)))=("store"),(INDEX(B1:XFD1,((A3)+(1))+(1)))=("L"),"false"),B3,L336),L336))</f>
        <v>#VALUE!</v>
      </c>
      <c r="M336" t="e">
        <f ca="1">IF((A1)=(2),"",IF((332)=(M4),IF(IF((INDEX(B1:XFD1,((A3)+(1))+(0)))=("store"),(INDEX(B1:XFD1,((A3)+(1))+(1)))=("M"),"false"),B3,M336),M336))</f>
        <v>#VALUE!</v>
      </c>
      <c r="N336" t="e">
        <f ca="1">IF((A1)=(2),"",IF((332)=(N4),IF(IF((INDEX(B1:XFD1,((A3)+(1))+(0)))=("store"),(INDEX(B1:XFD1,((A3)+(1))+(1)))=("N"),"false"),B3,N336),N336))</f>
        <v>#VALUE!</v>
      </c>
      <c r="O336" t="e">
        <f ca="1">IF((A1)=(2),"",IF((332)=(O4),IF(IF((INDEX(B1:XFD1,((A3)+(1))+(0)))=("store"),(INDEX(B1:XFD1,((A3)+(1))+(1)))=("O"),"false"),B3,O336),O336))</f>
        <v>#VALUE!</v>
      </c>
      <c r="P336" t="e">
        <f ca="1">IF((A1)=(2),"",IF((332)=(P4),IF(IF((INDEX(B1:XFD1,((A3)+(1))+(0)))=("store"),(INDEX(B1:XFD1,((A3)+(1))+(1)))=("P"),"false"),B3,P336),P336))</f>
        <v>#VALUE!</v>
      </c>
      <c r="Q336" t="e">
        <f ca="1">IF((A1)=(2),"",IF((332)=(Q4),IF(IF((INDEX(B1:XFD1,((A3)+(1))+(0)))=("store"),(INDEX(B1:XFD1,((A3)+(1))+(1)))=("Q"),"false"),B3,Q336),Q336))</f>
        <v>#VALUE!</v>
      </c>
      <c r="R336" t="e">
        <f ca="1">IF((A1)=(2),"",IF((332)=(R4),IF(IF((INDEX(B1:XFD1,((A3)+(1))+(0)))=("store"),(INDEX(B1:XFD1,((A3)+(1))+(1)))=("R"),"false"),B3,R336),R336))</f>
        <v>#VALUE!</v>
      </c>
      <c r="S336" t="e">
        <f ca="1">IF((A1)=(2),"",IF((332)=(S4),IF(IF((INDEX(B1:XFD1,((A3)+(1))+(0)))=("store"),(INDEX(B1:XFD1,((A3)+(1))+(1)))=("S"),"false"),B3,S336),S336))</f>
        <v>#VALUE!</v>
      </c>
      <c r="T336" t="e">
        <f ca="1">IF((A1)=(2),"",IF((332)=(T4),IF(IF((INDEX(B1:XFD1,((A3)+(1))+(0)))=("store"),(INDEX(B1:XFD1,((A3)+(1))+(1)))=("T"),"false"),B3,T336),T336))</f>
        <v>#VALUE!</v>
      </c>
      <c r="U336" t="e">
        <f ca="1">IF((A1)=(2),"",IF((332)=(U4),IF(IF((INDEX(B1:XFD1,((A3)+(1))+(0)))=("store"),(INDEX(B1:XFD1,((A3)+(1))+(1)))=("U"),"false"),B3,U336),U336))</f>
        <v>#VALUE!</v>
      </c>
      <c r="V336" t="e">
        <f ca="1">IF((A1)=(2),"",IF((332)=(V4),IF(IF((INDEX(B1:XFD1,((A3)+(1))+(0)))=("store"),(INDEX(B1:XFD1,((A3)+(1))+(1)))=("V"),"false"),B3,V336),V336))</f>
        <v>#VALUE!</v>
      </c>
      <c r="W336" t="e">
        <f ca="1">IF((A1)=(2),"",IF((332)=(W4),IF(IF((INDEX(B1:XFD1,((A3)+(1))+(0)))=("store"),(INDEX(B1:XFD1,((A3)+(1))+(1)))=("W"),"false"),B3,W336),W336))</f>
        <v>#VALUE!</v>
      </c>
      <c r="X336" t="e">
        <f ca="1">IF((A1)=(2),"",IF((332)=(X4),IF(IF((INDEX(B1:XFD1,((A3)+(1))+(0)))=("store"),(INDEX(B1:XFD1,((A3)+(1))+(1)))=("X"),"false"),B3,X336),X336))</f>
        <v>#VALUE!</v>
      </c>
      <c r="Y336" t="e">
        <f ca="1">IF((A1)=(2),"",IF((332)=(Y4),IF(IF((INDEX(B1:XFD1,((A3)+(1))+(0)))=("store"),(INDEX(B1:XFD1,((A3)+(1))+(1)))=("Y"),"false"),B3,Y336),Y336))</f>
        <v>#VALUE!</v>
      </c>
      <c r="Z336" t="e">
        <f ca="1">IF((A1)=(2),"",IF((332)=(Z4),IF(IF((INDEX(B1:XFD1,((A3)+(1))+(0)))=("store"),(INDEX(B1:XFD1,((A3)+(1))+(1)))=("Z"),"false"),B3,Z336),Z336))</f>
        <v>#VALUE!</v>
      </c>
      <c r="AA336" t="e">
        <f ca="1">IF((A1)=(2),"",IF((332)=(AA4),IF(IF((INDEX(B1:XFD1,((A3)+(1))+(0)))=("store"),(INDEX(B1:XFD1,((A3)+(1))+(1)))=("AA"),"false"),B3,AA336),AA336))</f>
        <v>#VALUE!</v>
      </c>
      <c r="AB336" t="e">
        <f ca="1">IF((A1)=(2),"",IF((332)=(AB4),IF(IF((INDEX(B1:XFD1,((A3)+(1))+(0)))=("store"),(INDEX(B1:XFD1,((A3)+(1))+(1)))=("AB"),"false"),B3,AB336),AB336))</f>
        <v>#VALUE!</v>
      </c>
      <c r="AC336" t="e">
        <f ca="1">IF((A1)=(2),"",IF((332)=(AC4),IF(IF((INDEX(B1:XFD1,((A3)+(1))+(0)))=("store"),(INDEX(B1:XFD1,((A3)+(1))+(1)))=("AC"),"false"),B3,AC336),AC336))</f>
        <v>#VALUE!</v>
      </c>
      <c r="AD336" t="e">
        <f ca="1">IF((A1)=(2),"",IF((332)=(AD4),IF(IF((INDEX(B1:XFD1,((A3)+(1))+(0)))=("store"),(INDEX(B1:XFD1,((A3)+(1))+(1)))=("AD"),"false"),B3,AD336),AD336))</f>
        <v>#VALUE!</v>
      </c>
    </row>
    <row r="337" spans="1:30" x14ac:dyDescent="0.25">
      <c r="A337" t="e">
        <f ca="1">IF((A1)=(2),"",IF((333)=(A4),IF(("call")=(INDEX(B1:XFD1,((A3)+(1))+(0))),(B3)*(2),IF(("goto")=(INDEX(B1:XFD1,((A3)+(1))+(0))),(INDEX(B1:XFD1,((A3)+(1))+(1)))*(2),IF(("gotoiftrue")=(INDEX(B1:XFD1,((A3)+(1))+(0))),IF(B3,(INDEX(B1:XFD1,((A3)+(1))+(1)))*(2),(A337)+(2)),(A337)+(2)))),A337))</f>
        <v>#VALUE!</v>
      </c>
      <c r="B337" t="e">
        <f ca="1">IF((A1)=(2),"",IF((333)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337)+(1)),IF(("add")=(INDEX(B1:XFD1,((A3)+(1))+(0))),(INDEX(B5:B405,(B4)+(1)))+(B337),IF(("equals")=(INDEX(B1:XFD1,((A3)+(1))+(0))),(INDEX(B5:B405,(B4)+(1)))=(B337),IF(("leq")=(INDEX(B1:XFD1,((A3)+(1))+(0))),(INDEX(B5:B405,(B4)+(1)))&lt;=(B337),IF(("greater")=(INDEX(B1:XFD1,((A3)+(1))+(0))),(INDEX(B5:B405,(B4)+(1)))&gt;(B337),IF(("mod")=(INDEX(B1:XFD1,((A3)+(1))+(0))),MOD(INDEX(B5:B405,(B4)+(1)),B337),B337))))))))),B337))</f>
        <v>#VALUE!</v>
      </c>
      <c r="C337" t="e">
        <f ca="1">IF((A1)=(2),1,IF(AND((INDEX(B1:XFD1,((A3)+(1))+(0)))=("writeheap"),(INDEX(B5:B405,(B4)+(1)))=(332)),INDEX(B5:B405,(B4)+(2)),IF((A1)=(2),"",IF((333)=(C4),C337,C337))))</f>
        <v>#VALUE!</v>
      </c>
      <c r="F337" t="e">
        <f ca="1">IF((A1)=(2),"",IF((333)=(F4),IF(IF((INDEX(B1:XFD1,((A3)+(1))+(0)))=("store"),(INDEX(B1:XFD1,((A3)+(1))+(1)))=("F"),"false"),B3,F337),F337))</f>
        <v>#VALUE!</v>
      </c>
      <c r="G337" t="e">
        <f ca="1">IF((A1)=(2),"",IF((333)=(G4),IF(IF((INDEX(B1:XFD1,((A3)+(1))+(0)))=("store"),(INDEX(B1:XFD1,((A3)+(1))+(1)))=("G"),"false"),B3,G337),G337))</f>
        <v>#VALUE!</v>
      </c>
      <c r="H337" t="e">
        <f ca="1">IF((A1)=(2),"",IF((333)=(H4),IF(IF((INDEX(B1:XFD1,((A3)+(1))+(0)))=("store"),(INDEX(B1:XFD1,((A3)+(1))+(1)))=("H"),"false"),B3,H337),H337))</f>
        <v>#VALUE!</v>
      </c>
      <c r="I337" t="e">
        <f ca="1">IF((A1)=(2),"",IF((333)=(I4),IF(IF((INDEX(B1:XFD1,((A3)+(1))+(0)))=("store"),(INDEX(B1:XFD1,((A3)+(1))+(1)))=("I"),"false"),B3,I337),I337))</f>
        <v>#VALUE!</v>
      </c>
      <c r="J337" t="e">
        <f ca="1">IF((A1)=(2),"",IF((333)=(J4),IF(IF((INDEX(B1:XFD1,((A3)+(1))+(0)))=("store"),(INDEX(B1:XFD1,((A3)+(1))+(1)))=("J"),"false"),B3,J337),J337))</f>
        <v>#VALUE!</v>
      </c>
      <c r="K337" t="e">
        <f ca="1">IF((A1)=(2),"",IF((333)=(K4),IF(IF((INDEX(B1:XFD1,((A3)+(1))+(0)))=("store"),(INDEX(B1:XFD1,((A3)+(1))+(1)))=("K"),"false"),B3,K337),K337))</f>
        <v>#VALUE!</v>
      </c>
      <c r="L337" t="e">
        <f ca="1">IF((A1)=(2),"",IF((333)=(L4),IF(IF((INDEX(B1:XFD1,((A3)+(1))+(0)))=("store"),(INDEX(B1:XFD1,((A3)+(1))+(1)))=("L"),"false"),B3,L337),L337))</f>
        <v>#VALUE!</v>
      </c>
      <c r="M337" t="e">
        <f ca="1">IF((A1)=(2),"",IF((333)=(M4),IF(IF((INDEX(B1:XFD1,((A3)+(1))+(0)))=("store"),(INDEX(B1:XFD1,((A3)+(1))+(1)))=("M"),"false"),B3,M337),M337))</f>
        <v>#VALUE!</v>
      </c>
      <c r="N337" t="e">
        <f ca="1">IF((A1)=(2),"",IF((333)=(N4),IF(IF((INDEX(B1:XFD1,((A3)+(1))+(0)))=("store"),(INDEX(B1:XFD1,((A3)+(1))+(1)))=("N"),"false"),B3,N337),N337))</f>
        <v>#VALUE!</v>
      </c>
      <c r="O337" t="e">
        <f ca="1">IF((A1)=(2),"",IF((333)=(O4),IF(IF((INDEX(B1:XFD1,((A3)+(1))+(0)))=("store"),(INDEX(B1:XFD1,((A3)+(1))+(1)))=("O"),"false"),B3,O337),O337))</f>
        <v>#VALUE!</v>
      </c>
      <c r="P337" t="e">
        <f ca="1">IF((A1)=(2),"",IF((333)=(P4),IF(IF((INDEX(B1:XFD1,((A3)+(1))+(0)))=("store"),(INDEX(B1:XFD1,((A3)+(1))+(1)))=("P"),"false"),B3,P337),P337))</f>
        <v>#VALUE!</v>
      </c>
      <c r="Q337" t="e">
        <f ca="1">IF((A1)=(2),"",IF((333)=(Q4),IF(IF((INDEX(B1:XFD1,((A3)+(1))+(0)))=("store"),(INDEX(B1:XFD1,((A3)+(1))+(1)))=("Q"),"false"),B3,Q337),Q337))</f>
        <v>#VALUE!</v>
      </c>
      <c r="R337" t="e">
        <f ca="1">IF((A1)=(2),"",IF((333)=(R4),IF(IF((INDEX(B1:XFD1,((A3)+(1))+(0)))=("store"),(INDEX(B1:XFD1,((A3)+(1))+(1)))=("R"),"false"),B3,R337),R337))</f>
        <v>#VALUE!</v>
      </c>
      <c r="S337" t="e">
        <f ca="1">IF((A1)=(2),"",IF((333)=(S4),IF(IF((INDEX(B1:XFD1,((A3)+(1))+(0)))=("store"),(INDEX(B1:XFD1,((A3)+(1))+(1)))=("S"),"false"),B3,S337),S337))</f>
        <v>#VALUE!</v>
      </c>
      <c r="T337" t="e">
        <f ca="1">IF((A1)=(2),"",IF((333)=(T4),IF(IF((INDEX(B1:XFD1,((A3)+(1))+(0)))=("store"),(INDEX(B1:XFD1,((A3)+(1))+(1)))=("T"),"false"),B3,T337),T337))</f>
        <v>#VALUE!</v>
      </c>
      <c r="U337" t="e">
        <f ca="1">IF((A1)=(2),"",IF((333)=(U4),IF(IF((INDEX(B1:XFD1,((A3)+(1))+(0)))=("store"),(INDEX(B1:XFD1,((A3)+(1))+(1)))=("U"),"false"),B3,U337),U337))</f>
        <v>#VALUE!</v>
      </c>
      <c r="V337" t="e">
        <f ca="1">IF((A1)=(2),"",IF((333)=(V4),IF(IF((INDEX(B1:XFD1,((A3)+(1))+(0)))=("store"),(INDEX(B1:XFD1,((A3)+(1))+(1)))=("V"),"false"),B3,V337),V337))</f>
        <v>#VALUE!</v>
      </c>
      <c r="W337" t="e">
        <f ca="1">IF((A1)=(2),"",IF((333)=(W4),IF(IF((INDEX(B1:XFD1,((A3)+(1))+(0)))=("store"),(INDEX(B1:XFD1,((A3)+(1))+(1)))=("W"),"false"),B3,W337),W337))</f>
        <v>#VALUE!</v>
      </c>
      <c r="X337" t="e">
        <f ca="1">IF((A1)=(2),"",IF((333)=(X4),IF(IF((INDEX(B1:XFD1,((A3)+(1))+(0)))=("store"),(INDEX(B1:XFD1,((A3)+(1))+(1)))=("X"),"false"),B3,X337),X337))</f>
        <v>#VALUE!</v>
      </c>
      <c r="Y337" t="e">
        <f ca="1">IF((A1)=(2),"",IF((333)=(Y4),IF(IF((INDEX(B1:XFD1,((A3)+(1))+(0)))=("store"),(INDEX(B1:XFD1,((A3)+(1))+(1)))=("Y"),"false"),B3,Y337),Y337))</f>
        <v>#VALUE!</v>
      </c>
      <c r="Z337" t="e">
        <f ca="1">IF((A1)=(2),"",IF((333)=(Z4),IF(IF((INDEX(B1:XFD1,((A3)+(1))+(0)))=("store"),(INDEX(B1:XFD1,((A3)+(1))+(1)))=("Z"),"false"),B3,Z337),Z337))</f>
        <v>#VALUE!</v>
      </c>
      <c r="AA337" t="e">
        <f ca="1">IF((A1)=(2),"",IF((333)=(AA4),IF(IF((INDEX(B1:XFD1,((A3)+(1))+(0)))=("store"),(INDEX(B1:XFD1,((A3)+(1))+(1)))=("AA"),"false"),B3,AA337),AA337))</f>
        <v>#VALUE!</v>
      </c>
      <c r="AB337" t="e">
        <f ca="1">IF((A1)=(2),"",IF((333)=(AB4),IF(IF((INDEX(B1:XFD1,((A3)+(1))+(0)))=("store"),(INDEX(B1:XFD1,((A3)+(1))+(1)))=("AB"),"false"),B3,AB337),AB337))</f>
        <v>#VALUE!</v>
      </c>
      <c r="AC337" t="e">
        <f ca="1">IF((A1)=(2),"",IF((333)=(AC4),IF(IF((INDEX(B1:XFD1,((A3)+(1))+(0)))=("store"),(INDEX(B1:XFD1,((A3)+(1))+(1)))=("AC"),"false"),B3,AC337),AC337))</f>
        <v>#VALUE!</v>
      </c>
      <c r="AD337" t="e">
        <f ca="1">IF((A1)=(2),"",IF((333)=(AD4),IF(IF((INDEX(B1:XFD1,((A3)+(1))+(0)))=("store"),(INDEX(B1:XFD1,((A3)+(1))+(1)))=("AD"),"false"),B3,AD337),AD337))</f>
        <v>#VALUE!</v>
      </c>
    </row>
    <row r="338" spans="1:30" x14ac:dyDescent="0.25">
      <c r="A338" t="e">
        <f ca="1">IF((A1)=(2),"",IF((334)=(A4),IF(("call")=(INDEX(B1:XFD1,((A3)+(1))+(0))),(B3)*(2),IF(("goto")=(INDEX(B1:XFD1,((A3)+(1))+(0))),(INDEX(B1:XFD1,((A3)+(1))+(1)))*(2),IF(("gotoiftrue")=(INDEX(B1:XFD1,((A3)+(1))+(0))),IF(B3,(INDEX(B1:XFD1,((A3)+(1))+(1)))*(2),(A338)+(2)),(A338)+(2)))),A338))</f>
        <v>#VALUE!</v>
      </c>
      <c r="B338" t="e">
        <f ca="1">IF((A1)=(2),"",IF((334)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338)+(1)),IF(("add")=(INDEX(B1:XFD1,((A3)+(1))+(0))),(INDEX(B5:B405,(B4)+(1)))+(B338),IF(("equals")=(INDEX(B1:XFD1,((A3)+(1))+(0))),(INDEX(B5:B405,(B4)+(1)))=(B338),IF(("leq")=(INDEX(B1:XFD1,((A3)+(1))+(0))),(INDEX(B5:B405,(B4)+(1)))&lt;=(B338),IF(("greater")=(INDEX(B1:XFD1,((A3)+(1))+(0))),(INDEX(B5:B405,(B4)+(1)))&gt;(B338),IF(("mod")=(INDEX(B1:XFD1,((A3)+(1))+(0))),MOD(INDEX(B5:B405,(B4)+(1)),B338),B338))))))))),B338))</f>
        <v>#VALUE!</v>
      </c>
      <c r="C338" t="e">
        <f ca="1">IF((A1)=(2),1,IF(AND((INDEX(B1:XFD1,((A3)+(1))+(0)))=("writeheap"),(INDEX(B5:B405,(B4)+(1)))=(333)),INDEX(B5:B405,(B4)+(2)),IF((A1)=(2),"",IF((334)=(C4),C338,C338))))</f>
        <v>#VALUE!</v>
      </c>
      <c r="F338" t="e">
        <f ca="1">IF((A1)=(2),"",IF((334)=(F4),IF(IF((INDEX(B1:XFD1,((A3)+(1))+(0)))=("store"),(INDEX(B1:XFD1,((A3)+(1))+(1)))=("F"),"false"),B3,F338),F338))</f>
        <v>#VALUE!</v>
      </c>
      <c r="G338" t="e">
        <f ca="1">IF((A1)=(2),"",IF((334)=(G4),IF(IF((INDEX(B1:XFD1,((A3)+(1))+(0)))=("store"),(INDEX(B1:XFD1,((A3)+(1))+(1)))=("G"),"false"),B3,G338),G338))</f>
        <v>#VALUE!</v>
      </c>
      <c r="H338" t="e">
        <f ca="1">IF((A1)=(2),"",IF((334)=(H4),IF(IF((INDEX(B1:XFD1,((A3)+(1))+(0)))=("store"),(INDEX(B1:XFD1,((A3)+(1))+(1)))=("H"),"false"),B3,H338),H338))</f>
        <v>#VALUE!</v>
      </c>
      <c r="I338" t="e">
        <f ca="1">IF((A1)=(2),"",IF((334)=(I4),IF(IF((INDEX(B1:XFD1,((A3)+(1))+(0)))=("store"),(INDEX(B1:XFD1,((A3)+(1))+(1)))=("I"),"false"),B3,I338),I338))</f>
        <v>#VALUE!</v>
      </c>
      <c r="J338" t="e">
        <f ca="1">IF((A1)=(2),"",IF((334)=(J4),IF(IF((INDEX(B1:XFD1,((A3)+(1))+(0)))=("store"),(INDEX(B1:XFD1,((A3)+(1))+(1)))=("J"),"false"),B3,J338),J338))</f>
        <v>#VALUE!</v>
      </c>
      <c r="K338" t="e">
        <f ca="1">IF((A1)=(2),"",IF((334)=(K4),IF(IF((INDEX(B1:XFD1,((A3)+(1))+(0)))=("store"),(INDEX(B1:XFD1,((A3)+(1))+(1)))=("K"),"false"),B3,K338),K338))</f>
        <v>#VALUE!</v>
      </c>
      <c r="L338" t="e">
        <f ca="1">IF((A1)=(2),"",IF((334)=(L4),IF(IF((INDEX(B1:XFD1,((A3)+(1))+(0)))=("store"),(INDEX(B1:XFD1,((A3)+(1))+(1)))=("L"),"false"),B3,L338),L338))</f>
        <v>#VALUE!</v>
      </c>
      <c r="M338" t="e">
        <f ca="1">IF((A1)=(2),"",IF((334)=(M4),IF(IF((INDEX(B1:XFD1,((A3)+(1))+(0)))=("store"),(INDEX(B1:XFD1,((A3)+(1))+(1)))=("M"),"false"),B3,M338),M338))</f>
        <v>#VALUE!</v>
      </c>
      <c r="N338" t="e">
        <f ca="1">IF((A1)=(2),"",IF((334)=(N4),IF(IF((INDEX(B1:XFD1,((A3)+(1))+(0)))=("store"),(INDEX(B1:XFD1,((A3)+(1))+(1)))=("N"),"false"),B3,N338),N338))</f>
        <v>#VALUE!</v>
      </c>
      <c r="O338" t="e">
        <f ca="1">IF((A1)=(2),"",IF((334)=(O4),IF(IF((INDEX(B1:XFD1,((A3)+(1))+(0)))=("store"),(INDEX(B1:XFD1,((A3)+(1))+(1)))=("O"),"false"),B3,O338),O338))</f>
        <v>#VALUE!</v>
      </c>
      <c r="P338" t="e">
        <f ca="1">IF((A1)=(2),"",IF((334)=(P4),IF(IF((INDEX(B1:XFD1,((A3)+(1))+(0)))=("store"),(INDEX(B1:XFD1,((A3)+(1))+(1)))=("P"),"false"),B3,P338),P338))</f>
        <v>#VALUE!</v>
      </c>
      <c r="Q338" t="e">
        <f ca="1">IF((A1)=(2),"",IF((334)=(Q4),IF(IF((INDEX(B1:XFD1,((A3)+(1))+(0)))=("store"),(INDEX(B1:XFD1,((A3)+(1))+(1)))=("Q"),"false"),B3,Q338),Q338))</f>
        <v>#VALUE!</v>
      </c>
      <c r="R338" t="e">
        <f ca="1">IF((A1)=(2),"",IF((334)=(R4),IF(IF((INDEX(B1:XFD1,((A3)+(1))+(0)))=("store"),(INDEX(B1:XFD1,((A3)+(1))+(1)))=("R"),"false"),B3,R338),R338))</f>
        <v>#VALUE!</v>
      </c>
      <c r="S338" t="e">
        <f ca="1">IF((A1)=(2),"",IF((334)=(S4),IF(IF((INDEX(B1:XFD1,((A3)+(1))+(0)))=("store"),(INDEX(B1:XFD1,((A3)+(1))+(1)))=("S"),"false"),B3,S338),S338))</f>
        <v>#VALUE!</v>
      </c>
      <c r="T338" t="e">
        <f ca="1">IF((A1)=(2),"",IF((334)=(T4),IF(IF((INDEX(B1:XFD1,((A3)+(1))+(0)))=("store"),(INDEX(B1:XFD1,((A3)+(1))+(1)))=("T"),"false"),B3,T338),T338))</f>
        <v>#VALUE!</v>
      </c>
      <c r="U338" t="e">
        <f ca="1">IF((A1)=(2),"",IF((334)=(U4),IF(IF((INDEX(B1:XFD1,((A3)+(1))+(0)))=("store"),(INDEX(B1:XFD1,((A3)+(1))+(1)))=("U"),"false"),B3,U338),U338))</f>
        <v>#VALUE!</v>
      </c>
      <c r="V338" t="e">
        <f ca="1">IF((A1)=(2),"",IF((334)=(V4),IF(IF((INDEX(B1:XFD1,((A3)+(1))+(0)))=("store"),(INDEX(B1:XFD1,((A3)+(1))+(1)))=("V"),"false"),B3,V338),V338))</f>
        <v>#VALUE!</v>
      </c>
      <c r="W338" t="e">
        <f ca="1">IF((A1)=(2),"",IF((334)=(W4),IF(IF((INDEX(B1:XFD1,((A3)+(1))+(0)))=("store"),(INDEX(B1:XFD1,((A3)+(1))+(1)))=("W"),"false"),B3,W338),W338))</f>
        <v>#VALUE!</v>
      </c>
      <c r="X338" t="e">
        <f ca="1">IF((A1)=(2),"",IF((334)=(X4),IF(IF((INDEX(B1:XFD1,((A3)+(1))+(0)))=("store"),(INDEX(B1:XFD1,((A3)+(1))+(1)))=("X"),"false"),B3,X338),X338))</f>
        <v>#VALUE!</v>
      </c>
      <c r="Y338" t="e">
        <f ca="1">IF((A1)=(2),"",IF((334)=(Y4),IF(IF((INDEX(B1:XFD1,((A3)+(1))+(0)))=("store"),(INDEX(B1:XFD1,((A3)+(1))+(1)))=("Y"),"false"),B3,Y338),Y338))</f>
        <v>#VALUE!</v>
      </c>
      <c r="Z338" t="e">
        <f ca="1">IF((A1)=(2),"",IF((334)=(Z4),IF(IF((INDEX(B1:XFD1,((A3)+(1))+(0)))=("store"),(INDEX(B1:XFD1,((A3)+(1))+(1)))=("Z"),"false"),B3,Z338),Z338))</f>
        <v>#VALUE!</v>
      </c>
      <c r="AA338" t="e">
        <f ca="1">IF((A1)=(2),"",IF((334)=(AA4),IF(IF((INDEX(B1:XFD1,((A3)+(1))+(0)))=("store"),(INDEX(B1:XFD1,((A3)+(1))+(1)))=("AA"),"false"),B3,AA338),AA338))</f>
        <v>#VALUE!</v>
      </c>
      <c r="AB338" t="e">
        <f ca="1">IF((A1)=(2),"",IF((334)=(AB4),IF(IF((INDEX(B1:XFD1,((A3)+(1))+(0)))=("store"),(INDEX(B1:XFD1,((A3)+(1))+(1)))=("AB"),"false"),B3,AB338),AB338))</f>
        <v>#VALUE!</v>
      </c>
      <c r="AC338" t="e">
        <f ca="1">IF((A1)=(2),"",IF((334)=(AC4),IF(IF((INDEX(B1:XFD1,((A3)+(1))+(0)))=("store"),(INDEX(B1:XFD1,((A3)+(1))+(1)))=("AC"),"false"),B3,AC338),AC338))</f>
        <v>#VALUE!</v>
      </c>
      <c r="AD338" t="e">
        <f ca="1">IF((A1)=(2),"",IF((334)=(AD4),IF(IF((INDEX(B1:XFD1,((A3)+(1))+(0)))=("store"),(INDEX(B1:XFD1,((A3)+(1))+(1)))=("AD"),"false"),B3,AD338),AD338))</f>
        <v>#VALUE!</v>
      </c>
    </row>
    <row r="339" spans="1:30" x14ac:dyDescent="0.25">
      <c r="A339" t="e">
        <f ca="1">IF((A1)=(2),"",IF((335)=(A4),IF(("call")=(INDEX(B1:XFD1,((A3)+(1))+(0))),(B3)*(2),IF(("goto")=(INDEX(B1:XFD1,((A3)+(1))+(0))),(INDEX(B1:XFD1,((A3)+(1))+(1)))*(2),IF(("gotoiftrue")=(INDEX(B1:XFD1,((A3)+(1))+(0))),IF(B3,(INDEX(B1:XFD1,((A3)+(1))+(1)))*(2),(A339)+(2)),(A339)+(2)))),A339))</f>
        <v>#VALUE!</v>
      </c>
      <c r="B339" t="e">
        <f ca="1">IF((A1)=(2),"",IF((335)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339)+(1)),IF(("add")=(INDEX(B1:XFD1,((A3)+(1))+(0))),(INDEX(B5:B405,(B4)+(1)))+(B339),IF(("equals")=(INDEX(B1:XFD1,((A3)+(1))+(0))),(INDEX(B5:B405,(B4)+(1)))=(B339),IF(("leq")=(INDEX(B1:XFD1,((A3)+(1))+(0))),(INDEX(B5:B405,(B4)+(1)))&lt;=(B339),IF(("greater")=(INDEX(B1:XFD1,((A3)+(1))+(0))),(INDEX(B5:B405,(B4)+(1)))&gt;(B339),IF(("mod")=(INDEX(B1:XFD1,((A3)+(1))+(0))),MOD(INDEX(B5:B405,(B4)+(1)),B339),B339))))))))),B339))</f>
        <v>#VALUE!</v>
      </c>
      <c r="C339" t="e">
        <f ca="1">IF((A1)=(2),1,IF(AND((INDEX(B1:XFD1,((A3)+(1))+(0)))=("writeheap"),(INDEX(B5:B405,(B4)+(1)))=(334)),INDEX(B5:B405,(B4)+(2)),IF((A1)=(2),"",IF((335)=(C4),C339,C339))))</f>
        <v>#VALUE!</v>
      </c>
      <c r="F339" t="e">
        <f ca="1">IF((A1)=(2),"",IF((335)=(F4),IF(IF((INDEX(B1:XFD1,((A3)+(1))+(0)))=("store"),(INDEX(B1:XFD1,((A3)+(1))+(1)))=("F"),"false"),B3,F339),F339))</f>
        <v>#VALUE!</v>
      </c>
      <c r="G339" t="e">
        <f ca="1">IF((A1)=(2),"",IF((335)=(G4),IF(IF((INDEX(B1:XFD1,((A3)+(1))+(0)))=("store"),(INDEX(B1:XFD1,((A3)+(1))+(1)))=("G"),"false"),B3,G339),G339))</f>
        <v>#VALUE!</v>
      </c>
      <c r="H339" t="e">
        <f ca="1">IF((A1)=(2),"",IF((335)=(H4),IF(IF((INDEX(B1:XFD1,((A3)+(1))+(0)))=("store"),(INDEX(B1:XFD1,((A3)+(1))+(1)))=("H"),"false"),B3,H339),H339))</f>
        <v>#VALUE!</v>
      </c>
      <c r="I339" t="e">
        <f ca="1">IF((A1)=(2),"",IF((335)=(I4),IF(IF((INDEX(B1:XFD1,((A3)+(1))+(0)))=("store"),(INDEX(B1:XFD1,((A3)+(1))+(1)))=("I"),"false"),B3,I339),I339))</f>
        <v>#VALUE!</v>
      </c>
      <c r="J339" t="e">
        <f ca="1">IF((A1)=(2),"",IF((335)=(J4),IF(IF((INDEX(B1:XFD1,((A3)+(1))+(0)))=("store"),(INDEX(B1:XFD1,((A3)+(1))+(1)))=("J"),"false"),B3,J339),J339))</f>
        <v>#VALUE!</v>
      </c>
      <c r="K339" t="e">
        <f ca="1">IF((A1)=(2),"",IF((335)=(K4),IF(IF((INDEX(B1:XFD1,((A3)+(1))+(0)))=("store"),(INDEX(B1:XFD1,((A3)+(1))+(1)))=("K"),"false"),B3,K339),K339))</f>
        <v>#VALUE!</v>
      </c>
      <c r="L339" t="e">
        <f ca="1">IF((A1)=(2),"",IF((335)=(L4),IF(IF((INDEX(B1:XFD1,((A3)+(1))+(0)))=("store"),(INDEX(B1:XFD1,((A3)+(1))+(1)))=("L"),"false"),B3,L339),L339))</f>
        <v>#VALUE!</v>
      </c>
      <c r="M339" t="e">
        <f ca="1">IF((A1)=(2),"",IF((335)=(M4),IF(IF((INDEX(B1:XFD1,((A3)+(1))+(0)))=("store"),(INDEX(B1:XFD1,((A3)+(1))+(1)))=("M"),"false"),B3,M339),M339))</f>
        <v>#VALUE!</v>
      </c>
      <c r="N339" t="e">
        <f ca="1">IF((A1)=(2),"",IF((335)=(N4),IF(IF((INDEX(B1:XFD1,((A3)+(1))+(0)))=("store"),(INDEX(B1:XFD1,((A3)+(1))+(1)))=("N"),"false"),B3,N339),N339))</f>
        <v>#VALUE!</v>
      </c>
      <c r="O339" t="e">
        <f ca="1">IF((A1)=(2),"",IF((335)=(O4),IF(IF((INDEX(B1:XFD1,((A3)+(1))+(0)))=("store"),(INDEX(B1:XFD1,((A3)+(1))+(1)))=("O"),"false"),B3,O339),O339))</f>
        <v>#VALUE!</v>
      </c>
      <c r="P339" t="e">
        <f ca="1">IF((A1)=(2),"",IF((335)=(P4),IF(IF((INDEX(B1:XFD1,((A3)+(1))+(0)))=("store"),(INDEX(B1:XFD1,((A3)+(1))+(1)))=("P"),"false"),B3,P339),P339))</f>
        <v>#VALUE!</v>
      </c>
      <c r="Q339" t="e">
        <f ca="1">IF((A1)=(2),"",IF((335)=(Q4),IF(IF((INDEX(B1:XFD1,((A3)+(1))+(0)))=("store"),(INDEX(B1:XFD1,((A3)+(1))+(1)))=("Q"),"false"),B3,Q339),Q339))</f>
        <v>#VALUE!</v>
      </c>
      <c r="R339" t="e">
        <f ca="1">IF((A1)=(2),"",IF((335)=(R4),IF(IF((INDEX(B1:XFD1,((A3)+(1))+(0)))=("store"),(INDEX(B1:XFD1,((A3)+(1))+(1)))=("R"),"false"),B3,R339),R339))</f>
        <v>#VALUE!</v>
      </c>
      <c r="S339" t="e">
        <f ca="1">IF((A1)=(2),"",IF((335)=(S4),IF(IF((INDEX(B1:XFD1,((A3)+(1))+(0)))=("store"),(INDEX(B1:XFD1,((A3)+(1))+(1)))=("S"),"false"),B3,S339),S339))</f>
        <v>#VALUE!</v>
      </c>
      <c r="T339" t="e">
        <f ca="1">IF((A1)=(2),"",IF((335)=(T4),IF(IF((INDEX(B1:XFD1,((A3)+(1))+(0)))=("store"),(INDEX(B1:XFD1,((A3)+(1))+(1)))=("T"),"false"),B3,T339),T339))</f>
        <v>#VALUE!</v>
      </c>
      <c r="U339" t="e">
        <f ca="1">IF((A1)=(2),"",IF((335)=(U4),IF(IF((INDEX(B1:XFD1,((A3)+(1))+(0)))=("store"),(INDEX(B1:XFD1,((A3)+(1))+(1)))=("U"),"false"),B3,U339),U339))</f>
        <v>#VALUE!</v>
      </c>
      <c r="V339" t="e">
        <f ca="1">IF((A1)=(2),"",IF((335)=(V4),IF(IF((INDEX(B1:XFD1,((A3)+(1))+(0)))=("store"),(INDEX(B1:XFD1,((A3)+(1))+(1)))=("V"),"false"),B3,V339),V339))</f>
        <v>#VALUE!</v>
      </c>
      <c r="W339" t="e">
        <f ca="1">IF((A1)=(2),"",IF((335)=(W4),IF(IF((INDEX(B1:XFD1,((A3)+(1))+(0)))=("store"),(INDEX(B1:XFD1,((A3)+(1))+(1)))=("W"),"false"),B3,W339),W339))</f>
        <v>#VALUE!</v>
      </c>
      <c r="X339" t="e">
        <f ca="1">IF((A1)=(2),"",IF((335)=(X4),IF(IF((INDEX(B1:XFD1,((A3)+(1))+(0)))=("store"),(INDEX(B1:XFD1,((A3)+(1))+(1)))=("X"),"false"),B3,X339),X339))</f>
        <v>#VALUE!</v>
      </c>
      <c r="Y339" t="e">
        <f ca="1">IF((A1)=(2),"",IF((335)=(Y4),IF(IF((INDEX(B1:XFD1,((A3)+(1))+(0)))=("store"),(INDEX(B1:XFD1,((A3)+(1))+(1)))=("Y"),"false"),B3,Y339),Y339))</f>
        <v>#VALUE!</v>
      </c>
      <c r="Z339" t="e">
        <f ca="1">IF((A1)=(2),"",IF((335)=(Z4),IF(IF((INDEX(B1:XFD1,((A3)+(1))+(0)))=("store"),(INDEX(B1:XFD1,((A3)+(1))+(1)))=("Z"),"false"),B3,Z339),Z339))</f>
        <v>#VALUE!</v>
      </c>
      <c r="AA339" t="e">
        <f ca="1">IF((A1)=(2),"",IF((335)=(AA4),IF(IF((INDEX(B1:XFD1,((A3)+(1))+(0)))=("store"),(INDEX(B1:XFD1,((A3)+(1))+(1)))=("AA"),"false"),B3,AA339),AA339))</f>
        <v>#VALUE!</v>
      </c>
      <c r="AB339" t="e">
        <f ca="1">IF((A1)=(2),"",IF((335)=(AB4),IF(IF((INDEX(B1:XFD1,((A3)+(1))+(0)))=("store"),(INDEX(B1:XFD1,((A3)+(1))+(1)))=("AB"),"false"),B3,AB339),AB339))</f>
        <v>#VALUE!</v>
      </c>
      <c r="AC339" t="e">
        <f ca="1">IF((A1)=(2),"",IF((335)=(AC4),IF(IF((INDEX(B1:XFD1,((A3)+(1))+(0)))=("store"),(INDEX(B1:XFD1,((A3)+(1))+(1)))=("AC"),"false"),B3,AC339),AC339))</f>
        <v>#VALUE!</v>
      </c>
      <c r="AD339" t="e">
        <f ca="1">IF((A1)=(2),"",IF((335)=(AD4),IF(IF((INDEX(B1:XFD1,((A3)+(1))+(0)))=("store"),(INDEX(B1:XFD1,((A3)+(1))+(1)))=("AD"),"false"),B3,AD339),AD339))</f>
        <v>#VALUE!</v>
      </c>
    </row>
    <row r="340" spans="1:30" x14ac:dyDescent="0.25">
      <c r="A340" t="e">
        <f ca="1">IF((A1)=(2),"",IF((336)=(A4),IF(("call")=(INDEX(B1:XFD1,((A3)+(1))+(0))),(B3)*(2),IF(("goto")=(INDEX(B1:XFD1,((A3)+(1))+(0))),(INDEX(B1:XFD1,((A3)+(1))+(1)))*(2),IF(("gotoiftrue")=(INDEX(B1:XFD1,((A3)+(1))+(0))),IF(B3,(INDEX(B1:XFD1,((A3)+(1))+(1)))*(2),(A340)+(2)),(A340)+(2)))),A340))</f>
        <v>#VALUE!</v>
      </c>
      <c r="B340" t="e">
        <f ca="1">IF((A1)=(2),"",IF((336)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340)+(1)),IF(("add")=(INDEX(B1:XFD1,((A3)+(1))+(0))),(INDEX(B5:B405,(B4)+(1)))+(B340),IF(("equals")=(INDEX(B1:XFD1,((A3)+(1))+(0))),(INDEX(B5:B405,(B4)+(1)))=(B340),IF(("leq")=(INDEX(B1:XFD1,((A3)+(1))+(0))),(INDEX(B5:B405,(B4)+(1)))&lt;=(B340),IF(("greater")=(INDEX(B1:XFD1,((A3)+(1))+(0))),(INDEX(B5:B405,(B4)+(1)))&gt;(B340),IF(("mod")=(INDEX(B1:XFD1,((A3)+(1))+(0))),MOD(INDEX(B5:B405,(B4)+(1)),B340),B340))))))))),B340))</f>
        <v>#VALUE!</v>
      </c>
      <c r="C340" t="e">
        <f ca="1">IF((A1)=(2),1,IF(AND((INDEX(B1:XFD1,((A3)+(1))+(0)))=("writeheap"),(INDEX(B5:B405,(B4)+(1)))=(335)),INDEX(B5:B405,(B4)+(2)),IF((A1)=(2),"",IF((336)=(C4),C340,C340))))</f>
        <v>#VALUE!</v>
      </c>
      <c r="F340" t="e">
        <f ca="1">IF((A1)=(2),"",IF((336)=(F4),IF(IF((INDEX(B1:XFD1,((A3)+(1))+(0)))=("store"),(INDEX(B1:XFD1,((A3)+(1))+(1)))=("F"),"false"),B3,F340),F340))</f>
        <v>#VALUE!</v>
      </c>
      <c r="G340" t="e">
        <f ca="1">IF((A1)=(2),"",IF((336)=(G4),IF(IF((INDEX(B1:XFD1,((A3)+(1))+(0)))=("store"),(INDEX(B1:XFD1,((A3)+(1))+(1)))=("G"),"false"),B3,G340),G340))</f>
        <v>#VALUE!</v>
      </c>
      <c r="H340" t="e">
        <f ca="1">IF((A1)=(2),"",IF((336)=(H4),IF(IF((INDEX(B1:XFD1,((A3)+(1))+(0)))=("store"),(INDEX(B1:XFD1,((A3)+(1))+(1)))=("H"),"false"),B3,H340),H340))</f>
        <v>#VALUE!</v>
      </c>
      <c r="I340" t="e">
        <f ca="1">IF((A1)=(2),"",IF((336)=(I4),IF(IF((INDEX(B1:XFD1,((A3)+(1))+(0)))=("store"),(INDEX(B1:XFD1,((A3)+(1))+(1)))=("I"),"false"),B3,I340),I340))</f>
        <v>#VALUE!</v>
      </c>
      <c r="J340" t="e">
        <f ca="1">IF((A1)=(2),"",IF((336)=(J4),IF(IF((INDEX(B1:XFD1,((A3)+(1))+(0)))=("store"),(INDEX(B1:XFD1,((A3)+(1))+(1)))=("J"),"false"),B3,J340),J340))</f>
        <v>#VALUE!</v>
      </c>
      <c r="K340" t="e">
        <f ca="1">IF((A1)=(2),"",IF((336)=(K4),IF(IF((INDEX(B1:XFD1,((A3)+(1))+(0)))=("store"),(INDEX(B1:XFD1,((A3)+(1))+(1)))=("K"),"false"),B3,K340),K340))</f>
        <v>#VALUE!</v>
      </c>
      <c r="L340" t="e">
        <f ca="1">IF((A1)=(2),"",IF((336)=(L4),IF(IF((INDEX(B1:XFD1,((A3)+(1))+(0)))=("store"),(INDEX(B1:XFD1,((A3)+(1))+(1)))=("L"),"false"),B3,L340),L340))</f>
        <v>#VALUE!</v>
      </c>
      <c r="M340" t="e">
        <f ca="1">IF((A1)=(2),"",IF((336)=(M4),IF(IF((INDEX(B1:XFD1,((A3)+(1))+(0)))=("store"),(INDEX(B1:XFD1,((A3)+(1))+(1)))=("M"),"false"),B3,M340),M340))</f>
        <v>#VALUE!</v>
      </c>
      <c r="N340" t="e">
        <f ca="1">IF((A1)=(2),"",IF((336)=(N4),IF(IF((INDEX(B1:XFD1,((A3)+(1))+(0)))=("store"),(INDEX(B1:XFD1,((A3)+(1))+(1)))=("N"),"false"),B3,N340),N340))</f>
        <v>#VALUE!</v>
      </c>
      <c r="O340" t="e">
        <f ca="1">IF((A1)=(2),"",IF((336)=(O4),IF(IF((INDEX(B1:XFD1,((A3)+(1))+(0)))=("store"),(INDEX(B1:XFD1,((A3)+(1))+(1)))=("O"),"false"),B3,O340),O340))</f>
        <v>#VALUE!</v>
      </c>
      <c r="P340" t="e">
        <f ca="1">IF((A1)=(2),"",IF((336)=(P4),IF(IF((INDEX(B1:XFD1,((A3)+(1))+(0)))=("store"),(INDEX(B1:XFD1,((A3)+(1))+(1)))=("P"),"false"),B3,P340),P340))</f>
        <v>#VALUE!</v>
      </c>
      <c r="Q340" t="e">
        <f ca="1">IF((A1)=(2),"",IF((336)=(Q4),IF(IF((INDEX(B1:XFD1,((A3)+(1))+(0)))=("store"),(INDEX(B1:XFD1,((A3)+(1))+(1)))=("Q"),"false"),B3,Q340),Q340))</f>
        <v>#VALUE!</v>
      </c>
      <c r="R340" t="e">
        <f ca="1">IF((A1)=(2),"",IF((336)=(R4),IF(IF((INDEX(B1:XFD1,((A3)+(1))+(0)))=("store"),(INDEX(B1:XFD1,((A3)+(1))+(1)))=("R"),"false"),B3,R340),R340))</f>
        <v>#VALUE!</v>
      </c>
      <c r="S340" t="e">
        <f ca="1">IF((A1)=(2),"",IF((336)=(S4),IF(IF((INDEX(B1:XFD1,((A3)+(1))+(0)))=("store"),(INDEX(B1:XFD1,((A3)+(1))+(1)))=("S"),"false"),B3,S340),S340))</f>
        <v>#VALUE!</v>
      </c>
      <c r="T340" t="e">
        <f ca="1">IF((A1)=(2),"",IF((336)=(T4),IF(IF((INDEX(B1:XFD1,((A3)+(1))+(0)))=("store"),(INDEX(B1:XFD1,((A3)+(1))+(1)))=("T"),"false"),B3,T340),T340))</f>
        <v>#VALUE!</v>
      </c>
      <c r="U340" t="e">
        <f ca="1">IF((A1)=(2),"",IF((336)=(U4),IF(IF((INDEX(B1:XFD1,((A3)+(1))+(0)))=("store"),(INDEX(B1:XFD1,((A3)+(1))+(1)))=("U"),"false"),B3,U340),U340))</f>
        <v>#VALUE!</v>
      </c>
      <c r="V340" t="e">
        <f ca="1">IF((A1)=(2),"",IF((336)=(V4),IF(IF((INDEX(B1:XFD1,((A3)+(1))+(0)))=("store"),(INDEX(B1:XFD1,((A3)+(1))+(1)))=("V"),"false"),B3,V340),V340))</f>
        <v>#VALUE!</v>
      </c>
      <c r="W340" t="e">
        <f ca="1">IF((A1)=(2),"",IF((336)=(W4),IF(IF((INDEX(B1:XFD1,((A3)+(1))+(0)))=("store"),(INDEX(B1:XFD1,((A3)+(1))+(1)))=("W"),"false"),B3,W340),W340))</f>
        <v>#VALUE!</v>
      </c>
      <c r="X340" t="e">
        <f ca="1">IF((A1)=(2),"",IF((336)=(X4),IF(IF((INDEX(B1:XFD1,((A3)+(1))+(0)))=("store"),(INDEX(B1:XFD1,((A3)+(1))+(1)))=("X"),"false"),B3,X340),X340))</f>
        <v>#VALUE!</v>
      </c>
      <c r="Y340" t="e">
        <f ca="1">IF((A1)=(2),"",IF((336)=(Y4),IF(IF((INDEX(B1:XFD1,((A3)+(1))+(0)))=("store"),(INDEX(B1:XFD1,((A3)+(1))+(1)))=("Y"),"false"),B3,Y340),Y340))</f>
        <v>#VALUE!</v>
      </c>
      <c r="Z340" t="e">
        <f ca="1">IF((A1)=(2),"",IF((336)=(Z4),IF(IF((INDEX(B1:XFD1,((A3)+(1))+(0)))=("store"),(INDEX(B1:XFD1,((A3)+(1))+(1)))=("Z"),"false"),B3,Z340),Z340))</f>
        <v>#VALUE!</v>
      </c>
      <c r="AA340" t="e">
        <f ca="1">IF((A1)=(2),"",IF((336)=(AA4),IF(IF((INDEX(B1:XFD1,((A3)+(1))+(0)))=("store"),(INDEX(B1:XFD1,((A3)+(1))+(1)))=("AA"),"false"),B3,AA340),AA340))</f>
        <v>#VALUE!</v>
      </c>
      <c r="AB340" t="e">
        <f ca="1">IF((A1)=(2),"",IF((336)=(AB4),IF(IF((INDEX(B1:XFD1,((A3)+(1))+(0)))=("store"),(INDEX(B1:XFD1,((A3)+(1))+(1)))=("AB"),"false"),B3,AB340),AB340))</f>
        <v>#VALUE!</v>
      </c>
      <c r="AC340" t="e">
        <f ca="1">IF((A1)=(2),"",IF((336)=(AC4),IF(IF((INDEX(B1:XFD1,((A3)+(1))+(0)))=("store"),(INDEX(B1:XFD1,((A3)+(1))+(1)))=("AC"),"false"),B3,AC340),AC340))</f>
        <v>#VALUE!</v>
      </c>
      <c r="AD340" t="e">
        <f ca="1">IF((A1)=(2),"",IF((336)=(AD4),IF(IF((INDEX(B1:XFD1,((A3)+(1))+(0)))=("store"),(INDEX(B1:XFD1,((A3)+(1))+(1)))=("AD"),"false"),B3,AD340),AD340))</f>
        <v>#VALUE!</v>
      </c>
    </row>
    <row r="341" spans="1:30" x14ac:dyDescent="0.25">
      <c r="A341" t="e">
        <f ca="1">IF((A1)=(2),"",IF((337)=(A4),IF(("call")=(INDEX(B1:XFD1,((A3)+(1))+(0))),(B3)*(2),IF(("goto")=(INDEX(B1:XFD1,((A3)+(1))+(0))),(INDEX(B1:XFD1,((A3)+(1))+(1)))*(2),IF(("gotoiftrue")=(INDEX(B1:XFD1,((A3)+(1))+(0))),IF(B3,(INDEX(B1:XFD1,((A3)+(1))+(1)))*(2),(A341)+(2)),(A341)+(2)))),A341))</f>
        <v>#VALUE!</v>
      </c>
      <c r="B341" t="e">
        <f ca="1">IF((A1)=(2),"",IF((337)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341)+(1)),IF(("add")=(INDEX(B1:XFD1,((A3)+(1))+(0))),(INDEX(B5:B405,(B4)+(1)))+(B341),IF(("equals")=(INDEX(B1:XFD1,((A3)+(1))+(0))),(INDEX(B5:B405,(B4)+(1)))=(B341),IF(("leq")=(INDEX(B1:XFD1,((A3)+(1))+(0))),(INDEX(B5:B405,(B4)+(1)))&lt;=(B341),IF(("greater")=(INDEX(B1:XFD1,((A3)+(1))+(0))),(INDEX(B5:B405,(B4)+(1)))&gt;(B341),IF(("mod")=(INDEX(B1:XFD1,((A3)+(1))+(0))),MOD(INDEX(B5:B405,(B4)+(1)),B341),B341))))))))),B341))</f>
        <v>#VALUE!</v>
      </c>
      <c r="C341" t="e">
        <f ca="1">IF((A1)=(2),1,IF(AND((INDEX(B1:XFD1,((A3)+(1))+(0)))=("writeheap"),(INDEX(B5:B405,(B4)+(1)))=(336)),INDEX(B5:B405,(B4)+(2)),IF((A1)=(2),"",IF((337)=(C4),C341,C341))))</f>
        <v>#VALUE!</v>
      </c>
      <c r="F341" t="e">
        <f ca="1">IF((A1)=(2),"",IF((337)=(F4),IF(IF((INDEX(B1:XFD1,((A3)+(1))+(0)))=("store"),(INDEX(B1:XFD1,((A3)+(1))+(1)))=("F"),"false"),B3,F341),F341))</f>
        <v>#VALUE!</v>
      </c>
      <c r="G341" t="e">
        <f ca="1">IF((A1)=(2),"",IF((337)=(G4),IF(IF((INDEX(B1:XFD1,((A3)+(1))+(0)))=("store"),(INDEX(B1:XFD1,((A3)+(1))+(1)))=("G"),"false"),B3,G341),G341))</f>
        <v>#VALUE!</v>
      </c>
      <c r="H341" t="e">
        <f ca="1">IF((A1)=(2),"",IF((337)=(H4),IF(IF((INDEX(B1:XFD1,((A3)+(1))+(0)))=("store"),(INDEX(B1:XFD1,((A3)+(1))+(1)))=("H"),"false"),B3,H341),H341))</f>
        <v>#VALUE!</v>
      </c>
      <c r="I341" t="e">
        <f ca="1">IF((A1)=(2),"",IF((337)=(I4),IF(IF((INDEX(B1:XFD1,((A3)+(1))+(0)))=("store"),(INDEX(B1:XFD1,((A3)+(1))+(1)))=("I"),"false"),B3,I341),I341))</f>
        <v>#VALUE!</v>
      </c>
      <c r="J341" t="e">
        <f ca="1">IF((A1)=(2),"",IF((337)=(J4),IF(IF((INDEX(B1:XFD1,((A3)+(1))+(0)))=("store"),(INDEX(B1:XFD1,((A3)+(1))+(1)))=("J"),"false"),B3,J341),J341))</f>
        <v>#VALUE!</v>
      </c>
      <c r="K341" t="e">
        <f ca="1">IF((A1)=(2),"",IF((337)=(K4),IF(IF((INDEX(B1:XFD1,((A3)+(1))+(0)))=("store"),(INDEX(B1:XFD1,((A3)+(1))+(1)))=("K"),"false"),B3,K341),K341))</f>
        <v>#VALUE!</v>
      </c>
      <c r="L341" t="e">
        <f ca="1">IF((A1)=(2),"",IF((337)=(L4),IF(IF((INDEX(B1:XFD1,((A3)+(1))+(0)))=("store"),(INDEX(B1:XFD1,((A3)+(1))+(1)))=("L"),"false"),B3,L341),L341))</f>
        <v>#VALUE!</v>
      </c>
      <c r="M341" t="e">
        <f ca="1">IF((A1)=(2),"",IF((337)=(M4),IF(IF((INDEX(B1:XFD1,((A3)+(1))+(0)))=("store"),(INDEX(B1:XFD1,((A3)+(1))+(1)))=("M"),"false"),B3,M341),M341))</f>
        <v>#VALUE!</v>
      </c>
      <c r="N341" t="e">
        <f ca="1">IF((A1)=(2),"",IF((337)=(N4),IF(IF((INDEX(B1:XFD1,((A3)+(1))+(0)))=("store"),(INDEX(B1:XFD1,((A3)+(1))+(1)))=("N"),"false"),B3,N341),N341))</f>
        <v>#VALUE!</v>
      </c>
      <c r="O341" t="e">
        <f ca="1">IF((A1)=(2),"",IF((337)=(O4),IF(IF((INDEX(B1:XFD1,((A3)+(1))+(0)))=("store"),(INDEX(B1:XFD1,((A3)+(1))+(1)))=("O"),"false"),B3,O341),O341))</f>
        <v>#VALUE!</v>
      </c>
      <c r="P341" t="e">
        <f ca="1">IF((A1)=(2),"",IF((337)=(P4),IF(IF((INDEX(B1:XFD1,((A3)+(1))+(0)))=("store"),(INDEX(B1:XFD1,((A3)+(1))+(1)))=("P"),"false"),B3,P341),P341))</f>
        <v>#VALUE!</v>
      </c>
      <c r="Q341" t="e">
        <f ca="1">IF((A1)=(2),"",IF((337)=(Q4),IF(IF((INDEX(B1:XFD1,((A3)+(1))+(0)))=("store"),(INDEX(B1:XFD1,((A3)+(1))+(1)))=("Q"),"false"),B3,Q341),Q341))</f>
        <v>#VALUE!</v>
      </c>
      <c r="R341" t="e">
        <f ca="1">IF((A1)=(2),"",IF((337)=(R4),IF(IF((INDEX(B1:XFD1,((A3)+(1))+(0)))=("store"),(INDEX(B1:XFD1,((A3)+(1))+(1)))=("R"),"false"),B3,R341),R341))</f>
        <v>#VALUE!</v>
      </c>
      <c r="S341" t="e">
        <f ca="1">IF((A1)=(2),"",IF((337)=(S4),IF(IF((INDEX(B1:XFD1,((A3)+(1))+(0)))=("store"),(INDEX(B1:XFD1,((A3)+(1))+(1)))=("S"),"false"),B3,S341),S341))</f>
        <v>#VALUE!</v>
      </c>
      <c r="T341" t="e">
        <f ca="1">IF((A1)=(2),"",IF((337)=(T4),IF(IF((INDEX(B1:XFD1,((A3)+(1))+(0)))=("store"),(INDEX(B1:XFD1,((A3)+(1))+(1)))=("T"),"false"),B3,T341),T341))</f>
        <v>#VALUE!</v>
      </c>
      <c r="U341" t="e">
        <f ca="1">IF((A1)=(2),"",IF((337)=(U4),IF(IF((INDEX(B1:XFD1,((A3)+(1))+(0)))=("store"),(INDEX(B1:XFD1,((A3)+(1))+(1)))=("U"),"false"),B3,U341),U341))</f>
        <v>#VALUE!</v>
      </c>
      <c r="V341" t="e">
        <f ca="1">IF((A1)=(2),"",IF((337)=(V4),IF(IF((INDEX(B1:XFD1,((A3)+(1))+(0)))=("store"),(INDEX(B1:XFD1,((A3)+(1))+(1)))=("V"),"false"),B3,V341),V341))</f>
        <v>#VALUE!</v>
      </c>
      <c r="W341" t="e">
        <f ca="1">IF((A1)=(2),"",IF((337)=(W4),IF(IF((INDEX(B1:XFD1,((A3)+(1))+(0)))=("store"),(INDEX(B1:XFD1,((A3)+(1))+(1)))=("W"),"false"),B3,W341),W341))</f>
        <v>#VALUE!</v>
      </c>
      <c r="X341" t="e">
        <f ca="1">IF((A1)=(2),"",IF((337)=(X4),IF(IF((INDEX(B1:XFD1,((A3)+(1))+(0)))=("store"),(INDEX(B1:XFD1,((A3)+(1))+(1)))=("X"),"false"),B3,X341),X341))</f>
        <v>#VALUE!</v>
      </c>
      <c r="Y341" t="e">
        <f ca="1">IF((A1)=(2),"",IF((337)=(Y4),IF(IF((INDEX(B1:XFD1,((A3)+(1))+(0)))=("store"),(INDEX(B1:XFD1,((A3)+(1))+(1)))=("Y"),"false"),B3,Y341),Y341))</f>
        <v>#VALUE!</v>
      </c>
      <c r="Z341" t="e">
        <f ca="1">IF((A1)=(2),"",IF((337)=(Z4),IF(IF((INDEX(B1:XFD1,((A3)+(1))+(0)))=("store"),(INDEX(B1:XFD1,((A3)+(1))+(1)))=("Z"),"false"),B3,Z341),Z341))</f>
        <v>#VALUE!</v>
      </c>
      <c r="AA341" t="e">
        <f ca="1">IF((A1)=(2),"",IF((337)=(AA4),IF(IF((INDEX(B1:XFD1,((A3)+(1))+(0)))=("store"),(INDEX(B1:XFD1,((A3)+(1))+(1)))=("AA"),"false"),B3,AA341),AA341))</f>
        <v>#VALUE!</v>
      </c>
      <c r="AB341" t="e">
        <f ca="1">IF((A1)=(2),"",IF((337)=(AB4),IF(IF((INDEX(B1:XFD1,((A3)+(1))+(0)))=("store"),(INDEX(B1:XFD1,((A3)+(1))+(1)))=("AB"),"false"),B3,AB341),AB341))</f>
        <v>#VALUE!</v>
      </c>
      <c r="AC341" t="e">
        <f ca="1">IF((A1)=(2),"",IF((337)=(AC4),IF(IF((INDEX(B1:XFD1,((A3)+(1))+(0)))=("store"),(INDEX(B1:XFD1,((A3)+(1))+(1)))=("AC"),"false"),B3,AC341),AC341))</f>
        <v>#VALUE!</v>
      </c>
      <c r="AD341" t="e">
        <f ca="1">IF((A1)=(2),"",IF((337)=(AD4),IF(IF((INDEX(B1:XFD1,((A3)+(1))+(0)))=("store"),(INDEX(B1:XFD1,((A3)+(1))+(1)))=("AD"),"false"),B3,AD341),AD341))</f>
        <v>#VALUE!</v>
      </c>
    </row>
    <row r="342" spans="1:30" x14ac:dyDescent="0.25">
      <c r="A342" t="e">
        <f ca="1">IF((A1)=(2),"",IF((338)=(A4),IF(("call")=(INDEX(B1:XFD1,((A3)+(1))+(0))),(B3)*(2),IF(("goto")=(INDEX(B1:XFD1,((A3)+(1))+(0))),(INDEX(B1:XFD1,((A3)+(1))+(1)))*(2),IF(("gotoiftrue")=(INDEX(B1:XFD1,((A3)+(1))+(0))),IF(B3,(INDEX(B1:XFD1,((A3)+(1))+(1)))*(2),(A342)+(2)),(A342)+(2)))),A342))</f>
        <v>#VALUE!</v>
      </c>
      <c r="B342" t="e">
        <f ca="1">IF((A1)=(2),"",IF((338)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342)+(1)),IF(("add")=(INDEX(B1:XFD1,((A3)+(1))+(0))),(INDEX(B5:B405,(B4)+(1)))+(B342),IF(("equals")=(INDEX(B1:XFD1,((A3)+(1))+(0))),(INDEX(B5:B405,(B4)+(1)))=(B342),IF(("leq")=(INDEX(B1:XFD1,((A3)+(1))+(0))),(INDEX(B5:B405,(B4)+(1)))&lt;=(B342),IF(("greater")=(INDEX(B1:XFD1,((A3)+(1))+(0))),(INDEX(B5:B405,(B4)+(1)))&gt;(B342),IF(("mod")=(INDEX(B1:XFD1,((A3)+(1))+(0))),MOD(INDEX(B5:B405,(B4)+(1)),B342),B342))))))))),B342))</f>
        <v>#VALUE!</v>
      </c>
      <c r="C342" t="e">
        <f ca="1">IF((A1)=(2),1,IF(AND((INDEX(B1:XFD1,((A3)+(1))+(0)))=("writeheap"),(INDEX(B5:B405,(B4)+(1)))=(337)),INDEX(B5:B405,(B4)+(2)),IF((A1)=(2),"",IF((338)=(C4),C342,C342))))</f>
        <v>#VALUE!</v>
      </c>
      <c r="F342" t="e">
        <f ca="1">IF((A1)=(2),"",IF((338)=(F4),IF(IF((INDEX(B1:XFD1,((A3)+(1))+(0)))=("store"),(INDEX(B1:XFD1,((A3)+(1))+(1)))=("F"),"false"),B3,F342),F342))</f>
        <v>#VALUE!</v>
      </c>
      <c r="G342" t="e">
        <f ca="1">IF((A1)=(2),"",IF((338)=(G4),IF(IF((INDEX(B1:XFD1,((A3)+(1))+(0)))=("store"),(INDEX(B1:XFD1,((A3)+(1))+(1)))=("G"),"false"),B3,G342),G342))</f>
        <v>#VALUE!</v>
      </c>
      <c r="H342" t="e">
        <f ca="1">IF((A1)=(2),"",IF((338)=(H4),IF(IF((INDEX(B1:XFD1,((A3)+(1))+(0)))=("store"),(INDEX(B1:XFD1,((A3)+(1))+(1)))=("H"),"false"),B3,H342),H342))</f>
        <v>#VALUE!</v>
      </c>
      <c r="I342" t="e">
        <f ca="1">IF((A1)=(2),"",IF((338)=(I4),IF(IF((INDEX(B1:XFD1,((A3)+(1))+(0)))=("store"),(INDEX(B1:XFD1,((A3)+(1))+(1)))=("I"),"false"),B3,I342),I342))</f>
        <v>#VALUE!</v>
      </c>
      <c r="J342" t="e">
        <f ca="1">IF((A1)=(2),"",IF((338)=(J4),IF(IF((INDEX(B1:XFD1,((A3)+(1))+(0)))=("store"),(INDEX(B1:XFD1,((A3)+(1))+(1)))=("J"),"false"),B3,J342),J342))</f>
        <v>#VALUE!</v>
      </c>
      <c r="K342" t="e">
        <f ca="1">IF((A1)=(2),"",IF((338)=(K4),IF(IF((INDEX(B1:XFD1,((A3)+(1))+(0)))=("store"),(INDEX(B1:XFD1,((A3)+(1))+(1)))=("K"),"false"),B3,K342),K342))</f>
        <v>#VALUE!</v>
      </c>
      <c r="L342" t="e">
        <f ca="1">IF((A1)=(2),"",IF((338)=(L4),IF(IF((INDEX(B1:XFD1,((A3)+(1))+(0)))=("store"),(INDEX(B1:XFD1,((A3)+(1))+(1)))=("L"),"false"),B3,L342),L342))</f>
        <v>#VALUE!</v>
      </c>
      <c r="M342" t="e">
        <f ca="1">IF((A1)=(2),"",IF((338)=(M4),IF(IF((INDEX(B1:XFD1,((A3)+(1))+(0)))=("store"),(INDEX(B1:XFD1,((A3)+(1))+(1)))=("M"),"false"),B3,M342),M342))</f>
        <v>#VALUE!</v>
      </c>
      <c r="N342" t="e">
        <f ca="1">IF((A1)=(2),"",IF((338)=(N4),IF(IF((INDEX(B1:XFD1,((A3)+(1))+(0)))=("store"),(INDEX(B1:XFD1,((A3)+(1))+(1)))=("N"),"false"),B3,N342),N342))</f>
        <v>#VALUE!</v>
      </c>
      <c r="O342" t="e">
        <f ca="1">IF((A1)=(2),"",IF((338)=(O4),IF(IF((INDEX(B1:XFD1,((A3)+(1))+(0)))=("store"),(INDEX(B1:XFD1,((A3)+(1))+(1)))=("O"),"false"),B3,O342),O342))</f>
        <v>#VALUE!</v>
      </c>
      <c r="P342" t="e">
        <f ca="1">IF((A1)=(2),"",IF((338)=(P4),IF(IF((INDEX(B1:XFD1,((A3)+(1))+(0)))=("store"),(INDEX(B1:XFD1,((A3)+(1))+(1)))=("P"),"false"),B3,P342),P342))</f>
        <v>#VALUE!</v>
      </c>
      <c r="Q342" t="e">
        <f ca="1">IF((A1)=(2),"",IF((338)=(Q4),IF(IF((INDEX(B1:XFD1,((A3)+(1))+(0)))=("store"),(INDEX(B1:XFD1,((A3)+(1))+(1)))=("Q"),"false"),B3,Q342),Q342))</f>
        <v>#VALUE!</v>
      </c>
      <c r="R342" t="e">
        <f ca="1">IF((A1)=(2),"",IF((338)=(R4),IF(IF((INDEX(B1:XFD1,((A3)+(1))+(0)))=("store"),(INDEX(B1:XFD1,((A3)+(1))+(1)))=("R"),"false"),B3,R342),R342))</f>
        <v>#VALUE!</v>
      </c>
      <c r="S342" t="e">
        <f ca="1">IF((A1)=(2),"",IF((338)=(S4),IF(IF((INDEX(B1:XFD1,((A3)+(1))+(0)))=("store"),(INDEX(B1:XFD1,((A3)+(1))+(1)))=("S"),"false"),B3,S342),S342))</f>
        <v>#VALUE!</v>
      </c>
      <c r="T342" t="e">
        <f ca="1">IF((A1)=(2),"",IF((338)=(T4),IF(IF((INDEX(B1:XFD1,((A3)+(1))+(0)))=("store"),(INDEX(B1:XFD1,((A3)+(1))+(1)))=("T"),"false"),B3,T342),T342))</f>
        <v>#VALUE!</v>
      </c>
      <c r="U342" t="e">
        <f ca="1">IF((A1)=(2),"",IF((338)=(U4),IF(IF((INDEX(B1:XFD1,((A3)+(1))+(0)))=("store"),(INDEX(B1:XFD1,((A3)+(1))+(1)))=("U"),"false"),B3,U342),U342))</f>
        <v>#VALUE!</v>
      </c>
      <c r="V342" t="e">
        <f ca="1">IF((A1)=(2),"",IF((338)=(V4),IF(IF((INDEX(B1:XFD1,((A3)+(1))+(0)))=("store"),(INDEX(B1:XFD1,((A3)+(1))+(1)))=("V"),"false"),B3,V342),V342))</f>
        <v>#VALUE!</v>
      </c>
      <c r="W342" t="e">
        <f ca="1">IF((A1)=(2),"",IF((338)=(W4),IF(IF((INDEX(B1:XFD1,((A3)+(1))+(0)))=("store"),(INDEX(B1:XFD1,((A3)+(1))+(1)))=("W"),"false"),B3,W342),W342))</f>
        <v>#VALUE!</v>
      </c>
      <c r="X342" t="e">
        <f ca="1">IF((A1)=(2),"",IF((338)=(X4),IF(IF((INDEX(B1:XFD1,((A3)+(1))+(0)))=("store"),(INDEX(B1:XFD1,((A3)+(1))+(1)))=("X"),"false"),B3,X342),X342))</f>
        <v>#VALUE!</v>
      </c>
      <c r="Y342" t="e">
        <f ca="1">IF((A1)=(2),"",IF((338)=(Y4),IF(IF((INDEX(B1:XFD1,((A3)+(1))+(0)))=("store"),(INDEX(B1:XFD1,((A3)+(1))+(1)))=("Y"),"false"),B3,Y342),Y342))</f>
        <v>#VALUE!</v>
      </c>
      <c r="Z342" t="e">
        <f ca="1">IF((A1)=(2),"",IF((338)=(Z4),IF(IF((INDEX(B1:XFD1,((A3)+(1))+(0)))=("store"),(INDEX(B1:XFD1,((A3)+(1))+(1)))=("Z"),"false"),B3,Z342),Z342))</f>
        <v>#VALUE!</v>
      </c>
      <c r="AA342" t="e">
        <f ca="1">IF((A1)=(2),"",IF((338)=(AA4),IF(IF((INDEX(B1:XFD1,((A3)+(1))+(0)))=("store"),(INDEX(B1:XFD1,((A3)+(1))+(1)))=("AA"),"false"),B3,AA342),AA342))</f>
        <v>#VALUE!</v>
      </c>
      <c r="AB342" t="e">
        <f ca="1">IF((A1)=(2),"",IF((338)=(AB4),IF(IF((INDEX(B1:XFD1,((A3)+(1))+(0)))=("store"),(INDEX(B1:XFD1,((A3)+(1))+(1)))=("AB"),"false"),B3,AB342),AB342))</f>
        <v>#VALUE!</v>
      </c>
      <c r="AC342" t="e">
        <f ca="1">IF((A1)=(2),"",IF((338)=(AC4),IF(IF((INDEX(B1:XFD1,((A3)+(1))+(0)))=("store"),(INDEX(B1:XFD1,((A3)+(1))+(1)))=("AC"),"false"),B3,AC342),AC342))</f>
        <v>#VALUE!</v>
      </c>
      <c r="AD342" t="e">
        <f ca="1">IF((A1)=(2),"",IF((338)=(AD4),IF(IF((INDEX(B1:XFD1,((A3)+(1))+(0)))=("store"),(INDEX(B1:XFD1,((A3)+(1))+(1)))=("AD"),"false"),B3,AD342),AD342))</f>
        <v>#VALUE!</v>
      </c>
    </row>
    <row r="343" spans="1:30" x14ac:dyDescent="0.25">
      <c r="A343" t="e">
        <f ca="1">IF((A1)=(2),"",IF((339)=(A4),IF(("call")=(INDEX(B1:XFD1,((A3)+(1))+(0))),(B3)*(2),IF(("goto")=(INDEX(B1:XFD1,((A3)+(1))+(0))),(INDEX(B1:XFD1,((A3)+(1))+(1)))*(2),IF(("gotoiftrue")=(INDEX(B1:XFD1,((A3)+(1))+(0))),IF(B3,(INDEX(B1:XFD1,((A3)+(1))+(1)))*(2),(A343)+(2)),(A343)+(2)))),A343))</f>
        <v>#VALUE!</v>
      </c>
      <c r="B343" t="e">
        <f ca="1">IF((A1)=(2),"",IF((339)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343)+(1)),IF(("add")=(INDEX(B1:XFD1,((A3)+(1))+(0))),(INDEX(B5:B405,(B4)+(1)))+(B343),IF(("equals")=(INDEX(B1:XFD1,((A3)+(1))+(0))),(INDEX(B5:B405,(B4)+(1)))=(B343),IF(("leq")=(INDEX(B1:XFD1,((A3)+(1))+(0))),(INDEX(B5:B405,(B4)+(1)))&lt;=(B343),IF(("greater")=(INDEX(B1:XFD1,((A3)+(1))+(0))),(INDEX(B5:B405,(B4)+(1)))&gt;(B343),IF(("mod")=(INDEX(B1:XFD1,((A3)+(1))+(0))),MOD(INDEX(B5:B405,(B4)+(1)),B343),B343))))))))),B343))</f>
        <v>#VALUE!</v>
      </c>
      <c r="C343" t="e">
        <f ca="1">IF((A1)=(2),1,IF(AND((INDEX(B1:XFD1,((A3)+(1))+(0)))=("writeheap"),(INDEX(B5:B405,(B4)+(1)))=(338)),INDEX(B5:B405,(B4)+(2)),IF((A1)=(2),"",IF((339)=(C4),C343,C343))))</f>
        <v>#VALUE!</v>
      </c>
      <c r="F343" t="e">
        <f ca="1">IF((A1)=(2),"",IF((339)=(F4),IF(IF((INDEX(B1:XFD1,((A3)+(1))+(0)))=("store"),(INDEX(B1:XFD1,((A3)+(1))+(1)))=("F"),"false"),B3,F343),F343))</f>
        <v>#VALUE!</v>
      </c>
      <c r="G343" t="e">
        <f ca="1">IF((A1)=(2),"",IF((339)=(G4),IF(IF((INDEX(B1:XFD1,((A3)+(1))+(0)))=("store"),(INDEX(B1:XFD1,((A3)+(1))+(1)))=("G"),"false"),B3,G343),G343))</f>
        <v>#VALUE!</v>
      </c>
      <c r="H343" t="e">
        <f ca="1">IF((A1)=(2),"",IF((339)=(H4),IF(IF((INDEX(B1:XFD1,((A3)+(1))+(0)))=("store"),(INDEX(B1:XFD1,((A3)+(1))+(1)))=("H"),"false"),B3,H343),H343))</f>
        <v>#VALUE!</v>
      </c>
      <c r="I343" t="e">
        <f ca="1">IF((A1)=(2),"",IF((339)=(I4),IF(IF((INDEX(B1:XFD1,((A3)+(1))+(0)))=("store"),(INDEX(B1:XFD1,((A3)+(1))+(1)))=("I"),"false"),B3,I343),I343))</f>
        <v>#VALUE!</v>
      </c>
      <c r="J343" t="e">
        <f ca="1">IF((A1)=(2),"",IF((339)=(J4),IF(IF((INDEX(B1:XFD1,((A3)+(1))+(0)))=("store"),(INDEX(B1:XFD1,((A3)+(1))+(1)))=("J"),"false"),B3,J343),J343))</f>
        <v>#VALUE!</v>
      </c>
      <c r="K343" t="e">
        <f ca="1">IF((A1)=(2),"",IF((339)=(K4),IF(IF((INDEX(B1:XFD1,((A3)+(1))+(0)))=("store"),(INDEX(B1:XFD1,((A3)+(1))+(1)))=("K"),"false"),B3,K343),K343))</f>
        <v>#VALUE!</v>
      </c>
      <c r="L343" t="e">
        <f ca="1">IF((A1)=(2),"",IF((339)=(L4),IF(IF((INDEX(B1:XFD1,((A3)+(1))+(0)))=("store"),(INDEX(B1:XFD1,((A3)+(1))+(1)))=("L"),"false"),B3,L343),L343))</f>
        <v>#VALUE!</v>
      </c>
      <c r="M343" t="e">
        <f ca="1">IF((A1)=(2),"",IF((339)=(M4),IF(IF((INDEX(B1:XFD1,((A3)+(1))+(0)))=("store"),(INDEX(B1:XFD1,((A3)+(1))+(1)))=("M"),"false"),B3,M343),M343))</f>
        <v>#VALUE!</v>
      </c>
      <c r="N343" t="e">
        <f ca="1">IF((A1)=(2),"",IF((339)=(N4),IF(IF((INDEX(B1:XFD1,((A3)+(1))+(0)))=("store"),(INDEX(B1:XFD1,((A3)+(1))+(1)))=("N"),"false"),B3,N343),N343))</f>
        <v>#VALUE!</v>
      </c>
      <c r="O343" t="e">
        <f ca="1">IF((A1)=(2),"",IF((339)=(O4),IF(IF((INDEX(B1:XFD1,((A3)+(1))+(0)))=("store"),(INDEX(B1:XFD1,((A3)+(1))+(1)))=("O"),"false"),B3,O343),O343))</f>
        <v>#VALUE!</v>
      </c>
      <c r="P343" t="e">
        <f ca="1">IF((A1)=(2),"",IF((339)=(P4),IF(IF((INDEX(B1:XFD1,((A3)+(1))+(0)))=("store"),(INDEX(B1:XFD1,((A3)+(1))+(1)))=("P"),"false"),B3,P343),P343))</f>
        <v>#VALUE!</v>
      </c>
      <c r="Q343" t="e">
        <f ca="1">IF((A1)=(2),"",IF((339)=(Q4),IF(IF((INDEX(B1:XFD1,((A3)+(1))+(0)))=("store"),(INDEX(B1:XFD1,((A3)+(1))+(1)))=("Q"),"false"),B3,Q343),Q343))</f>
        <v>#VALUE!</v>
      </c>
      <c r="R343" t="e">
        <f ca="1">IF((A1)=(2),"",IF((339)=(R4),IF(IF((INDEX(B1:XFD1,((A3)+(1))+(0)))=("store"),(INDEX(B1:XFD1,((A3)+(1))+(1)))=("R"),"false"),B3,R343),R343))</f>
        <v>#VALUE!</v>
      </c>
      <c r="S343" t="e">
        <f ca="1">IF((A1)=(2),"",IF((339)=(S4),IF(IF((INDEX(B1:XFD1,((A3)+(1))+(0)))=("store"),(INDEX(B1:XFD1,((A3)+(1))+(1)))=("S"),"false"),B3,S343),S343))</f>
        <v>#VALUE!</v>
      </c>
      <c r="T343" t="e">
        <f ca="1">IF((A1)=(2),"",IF((339)=(T4),IF(IF((INDEX(B1:XFD1,((A3)+(1))+(0)))=("store"),(INDEX(B1:XFD1,((A3)+(1))+(1)))=("T"),"false"),B3,T343),T343))</f>
        <v>#VALUE!</v>
      </c>
      <c r="U343" t="e">
        <f ca="1">IF((A1)=(2),"",IF((339)=(U4),IF(IF((INDEX(B1:XFD1,((A3)+(1))+(0)))=("store"),(INDEX(B1:XFD1,((A3)+(1))+(1)))=("U"),"false"),B3,U343),U343))</f>
        <v>#VALUE!</v>
      </c>
      <c r="V343" t="e">
        <f ca="1">IF((A1)=(2),"",IF((339)=(V4),IF(IF((INDEX(B1:XFD1,((A3)+(1))+(0)))=("store"),(INDEX(B1:XFD1,((A3)+(1))+(1)))=("V"),"false"),B3,V343),V343))</f>
        <v>#VALUE!</v>
      </c>
      <c r="W343" t="e">
        <f ca="1">IF((A1)=(2),"",IF((339)=(W4),IF(IF((INDEX(B1:XFD1,((A3)+(1))+(0)))=("store"),(INDEX(B1:XFD1,((A3)+(1))+(1)))=("W"),"false"),B3,W343),W343))</f>
        <v>#VALUE!</v>
      </c>
      <c r="X343" t="e">
        <f ca="1">IF((A1)=(2),"",IF((339)=(X4),IF(IF((INDEX(B1:XFD1,((A3)+(1))+(0)))=("store"),(INDEX(B1:XFD1,((A3)+(1))+(1)))=("X"),"false"),B3,X343),X343))</f>
        <v>#VALUE!</v>
      </c>
      <c r="Y343" t="e">
        <f ca="1">IF((A1)=(2),"",IF((339)=(Y4),IF(IF((INDEX(B1:XFD1,((A3)+(1))+(0)))=("store"),(INDEX(B1:XFD1,((A3)+(1))+(1)))=("Y"),"false"),B3,Y343),Y343))</f>
        <v>#VALUE!</v>
      </c>
      <c r="Z343" t="e">
        <f ca="1">IF((A1)=(2),"",IF((339)=(Z4),IF(IF((INDEX(B1:XFD1,((A3)+(1))+(0)))=("store"),(INDEX(B1:XFD1,((A3)+(1))+(1)))=("Z"),"false"),B3,Z343),Z343))</f>
        <v>#VALUE!</v>
      </c>
      <c r="AA343" t="e">
        <f ca="1">IF((A1)=(2),"",IF((339)=(AA4),IF(IF((INDEX(B1:XFD1,((A3)+(1))+(0)))=("store"),(INDEX(B1:XFD1,((A3)+(1))+(1)))=("AA"),"false"),B3,AA343),AA343))</f>
        <v>#VALUE!</v>
      </c>
      <c r="AB343" t="e">
        <f ca="1">IF((A1)=(2),"",IF((339)=(AB4),IF(IF((INDEX(B1:XFD1,((A3)+(1))+(0)))=("store"),(INDEX(B1:XFD1,((A3)+(1))+(1)))=("AB"),"false"),B3,AB343),AB343))</f>
        <v>#VALUE!</v>
      </c>
      <c r="AC343" t="e">
        <f ca="1">IF((A1)=(2),"",IF((339)=(AC4),IF(IF((INDEX(B1:XFD1,((A3)+(1))+(0)))=("store"),(INDEX(B1:XFD1,((A3)+(1))+(1)))=("AC"),"false"),B3,AC343),AC343))</f>
        <v>#VALUE!</v>
      </c>
      <c r="AD343" t="e">
        <f ca="1">IF((A1)=(2),"",IF((339)=(AD4),IF(IF((INDEX(B1:XFD1,((A3)+(1))+(0)))=("store"),(INDEX(B1:XFD1,((A3)+(1))+(1)))=("AD"),"false"),B3,AD343),AD343))</f>
        <v>#VALUE!</v>
      </c>
    </row>
    <row r="344" spans="1:30" x14ac:dyDescent="0.25">
      <c r="A344" t="e">
        <f ca="1">IF((A1)=(2),"",IF((340)=(A4),IF(("call")=(INDEX(B1:XFD1,((A3)+(1))+(0))),(B3)*(2),IF(("goto")=(INDEX(B1:XFD1,((A3)+(1))+(0))),(INDEX(B1:XFD1,((A3)+(1))+(1)))*(2),IF(("gotoiftrue")=(INDEX(B1:XFD1,((A3)+(1))+(0))),IF(B3,(INDEX(B1:XFD1,((A3)+(1))+(1)))*(2),(A344)+(2)),(A344)+(2)))),A344))</f>
        <v>#VALUE!</v>
      </c>
      <c r="B344" t="e">
        <f ca="1">IF((A1)=(2),"",IF((340)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344)+(1)),IF(("add")=(INDEX(B1:XFD1,((A3)+(1))+(0))),(INDEX(B5:B405,(B4)+(1)))+(B344),IF(("equals")=(INDEX(B1:XFD1,((A3)+(1))+(0))),(INDEX(B5:B405,(B4)+(1)))=(B344),IF(("leq")=(INDEX(B1:XFD1,((A3)+(1))+(0))),(INDEX(B5:B405,(B4)+(1)))&lt;=(B344),IF(("greater")=(INDEX(B1:XFD1,((A3)+(1))+(0))),(INDEX(B5:B405,(B4)+(1)))&gt;(B344),IF(("mod")=(INDEX(B1:XFD1,((A3)+(1))+(0))),MOD(INDEX(B5:B405,(B4)+(1)),B344),B344))))))))),B344))</f>
        <v>#VALUE!</v>
      </c>
      <c r="C344" t="e">
        <f ca="1">IF((A1)=(2),1,IF(AND((INDEX(B1:XFD1,((A3)+(1))+(0)))=("writeheap"),(INDEX(B5:B405,(B4)+(1)))=(339)),INDEX(B5:B405,(B4)+(2)),IF((A1)=(2),"",IF((340)=(C4),C344,C344))))</f>
        <v>#VALUE!</v>
      </c>
      <c r="F344" t="e">
        <f ca="1">IF((A1)=(2),"",IF((340)=(F4),IF(IF((INDEX(B1:XFD1,((A3)+(1))+(0)))=("store"),(INDEX(B1:XFD1,((A3)+(1))+(1)))=("F"),"false"),B3,F344),F344))</f>
        <v>#VALUE!</v>
      </c>
      <c r="G344" t="e">
        <f ca="1">IF((A1)=(2),"",IF((340)=(G4),IF(IF((INDEX(B1:XFD1,((A3)+(1))+(0)))=("store"),(INDEX(B1:XFD1,((A3)+(1))+(1)))=("G"),"false"),B3,G344),G344))</f>
        <v>#VALUE!</v>
      </c>
      <c r="H344" t="e">
        <f ca="1">IF((A1)=(2),"",IF((340)=(H4),IF(IF((INDEX(B1:XFD1,((A3)+(1))+(0)))=("store"),(INDEX(B1:XFD1,((A3)+(1))+(1)))=("H"),"false"),B3,H344),H344))</f>
        <v>#VALUE!</v>
      </c>
      <c r="I344" t="e">
        <f ca="1">IF((A1)=(2),"",IF((340)=(I4),IF(IF((INDEX(B1:XFD1,((A3)+(1))+(0)))=("store"),(INDEX(B1:XFD1,((A3)+(1))+(1)))=("I"),"false"),B3,I344),I344))</f>
        <v>#VALUE!</v>
      </c>
      <c r="J344" t="e">
        <f ca="1">IF((A1)=(2),"",IF((340)=(J4),IF(IF((INDEX(B1:XFD1,((A3)+(1))+(0)))=("store"),(INDEX(B1:XFD1,((A3)+(1))+(1)))=("J"),"false"),B3,J344),J344))</f>
        <v>#VALUE!</v>
      </c>
      <c r="K344" t="e">
        <f ca="1">IF((A1)=(2),"",IF((340)=(K4),IF(IF((INDEX(B1:XFD1,((A3)+(1))+(0)))=("store"),(INDEX(B1:XFD1,((A3)+(1))+(1)))=("K"),"false"),B3,K344),K344))</f>
        <v>#VALUE!</v>
      </c>
      <c r="L344" t="e">
        <f ca="1">IF((A1)=(2),"",IF((340)=(L4),IF(IF((INDEX(B1:XFD1,((A3)+(1))+(0)))=("store"),(INDEX(B1:XFD1,((A3)+(1))+(1)))=("L"),"false"),B3,L344),L344))</f>
        <v>#VALUE!</v>
      </c>
      <c r="M344" t="e">
        <f ca="1">IF((A1)=(2),"",IF((340)=(M4),IF(IF((INDEX(B1:XFD1,((A3)+(1))+(0)))=("store"),(INDEX(B1:XFD1,((A3)+(1))+(1)))=("M"),"false"),B3,M344),M344))</f>
        <v>#VALUE!</v>
      </c>
      <c r="N344" t="e">
        <f ca="1">IF((A1)=(2),"",IF((340)=(N4),IF(IF((INDEX(B1:XFD1,((A3)+(1))+(0)))=("store"),(INDEX(B1:XFD1,((A3)+(1))+(1)))=("N"),"false"),B3,N344),N344))</f>
        <v>#VALUE!</v>
      </c>
      <c r="O344" t="e">
        <f ca="1">IF((A1)=(2),"",IF((340)=(O4),IF(IF((INDEX(B1:XFD1,((A3)+(1))+(0)))=("store"),(INDEX(B1:XFD1,((A3)+(1))+(1)))=("O"),"false"),B3,O344),O344))</f>
        <v>#VALUE!</v>
      </c>
      <c r="P344" t="e">
        <f ca="1">IF((A1)=(2),"",IF((340)=(P4),IF(IF((INDEX(B1:XFD1,((A3)+(1))+(0)))=("store"),(INDEX(B1:XFD1,((A3)+(1))+(1)))=("P"),"false"),B3,P344),P344))</f>
        <v>#VALUE!</v>
      </c>
      <c r="Q344" t="e">
        <f ca="1">IF((A1)=(2),"",IF((340)=(Q4),IF(IF((INDEX(B1:XFD1,((A3)+(1))+(0)))=("store"),(INDEX(B1:XFD1,((A3)+(1))+(1)))=("Q"),"false"),B3,Q344),Q344))</f>
        <v>#VALUE!</v>
      </c>
      <c r="R344" t="e">
        <f ca="1">IF((A1)=(2),"",IF((340)=(R4),IF(IF((INDEX(B1:XFD1,((A3)+(1))+(0)))=("store"),(INDEX(B1:XFD1,((A3)+(1))+(1)))=("R"),"false"),B3,R344),R344))</f>
        <v>#VALUE!</v>
      </c>
      <c r="S344" t="e">
        <f ca="1">IF((A1)=(2),"",IF((340)=(S4),IF(IF((INDEX(B1:XFD1,((A3)+(1))+(0)))=("store"),(INDEX(B1:XFD1,((A3)+(1))+(1)))=("S"),"false"),B3,S344),S344))</f>
        <v>#VALUE!</v>
      </c>
      <c r="T344" t="e">
        <f ca="1">IF((A1)=(2),"",IF((340)=(T4),IF(IF((INDEX(B1:XFD1,((A3)+(1))+(0)))=("store"),(INDEX(B1:XFD1,((A3)+(1))+(1)))=("T"),"false"),B3,T344),T344))</f>
        <v>#VALUE!</v>
      </c>
      <c r="U344" t="e">
        <f ca="1">IF((A1)=(2),"",IF((340)=(U4),IF(IF((INDEX(B1:XFD1,((A3)+(1))+(0)))=("store"),(INDEX(B1:XFD1,((A3)+(1))+(1)))=("U"),"false"),B3,U344),U344))</f>
        <v>#VALUE!</v>
      </c>
      <c r="V344" t="e">
        <f ca="1">IF((A1)=(2),"",IF((340)=(V4),IF(IF((INDEX(B1:XFD1,((A3)+(1))+(0)))=("store"),(INDEX(B1:XFD1,((A3)+(1))+(1)))=("V"),"false"),B3,V344),V344))</f>
        <v>#VALUE!</v>
      </c>
      <c r="W344" t="e">
        <f ca="1">IF((A1)=(2),"",IF((340)=(W4),IF(IF((INDEX(B1:XFD1,((A3)+(1))+(0)))=("store"),(INDEX(B1:XFD1,((A3)+(1))+(1)))=("W"),"false"),B3,W344),W344))</f>
        <v>#VALUE!</v>
      </c>
      <c r="X344" t="e">
        <f ca="1">IF((A1)=(2),"",IF((340)=(X4),IF(IF((INDEX(B1:XFD1,((A3)+(1))+(0)))=("store"),(INDEX(B1:XFD1,((A3)+(1))+(1)))=("X"),"false"),B3,X344),X344))</f>
        <v>#VALUE!</v>
      </c>
      <c r="Y344" t="e">
        <f ca="1">IF((A1)=(2),"",IF((340)=(Y4),IF(IF((INDEX(B1:XFD1,((A3)+(1))+(0)))=("store"),(INDEX(B1:XFD1,((A3)+(1))+(1)))=("Y"),"false"),B3,Y344),Y344))</f>
        <v>#VALUE!</v>
      </c>
      <c r="Z344" t="e">
        <f ca="1">IF((A1)=(2),"",IF((340)=(Z4),IF(IF((INDEX(B1:XFD1,((A3)+(1))+(0)))=("store"),(INDEX(B1:XFD1,((A3)+(1))+(1)))=("Z"),"false"),B3,Z344),Z344))</f>
        <v>#VALUE!</v>
      </c>
      <c r="AA344" t="e">
        <f ca="1">IF((A1)=(2),"",IF((340)=(AA4),IF(IF((INDEX(B1:XFD1,((A3)+(1))+(0)))=("store"),(INDEX(B1:XFD1,((A3)+(1))+(1)))=("AA"),"false"),B3,AA344),AA344))</f>
        <v>#VALUE!</v>
      </c>
      <c r="AB344" t="e">
        <f ca="1">IF((A1)=(2),"",IF((340)=(AB4),IF(IF((INDEX(B1:XFD1,((A3)+(1))+(0)))=("store"),(INDEX(B1:XFD1,((A3)+(1))+(1)))=("AB"),"false"),B3,AB344),AB344))</f>
        <v>#VALUE!</v>
      </c>
      <c r="AC344" t="e">
        <f ca="1">IF((A1)=(2),"",IF((340)=(AC4),IF(IF((INDEX(B1:XFD1,((A3)+(1))+(0)))=("store"),(INDEX(B1:XFD1,((A3)+(1))+(1)))=("AC"),"false"),B3,AC344),AC344))</f>
        <v>#VALUE!</v>
      </c>
      <c r="AD344" t="e">
        <f ca="1">IF((A1)=(2),"",IF((340)=(AD4),IF(IF((INDEX(B1:XFD1,((A3)+(1))+(0)))=("store"),(INDEX(B1:XFD1,((A3)+(1))+(1)))=("AD"),"false"),B3,AD344),AD344))</f>
        <v>#VALUE!</v>
      </c>
    </row>
    <row r="345" spans="1:30" x14ac:dyDescent="0.25">
      <c r="A345" t="e">
        <f ca="1">IF((A1)=(2),"",IF((341)=(A4),IF(("call")=(INDEX(B1:XFD1,((A3)+(1))+(0))),(B3)*(2),IF(("goto")=(INDEX(B1:XFD1,((A3)+(1))+(0))),(INDEX(B1:XFD1,((A3)+(1))+(1)))*(2),IF(("gotoiftrue")=(INDEX(B1:XFD1,((A3)+(1))+(0))),IF(B3,(INDEX(B1:XFD1,((A3)+(1))+(1)))*(2),(A345)+(2)),(A345)+(2)))),A345))</f>
        <v>#VALUE!</v>
      </c>
      <c r="B345" t="e">
        <f ca="1">IF((A1)=(2),"",IF((341)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345)+(1)),IF(("add")=(INDEX(B1:XFD1,((A3)+(1))+(0))),(INDEX(B5:B405,(B4)+(1)))+(B345),IF(("equals")=(INDEX(B1:XFD1,((A3)+(1))+(0))),(INDEX(B5:B405,(B4)+(1)))=(B345),IF(("leq")=(INDEX(B1:XFD1,((A3)+(1))+(0))),(INDEX(B5:B405,(B4)+(1)))&lt;=(B345),IF(("greater")=(INDEX(B1:XFD1,((A3)+(1))+(0))),(INDEX(B5:B405,(B4)+(1)))&gt;(B345),IF(("mod")=(INDEX(B1:XFD1,((A3)+(1))+(0))),MOD(INDEX(B5:B405,(B4)+(1)),B345),B345))))))))),B345))</f>
        <v>#VALUE!</v>
      </c>
      <c r="C345" t="e">
        <f ca="1">IF((A1)=(2),1,IF(AND((INDEX(B1:XFD1,((A3)+(1))+(0)))=("writeheap"),(INDEX(B5:B405,(B4)+(1)))=(340)),INDEX(B5:B405,(B4)+(2)),IF((A1)=(2),"",IF((341)=(C4),C345,C345))))</f>
        <v>#VALUE!</v>
      </c>
      <c r="F345" t="e">
        <f ca="1">IF((A1)=(2),"",IF((341)=(F4),IF(IF((INDEX(B1:XFD1,((A3)+(1))+(0)))=("store"),(INDEX(B1:XFD1,((A3)+(1))+(1)))=("F"),"false"),B3,F345),F345))</f>
        <v>#VALUE!</v>
      </c>
      <c r="G345" t="e">
        <f ca="1">IF((A1)=(2),"",IF((341)=(G4),IF(IF((INDEX(B1:XFD1,((A3)+(1))+(0)))=("store"),(INDEX(B1:XFD1,((A3)+(1))+(1)))=("G"),"false"),B3,G345),G345))</f>
        <v>#VALUE!</v>
      </c>
      <c r="H345" t="e">
        <f ca="1">IF((A1)=(2),"",IF((341)=(H4),IF(IF((INDEX(B1:XFD1,((A3)+(1))+(0)))=("store"),(INDEX(B1:XFD1,((A3)+(1))+(1)))=("H"),"false"),B3,H345),H345))</f>
        <v>#VALUE!</v>
      </c>
      <c r="I345" t="e">
        <f ca="1">IF((A1)=(2),"",IF((341)=(I4),IF(IF((INDEX(B1:XFD1,((A3)+(1))+(0)))=("store"),(INDEX(B1:XFD1,((A3)+(1))+(1)))=("I"),"false"),B3,I345),I345))</f>
        <v>#VALUE!</v>
      </c>
      <c r="J345" t="e">
        <f ca="1">IF((A1)=(2),"",IF((341)=(J4),IF(IF((INDEX(B1:XFD1,((A3)+(1))+(0)))=("store"),(INDEX(B1:XFD1,((A3)+(1))+(1)))=("J"),"false"),B3,J345),J345))</f>
        <v>#VALUE!</v>
      </c>
      <c r="K345" t="e">
        <f ca="1">IF((A1)=(2),"",IF((341)=(K4),IF(IF((INDEX(B1:XFD1,((A3)+(1))+(0)))=("store"),(INDEX(B1:XFD1,((A3)+(1))+(1)))=("K"),"false"),B3,K345),K345))</f>
        <v>#VALUE!</v>
      </c>
      <c r="L345" t="e">
        <f ca="1">IF((A1)=(2),"",IF((341)=(L4),IF(IF((INDEX(B1:XFD1,((A3)+(1))+(0)))=("store"),(INDEX(B1:XFD1,((A3)+(1))+(1)))=("L"),"false"),B3,L345),L345))</f>
        <v>#VALUE!</v>
      </c>
      <c r="M345" t="e">
        <f ca="1">IF((A1)=(2),"",IF((341)=(M4),IF(IF((INDEX(B1:XFD1,((A3)+(1))+(0)))=("store"),(INDEX(B1:XFD1,((A3)+(1))+(1)))=("M"),"false"),B3,M345),M345))</f>
        <v>#VALUE!</v>
      </c>
      <c r="N345" t="e">
        <f ca="1">IF((A1)=(2),"",IF((341)=(N4),IF(IF((INDEX(B1:XFD1,((A3)+(1))+(0)))=("store"),(INDEX(B1:XFD1,((A3)+(1))+(1)))=("N"),"false"),B3,N345),N345))</f>
        <v>#VALUE!</v>
      </c>
      <c r="O345" t="e">
        <f ca="1">IF((A1)=(2),"",IF((341)=(O4),IF(IF((INDEX(B1:XFD1,((A3)+(1))+(0)))=("store"),(INDEX(B1:XFD1,((A3)+(1))+(1)))=("O"),"false"),B3,O345),O345))</f>
        <v>#VALUE!</v>
      </c>
      <c r="P345" t="e">
        <f ca="1">IF((A1)=(2),"",IF((341)=(P4),IF(IF((INDEX(B1:XFD1,((A3)+(1))+(0)))=("store"),(INDEX(B1:XFD1,((A3)+(1))+(1)))=("P"),"false"),B3,P345),P345))</f>
        <v>#VALUE!</v>
      </c>
      <c r="Q345" t="e">
        <f ca="1">IF((A1)=(2),"",IF((341)=(Q4),IF(IF((INDEX(B1:XFD1,((A3)+(1))+(0)))=("store"),(INDEX(B1:XFD1,((A3)+(1))+(1)))=("Q"),"false"),B3,Q345),Q345))</f>
        <v>#VALUE!</v>
      </c>
      <c r="R345" t="e">
        <f ca="1">IF((A1)=(2),"",IF((341)=(R4),IF(IF((INDEX(B1:XFD1,((A3)+(1))+(0)))=("store"),(INDEX(B1:XFD1,((A3)+(1))+(1)))=("R"),"false"),B3,R345),R345))</f>
        <v>#VALUE!</v>
      </c>
      <c r="S345" t="e">
        <f ca="1">IF((A1)=(2),"",IF((341)=(S4),IF(IF((INDEX(B1:XFD1,((A3)+(1))+(0)))=("store"),(INDEX(B1:XFD1,((A3)+(1))+(1)))=("S"),"false"),B3,S345),S345))</f>
        <v>#VALUE!</v>
      </c>
      <c r="T345" t="e">
        <f ca="1">IF((A1)=(2),"",IF((341)=(T4),IF(IF((INDEX(B1:XFD1,((A3)+(1))+(0)))=("store"),(INDEX(B1:XFD1,((A3)+(1))+(1)))=("T"),"false"),B3,T345),T345))</f>
        <v>#VALUE!</v>
      </c>
      <c r="U345" t="e">
        <f ca="1">IF((A1)=(2),"",IF((341)=(U4),IF(IF((INDEX(B1:XFD1,((A3)+(1))+(0)))=("store"),(INDEX(B1:XFD1,((A3)+(1))+(1)))=("U"),"false"),B3,U345),U345))</f>
        <v>#VALUE!</v>
      </c>
      <c r="V345" t="e">
        <f ca="1">IF((A1)=(2),"",IF((341)=(V4),IF(IF((INDEX(B1:XFD1,((A3)+(1))+(0)))=("store"),(INDEX(B1:XFD1,((A3)+(1))+(1)))=("V"),"false"),B3,V345),V345))</f>
        <v>#VALUE!</v>
      </c>
      <c r="W345" t="e">
        <f ca="1">IF((A1)=(2),"",IF((341)=(W4),IF(IF((INDEX(B1:XFD1,((A3)+(1))+(0)))=("store"),(INDEX(B1:XFD1,((A3)+(1))+(1)))=("W"),"false"),B3,W345),W345))</f>
        <v>#VALUE!</v>
      </c>
      <c r="X345" t="e">
        <f ca="1">IF((A1)=(2),"",IF((341)=(X4),IF(IF((INDEX(B1:XFD1,((A3)+(1))+(0)))=("store"),(INDEX(B1:XFD1,((A3)+(1))+(1)))=("X"),"false"),B3,X345),X345))</f>
        <v>#VALUE!</v>
      </c>
      <c r="Y345" t="e">
        <f ca="1">IF((A1)=(2),"",IF((341)=(Y4),IF(IF((INDEX(B1:XFD1,((A3)+(1))+(0)))=("store"),(INDEX(B1:XFD1,((A3)+(1))+(1)))=("Y"),"false"),B3,Y345),Y345))</f>
        <v>#VALUE!</v>
      </c>
      <c r="Z345" t="e">
        <f ca="1">IF((A1)=(2),"",IF((341)=(Z4),IF(IF((INDEX(B1:XFD1,((A3)+(1))+(0)))=("store"),(INDEX(B1:XFD1,((A3)+(1))+(1)))=("Z"),"false"),B3,Z345),Z345))</f>
        <v>#VALUE!</v>
      </c>
      <c r="AA345" t="e">
        <f ca="1">IF((A1)=(2),"",IF((341)=(AA4),IF(IF((INDEX(B1:XFD1,((A3)+(1))+(0)))=("store"),(INDEX(B1:XFD1,((A3)+(1))+(1)))=("AA"),"false"),B3,AA345),AA345))</f>
        <v>#VALUE!</v>
      </c>
      <c r="AB345" t="e">
        <f ca="1">IF((A1)=(2),"",IF((341)=(AB4),IF(IF((INDEX(B1:XFD1,((A3)+(1))+(0)))=("store"),(INDEX(B1:XFD1,((A3)+(1))+(1)))=("AB"),"false"),B3,AB345),AB345))</f>
        <v>#VALUE!</v>
      </c>
      <c r="AC345" t="e">
        <f ca="1">IF((A1)=(2),"",IF((341)=(AC4),IF(IF((INDEX(B1:XFD1,((A3)+(1))+(0)))=("store"),(INDEX(B1:XFD1,((A3)+(1))+(1)))=("AC"),"false"),B3,AC345),AC345))</f>
        <v>#VALUE!</v>
      </c>
      <c r="AD345" t="e">
        <f ca="1">IF((A1)=(2),"",IF((341)=(AD4),IF(IF((INDEX(B1:XFD1,((A3)+(1))+(0)))=("store"),(INDEX(B1:XFD1,((A3)+(1))+(1)))=("AD"),"false"),B3,AD345),AD345))</f>
        <v>#VALUE!</v>
      </c>
    </row>
    <row r="346" spans="1:30" x14ac:dyDescent="0.25">
      <c r="A346" t="e">
        <f ca="1">IF((A1)=(2),"",IF((342)=(A4),IF(("call")=(INDEX(B1:XFD1,((A3)+(1))+(0))),(B3)*(2),IF(("goto")=(INDEX(B1:XFD1,((A3)+(1))+(0))),(INDEX(B1:XFD1,((A3)+(1))+(1)))*(2),IF(("gotoiftrue")=(INDEX(B1:XFD1,((A3)+(1))+(0))),IF(B3,(INDEX(B1:XFD1,((A3)+(1))+(1)))*(2),(A346)+(2)),(A346)+(2)))),A346))</f>
        <v>#VALUE!</v>
      </c>
      <c r="B346" t="e">
        <f ca="1">IF((A1)=(2),"",IF((342)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346)+(1)),IF(("add")=(INDEX(B1:XFD1,((A3)+(1))+(0))),(INDEX(B5:B405,(B4)+(1)))+(B346),IF(("equals")=(INDEX(B1:XFD1,((A3)+(1))+(0))),(INDEX(B5:B405,(B4)+(1)))=(B346),IF(("leq")=(INDEX(B1:XFD1,((A3)+(1))+(0))),(INDEX(B5:B405,(B4)+(1)))&lt;=(B346),IF(("greater")=(INDEX(B1:XFD1,((A3)+(1))+(0))),(INDEX(B5:B405,(B4)+(1)))&gt;(B346),IF(("mod")=(INDEX(B1:XFD1,((A3)+(1))+(0))),MOD(INDEX(B5:B405,(B4)+(1)),B346),B346))))))))),B346))</f>
        <v>#VALUE!</v>
      </c>
      <c r="C346" t="e">
        <f ca="1">IF((A1)=(2),1,IF(AND((INDEX(B1:XFD1,((A3)+(1))+(0)))=("writeheap"),(INDEX(B5:B405,(B4)+(1)))=(341)),INDEX(B5:B405,(B4)+(2)),IF((A1)=(2),"",IF((342)=(C4),C346,C346))))</f>
        <v>#VALUE!</v>
      </c>
      <c r="F346" t="e">
        <f ca="1">IF((A1)=(2),"",IF((342)=(F4),IF(IF((INDEX(B1:XFD1,((A3)+(1))+(0)))=("store"),(INDEX(B1:XFD1,((A3)+(1))+(1)))=("F"),"false"),B3,F346),F346))</f>
        <v>#VALUE!</v>
      </c>
      <c r="G346" t="e">
        <f ca="1">IF((A1)=(2),"",IF((342)=(G4),IF(IF((INDEX(B1:XFD1,((A3)+(1))+(0)))=("store"),(INDEX(B1:XFD1,((A3)+(1))+(1)))=("G"),"false"),B3,G346),G346))</f>
        <v>#VALUE!</v>
      </c>
      <c r="H346" t="e">
        <f ca="1">IF((A1)=(2),"",IF((342)=(H4),IF(IF((INDEX(B1:XFD1,((A3)+(1))+(0)))=("store"),(INDEX(B1:XFD1,((A3)+(1))+(1)))=("H"),"false"),B3,H346),H346))</f>
        <v>#VALUE!</v>
      </c>
      <c r="I346" t="e">
        <f ca="1">IF((A1)=(2),"",IF((342)=(I4),IF(IF((INDEX(B1:XFD1,((A3)+(1))+(0)))=("store"),(INDEX(B1:XFD1,((A3)+(1))+(1)))=("I"),"false"),B3,I346),I346))</f>
        <v>#VALUE!</v>
      </c>
      <c r="J346" t="e">
        <f ca="1">IF((A1)=(2),"",IF((342)=(J4),IF(IF((INDEX(B1:XFD1,((A3)+(1))+(0)))=("store"),(INDEX(B1:XFD1,((A3)+(1))+(1)))=("J"),"false"),B3,J346),J346))</f>
        <v>#VALUE!</v>
      </c>
      <c r="K346" t="e">
        <f ca="1">IF((A1)=(2),"",IF((342)=(K4),IF(IF((INDEX(B1:XFD1,((A3)+(1))+(0)))=("store"),(INDEX(B1:XFD1,((A3)+(1))+(1)))=("K"),"false"),B3,K346),K346))</f>
        <v>#VALUE!</v>
      </c>
      <c r="L346" t="e">
        <f ca="1">IF((A1)=(2),"",IF((342)=(L4),IF(IF((INDEX(B1:XFD1,((A3)+(1))+(0)))=("store"),(INDEX(B1:XFD1,((A3)+(1))+(1)))=("L"),"false"),B3,L346),L346))</f>
        <v>#VALUE!</v>
      </c>
      <c r="M346" t="e">
        <f ca="1">IF((A1)=(2),"",IF((342)=(M4),IF(IF((INDEX(B1:XFD1,((A3)+(1))+(0)))=("store"),(INDEX(B1:XFD1,((A3)+(1))+(1)))=("M"),"false"),B3,M346),M346))</f>
        <v>#VALUE!</v>
      </c>
      <c r="N346" t="e">
        <f ca="1">IF((A1)=(2),"",IF((342)=(N4),IF(IF((INDEX(B1:XFD1,((A3)+(1))+(0)))=("store"),(INDEX(B1:XFD1,((A3)+(1))+(1)))=("N"),"false"),B3,N346),N346))</f>
        <v>#VALUE!</v>
      </c>
      <c r="O346" t="e">
        <f ca="1">IF((A1)=(2),"",IF((342)=(O4),IF(IF((INDEX(B1:XFD1,((A3)+(1))+(0)))=("store"),(INDEX(B1:XFD1,((A3)+(1))+(1)))=("O"),"false"),B3,O346),O346))</f>
        <v>#VALUE!</v>
      </c>
      <c r="P346" t="e">
        <f ca="1">IF((A1)=(2),"",IF((342)=(P4),IF(IF((INDEX(B1:XFD1,((A3)+(1))+(0)))=("store"),(INDEX(B1:XFD1,((A3)+(1))+(1)))=("P"),"false"),B3,P346),P346))</f>
        <v>#VALUE!</v>
      </c>
      <c r="Q346" t="e">
        <f ca="1">IF((A1)=(2),"",IF((342)=(Q4),IF(IF((INDEX(B1:XFD1,((A3)+(1))+(0)))=("store"),(INDEX(B1:XFD1,((A3)+(1))+(1)))=("Q"),"false"),B3,Q346),Q346))</f>
        <v>#VALUE!</v>
      </c>
      <c r="R346" t="e">
        <f ca="1">IF((A1)=(2),"",IF((342)=(R4),IF(IF((INDEX(B1:XFD1,((A3)+(1))+(0)))=("store"),(INDEX(B1:XFD1,((A3)+(1))+(1)))=("R"),"false"),B3,R346),R346))</f>
        <v>#VALUE!</v>
      </c>
      <c r="S346" t="e">
        <f ca="1">IF((A1)=(2),"",IF((342)=(S4),IF(IF((INDEX(B1:XFD1,((A3)+(1))+(0)))=("store"),(INDEX(B1:XFD1,((A3)+(1))+(1)))=("S"),"false"),B3,S346),S346))</f>
        <v>#VALUE!</v>
      </c>
      <c r="T346" t="e">
        <f ca="1">IF((A1)=(2),"",IF((342)=(T4),IF(IF((INDEX(B1:XFD1,((A3)+(1))+(0)))=("store"),(INDEX(B1:XFD1,((A3)+(1))+(1)))=("T"),"false"),B3,T346),T346))</f>
        <v>#VALUE!</v>
      </c>
      <c r="U346" t="e">
        <f ca="1">IF((A1)=(2),"",IF((342)=(U4),IF(IF((INDEX(B1:XFD1,((A3)+(1))+(0)))=("store"),(INDEX(B1:XFD1,((A3)+(1))+(1)))=("U"),"false"),B3,U346),U346))</f>
        <v>#VALUE!</v>
      </c>
      <c r="V346" t="e">
        <f ca="1">IF((A1)=(2),"",IF((342)=(V4),IF(IF((INDEX(B1:XFD1,((A3)+(1))+(0)))=("store"),(INDEX(B1:XFD1,((A3)+(1))+(1)))=("V"),"false"),B3,V346),V346))</f>
        <v>#VALUE!</v>
      </c>
      <c r="W346" t="e">
        <f ca="1">IF((A1)=(2),"",IF((342)=(W4),IF(IF((INDEX(B1:XFD1,((A3)+(1))+(0)))=("store"),(INDEX(B1:XFD1,((A3)+(1))+(1)))=("W"),"false"),B3,W346),W346))</f>
        <v>#VALUE!</v>
      </c>
      <c r="X346" t="e">
        <f ca="1">IF((A1)=(2),"",IF((342)=(X4),IF(IF((INDEX(B1:XFD1,((A3)+(1))+(0)))=("store"),(INDEX(B1:XFD1,((A3)+(1))+(1)))=("X"),"false"),B3,X346),X346))</f>
        <v>#VALUE!</v>
      </c>
      <c r="Y346" t="e">
        <f ca="1">IF((A1)=(2),"",IF((342)=(Y4),IF(IF((INDEX(B1:XFD1,((A3)+(1))+(0)))=("store"),(INDEX(B1:XFD1,((A3)+(1))+(1)))=("Y"),"false"),B3,Y346),Y346))</f>
        <v>#VALUE!</v>
      </c>
      <c r="Z346" t="e">
        <f ca="1">IF((A1)=(2),"",IF((342)=(Z4),IF(IF((INDEX(B1:XFD1,((A3)+(1))+(0)))=("store"),(INDEX(B1:XFD1,((A3)+(1))+(1)))=("Z"),"false"),B3,Z346),Z346))</f>
        <v>#VALUE!</v>
      </c>
      <c r="AA346" t="e">
        <f ca="1">IF((A1)=(2),"",IF((342)=(AA4),IF(IF((INDEX(B1:XFD1,((A3)+(1))+(0)))=("store"),(INDEX(B1:XFD1,((A3)+(1))+(1)))=("AA"),"false"),B3,AA346),AA346))</f>
        <v>#VALUE!</v>
      </c>
      <c r="AB346" t="e">
        <f ca="1">IF((A1)=(2),"",IF((342)=(AB4),IF(IF((INDEX(B1:XFD1,((A3)+(1))+(0)))=("store"),(INDEX(B1:XFD1,((A3)+(1))+(1)))=("AB"),"false"),B3,AB346),AB346))</f>
        <v>#VALUE!</v>
      </c>
      <c r="AC346" t="e">
        <f ca="1">IF((A1)=(2),"",IF((342)=(AC4),IF(IF((INDEX(B1:XFD1,((A3)+(1))+(0)))=("store"),(INDEX(B1:XFD1,((A3)+(1))+(1)))=("AC"),"false"),B3,AC346),AC346))</f>
        <v>#VALUE!</v>
      </c>
      <c r="AD346" t="e">
        <f ca="1">IF((A1)=(2),"",IF((342)=(AD4),IF(IF((INDEX(B1:XFD1,((A3)+(1))+(0)))=("store"),(INDEX(B1:XFD1,((A3)+(1))+(1)))=("AD"),"false"),B3,AD346),AD346))</f>
        <v>#VALUE!</v>
      </c>
    </row>
    <row r="347" spans="1:30" x14ac:dyDescent="0.25">
      <c r="A347" t="e">
        <f ca="1">IF((A1)=(2),"",IF((343)=(A4),IF(("call")=(INDEX(B1:XFD1,((A3)+(1))+(0))),(B3)*(2),IF(("goto")=(INDEX(B1:XFD1,((A3)+(1))+(0))),(INDEX(B1:XFD1,((A3)+(1))+(1)))*(2),IF(("gotoiftrue")=(INDEX(B1:XFD1,((A3)+(1))+(0))),IF(B3,(INDEX(B1:XFD1,((A3)+(1))+(1)))*(2),(A347)+(2)),(A347)+(2)))),A347))</f>
        <v>#VALUE!</v>
      </c>
      <c r="B347" t="e">
        <f ca="1">IF((A1)=(2),"",IF((343)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347)+(1)),IF(("add")=(INDEX(B1:XFD1,((A3)+(1))+(0))),(INDEX(B5:B405,(B4)+(1)))+(B347),IF(("equals")=(INDEX(B1:XFD1,((A3)+(1))+(0))),(INDEX(B5:B405,(B4)+(1)))=(B347),IF(("leq")=(INDEX(B1:XFD1,((A3)+(1))+(0))),(INDEX(B5:B405,(B4)+(1)))&lt;=(B347),IF(("greater")=(INDEX(B1:XFD1,((A3)+(1))+(0))),(INDEX(B5:B405,(B4)+(1)))&gt;(B347),IF(("mod")=(INDEX(B1:XFD1,((A3)+(1))+(0))),MOD(INDEX(B5:B405,(B4)+(1)),B347),B347))))))))),B347))</f>
        <v>#VALUE!</v>
      </c>
      <c r="C347" t="e">
        <f ca="1">IF((A1)=(2),1,IF(AND((INDEX(B1:XFD1,((A3)+(1))+(0)))=("writeheap"),(INDEX(B5:B405,(B4)+(1)))=(342)),INDEX(B5:B405,(B4)+(2)),IF((A1)=(2),"",IF((343)=(C4),C347,C347))))</f>
        <v>#VALUE!</v>
      </c>
      <c r="F347" t="e">
        <f ca="1">IF((A1)=(2),"",IF((343)=(F4),IF(IF((INDEX(B1:XFD1,((A3)+(1))+(0)))=("store"),(INDEX(B1:XFD1,((A3)+(1))+(1)))=("F"),"false"),B3,F347),F347))</f>
        <v>#VALUE!</v>
      </c>
      <c r="G347" t="e">
        <f ca="1">IF((A1)=(2),"",IF((343)=(G4),IF(IF((INDEX(B1:XFD1,((A3)+(1))+(0)))=("store"),(INDEX(B1:XFD1,((A3)+(1))+(1)))=("G"),"false"),B3,G347),G347))</f>
        <v>#VALUE!</v>
      </c>
      <c r="H347" t="e">
        <f ca="1">IF((A1)=(2),"",IF((343)=(H4),IF(IF((INDEX(B1:XFD1,((A3)+(1))+(0)))=("store"),(INDEX(B1:XFD1,((A3)+(1))+(1)))=("H"),"false"),B3,H347),H347))</f>
        <v>#VALUE!</v>
      </c>
      <c r="I347" t="e">
        <f ca="1">IF((A1)=(2),"",IF((343)=(I4),IF(IF((INDEX(B1:XFD1,((A3)+(1))+(0)))=("store"),(INDEX(B1:XFD1,((A3)+(1))+(1)))=("I"),"false"),B3,I347),I347))</f>
        <v>#VALUE!</v>
      </c>
      <c r="J347" t="e">
        <f ca="1">IF((A1)=(2),"",IF((343)=(J4),IF(IF((INDEX(B1:XFD1,((A3)+(1))+(0)))=("store"),(INDEX(B1:XFD1,((A3)+(1))+(1)))=("J"),"false"),B3,J347),J347))</f>
        <v>#VALUE!</v>
      </c>
      <c r="K347" t="e">
        <f ca="1">IF((A1)=(2),"",IF((343)=(K4),IF(IF((INDEX(B1:XFD1,((A3)+(1))+(0)))=("store"),(INDEX(B1:XFD1,((A3)+(1))+(1)))=("K"),"false"),B3,K347),K347))</f>
        <v>#VALUE!</v>
      </c>
      <c r="L347" t="e">
        <f ca="1">IF((A1)=(2),"",IF((343)=(L4),IF(IF((INDEX(B1:XFD1,((A3)+(1))+(0)))=("store"),(INDEX(B1:XFD1,((A3)+(1))+(1)))=("L"),"false"),B3,L347),L347))</f>
        <v>#VALUE!</v>
      </c>
      <c r="M347" t="e">
        <f ca="1">IF((A1)=(2),"",IF((343)=(M4),IF(IF((INDEX(B1:XFD1,((A3)+(1))+(0)))=("store"),(INDEX(B1:XFD1,((A3)+(1))+(1)))=("M"),"false"),B3,M347),M347))</f>
        <v>#VALUE!</v>
      </c>
      <c r="N347" t="e">
        <f ca="1">IF((A1)=(2),"",IF((343)=(N4),IF(IF((INDEX(B1:XFD1,((A3)+(1))+(0)))=("store"),(INDEX(B1:XFD1,((A3)+(1))+(1)))=("N"),"false"),B3,N347),N347))</f>
        <v>#VALUE!</v>
      </c>
      <c r="O347" t="e">
        <f ca="1">IF((A1)=(2),"",IF((343)=(O4),IF(IF((INDEX(B1:XFD1,((A3)+(1))+(0)))=("store"),(INDEX(B1:XFD1,((A3)+(1))+(1)))=("O"),"false"),B3,O347),O347))</f>
        <v>#VALUE!</v>
      </c>
      <c r="P347" t="e">
        <f ca="1">IF((A1)=(2),"",IF((343)=(P4),IF(IF((INDEX(B1:XFD1,((A3)+(1))+(0)))=("store"),(INDEX(B1:XFD1,((A3)+(1))+(1)))=("P"),"false"),B3,P347),P347))</f>
        <v>#VALUE!</v>
      </c>
      <c r="Q347" t="e">
        <f ca="1">IF((A1)=(2),"",IF((343)=(Q4),IF(IF((INDEX(B1:XFD1,((A3)+(1))+(0)))=("store"),(INDEX(B1:XFD1,((A3)+(1))+(1)))=("Q"),"false"),B3,Q347),Q347))</f>
        <v>#VALUE!</v>
      </c>
      <c r="R347" t="e">
        <f ca="1">IF((A1)=(2),"",IF((343)=(R4),IF(IF((INDEX(B1:XFD1,((A3)+(1))+(0)))=("store"),(INDEX(B1:XFD1,((A3)+(1))+(1)))=("R"),"false"),B3,R347),R347))</f>
        <v>#VALUE!</v>
      </c>
      <c r="S347" t="e">
        <f ca="1">IF((A1)=(2),"",IF((343)=(S4),IF(IF((INDEX(B1:XFD1,((A3)+(1))+(0)))=("store"),(INDEX(B1:XFD1,((A3)+(1))+(1)))=("S"),"false"),B3,S347),S347))</f>
        <v>#VALUE!</v>
      </c>
      <c r="T347" t="e">
        <f ca="1">IF((A1)=(2),"",IF((343)=(T4),IF(IF((INDEX(B1:XFD1,((A3)+(1))+(0)))=("store"),(INDEX(B1:XFD1,((A3)+(1))+(1)))=("T"),"false"),B3,T347),T347))</f>
        <v>#VALUE!</v>
      </c>
      <c r="U347" t="e">
        <f ca="1">IF((A1)=(2),"",IF((343)=(U4),IF(IF((INDEX(B1:XFD1,((A3)+(1))+(0)))=("store"),(INDEX(B1:XFD1,((A3)+(1))+(1)))=("U"),"false"),B3,U347),U347))</f>
        <v>#VALUE!</v>
      </c>
      <c r="V347" t="e">
        <f ca="1">IF((A1)=(2),"",IF((343)=(V4),IF(IF((INDEX(B1:XFD1,((A3)+(1))+(0)))=("store"),(INDEX(B1:XFD1,((A3)+(1))+(1)))=("V"),"false"),B3,V347),V347))</f>
        <v>#VALUE!</v>
      </c>
      <c r="W347" t="e">
        <f ca="1">IF((A1)=(2),"",IF((343)=(W4),IF(IF((INDEX(B1:XFD1,((A3)+(1))+(0)))=("store"),(INDEX(B1:XFD1,((A3)+(1))+(1)))=("W"),"false"),B3,W347),W347))</f>
        <v>#VALUE!</v>
      </c>
      <c r="X347" t="e">
        <f ca="1">IF((A1)=(2),"",IF((343)=(X4),IF(IF((INDEX(B1:XFD1,((A3)+(1))+(0)))=("store"),(INDEX(B1:XFD1,((A3)+(1))+(1)))=("X"),"false"),B3,X347),X347))</f>
        <v>#VALUE!</v>
      </c>
      <c r="Y347" t="e">
        <f ca="1">IF((A1)=(2),"",IF((343)=(Y4),IF(IF((INDEX(B1:XFD1,((A3)+(1))+(0)))=("store"),(INDEX(B1:XFD1,((A3)+(1))+(1)))=("Y"),"false"),B3,Y347),Y347))</f>
        <v>#VALUE!</v>
      </c>
      <c r="Z347" t="e">
        <f ca="1">IF((A1)=(2),"",IF((343)=(Z4),IF(IF((INDEX(B1:XFD1,((A3)+(1))+(0)))=("store"),(INDEX(B1:XFD1,((A3)+(1))+(1)))=("Z"),"false"),B3,Z347),Z347))</f>
        <v>#VALUE!</v>
      </c>
      <c r="AA347" t="e">
        <f ca="1">IF((A1)=(2),"",IF((343)=(AA4),IF(IF((INDEX(B1:XFD1,((A3)+(1))+(0)))=("store"),(INDEX(B1:XFD1,((A3)+(1))+(1)))=("AA"),"false"),B3,AA347),AA347))</f>
        <v>#VALUE!</v>
      </c>
      <c r="AB347" t="e">
        <f ca="1">IF((A1)=(2),"",IF((343)=(AB4),IF(IF((INDEX(B1:XFD1,((A3)+(1))+(0)))=("store"),(INDEX(B1:XFD1,((A3)+(1))+(1)))=("AB"),"false"),B3,AB347),AB347))</f>
        <v>#VALUE!</v>
      </c>
      <c r="AC347" t="e">
        <f ca="1">IF((A1)=(2),"",IF((343)=(AC4),IF(IF((INDEX(B1:XFD1,((A3)+(1))+(0)))=("store"),(INDEX(B1:XFD1,((A3)+(1))+(1)))=("AC"),"false"),B3,AC347),AC347))</f>
        <v>#VALUE!</v>
      </c>
      <c r="AD347" t="e">
        <f ca="1">IF((A1)=(2),"",IF((343)=(AD4),IF(IF((INDEX(B1:XFD1,((A3)+(1))+(0)))=("store"),(INDEX(B1:XFD1,((A3)+(1))+(1)))=("AD"),"false"),B3,AD347),AD347))</f>
        <v>#VALUE!</v>
      </c>
    </row>
    <row r="348" spans="1:30" x14ac:dyDescent="0.25">
      <c r="A348" t="e">
        <f ca="1">IF((A1)=(2),"",IF((344)=(A4),IF(("call")=(INDEX(B1:XFD1,((A3)+(1))+(0))),(B3)*(2),IF(("goto")=(INDEX(B1:XFD1,((A3)+(1))+(0))),(INDEX(B1:XFD1,((A3)+(1))+(1)))*(2),IF(("gotoiftrue")=(INDEX(B1:XFD1,((A3)+(1))+(0))),IF(B3,(INDEX(B1:XFD1,((A3)+(1))+(1)))*(2),(A348)+(2)),(A348)+(2)))),A348))</f>
        <v>#VALUE!</v>
      </c>
      <c r="B348" t="e">
        <f ca="1">IF((A1)=(2),"",IF((344)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348)+(1)),IF(("add")=(INDEX(B1:XFD1,((A3)+(1))+(0))),(INDEX(B5:B405,(B4)+(1)))+(B348),IF(("equals")=(INDEX(B1:XFD1,((A3)+(1))+(0))),(INDEX(B5:B405,(B4)+(1)))=(B348),IF(("leq")=(INDEX(B1:XFD1,((A3)+(1))+(0))),(INDEX(B5:B405,(B4)+(1)))&lt;=(B348),IF(("greater")=(INDEX(B1:XFD1,((A3)+(1))+(0))),(INDEX(B5:B405,(B4)+(1)))&gt;(B348),IF(("mod")=(INDEX(B1:XFD1,((A3)+(1))+(0))),MOD(INDEX(B5:B405,(B4)+(1)),B348),B348))))))))),B348))</f>
        <v>#VALUE!</v>
      </c>
      <c r="C348" t="e">
        <f ca="1">IF((A1)=(2),1,IF(AND((INDEX(B1:XFD1,((A3)+(1))+(0)))=("writeheap"),(INDEX(B5:B405,(B4)+(1)))=(343)),INDEX(B5:B405,(B4)+(2)),IF((A1)=(2),"",IF((344)=(C4),C348,C348))))</f>
        <v>#VALUE!</v>
      </c>
      <c r="F348" t="e">
        <f ca="1">IF((A1)=(2),"",IF((344)=(F4),IF(IF((INDEX(B1:XFD1,((A3)+(1))+(0)))=("store"),(INDEX(B1:XFD1,((A3)+(1))+(1)))=("F"),"false"),B3,F348),F348))</f>
        <v>#VALUE!</v>
      </c>
      <c r="G348" t="e">
        <f ca="1">IF((A1)=(2),"",IF((344)=(G4),IF(IF((INDEX(B1:XFD1,((A3)+(1))+(0)))=("store"),(INDEX(B1:XFD1,((A3)+(1))+(1)))=("G"),"false"),B3,G348),G348))</f>
        <v>#VALUE!</v>
      </c>
      <c r="H348" t="e">
        <f ca="1">IF((A1)=(2),"",IF((344)=(H4),IF(IF((INDEX(B1:XFD1,((A3)+(1))+(0)))=("store"),(INDEX(B1:XFD1,((A3)+(1))+(1)))=("H"),"false"),B3,H348),H348))</f>
        <v>#VALUE!</v>
      </c>
      <c r="I348" t="e">
        <f ca="1">IF((A1)=(2),"",IF((344)=(I4),IF(IF((INDEX(B1:XFD1,((A3)+(1))+(0)))=("store"),(INDEX(B1:XFD1,((A3)+(1))+(1)))=("I"),"false"),B3,I348),I348))</f>
        <v>#VALUE!</v>
      </c>
      <c r="J348" t="e">
        <f ca="1">IF((A1)=(2),"",IF((344)=(J4),IF(IF((INDEX(B1:XFD1,((A3)+(1))+(0)))=("store"),(INDEX(B1:XFD1,((A3)+(1))+(1)))=("J"),"false"),B3,J348),J348))</f>
        <v>#VALUE!</v>
      </c>
      <c r="K348" t="e">
        <f ca="1">IF((A1)=(2),"",IF((344)=(K4),IF(IF((INDEX(B1:XFD1,((A3)+(1))+(0)))=("store"),(INDEX(B1:XFD1,((A3)+(1))+(1)))=("K"),"false"),B3,K348),K348))</f>
        <v>#VALUE!</v>
      </c>
      <c r="L348" t="e">
        <f ca="1">IF((A1)=(2),"",IF((344)=(L4),IF(IF((INDEX(B1:XFD1,((A3)+(1))+(0)))=("store"),(INDEX(B1:XFD1,((A3)+(1))+(1)))=("L"),"false"),B3,L348),L348))</f>
        <v>#VALUE!</v>
      </c>
      <c r="M348" t="e">
        <f ca="1">IF((A1)=(2),"",IF((344)=(M4),IF(IF((INDEX(B1:XFD1,((A3)+(1))+(0)))=("store"),(INDEX(B1:XFD1,((A3)+(1))+(1)))=("M"),"false"),B3,M348),M348))</f>
        <v>#VALUE!</v>
      </c>
      <c r="N348" t="e">
        <f ca="1">IF((A1)=(2),"",IF((344)=(N4),IF(IF((INDEX(B1:XFD1,((A3)+(1))+(0)))=("store"),(INDEX(B1:XFD1,((A3)+(1))+(1)))=("N"),"false"),B3,N348),N348))</f>
        <v>#VALUE!</v>
      </c>
      <c r="O348" t="e">
        <f ca="1">IF((A1)=(2),"",IF((344)=(O4),IF(IF((INDEX(B1:XFD1,((A3)+(1))+(0)))=("store"),(INDEX(B1:XFD1,((A3)+(1))+(1)))=("O"),"false"),B3,O348),O348))</f>
        <v>#VALUE!</v>
      </c>
      <c r="P348" t="e">
        <f ca="1">IF((A1)=(2),"",IF((344)=(P4),IF(IF((INDEX(B1:XFD1,((A3)+(1))+(0)))=("store"),(INDEX(B1:XFD1,((A3)+(1))+(1)))=("P"),"false"),B3,P348),P348))</f>
        <v>#VALUE!</v>
      </c>
      <c r="Q348" t="e">
        <f ca="1">IF((A1)=(2),"",IF((344)=(Q4),IF(IF((INDEX(B1:XFD1,((A3)+(1))+(0)))=("store"),(INDEX(B1:XFD1,((A3)+(1))+(1)))=("Q"),"false"),B3,Q348),Q348))</f>
        <v>#VALUE!</v>
      </c>
      <c r="R348" t="e">
        <f ca="1">IF((A1)=(2),"",IF((344)=(R4),IF(IF((INDEX(B1:XFD1,((A3)+(1))+(0)))=("store"),(INDEX(B1:XFD1,((A3)+(1))+(1)))=("R"),"false"),B3,R348),R348))</f>
        <v>#VALUE!</v>
      </c>
      <c r="S348" t="e">
        <f ca="1">IF((A1)=(2),"",IF((344)=(S4),IF(IF((INDEX(B1:XFD1,((A3)+(1))+(0)))=("store"),(INDEX(B1:XFD1,((A3)+(1))+(1)))=("S"),"false"),B3,S348),S348))</f>
        <v>#VALUE!</v>
      </c>
      <c r="T348" t="e">
        <f ca="1">IF((A1)=(2),"",IF((344)=(T4),IF(IF((INDEX(B1:XFD1,((A3)+(1))+(0)))=("store"),(INDEX(B1:XFD1,((A3)+(1))+(1)))=("T"),"false"),B3,T348),T348))</f>
        <v>#VALUE!</v>
      </c>
      <c r="U348" t="e">
        <f ca="1">IF((A1)=(2),"",IF((344)=(U4),IF(IF((INDEX(B1:XFD1,((A3)+(1))+(0)))=("store"),(INDEX(B1:XFD1,((A3)+(1))+(1)))=("U"),"false"),B3,U348),U348))</f>
        <v>#VALUE!</v>
      </c>
      <c r="V348" t="e">
        <f ca="1">IF((A1)=(2),"",IF((344)=(V4),IF(IF((INDEX(B1:XFD1,((A3)+(1))+(0)))=("store"),(INDEX(B1:XFD1,((A3)+(1))+(1)))=("V"),"false"),B3,V348),V348))</f>
        <v>#VALUE!</v>
      </c>
      <c r="W348" t="e">
        <f ca="1">IF((A1)=(2),"",IF((344)=(W4),IF(IF((INDEX(B1:XFD1,((A3)+(1))+(0)))=("store"),(INDEX(B1:XFD1,((A3)+(1))+(1)))=("W"),"false"),B3,W348),W348))</f>
        <v>#VALUE!</v>
      </c>
      <c r="X348" t="e">
        <f ca="1">IF((A1)=(2),"",IF((344)=(X4),IF(IF((INDEX(B1:XFD1,((A3)+(1))+(0)))=("store"),(INDEX(B1:XFD1,((A3)+(1))+(1)))=("X"),"false"),B3,X348),X348))</f>
        <v>#VALUE!</v>
      </c>
      <c r="Y348" t="e">
        <f ca="1">IF((A1)=(2),"",IF((344)=(Y4),IF(IF((INDEX(B1:XFD1,((A3)+(1))+(0)))=("store"),(INDEX(B1:XFD1,((A3)+(1))+(1)))=("Y"),"false"),B3,Y348),Y348))</f>
        <v>#VALUE!</v>
      </c>
      <c r="Z348" t="e">
        <f ca="1">IF((A1)=(2),"",IF((344)=(Z4),IF(IF((INDEX(B1:XFD1,((A3)+(1))+(0)))=("store"),(INDEX(B1:XFD1,((A3)+(1))+(1)))=("Z"),"false"),B3,Z348),Z348))</f>
        <v>#VALUE!</v>
      </c>
      <c r="AA348" t="e">
        <f ca="1">IF((A1)=(2),"",IF((344)=(AA4),IF(IF((INDEX(B1:XFD1,((A3)+(1))+(0)))=("store"),(INDEX(B1:XFD1,((A3)+(1))+(1)))=("AA"),"false"),B3,AA348),AA348))</f>
        <v>#VALUE!</v>
      </c>
      <c r="AB348" t="e">
        <f ca="1">IF((A1)=(2),"",IF((344)=(AB4),IF(IF((INDEX(B1:XFD1,((A3)+(1))+(0)))=("store"),(INDEX(B1:XFD1,((A3)+(1))+(1)))=("AB"),"false"),B3,AB348),AB348))</f>
        <v>#VALUE!</v>
      </c>
      <c r="AC348" t="e">
        <f ca="1">IF((A1)=(2),"",IF((344)=(AC4),IF(IF((INDEX(B1:XFD1,((A3)+(1))+(0)))=("store"),(INDEX(B1:XFD1,((A3)+(1))+(1)))=("AC"),"false"),B3,AC348),AC348))</f>
        <v>#VALUE!</v>
      </c>
      <c r="AD348" t="e">
        <f ca="1">IF((A1)=(2),"",IF((344)=(AD4),IF(IF((INDEX(B1:XFD1,((A3)+(1))+(0)))=("store"),(INDEX(B1:XFD1,((A3)+(1))+(1)))=("AD"),"false"),B3,AD348),AD348))</f>
        <v>#VALUE!</v>
      </c>
    </row>
    <row r="349" spans="1:30" x14ac:dyDescent="0.25">
      <c r="A349" t="e">
        <f ca="1">IF((A1)=(2),"",IF((345)=(A4),IF(("call")=(INDEX(B1:XFD1,((A3)+(1))+(0))),(B3)*(2),IF(("goto")=(INDEX(B1:XFD1,((A3)+(1))+(0))),(INDEX(B1:XFD1,((A3)+(1))+(1)))*(2),IF(("gotoiftrue")=(INDEX(B1:XFD1,((A3)+(1))+(0))),IF(B3,(INDEX(B1:XFD1,((A3)+(1))+(1)))*(2),(A349)+(2)),(A349)+(2)))),A349))</f>
        <v>#VALUE!</v>
      </c>
      <c r="B349" t="e">
        <f ca="1">IF((A1)=(2),"",IF((345)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349)+(1)),IF(("add")=(INDEX(B1:XFD1,((A3)+(1))+(0))),(INDEX(B5:B405,(B4)+(1)))+(B349),IF(("equals")=(INDEX(B1:XFD1,((A3)+(1))+(0))),(INDEX(B5:B405,(B4)+(1)))=(B349),IF(("leq")=(INDEX(B1:XFD1,((A3)+(1))+(0))),(INDEX(B5:B405,(B4)+(1)))&lt;=(B349),IF(("greater")=(INDEX(B1:XFD1,((A3)+(1))+(0))),(INDEX(B5:B405,(B4)+(1)))&gt;(B349),IF(("mod")=(INDEX(B1:XFD1,((A3)+(1))+(0))),MOD(INDEX(B5:B405,(B4)+(1)),B349),B349))))))))),B349))</f>
        <v>#VALUE!</v>
      </c>
      <c r="C349" t="e">
        <f ca="1">IF((A1)=(2),1,IF(AND((INDEX(B1:XFD1,((A3)+(1))+(0)))=("writeheap"),(INDEX(B5:B405,(B4)+(1)))=(344)),INDEX(B5:B405,(B4)+(2)),IF((A1)=(2),"",IF((345)=(C4),C349,C349))))</f>
        <v>#VALUE!</v>
      </c>
      <c r="F349" t="e">
        <f ca="1">IF((A1)=(2),"",IF((345)=(F4),IF(IF((INDEX(B1:XFD1,((A3)+(1))+(0)))=("store"),(INDEX(B1:XFD1,((A3)+(1))+(1)))=("F"),"false"),B3,F349),F349))</f>
        <v>#VALUE!</v>
      </c>
      <c r="G349" t="e">
        <f ca="1">IF((A1)=(2),"",IF((345)=(G4),IF(IF((INDEX(B1:XFD1,((A3)+(1))+(0)))=("store"),(INDEX(B1:XFD1,((A3)+(1))+(1)))=("G"),"false"),B3,G349),G349))</f>
        <v>#VALUE!</v>
      </c>
      <c r="H349" t="e">
        <f ca="1">IF((A1)=(2),"",IF((345)=(H4),IF(IF((INDEX(B1:XFD1,((A3)+(1))+(0)))=("store"),(INDEX(B1:XFD1,((A3)+(1))+(1)))=("H"),"false"),B3,H349),H349))</f>
        <v>#VALUE!</v>
      </c>
      <c r="I349" t="e">
        <f ca="1">IF((A1)=(2),"",IF((345)=(I4),IF(IF((INDEX(B1:XFD1,((A3)+(1))+(0)))=("store"),(INDEX(B1:XFD1,((A3)+(1))+(1)))=("I"),"false"),B3,I349),I349))</f>
        <v>#VALUE!</v>
      </c>
      <c r="J349" t="e">
        <f ca="1">IF((A1)=(2),"",IF((345)=(J4),IF(IF((INDEX(B1:XFD1,((A3)+(1))+(0)))=("store"),(INDEX(B1:XFD1,((A3)+(1))+(1)))=("J"),"false"),B3,J349),J349))</f>
        <v>#VALUE!</v>
      </c>
      <c r="K349" t="e">
        <f ca="1">IF((A1)=(2),"",IF((345)=(K4),IF(IF((INDEX(B1:XFD1,((A3)+(1))+(0)))=("store"),(INDEX(B1:XFD1,((A3)+(1))+(1)))=("K"),"false"),B3,K349),K349))</f>
        <v>#VALUE!</v>
      </c>
      <c r="L349" t="e">
        <f ca="1">IF((A1)=(2),"",IF((345)=(L4),IF(IF((INDEX(B1:XFD1,((A3)+(1))+(0)))=("store"),(INDEX(B1:XFD1,((A3)+(1))+(1)))=("L"),"false"),B3,L349),L349))</f>
        <v>#VALUE!</v>
      </c>
      <c r="M349" t="e">
        <f ca="1">IF((A1)=(2),"",IF((345)=(M4),IF(IF((INDEX(B1:XFD1,((A3)+(1))+(0)))=("store"),(INDEX(B1:XFD1,((A3)+(1))+(1)))=("M"),"false"),B3,M349),M349))</f>
        <v>#VALUE!</v>
      </c>
      <c r="N349" t="e">
        <f ca="1">IF((A1)=(2),"",IF((345)=(N4),IF(IF((INDEX(B1:XFD1,((A3)+(1))+(0)))=("store"),(INDEX(B1:XFD1,((A3)+(1))+(1)))=("N"),"false"),B3,N349),N349))</f>
        <v>#VALUE!</v>
      </c>
      <c r="O349" t="e">
        <f ca="1">IF((A1)=(2),"",IF((345)=(O4),IF(IF((INDEX(B1:XFD1,((A3)+(1))+(0)))=("store"),(INDEX(B1:XFD1,((A3)+(1))+(1)))=("O"),"false"),B3,O349),O349))</f>
        <v>#VALUE!</v>
      </c>
      <c r="P349" t="e">
        <f ca="1">IF((A1)=(2),"",IF((345)=(P4),IF(IF((INDEX(B1:XFD1,((A3)+(1))+(0)))=("store"),(INDEX(B1:XFD1,((A3)+(1))+(1)))=("P"),"false"),B3,P349),P349))</f>
        <v>#VALUE!</v>
      </c>
      <c r="Q349" t="e">
        <f ca="1">IF((A1)=(2),"",IF((345)=(Q4),IF(IF((INDEX(B1:XFD1,((A3)+(1))+(0)))=("store"),(INDEX(B1:XFD1,((A3)+(1))+(1)))=("Q"),"false"),B3,Q349),Q349))</f>
        <v>#VALUE!</v>
      </c>
      <c r="R349" t="e">
        <f ca="1">IF((A1)=(2),"",IF((345)=(R4),IF(IF((INDEX(B1:XFD1,((A3)+(1))+(0)))=("store"),(INDEX(B1:XFD1,((A3)+(1))+(1)))=("R"),"false"),B3,R349),R349))</f>
        <v>#VALUE!</v>
      </c>
      <c r="S349" t="e">
        <f ca="1">IF((A1)=(2),"",IF((345)=(S4),IF(IF((INDEX(B1:XFD1,((A3)+(1))+(0)))=("store"),(INDEX(B1:XFD1,((A3)+(1))+(1)))=("S"),"false"),B3,S349),S349))</f>
        <v>#VALUE!</v>
      </c>
      <c r="T349" t="e">
        <f ca="1">IF((A1)=(2),"",IF((345)=(T4),IF(IF((INDEX(B1:XFD1,((A3)+(1))+(0)))=("store"),(INDEX(B1:XFD1,((A3)+(1))+(1)))=("T"),"false"),B3,T349),T349))</f>
        <v>#VALUE!</v>
      </c>
      <c r="U349" t="e">
        <f ca="1">IF((A1)=(2),"",IF((345)=(U4),IF(IF((INDEX(B1:XFD1,((A3)+(1))+(0)))=("store"),(INDEX(B1:XFD1,((A3)+(1))+(1)))=("U"),"false"),B3,U349),U349))</f>
        <v>#VALUE!</v>
      </c>
      <c r="V349" t="e">
        <f ca="1">IF((A1)=(2),"",IF((345)=(V4),IF(IF((INDEX(B1:XFD1,((A3)+(1))+(0)))=("store"),(INDEX(B1:XFD1,((A3)+(1))+(1)))=("V"),"false"),B3,V349),V349))</f>
        <v>#VALUE!</v>
      </c>
      <c r="W349" t="e">
        <f ca="1">IF((A1)=(2),"",IF((345)=(W4),IF(IF((INDEX(B1:XFD1,((A3)+(1))+(0)))=("store"),(INDEX(B1:XFD1,((A3)+(1))+(1)))=("W"),"false"),B3,W349),W349))</f>
        <v>#VALUE!</v>
      </c>
      <c r="X349" t="e">
        <f ca="1">IF((A1)=(2),"",IF((345)=(X4),IF(IF((INDEX(B1:XFD1,((A3)+(1))+(0)))=("store"),(INDEX(B1:XFD1,((A3)+(1))+(1)))=("X"),"false"),B3,X349),X349))</f>
        <v>#VALUE!</v>
      </c>
      <c r="Y349" t="e">
        <f ca="1">IF((A1)=(2),"",IF((345)=(Y4),IF(IF((INDEX(B1:XFD1,((A3)+(1))+(0)))=("store"),(INDEX(B1:XFD1,((A3)+(1))+(1)))=("Y"),"false"),B3,Y349),Y349))</f>
        <v>#VALUE!</v>
      </c>
      <c r="Z349" t="e">
        <f ca="1">IF((A1)=(2),"",IF((345)=(Z4),IF(IF((INDEX(B1:XFD1,((A3)+(1))+(0)))=("store"),(INDEX(B1:XFD1,((A3)+(1))+(1)))=("Z"),"false"),B3,Z349),Z349))</f>
        <v>#VALUE!</v>
      </c>
      <c r="AA349" t="e">
        <f ca="1">IF((A1)=(2),"",IF((345)=(AA4),IF(IF((INDEX(B1:XFD1,((A3)+(1))+(0)))=("store"),(INDEX(B1:XFD1,((A3)+(1))+(1)))=("AA"),"false"),B3,AA349),AA349))</f>
        <v>#VALUE!</v>
      </c>
      <c r="AB349" t="e">
        <f ca="1">IF((A1)=(2),"",IF((345)=(AB4),IF(IF((INDEX(B1:XFD1,((A3)+(1))+(0)))=("store"),(INDEX(B1:XFD1,((A3)+(1))+(1)))=("AB"),"false"),B3,AB349),AB349))</f>
        <v>#VALUE!</v>
      </c>
      <c r="AC349" t="e">
        <f ca="1">IF((A1)=(2),"",IF((345)=(AC4),IF(IF((INDEX(B1:XFD1,((A3)+(1))+(0)))=("store"),(INDEX(B1:XFD1,((A3)+(1))+(1)))=("AC"),"false"),B3,AC349),AC349))</f>
        <v>#VALUE!</v>
      </c>
      <c r="AD349" t="e">
        <f ca="1">IF((A1)=(2),"",IF((345)=(AD4),IF(IF((INDEX(B1:XFD1,((A3)+(1))+(0)))=("store"),(INDEX(B1:XFD1,((A3)+(1))+(1)))=("AD"),"false"),B3,AD349),AD349))</f>
        <v>#VALUE!</v>
      </c>
    </row>
    <row r="350" spans="1:30" x14ac:dyDescent="0.25">
      <c r="A350" t="e">
        <f ca="1">IF((A1)=(2),"",IF((346)=(A4),IF(("call")=(INDEX(B1:XFD1,((A3)+(1))+(0))),(B3)*(2),IF(("goto")=(INDEX(B1:XFD1,((A3)+(1))+(0))),(INDEX(B1:XFD1,((A3)+(1))+(1)))*(2),IF(("gotoiftrue")=(INDEX(B1:XFD1,((A3)+(1))+(0))),IF(B3,(INDEX(B1:XFD1,((A3)+(1))+(1)))*(2),(A350)+(2)),(A350)+(2)))),A350))</f>
        <v>#VALUE!</v>
      </c>
      <c r="B350" t="e">
        <f ca="1">IF((A1)=(2),"",IF((346)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350)+(1)),IF(("add")=(INDEX(B1:XFD1,((A3)+(1))+(0))),(INDEX(B5:B405,(B4)+(1)))+(B350),IF(("equals")=(INDEX(B1:XFD1,((A3)+(1))+(0))),(INDEX(B5:B405,(B4)+(1)))=(B350),IF(("leq")=(INDEX(B1:XFD1,((A3)+(1))+(0))),(INDEX(B5:B405,(B4)+(1)))&lt;=(B350),IF(("greater")=(INDEX(B1:XFD1,((A3)+(1))+(0))),(INDEX(B5:B405,(B4)+(1)))&gt;(B350),IF(("mod")=(INDEX(B1:XFD1,((A3)+(1))+(0))),MOD(INDEX(B5:B405,(B4)+(1)),B350),B350))))))))),B350))</f>
        <v>#VALUE!</v>
      </c>
      <c r="C350" t="e">
        <f ca="1">IF((A1)=(2),1,IF(AND((INDEX(B1:XFD1,((A3)+(1))+(0)))=("writeheap"),(INDEX(B5:B405,(B4)+(1)))=(345)),INDEX(B5:B405,(B4)+(2)),IF((A1)=(2),"",IF((346)=(C4),C350,C350))))</f>
        <v>#VALUE!</v>
      </c>
      <c r="F350" t="e">
        <f ca="1">IF((A1)=(2),"",IF((346)=(F4),IF(IF((INDEX(B1:XFD1,((A3)+(1))+(0)))=("store"),(INDEX(B1:XFD1,((A3)+(1))+(1)))=("F"),"false"),B3,F350),F350))</f>
        <v>#VALUE!</v>
      </c>
      <c r="G350" t="e">
        <f ca="1">IF((A1)=(2),"",IF((346)=(G4),IF(IF((INDEX(B1:XFD1,((A3)+(1))+(0)))=("store"),(INDEX(B1:XFD1,((A3)+(1))+(1)))=("G"),"false"),B3,G350),G350))</f>
        <v>#VALUE!</v>
      </c>
      <c r="H350" t="e">
        <f ca="1">IF((A1)=(2),"",IF((346)=(H4),IF(IF((INDEX(B1:XFD1,((A3)+(1))+(0)))=("store"),(INDEX(B1:XFD1,((A3)+(1))+(1)))=("H"),"false"),B3,H350),H350))</f>
        <v>#VALUE!</v>
      </c>
      <c r="I350" t="e">
        <f ca="1">IF((A1)=(2),"",IF((346)=(I4),IF(IF((INDEX(B1:XFD1,((A3)+(1))+(0)))=("store"),(INDEX(B1:XFD1,((A3)+(1))+(1)))=("I"),"false"),B3,I350),I350))</f>
        <v>#VALUE!</v>
      </c>
      <c r="J350" t="e">
        <f ca="1">IF((A1)=(2),"",IF((346)=(J4),IF(IF((INDEX(B1:XFD1,((A3)+(1))+(0)))=("store"),(INDEX(B1:XFD1,((A3)+(1))+(1)))=("J"),"false"),B3,J350),J350))</f>
        <v>#VALUE!</v>
      </c>
      <c r="K350" t="e">
        <f ca="1">IF((A1)=(2),"",IF((346)=(K4),IF(IF((INDEX(B1:XFD1,((A3)+(1))+(0)))=("store"),(INDEX(B1:XFD1,((A3)+(1))+(1)))=("K"),"false"),B3,K350),K350))</f>
        <v>#VALUE!</v>
      </c>
      <c r="L350" t="e">
        <f ca="1">IF((A1)=(2),"",IF((346)=(L4),IF(IF((INDEX(B1:XFD1,((A3)+(1))+(0)))=("store"),(INDEX(B1:XFD1,((A3)+(1))+(1)))=("L"),"false"),B3,L350),L350))</f>
        <v>#VALUE!</v>
      </c>
      <c r="M350" t="e">
        <f ca="1">IF((A1)=(2),"",IF((346)=(M4),IF(IF((INDEX(B1:XFD1,((A3)+(1))+(0)))=("store"),(INDEX(B1:XFD1,((A3)+(1))+(1)))=("M"),"false"),B3,M350),M350))</f>
        <v>#VALUE!</v>
      </c>
      <c r="N350" t="e">
        <f ca="1">IF((A1)=(2),"",IF((346)=(N4),IF(IF((INDEX(B1:XFD1,((A3)+(1))+(0)))=("store"),(INDEX(B1:XFD1,((A3)+(1))+(1)))=("N"),"false"),B3,N350),N350))</f>
        <v>#VALUE!</v>
      </c>
      <c r="O350" t="e">
        <f ca="1">IF((A1)=(2),"",IF((346)=(O4),IF(IF((INDEX(B1:XFD1,((A3)+(1))+(0)))=("store"),(INDEX(B1:XFD1,((A3)+(1))+(1)))=("O"),"false"),B3,O350),O350))</f>
        <v>#VALUE!</v>
      </c>
      <c r="P350" t="e">
        <f ca="1">IF((A1)=(2),"",IF((346)=(P4),IF(IF((INDEX(B1:XFD1,((A3)+(1))+(0)))=("store"),(INDEX(B1:XFD1,((A3)+(1))+(1)))=("P"),"false"),B3,P350),P350))</f>
        <v>#VALUE!</v>
      </c>
      <c r="Q350" t="e">
        <f ca="1">IF((A1)=(2),"",IF((346)=(Q4),IF(IF((INDEX(B1:XFD1,((A3)+(1))+(0)))=("store"),(INDEX(B1:XFD1,((A3)+(1))+(1)))=("Q"),"false"),B3,Q350),Q350))</f>
        <v>#VALUE!</v>
      </c>
      <c r="R350" t="e">
        <f ca="1">IF((A1)=(2),"",IF((346)=(R4),IF(IF((INDEX(B1:XFD1,((A3)+(1))+(0)))=("store"),(INDEX(B1:XFD1,((A3)+(1))+(1)))=("R"),"false"),B3,R350),R350))</f>
        <v>#VALUE!</v>
      </c>
      <c r="S350" t="e">
        <f ca="1">IF((A1)=(2),"",IF((346)=(S4),IF(IF((INDEX(B1:XFD1,((A3)+(1))+(0)))=("store"),(INDEX(B1:XFD1,((A3)+(1))+(1)))=("S"),"false"),B3,S350),S350))</f>
        <v>#VALUE!</v>
      </c>
      <c r="T350" t="e">
        <f ca="1">IF((A1)=(2),"",IF((346)=(T4),IF(IF((INDEX(B1:XFD1,((A3)+(1))+(0)))=("store"),(INDEX(B1:XFD1,((A3)+(1))+(1)))=("T"),"false"),B3,T350),T350))</f>
        <v>#VALUE!</v>
      </c>
      <c r="U350" t="e">
        <f ca="1">IF((A1)=(2),"",IF((346)=(U4),IF(IF((INDEX(B1:XFD1,((A3)+(1))+(0)))=("store"),(INDEX(B1:XFD1,((A3)+(1))+(1)))=("U"),"false"),B3,U350),U350))</f>
        <v>#VALUE!</v>
      </c>
      <c r="V350" t="e">
        <f ca="1">IF((A1)=(2),"",IF((346)=(V4),IF(IF((INDEX(B1:XFD1,((A3)+(1))+(0)))=("store"),(INDEX(B1:XFD1,((A3)+(1))+(1)))=("V"),"false"),B3,V350),V350))</f>
        <v>#VALUE!</v>
      </c>
      <c r="W350" t="e">
        <f ca="1">IF((A1)=(2),"",IF((346)=(W4),IF(IF((INDEX(B1:XFD1,((A3)+(1))+(0)))=("store"),(INDEX(B1:XFD1,((A3)+(1))+(1)))=("W"),"false"),B3,W350),W350))</f>
        <v>#VALUE!</v>
      </c>
      <c r="X350" t="e">
        <f ca="1">IF((A1)=(2),"",IF((346)=(X4),IF(IF((INDEX(B1:XFD1,((A3)+(1))+(0)))=("store"),(INDEX(B1:XFD1,((A3)+(1))+(1)))=("X"),"false"),B3,X350),X350))</f>
        <v>#VALUE!</v>
      </c>
      <c r="Y350" t="e">
        <f ca="1">IF((A1)=(2),"",IF((346)=(Y4),IF(IF((INDEX(B1:XFD1,((A3)+(1))+(0)))=("store"),(INDEX(B1:XFD1,((A3)+(1))+(1)))=("Y"),"false"),B3,Y350),Y350))</f>
        <v>#VALUE!</v>
      </c>
      <c r="Z350" t="e">
        <f ca="1">IF((A1)=(2),"",IF((346)=(Z4),IF(IF((INDEX(B1:XFD1,((A3)+(1))+(0)))=("store"),(INDEX(B1:XFD1,((A3)+(1))+(1)))=("Z"),"false"),B3,Z350),Z350))</f>
        <v>#VALUE!</v>
      </c>
      <c r="AA350" t="e">
        <f ca="1">IF((A1)=(2),"",IF((346)=(AA4),IF(IF((INDEX(B1:XFD1,((A3)+(1))+(0)))=("store"),(INDEX(B1:XFD1,((A3)+(1))+(1)))=("AA"),"false"),B3,AA350),AA350))</f>
        <v>#VALUE!</v>
      </c>
      <c r="AB350" t="e">
        <f ca="1">IF((A1)=(2),"",IF((346)=(AB4),IF(IF((INDEX(B1:XFD1,((A3)+(1))+(0)))=("store"),(INDEX(B1:XFD1,((A3)+(1))+(1)))=("AB"),"false"),B3,AB350),AB350))</f>
        <v>#VALUE!</v>
      </c>
      <c r="AC350" t="e">
        <f ca="1">IF((A1)=(2),"",IF((346)=(AC4),IF(IF((INDEX(B1:XFD1,((A3)+(1))+(0)))=("store"),(INDEX(B1:XFD1,((A3)+(1))+(1)))=("AC"),"false"),B3,AC350),AC350))</f>
        <v>#VALUE!</v>
      </c>
      <c r="AD350" t="e">
        <f ca="1">IF((A1)=(2),"",IF((346)=(AD4),IF(IF((INDEX(B1:XFD1,((A3)+(1))+(0)))=("store"),(INDEX(B1:XFD1,((A3)+(1))+(1)))=("AD"),"false"),B3,AD350),AD350))</f>
        <v>#VALUE!</v>
      </c>
    </row>
    <row r="351" spans="1:30" x14ac:dyDescent="0.25">
      <c r="A351" t="e">
        <f ca="1">IF((A1)=(2),"",IF((347)=(A4),IF(("call")=(INDEX(B1:XFD1,((A3)+(1))+(0))),(B3)*(2),IF(("goto")=(INDEX(B1:XFD1,((A3)+(1))+(0))),(INDEX(B1:XFD1,((A3)+(1))+(1)))*(2),IF(("gotoiftrue")=(INDEX(B1:XFD1,((A3)+(1))+(0))),IF(B3,(INDEX(B1:XFD1,((A3)+(1))+(1)))*(2),(A351)+(2)),(A351)+(2)))),A351))</f>
        <v>#VALUE!</v>
      </c>
      <c r="B351" t="e">
        <f ca="1">IF((A1)=(2),"",IF((347)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351)+(1)),IF(("add")=(INDEX(B1:XFD1,((A3)+(1))+(0))),(INDEX(B5:B405,(B4)+(1)))+(B351),IF(("equals")=(INDEX(B1:XFD1,((A3)+(1))+(0))),(INDEX(B5:B405,(B4)+(1)))=(B351),IF(("leq")=(INDEX(B1:XFD1,((A3)+(1))+(0))),(INDEX(B5:B405,(B4)+(1)))&lt;=(B351),IF(("greater")=(INDEX(B1:XFD1,((A3)+(1))+(0))),(INDEX(B5:B405,(B4)+(1)))&gt;(B351),IF(("mod")=(INDEX(B1:XFD1,((A3)+(1))+(0))),MOD(INDEX(B5:B405,(B4)+(1)),B351),B351))))))))),B351))</f>
        <v>#VALUE!</v>
      </c>
      <c r="C351" t="e">
        <f ca="1">IF((A1)=(2),1,IF(AND((INDEX(B1:XFD1,((A3)+(1))+(0)))=("writeheap"),(INDEX(B5:B405,(B4)+(1)))=(346)),INDEX(B5:B405,(B4)+(2)),IF((A1)=(2),"",IF((347)=(C4),C351,C351))))</f>
        <v>#VALUE!</v>
      </c>
      <c r="F351" t="e">
        <f ca="1">IF((A1)=(2),"",IF((347)=(F4),IF(IF((INDEX(B1:XFD1,((A3)+(1))+(0)))=("store"),(INDEX(B1:XFD1,((A3)+(1))+(1)))=("F"),"false"),B3,F351),F351))</f>
        <v>#VALUE!</v>
      </c>
      <c r="G351" t="e">
        <f ca="1">IF((A1)=(2),"",IF((347)=(G4),IF(IF((INDEX(B1:XFD1,((A3)+(1))+(0)))=("store"),(INDEX(B1:XFD1,((A3)+(1))+(1)))=("G"),"false"),B3,G351),G351))</f>
        <v>#VALUE!</v>
      </c>
      <c r="H351" t="e">
        <f ca="1">IF((A1)=(2),"",IF((347)=(H4),IF(IF((INDEX(B1:XFD1,((A3)+(1))+(0)))=("store"),(INDEX(B1:XFD1,((A3)+(1))+(1)))=("H"),"false"),B3,H351),H351))</f>
        <v>#VALUE!</v>
      </c>
      <c r="I351" t="e">
        <f ca="1">IF((A1)=(2),"",IF((347)=(I4),IF(IF((INDEX(B1:XFD1,((A3)+(1))+(0)))=("store"),(INDEX(B1:XFD1,((A3)+(1))+(1)))=("I"),"false"),B3,I351),I351))</f>
        <v>#VALUE!</v>
      </c>
      <c r="J351" t="e">
        <f ca="1">IF((A1)=(2),"",IF((347)=(J4),IF(IF((INDEX(B1:XFD1,((A3)+(1))+(0)))=("store"),(INDEX(B1:XFD1,((A3)+(1))+(1)))=("J"),"false"),B3,J351),J351))</f>
        <v>#VALUE!</v>
      </c>
      <c r="K351" t="e">
        <f ca="1">IF((A1)=(2),"",IF((347)=(K4),IF(IF((INDEX(B1:XFD1,((A3)+(1))+(0)))=("store"),(INDEX(B1:XFD1,((A3)+(1))+(1)))=("K"),"false"),B3,K351),K351))</f>
        <v>#VALUE!</v>
      </c>
      <c r="L351" t="e">
        <f ca="1">IF((A1)=(2),"",IF((347)=(L4),IF(IF((INDEX(B1:XFD1,((A3)+(1))+(0)))=("store"),(INDEX(B1:XFD1,((A3)+(1))+(1)))=("L"),"false"),B3,L351),L351))</f>
        <v>#VALUE!</v>
      </c>
      <c r="M351" t="e">
        <f ca="1">IF((A1)=(2),"",IF((347)=(M4),IF(IF((INDEX(B1:XFD1,((A3)+(1))+(0)))=("store"),(INDEX(B1:XFD1,((A3)+(1))+(1)))=("M"),"false"),B3,M351),M351))</f>
        <v>#VALUE!</v>
      </c>
      <c r="N351" t="e">
        <f ca="1">IF((A1)=(2),"",IF((347)=(N4),IF(IF((INDEX(B1:XFD1,((A3)+(1))+(0)))=("store"),(INDEX(B1:XFD1,((A3)+(1))+(1)))=("N"),"false"),B3,N351),N351))</f>
        <v>#VALUE!</v>
      </c>
      <c r="O351" t="e">
        <f ca="1">IF((A1)=(2),"",IF((347)=(O4),IF(IF((INDEX(B1:XFD1,((A3)+(1))+(0)))=("store"),(INDEX(B1:XFD1,((A3)+(1))+(1)))=("O"),"false"),B3,O351),O351))</f>
        <v>#VALUE!</v>
      </c>
      <c r="P351" t="e">
        <f ca="1">IF((A1)=(2),"",IF((347)=(P4),IF(IF((INDEX(B1:XFD1,((A3)+(1))+(0)))=("store"),(INDEX(B1:XFD1,((A3)+(1))+(1)))=("P"),"false"),B3,P351),P351))</f>
        <v>#VALUE!</v>
      </c>
      <c r="Q351" t="e">
        <f ca="1">IF((A1)=(2),"",IF((347)=(Q4),IF(IF((INDEX(B1:XFD1,((A3)+(1))+(0)))=("store"),(INDEX(B1:XFD1,((A3)+(1))+(1)))=("Q"),"false"),B3,Q351),Q351))</f>
        <v>#VALUE!</v>
      </c>
      <c r="R351" t="e">
        <f ca="1">IF((A1)=(2),"",IF((347)=(R4),IF(IF((INDEX(B1:XFD1,((A3)+(1))+(0)))=("store"),(INDEX(B1:XFD1,((A3)+(1))+(1)))=("R"),"false"),B3,R351),R351))</f>
        <v>#VALUE!</v>
      </c>
      <c r="S351" t="e">
        <f ca="1">IF((A1)=(2),"",IF((347)=(S4),IF(IF((INDEX(B1:XFD1,((A3)+(1))+(0)))=("store"),(INDEX(B1:XFD1,((A3)+(1))+(1)))=("S"),"false"),B3,S351),S351))</f>
        <v>#VALUE!</v>
      </c>
      <c r="T351" t="e">
        <f ca="1">IF((A1)=(2),"",IF((347)=(T4),IF(IF((INDEX(B1:XFD1,((A3)+(1))+(0)))=("store"),(INDEX(B1:XFD1,((A3)+(1))+(1)))=("T"),"false"),B3,T351),T351))</f>
        <v>#VALUE!</v>
      </c>
      <c r="U351" t="e">
        <f ca="1">IF((A1)=(2),"",IF((347)=(U4),IF(IF((INDEX(B1:XFD1,((A3)+(1))+(0)))=("store"),(INDEX(B1:XFD1,((A3)+(1))+(1)))=("U"),"false"),B3,U351),U351))</f>
        <v>#VALUE!</v>
      </c>
      <c r="V351" t="e">
        <f ca="1">IF((A1)=(2),"",IF((347)=(V4),IF(IF((INDEX(B1:XFD1,((A3)+(1))+(0)))=("store"),(INDEX(B1:XFD1,((A3)+(1))+(1)))=("V"),"false"),B3,V351),V351))</f>
        <v>#VALUE!</v>
      </c>
      <c r="W351" t="e">
        <f ca="1">IF((A1)=(2),"",IF((347)=(W4),IF(IF((INDEX(B1:XFD1,((A3)+(1))+(0)))=("store"),(INDEX(B1:XFD1,((A3)+(1))+(1)))=("W"),"false"),B3,W351),W351))</f>
        <v>#VALUE!</v>
      </c>
      <c r="X351" t="e">
        <f ca="1">IF((A1)=(2),"",IF((347)=(X4),IF(IF((INDEX(B1:XFD1,((A3)+(1))+(0)))=("store"),(INDEX(B1:XFD1,((A3)+(1))+(1)))=("X"),"false"),B3,X351),X351))</f>
        <v>#VALUE!</v>
      </c>
      <c r="Y351" t="e">
        <f ca="1">IF((A1)=(2),"",IF((347)=(Y4),IF(IF((INDEX(B1:XFD1,((A3)+(1))+(0)))=("store"),(INDEX(B1:XFD1,((A3)+(1))+(1)))=("Y"),"false"),B3,Y351),Y351))</f>
        <v>#VALUE!</v>
      </c>
      <c r="Z351" t="e">
        <f ca="1">IF((A1)=(2),"",IF((347)=(Z4),IF(IF((INDEX(B1:XFD1,((A3)+(1))+(0)))=("store"),(INDEX(B1:XFD1,((A3)+(1))+(1)))=("Z"),"false"),B3,Z351),Z351))</f>
        <v>#VALUE!</v>
      </c>
      <c r="AA351" t="e">
        <f ca="1">IF((A1)=(2),"",IF((347)=(AA4),IF(IF((INDEX(B1:XFD1,((A3)+(1))+(0)))=("store"),(INDEX(B1:XFD1,((A3)+(1))+(1)))=("AA"),"false"),B3,AA351),AA351))</f>
        <v>#VALUE!</v>
      </c>
      <c r="AB351" t="e">
        <f ca="1">IF((A1)=(2),"",IF((347)=(AB4),IF(IF((INDEX(B1:XFD1,((A3)+(1))+(0)))=("store"),(INDEX(B1:XFD1,((A3)+(1))+(1)))=("AB"),"false"),B3,AB351),AB351))</f>
        <v>#VALUE!</v>
      </c>
      <c r="AC351" t="e">
        <f ca="1">IF((A1)=(2),"",IF((347)=(AC4),IF(IF((INDEX(B1:XFD1,((A3)+(1))+(0)))=("store"),(INDEX(B1:XFD1,((A3)+(1))+(1)))=("AC"),"false"),B3,AC351),AC351))</f>
        <v>#VALUE!</v>
      </c>
      <c r="AD351" t="e">
        <f ca="1">IF((A1)=(2),"",IF((347)=(AD4),IF(IF((INDEX(B1:XFD1,((A3)+(1))+(0)))=("store"),(INDEX(B1:XFD1,((A3)+(1))+(1)))=("AD"),"false"),B3,AD351),AD351))</f>
        <v>#VALUE!</v>
      </c>
    </row>
    <row r="352" spans="1:30" x14ac:dyDescent="0.25">
      <c r="A352" t="e">
        <f ca="1">IF((A1)=(2),"",IF((348)=(A4),IF(("call")=(INDEX(B1:XFD1,((A3)+(1))+(0))),(B3)*(2),IF(("goto")=(INDEX(B1:XFD1,((A3)+(1))+(0))),(INDEX(B1:XFD1,((A3)+(1))+(1)))*(2),IF(("gotoiftrue")=(INDEX(B1:XFD1,((A3)+(1))+(0))),IF(B3,(INDEX(B1:XFD1,((A3)+(1))+(1)))*(2),(A352)+(2)),(A352)+(2)))),A352))</f>
        <v>#VALUE!</v>
      </c>
      <c r="B352" t="e">
        <f ca="1">IF((A1)=(2),"",IF((348)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352)+(1)),IF(("add")=(INDEX(B1:XFD1,((A3)+(1))+(0))),(INDEX(B5:B405,(B4)+(1)))+(B352),IF(("equals")=(INDEX(B1:XFD1,((A3)+(1))+(0))),(INDEX(B5:B405,(B4)+(1)))=(B352),IF(("leq")=(INDEX(B1:XFD1,((A3)+(1))+(0))),(INDEX(B5:B405,(B4)+(1)))&lt;=(B352),IF(("greater")=(INDEX(B1:XFD1,((A3)+(1))+(0))),(INDEX(B5:B405,(B4)+(1)))&gt;(B352),IF(("mod")=(INDEX(B1:XFD1,((A3)+(1))+(0))),MOD(INDEX(B5:B405,(B4)+(1)),B352),B352))))))))),B352))</f>
        <v>#VALUE!</v>
      </c>
      <c r="C352" t="e">
        <f ca="1">IF((A1)=(2),1,IF(AND((INDEX(B1:XFD1,((A3)+(1))+(0)))=("writeheap"),(INDEX(B5:B405,(B4)+(1)))=(347)),INDEX(B5:B405,(B4)+(2)),IF((A1)=(2),"",IF((348)=(C4),C352,C352))))</f>
        <v>#VALUE!</v>
      </c>
      <c r="F352" t="e">
        <f ca="1">IF((A1)=(2),"",IF((348)=(F4),IF(IF((INDEX(B1:XFD1,((A3)+(1))+(0)))=("store"),(INDEX(B1:XFD1,((A3)+(1))+(1)))=("F"),"false"),B3,F352),F352))</f>
        <v>#VALUE!</v>
      </c>
      <c r="G352" t="e">
        <f ca="1">IF((A1)=(2),"",IF((348)=(G4),IF(IF((INDEX(B1:XFD1,((A3)+(1))+(0)))=("store"),(INDEX(B1:XFD1,((A3)+(1))+(1)))=("G"),"false"),B3,G352),G352))</f>
        <v>#VALUE!</v>
      </c>
      <c r="H352" t="e">
        <f ca="1">IF((A1)=(2),"",IF((348)=(H4),IF(IF((INDEX(B1:XFD1,((A3)+(1))+(0)))=("store"),(INDEX(B1:XFD1,((A3)+(1))+(1)))=("H"),"false"),B3,H352),H352))</f>
        <v>#VALUE!</v>
      </c>
      <c r="I352" t="e">
        <f ca="1">IF((A1)=(2),"",IF((348)=(I4),IF(IF((INDEX(B1:XFD1,((A3)+(1))+(0)))=("store"),(INDEX(B1:XFD1,((A3)+(1))+(1)))=("I"),"false"),B3,I352),I352))</f>
        <v>#VALUE!</v>
      </c>
      <c r="J352" t="e">
        <f ca="1">IF((A1)=(2),"",IF((348)=(J4),IF(IF((INDEX(B1:XFD1,((A3)+(1))+(0)))=("store"),(INDEX(B1:XFD1,((A3)+(1))+(1)))=("J"),"false"),B3,J352),J352))</f>
        <v>#VALUE!</v>
      </c>
      <c r="K352" t="e">
        <f ca="1">IF((A1)=(2),"",IF((348)=(K4),IF(IF((INDEX(B1:XFD1,((A3)+(1))+(0)))=("store"),(INDEX(B1:XFD1,((A3)+(1))+(1)))=("K"),"false"),B3,K352),K352))</f>
        <v>#VALUE!</v>
      </c>
      <c r="L352" t="e">
        <f ca="1">IF((A1)=(2),"",IF((348)=(L4),IF(IF((INDEX(B1:XFD1,((A3)+(1))+(0)))=("store"),(INDEX(B1:XFD1,((A3)+(1))+(1)))=("L"),"false"),B3,L352),L352))</f>
        <v>#VALUE!</v>
      </c>
      <c r="M352" t="e">
        <f ca="1">IF((A1)=(2),"",IF((348)=(M4),IF(IF((INDEX(B1:XFD1,((A3)+(1))+(0)))=("store"),(INDEX(B1:XFD1,((A3)+(1))+(1)))=("M"),"false"),B3,M352),M352))</f>
        <v>#VALUE!</v>
      </c>
      <c r="N352" t="e">
        <f ca="1">IF((A1)=(2),"",IF((348)=(N4),IF(IF((INDEX(B1:XFD1,((A3)+(1))+(0)))=("store"),(INDEX(B1:XFD1,((A3)+(1))+(1)))=("N"),"false"),B3,N352),N352))</f>
        <v>#VALUE!</v>
      </c>
      <c r="O352" t="e">
        <f ca="1">IF((A1)=(2),"",IF((348)=(O4),IF(IF((INDEX(B1:XFD1,((A3)+(1))+(0)))=("store"),(INDEX(B1:XFD1,((A3)+(1))+(1)))=("O"),"false"),B3,O352),O352))</f>
        <v>#VALUE!</v>
      </c>
      <c r="P352" t="e">
        <f ca="1">IF((A1)=(2),"",IF((348)=(P4),IF(IF((INDEX(B1:XFD1,((A3)+(1))+(0)))=("store"),(INDEX(B1:XFD1,((A3)+(1))+(1)))=("P"),"false"),B3,P352),P352))</f>
        <v>#VALUE!</v>
      </c>
      <c r="Q352" t="e">
        <f ca="1">IF((A1)=(2),"",IF((348)=(Q4),IF(IF((INDEX(B1:XFD1,((A3)+(1))+(0)))=("store"),(INDEX(B1:XFD1,((A3)+(1))+(1)))=("Q"),"false"),B3,Q352),Q352))</f>
        <v>#VALUE!</v>
      </c>
      <c r="R352" t="e">
        <f ca="1">IF((A1)=(2),"",IF((348)=(R4),IF(IF((INDEX(B1:XFD1,((A3)+(1))+(0)))=("store"),(INDEX(B1:XFD1,((A3)+(1))+(1)))=("R"),"false"),B3,R352),R352))</f>
        <v>#VALUE!</v>
      </c>
      <c r="S352" t="e">
        <f ca="1">IF((A1)=(2),"",IF((348)=(S4),IF(IF((INDEX(B1:XFD1,((A3)+(1))+(0)))=("store"),(INDEX(B1:XFD1,((A3)+(1))+(1)))=("S"),"false"),B3,S352),S352))</f>
        <v>#VALUE!</v>
      </c>
      <c r="T352" t="e">
        <f ca="1">IF((A1)=(2),"",IF((348)=(T4),IF(IF((INDEX(B1:XFD1,((A3)+(1))+(0)))=("store"),(INDEX(B1:XFD1,((A3)+(1))+(1)))=("T"),"false"),B3,T352),T352))</f>
        <v>#VALUE!</v>
      </c>
      <c r="U352" t="e">
        <f ca="1">IF((A1)=(2),"",IF((348)=(U4),IF(IF((INDEX(B1:XFD1,((A3)+(1))+(0)))=("store"),(INDEX(B1:XFD1,((A3)+(1))+(1)))=("U"),"false"),B3,U352),U352))</f>
        <v>#VALUE!</v>
      </c>
      <c r="V352" t="e">
        <f ca="1">IF((A1)=(2),"",IF((348)=(V4),IF(IF((INDEX(B1:XFD1,((A3)+(1))+(0)))=("store"),(INDEX(B1:XFD1,((A3)+(1))+(1)))=("V"),"false"),B3,V352),V352))</f>
        <v>#VALUE!</v>
      </c>
      <c r="W352" t="e">
        <f ca="1">IF((A1)=(2),"",IF((348)=(W4),IF(IF((INDEX(B1:XFD1,((A3)+(1))+(0)))=("store"),(INDEX(B1:XFD1,((A3)+(1))+(1)))=("W"),"false"),B3,W352),W352))</f>
        <v>#VALUE!</v>
      </c>
      <c r="X352" t="e">
        <f ca="1">IF((A1)=(2),"",IF((348)=(X4),IF(IF((INDEX(B1:XFD1,((A3)+(1))+(0)))=("store"),(INDEX(B1:XFD1,((A3)+(1))+(1)))=("X"),"false"),B3,X352),X352))</f>
        <v>#VALUE!</v>
      </c>
      <c r="Y352" t="e">
        <f ca="1">IF((A1)=(2),"",IF((348)=(Y4),IF(IF((INDEX(B1:XFD1,((A3)+(1))+(0)))=("store"),(INDEX(B1:XFD1,((A3)+(1))+(1)))=("Y"),"false"),B3,Y352),Y352))</f>
        <v>#VALUE!</v>
      </c>
      <c r="Z352" t="e">
        <f ca="1">IF((A1)=(2),"",IF((348)=(Z4),IF(IF((INDEX(B1:XFD1,((A3)+(1))+(0)))=("store"),(INDEX(B1:XFD1,((A3)+(1))+(1)))=("Z"),"false"),B3,Z352),Z352))</f>
        <v>#VALUE!</v>
      </c>
      <c r="AA352" t="e">
        <f ca="1">IF((A1)=(2),"",IF((348)=(AA4),IF(IF((INDEX(B1:XFD1,((A3)+(1))+(0)))=("store"),(INDEX(B1:XFD1,((A3)+(1))+(1)))=("AA"),"false"),B3,AA352),AA352))</f>
        <v>#VALUE!</v>
      </c>
      <c r="AB352" t="e">
        <f ca="1">IF((A1)=(2),"",IF((348)=(AB4),IF(IF((INDEX(B1:XFD1,((A3)+(1))+(0)))=("store"),(INDEX(B1:XFD1,((A3)+(1))+(1)))=("AB"),"false"),B3,AB352),AB352))</f>
        <v>#VALUE!</v>
      </c>
      <c r="AC352" t="e">
        <f ca="1">IF((A1)=(2),"",IF((348)=(AC4),IF(IF((INDEX(B1:XFD1,((A3)+(1))+(0)))=("store"),(INDEX(B1:XFD1,((A3)+(1))+(1)))=("AC"),"false"),B3,AC352),AC352))</f>
        <v>#VALUE!</v>
      </c>
      <c r="AD352" t="e">
        <f ca="1">IF((A1)=(2),"",IF((348)=(AD4),IF(IF((INDEX(B1:XFD1,((A3)+(1))+(0)))=("store"),(INDEX(B1:XFD1,((A3)+(1))+(1)))=("AD"),"false"),B3,AD352),AD352))</f>
        <v>#VALUE!</v>
      </c>
    </row>
    <row r="353" spans="1:30" x14ac:dyDescent="0.25">
      <c r="A353" t="e">
        <f ca="1">IF((A1)=(2),"",IF((349)=(A4),IF(("call")=(INDEX(B1:XFD1,((A3)+(1))+(0))),(B3)*(2),IF(("goto")=(INDEX(B1:XFD1,((A3)+(1))+(0))),(INDEX(B1:XFD1,((A3)+(1))+(1)))*(2),IF(("gotoiftrue")=(INDEX(B1:XFD1,((A3)+(1))+(0))),IF(B3,(INDEX(B1:XFD1,((A3)+(1))+(1)))*(2),(A353)+(2)),(A353)+(2)))),A353))</f>
        <v>#VALUE!</v>
      </c>
      <c r="B353" t="e">
        <f ca="1">IF((A1)=(2),"",IF((349)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353)+(1)),IF(("add")=(INDEX(B1:XFD1,((A3)+(1))+(0))),(INDEX(B5:B405,(B4)+(1)))+(B353),IF(("equals")=(INDEX(B1:XFD1,((A3)+(1))+(0))),(INDEX(B5:B405,(B4)+(1)))=(B353),IF(("leq")=(INDEX(B1:XFD1,((A3)+(1))+(0))),(INDEX(B5:B405,(B4)+(1)))&lt;=(B353),IF(("greater")=(INDEX(B1:XFD1,((A3)+(1))+(0))),(INDEX(B5:B405,(B4)+(1)))&gt;(B353),IF(("mod")=(INDEX(B1:XFD1,((A3)+(1))+(0))),MOD(INDEX(B5:B405,(B4)+(1)),B353),B353))))))))),B353))</f>
        <v>#VALUE!</v>
      </c>
      <c r="C353" t="e">
        <f ca="1">IF((A1)=(2),1,IF(AND((INDEX(B1:XFD1,((A3)+(1))+(0)))=("writeheap"),(INDEX(B5:B405,(B4)+(1)))=(348)),INDEX(B5:B405,(B4)+(2)),IF((A1)=(2),"",IF((349)=(C4),C353,C353))))</f>
        <v>#VALUE!</v>
      </c>
      <c r="F353" t="e">
        <f ca="1">IF((A1)=(2),"",IF((349)=(F4),IF(IF((INDEX(B1:XFD1,((A3)+(1))+(0)))=("store"),(INDEX(B1:XFD1,((A3)+(1))+(1)))=("F"),"false"),B3,F353),F353))</f>
        <v>#VALUE!</v>
      </c>
      <c r="G353" t="e">
        <f ca="1">IF((A1)=(2),"",IF((349)=(G4),IF(IF((INDEX(B1:XFD1,((A3)+(1))+(0)))=("store"),(INDEX(B1:XFD1,((A3)+(1))+(1)))=("G"),"false"),B3,G353),G353))</f>
        <v>#VALUE!</v>
      </c>
      <c r="H353" t="e">
        <f ca="1">IF((A1)=(2),"",IF((349)=(H4),IF(IF((INDEX(B1:XFD1,((A3)+(1))+(0)))=("store"),(INDEX(B1:XFD1,((A3)+(1))+(1)))=("H"),"false"),B3,H353),H353))</f>
        <v>#VALUE!</v>
      </c>
      <c r="I353" t="e">
        <f ca="1">IF((A1)=(2),"",IF((349)=(I4),IF(IF((INDEX(B1:XFD1,((A3)+(1))+(0)))=("store"),(INDEX(B1:XFD1,((A3)+(1))+(1)))=("I"),"false"),B3,I353),I353))</f>
        <v>#VALUE!</v>
      </c>
      <c r="J353" t="e">
        <f ca="1">IF((A1)=(2),"",IF((349)=(J4),IF(IF((INDEX(B1:XFD1,((A3)+(1))+(0)))=("store"),(INDEX(B1:XFD1,((A3)+(1))+(1)))=("J"),"false"),B3,J353),J353))</f>
        <v>#VALUE!</v>
      </c>
      <c r="K353" t="e">
        <f ca="1">IF((A1)=(2),"",IF((349)=(K4),IF(IF((INDEX(B1:XFD1,((A3)+(1))+(0)))=("store"),(INDEX(B1:XFD1,((A3)+(1))+(1)))=("K"),"false"),B3,K353),K353))</f>
        <v>#VALUE!</v>
      </c>
      <c r="L353" t="e">
        <f ca="1">IF((A1)=(2),"",IF((349)=(L4),IF(IF((INDEX(B1:XFD1,((A3)+(1))+(0)))=("store"),(INDEX(B1:XFD1,((A3)+(1))+(1)))=("L"),"false"),B3,L353),L353))</f>
        <v>#VALUE!</v>
      </c>
      <c r="M353" t="e">
        <f ca="1">IF((A1)=(2),"",IF((349)=(M4),IF(IF((INDEX(B1:XFD1,((A3)+(1))+(0)))=("store"),(INDEX(B1:XFD1,((A3)+(1))+(1)))=("M"),"false"),B3,M353),M353))</f>
        <v>#VALUE!</v>
      </c>
      <c r="N353" t="e">
        <f ca="1">IF((A1)=(2),"",IF((349)=(N4),IF(IF((INDEX(B1:XFD1,((A3)+(1))+(0)))=("store"),(INDEX(B1:XFD1,((A3)+(1))+(1)))=("N"),"false"),B3,N353),N353))</f>
        <v>#VALUE!</v>
      </c>
      <c r="O353" t="e">
        <f ca="1">IF((A1)=(2),"",IF((349)=(O4),IF(IF((INDEX(B1:XFD1,((A3)+(1))+(0)))=("store"),(INDEX(B1:XFD1,((A3)+(1))+(1)))=("O"),"false"),B3,O353),O353))</f>
        <v>#VALUE!</v>
      </c>
      <c r="P353" t="e">
        <f ca="1">IF((A1)=(2),"",IF((349)=(P4),IF(IF((INDEX(B1:XFD1,((A3)+(1))+(0)))=("store"),(INDEX(B1:XFD1,((A3)+(1))+(1)))=("P"),"false"),B3,P353),P353))</f>
        <v>#VALUE!</v>
      </c>
      <c r="Q353" t="e">
        <f ca="1">IF((A1)=(2),"",IF((349)=(Q4),IF(IF((INDEX(B1:XFD1,((A3)+(1))+(0)))=("store"),(INDEX(B1:XFD1,((A3)+(1))+(1)))=("Q"),"false"),B3,Q353),Q353))</f>
        <v>#VALUE!</v>
      </c>
      <c r="R353" t="e">
        <f ca="1">IF((A1)=(2),"",IF((349)=(R4),IF(IF((INDEX(B1:XFD1,((A3)+(1))+(0)))=("store"),(INDEX(B1:XFD1,((A3)+(1))+(1)))=("R"),"false"),B3,R353),R353))</f>
        <v>#VALUE!</v>
      </c>
      <c r="S353" t="e">
        <f ca="1">IF((A1)=(2),"",IF((349)=(S4),IF(IF((INDEX(B1:XFD1,((A3)+(1))+(0)))=("store"),(INDEX(B1:XFD1,((A3)+(1))+(1)))=("S"),"false"),B3,S353),S353))</f>
        <v>#VALUE!</v>
      </c>
      <c r="T353" t="e">
        <f ca="1">IF((A1)=(2),"",IF((349)=(T4),IF(IF((INDEX(B1:XFD1,((A3)+(1))+(0)))=("store"),(INDEX(B1:XFD1,((A3)+(1))+(1)))=("T"),"false"),B3,T353),T353))</f>
        <v>#VALUE!</v>
      </c>
      <c r="U353" t="e">
        <f ca="1">IF((A1)=(2),"",IF((349)=(U4),IF(IF((INDEX(B1:XFD1,((A3)+(1))+(0)))=("store"),(INDEX(B1:XFD1,((A3)+(1))+(1)))=("U"),"false"),B3,U353),U353))</f>
        <v>#VALUE!</v>
      </c>
      <c r="V353" t="e">
        <f ca="1">IF((A1)=(2),"",IF((349)=(V4),IF(IF((INDEX(B1:XFD1,((A3)+(1))+(0)))=("store"),(INDEX(B1:XFD1,((A3)+(1))+(1)))=("V"),"false"),B3,V353),V353))</f>
        <v>#VALUE!</v>
      </c>
      <c r="W353" t="e">
        <f ca="1">IF((A1)=(2),"",IF((349)=(W4),IF(IF((INDEX(B1:XFD1,((A3)+(1))+(0)))=("store"),(INDEX(B1:XFD1,((A3)+(1))+(1)))=("W"),"false"),B3,W353),W353))</f>
        <v>#VALUE!</v>
      </c>
      <c r="X353" t="e">
        <f ca="1">IF((A1)=(2),"",IF((349)=(X4),IF(IF((INDEX(B1:XFD1,((A3)+(1))+(0)))=("store"),(INDEX(B1:XFD1,((A3)+(1))+(1)))=("X"),"false"),B3,X353),X353))</f>
        <v>#VALUE!</v>
      </c>
      <c r="Y353" t="e">
        <f ca="1">IF((A1)=(2),"",IF((349)=(Y4),IF(IF((INDEX(B1:XFD1,((A3)+(1))+(0)))=("store"),(INDEX(B1:XFD1,((A3)+(1))+(1)))=("Y"),"false"),B3,Y353),Y353))</f>
        <v>#VALUE!</v>
      </c>
      <c r="Z353" t="e">
        <f ca="1">IF((A1)=(2),"",IF((349)=(Z4),IF(IF((INDEX(B1:XFD1,((A3)+(1))+(0)))=("store"),(INDEX(B1:XFD1,((A3)+(1))+(1)))=("Z"),"false"),B3,Z353),Z353))</f>
        <v>#VALUE!</v>
      </c>
      <c r="AA353" t="e">
        <f ca="1">IF((A1)=(2),"",IF((349)=(AA4),IF(IF((INDEX(B1:XFD1,((A3)+(1))+(0)))=("store"),(INDEX(B1:XFD1,((A3)+(1))+(1)))=("AA"),"false"),B3,AA353),AA353))</f>
        <v>#VALUE!</v>
      </c>
      <c r="AB353" t="e">
        <f ca="1">IF((A1)=(2),"",IF((349)=(AB4),IF(IF((INDEX(B1:XFD1,((A3)+(1))+(0)))=("store"),(INDEX(B1:XFD1,((A3)+(1))+(1)))=("AB"),"false"),B3,AB353),AB353))</f>
        <v>#VALUE!</v>
      </c>
      <c r="AC353" t="e">
        <f ca="1">IF((A1)=(2),"",IF((349)=(AC4),IF(IF((INDEX(B1:XFD1,((A3)+(1))+(0)))=("store"),(INDEX(B1:XFD1,((A3)+(1))+(1)))=("AC"),"false"),B3,AC353),AC353))</f>
        <v>#VALUE!</v>
      </c>
      <c r="AD353" t="e">
        <f ca="1">IF((A1)=(2),"",IF((349)=(AD4),IF(IF((INDEX(B1:XFD1,((A3)+(1))+(0)))=("store"),(INDEX(B1:XFD1,((A3)+(1))+(1)))=("AD"),"false"),B3,AD353),AD353))</f>
        <v>#VALUE!</v>
      </c>
    </row>
    <row r="354" spans="1:30" x14ac:dyDescent="0.25">
      <c r="A354" t="e">
        <f ca="1">IF((A1)=(2),"",IF((350)=(A4),IF(("call")=(INDEX(B1:XFD1,((A3)+(1))+(0))),(B3)*(2),IF(("goto")=(INDEX(B1:XFD1,((A3)+(1))+(0))),(INDEX(B1:XFD1,((A3)+(1))+(1)))*(2),IF(("gotoiftrue")=(INDEX(B1:XFD1,((A3)+(1))+(0))),IF(B3,(INDEX(B1:XFD1,((A3)+(1))+(1)))*(2),(A354)+(2)),(A354)+(2)))),A354))</f>
        <v>#VALUE!</v>
      </c>
      <c r="B354" t="e">
        <f ca="1">IF((A1)=(2),"",IF((350)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354)+(1)),IF(("add")=(INDEX(B1:XFD1,((A3)+(1))+(0))),(INDEX(B5:B405,(B4)+(1)))+(B354),IF(("equals")=(INDEX(B1:XFD1,((A3)+(1))+(0))),(INDEX(B5:B405,(B4)+(1)))=(B354),IF(("leq")=(INDEX(B1:XFD1,((A3)+(1))+(0))),(INDEX(B5:B405,(B4)+(1)))&lt;=(B354),IF(("greater")=(INDEX(B1:XFD1,((A3)+(1))+(0))),(INDEX(B5:B405,(B4)+(1)))&gt;(B354),IF(("mod")=(INDEX(B1:XFD1,((A3)+(1))+(0))),MOD(INDEX(B5:B405,(B4)+(1)),B354),B354))))))))),B354))</f>
        <v>#VALUE!</v>
      </c>
      <c r="C354" t="e">
        <f ca="1">IF((A1)=(2),1,IF(AND((INDEX(B1:XFD1,((A3)+(1))+(0)))=("writeheap"),(INDEX(B5:B405,(B4)+(1)))=(349)),INDEX(B5:B405,(B4)+(2)),IF((A1)=(2),"",IF((350)=(C4),C354,C354))))</f>
        <v>#VALUE!</v>
      </c>
      <c r="F354" t="e">
        <f ca="1">IF((A1)=(2),"",IF((350)=(F4),IF(IF((INDEX(B1:XFD1,((A3)+(1))+(0)))=("store"),(INDEX(B1:XFD1,((A3)+(1))+(1)))=("F"),"false"),B3,F354),F354))</f>
        <v>#VALUE!</v>
      </c>
      <c r="G354" t="e">
        <f ca="1">IF((A1)=(2),"",IF((350)=(G4),IF(IF((INDEX(B1:XFD1,((A3)+(1))+(0)))=("store"),(INDEX(B1:XFD1,((A3)+(1))+(1)))=("G"),"false"),B3,G354),G354))</f>
        <v>#VALUE!</v>
      </c>
      <c r="H354" t="e">
        <f ca="1">IF((A1)=(2),"",IF((350)=(H4),IF(IF((INDEX(B1:XFD1,((A3)+(1))+(0)))=("store"),(INDEX(B1:XFD1,((A3)+(1))+(1)))=("H"),"false"),B3,H354),H354))</f>
        <v>#VALUE!</v>
      </c>
      <c r="I354" t="e">
        <f ca="1">IF((A1)=(2),"",IF((350)=(I4),IF(IF((INDEX(B1:XFD1,((A3)+(1))+(0)))=("store"),(INDEX(B1:XFD1,((A3)+(1))+(1)))=("I"),"false"),B3,I354),I354))</f>
        <v>#VALUE!</v>
      </c>
      <c r="J354" t="e">
        <f ca="1">IF((A1)=(2),"",IF((350)=(J4),IF(IF((INDEX(B1:XFD1,((A3)+(1))+(0)))=("store"),(INDEX(B1:XFD1,((A3)+(1))+(1)))=("J"),"false"),B3,J354),J354))</f>
        <v>#VALUE!</v>
      </c>
      <c r="K354" t="e">
        <f ca="1">IF((A1)=(2),"",IF((350)=(K4),IF(IF((INDEX(B1:XFD1,((A3)+(1))+(0)))=("store"),(INDEX(B1:XFD1,((A3)+(1))+(1)))=("K"),"false"),B3,K354),K354))</f>
        <v>#VALUE!</v>
      </c>
      <c r="L354" t="e">
        <f ca="1">IF((A1)=(2),"",IF((350)=(L4),IF(IF((INDEX(B1:XFD1,((A3)+(1))+(0)))=("store"),(INDEX(B1:XFD1,((A3)+(1))+(1)))=("L"),"false"),B3,L354),L354))</f>
        <v>#VALUE!</v>
      </c>
      <c r="M354" t="e">
        <f ca="1">IF((A1)=(2),"",IF((350)=(M4),IF(IF((INDEX(B1:XFD1,((A3)+(1))+(0)))=("store"),(INDEX(B1:XFD1,((A3)+(1))+(1)))=("M"),"false"),B3,M354),M354))</f>
        <v>#VALUE!</v>
      </c>
      <c r="N354" t="e">
        <f ca="1">IF((A1)=(2),"",IF((350)=(N4),IF(IF((INDEX(B1:XFD1,((A3)+(1))+(0)))=("store"),(INDEX(B1:XFD1,((A3)+(1))+(1)))=("N"),"false"),B3,N354),N354))</f>
        <v>#VALUE!</v>
      </c>
      <c r="O354" t="e">
        <f ca="1">IF((A1)=(2),"",IF((350)=(O4),IF(IF((INDEX(B1:XFD1,((A3)+(1))+(0)))=("store"),(INDEX(B1:XFD1,((A3)+(1))+(1)))=("O"),"false"),B3,O354),O354))</f>
        <v>#VALUE!</v>
      </c>
      <c r="P354" t="e">
        <f ca="1">IF((A1)=(2),"",IF((350)=(P4),IF(IF((INDEX(B1:XFD1,((A3)+(1))+(0)))=("store"),(INDEX(B1:XFD1,((A3)+(1))+(1)))=("P"),"false"),B3,P354),P354))</f>
        <v>#VALUE!</v>
      </c>
      <c r="Q354" t="e">
        <f ca="1">IF((A1)=(2),"",IF((350)=(Q4),IF(IF((INDEX(B1:XFD1,((A3)+(1))+(0)))=("store"),(INDEX(B1:XFD1,((A3)+(1))+(1)))=("Q"),"false"),B3,Q354),Q354))</f>
        <v>#VALUE!</v>
      </c>
      <c r="R354" t="e">
        <f ca="1">IF((A1)=(2),"",IF((350)=(R4),IF(IF((INDEX(B1:XFD1,((A3)+(1))+(0)))=("store"),(INDEX(B1:XFD1,((A3)+(1))+(1)))=("R"),"false"),B3,R354),R354))</f>
        <v>#VALUE!</v>
      </c>
      <c r="S354" t="e">
        <f ca="1">IF((A1)=(2),"",IF((350)=(S4),IF(IF((INDEX(B1:XFD1,((A3)+(1))+(0)))=("store"),(INDEX(B1:XFD1,((A3)+(1))+(1)))=("S"),"false"),B3,S354),S354))</f>
        <v>#VALUE!</v>
      </c>
      <c r="T354" t="e">
        <f ca="1">IF((A1)=(2),"",IF((350)=(T4),IF(IF((INDEX(B1:XFD1,((A3)+(1))+(0)))=("store"),(INDEX(B1:XFD1,((A3)+(1))+(1)))=("T"),"false"),B3,T354),T354))</f>
        <v>#VALUE!</v>
      </c>
      <c r="U354" t="e">
        <f ca="1">IF((A1)=(2),"",IF((350)=(U4),IF(IF((INDEX(B1:XFD1,((A3)+(1))+(0)))=("store"),(INDEX(B1:XFD1,((A3)+(1))+(1)))=("U"),"false"),B3,U354),U354))</f>
        <v>#VALUE!</v>
      </c>
      <c r="V354" t="e">
        <f ca="1">IF((A1)=(2),"",IF((350)=(V4),IF(IF((INDEX(B1:XFD1,((A3)+(1))+(0)))=("store"),(INDEX(B1:XFD1,((A3)+(1))+(1)))=("V"),"false"),B3,V354),V354))</f>
        <v>#VALUE!</v>
      </c>
      <c r="W354" t="e">
        <f ca="1">IF((A1)=(2),"",IF((350)=(W4),IF(IF((INDEX(B1:XFD1,((A3)+(1))+(0)))=("store"),(INDEX(B1:XFD1,((A3)+(1))+(1)))=("W"),"false"),B3,W354),W354))</f>
        <v>#VALUE!</v>
      </c>
      <c r="X354" t="e">
        <f ca="1">IF((A1)=(2),"",IF((350)=(X4),IF(IF((INDEX(B1:XFD1,((A3)+(1))+(0)))=("store"),(INDEX(B1:XFD1,((A3)+(1))+(1)))=("X"),"false"),B3,X354),X354))</f>
        <v>#VALUE!</v>
      </c>
      <c r="Y354" t="e">
        <f ca="1">IF((A1)=(2),"",IF((350)=(Y4),IF(IF((INDEX(B1:XFD1,((A3)+(1))+(0)))=("store"),(INDEX(B1:XFD1,((A3)+(1))+(1)))=("Y"),"false"),B3,Y354),Y354))</f>
        <v>#VALUE!</v>
      </c>
      <c r="Z354" t="e">
        <f ca="1">IF((A1)=(2),"",IF((350)=(Z4),IF(IF((INDEX(B1:XFD1,((A3)+(1))+(0)))=("store"),(INDEX(B1:XFD1,((A3)+(1))+(1)))=("Z"),"false"),B3,Z354),Z354))</f>
        <v>#VALUE!</v>
      </c>
      <c r="AA354" t="e">
        <f ca="1">IF((A1)=(2),"",IF((350)=(AA4),IF(IF((INDEX(B1:XFD1,((A3)+(1))+(0)))=("store"),(INDEX(B1:XFD1,((A3)+(1))+(1)))=("AA"),"false"),B3,AA354),AA354))</f>
        <v>#VALUE!</v>
      </c>
      <c r="AB354" t="e">
        <f ca="1">IF((A1)=(2),"",IF((350)=(AB4),IF(IF((INDEX(B1:XFD1,((A3)+(1))+(0)))=("store"),(INDEX(B1:XFD1,((A3)+(1))+(1)))=("AB"),"false"),B3,AB354),AB354))</f>
        <v>#VALUE!</v>
      </c>
      <c r="AC354" t="e">
        <f ca="1">IF((A1)=(2),"",IF((350)=(AC4),IF(IF((INDEX(B1:XFD1,((A3)+(1))+(0)))=("store"),(INDEX(B1:XFD1,((A3)+(1))+(1)))=("AC"),"false"),B3,AC354),AC354))</f>
        <v>#VALUE!</v>
      </c>
      <c r="AD354" t="e">
        <f ca="1">IF((A1)=(2),"",IF((350)=(AD4),IF(IF((INDEX(B1:XFD1,((A3)+(1))+(0)))=("store"),(INDEX(B1:XFD1,((A3)+(1))+(1)))=("AD"),"false"),B3,AD354),AD354))</f>
        <v>#VALUE!</v>
      </c>
    </row>
    <row r="355" spans="1:30" x14ac:dyDescent="0.25">
      <c r="A355" t="e">
        <f ca="1">IF((A1)=(2),"",IF((351)=(A4),IF(("call")=(INDEX(B1:XFD1,((A3)+(1))+(0))),(B3)*(2),IF(("goto")=(INDEX(B1:XFD1,((A3)+(1))+(0))),(INDEX(B1:XFD1,((A3)+(1))+(1)))*(2),IF(("gotoiftrue")=(INDEX(B1:XFD1,((A3)+(1))+(0))),IF(B3,(INDEX(B1:XFD1,((A3)+(1))+(1)))*(2),(A355)+(2)),(A355)+(2)))),A355))</f>
        <v>#VALUE!</v>
      </c>
      <c r="B355" t="e">
        <f ca="1">IF((A1)=(2),"",IF((351)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355)+(1)),IF(("add")=(INDEX(B1:XFD1,((A3)+(1))+(0))),(INDEX(B5:B405,(B4)+(1)))+(B355),IF(("equals")=(INDEX(B1:XFD1,((A3)+(1))+(0))),(INDEX(B5:B405,(B4)+(1)))=(B355),IF(("leq")=(INDEX(B1:XFD1,((A3)+(1))+(0))),(INDEX(B5:B405,(B4)+(1)))&lt;=(B355),IF(("greater")=(INDEX(B1:XFD1,((A3)+(1))+(0))),(INDEX(B5:B405,(B4)+(1)))&gt;(B355),IF(("mod")=(INDEX(B1:XFD1,((A3)+(1))+(0))),MOD(INDEX(B5:B405,(B4)+(1)),B355),B355))))))))),B355))</f>
        <v>#VALUE!</v>
      </c>
      <c r="C355" t="e">
        <f ca="1">IF((A1)=(2),1,IF(AND((INDEX(B1:XFD1,((A3)+(1))+(0)))=("writeheap"),(INDEX(B5:B405,(B4)+(1)))=(350)),INDEX(B5:B405,(B4)+(2)),IF((A1)=(2),"",IF((351)=(C4),C355,C355))))</f>
        <v>#VALUE!</v>
      </c>
      <c r="F355" t="e">
        <f ca="1">IF((A1)=(2),"",IF((351)=(F4),IF(IF((INDEX(B1:XFD1,((A3)+(1))+(0)))=("store"),(INDEX(B1:XFD1,((A3)+(1))+(1)))=("F"),"false"),B3,F355),F355))</f>
        <v>#VALUE!</v>
      </c>
      <c r="G355" t="e">
        <f ca="1">IF((A1)=(2),"",IF((351)=(G4),IF(IF((INDEX(B1:XFD1,((A3)+(1))+(0)))=("store"),(INDEX(B1:XFD1,((A3)+(1))+(1)))=("G"),"false"),B3,G355),G355))</f>
        <v>#VALUE!</v>
      </c>
      <c r="H355" t="e">
        <f ca="1">IF((A1)=(2),"",IF((351)=(H4),IF(IF((INDEX(B1:XFD1,((A3)+(1))+(0)))=("store"),(INDEX(B1:XFD1,((A3)+(1))+(1)))=("H"),"false"),B3,H355),H355))</f>
        <v>#VALUE!</v>
      </c>
      <c r="I355" t="e">
        <f ca="1">IF((A1)=(2),"",IF((351)=(I4),IF(IF((INDEX(B1:XFD1,((A3)+(1))+(0)))=("store"),(INDEX(B1:XFD1,((A3)+(1))+(1)))=("I"),"false"),B3,I355),I355))</f>
        <v>#VALUE!</v>
      </c>
      <c r="J355" t="e">
        <f ca="1">IF((A1)=(2),"",IF((351)=(J4),IF(IF((INDEX(B1:XFD1,((A3)+(1))+(0)))=("store"),(INDEX(B1:XFD1,((A3)+(1))+(1)))=("J"),"false"),B3,J355),J355))</f>
        <v>#VALUE!</v>
      </c>
      <c r="K355" t="e">
        <f ca="1">IF((A1)=(2),"",IF((351)=(K4),IF(IF((INDEX(B1:XFD1,((A3)+(1))+(0)))=("store"),(INDEX(B1:XFD1,((A3)+(1))+(1)))=("K"),"false"),B3,K355),K355))</f>
        <v>#VALUE!</v>
      </c>
      <c r="L355" t="e">
        <f ca="1">IF((A1)=(2),"",IF((351)=(L4),IF(IF((INDEX(B1:XFD1,((A3)+(1))+(0)))=("store"),(INDEX(B1:XFD1,((A3)+(1))+(1)))=("L"),"false"),B3,L355),L355))</f>
        <v>#VALUE!</v>
      </c>
      <c r="M355" t="e">
        <f ca="1">IF((A1)=(2),"",IF((351)=(M4),IF(IF((INDEX(B1:XFD1,((A3)+(1))+(0)))=("store"),(INDEX(B1:XFD1,((A3)+(1))+(1)))=("M"),"false"),B3,M355),M355))</f>
        <v>#VALUE!</v>
      </c>
      <c r="N355" t="e">
        <f ca="1">IF((A1)=(2),"",IF((351)=(N4),IF(IF((INDEX(B1:XFD1,((A3)+(1))+(0)))=("store"),(INDEX(B1:XFD1,((A3)+(1))+(1)))=("N"),"false"),B3,N355),N355))</f>
        <v>#VALUE!</v>
      </c>
      <c r="O355" t="e">
        <f ca="1">IF((A1)=(2),"",IF((351)=(O4),IF(IF((INDEX(B1:XFD1,((A3)+(1))+(0)))=("store"),(INDEX(B1:XFD1,((A3)+(1))+(1)))=("O"),"false"),B3,O355),O355))</f>
        <v>#VALUE!</v>
      </c>
      <c r="P355" t="e">
        <f ca="1">IF((A1)=(2),"",IF((351)=(P4),IF(IF((INDEX(B1:XFD1,((A3)+(1))+(0)))=("store"),(INDEX(B1:XFD1,((A3)+(1))+(1)))=("P"),"false"),B3,P355),P355))</f>
        <v>#VALUE!</v>
      </c>
      <c r="Q355" t="e">
        <f ca="1">IF((A1)=(2),"",IF((351)=(Q4),IF(IF((INDEX(B1:XFD1,((A3)+(1))+(0)))=("store"),(INDEX(B1:XFD1,((A3)+(1))+(1)))=("Q"),"false"),B3,Q355),Q355))</f>
        <v>#VALUE!</v>
      </c>
      <c r="R355" t="e">
        <f ca="1">IF((A1)=(2),"",IF((351)=(R4),IF(IF((INDEX(B1:XFD1,((A3)+(1))+(0)))=("store"),(INDEX(B1:XFD1,((A3)+(1))+(1)))=("R"),"false"),B3,R355),R355))</f>
        <v>#VALUE!</v>
      </c>
      <c r="S355" t="e">
        <f ca="1">IF((A1)=(2),"",IF((351)=(S4),IF(IF((INDEX(B1:XFD1,((A3)+(1))+(0)))=("store"),(INDEX(B1:XFD1,((A3)+(1))+(1)))=("S"),"false"),B3,S355),S355))</f>
        <v>#VALUE!</v>
      </c>
      <c r="T355" t="e">
        <f ca="1">IF((A1)=(2),"",IF((351)=(T4),IF(IF((INDEX(B1:XFD1,((A3)+(1))+(0)))=("store"),(INDEX(B1:XFD1,((A3)+(1))+(1)))=("T"),"false"),B3,T355),T355))</f>
        <v>#VALUE!</v>
      </c>
      <c r="U355" t="e">
        <f ca="1">IF((A1)=(2),"",IF((351)=(U4),IF(IF((INDEX(B1:XFD1,((A3)+(1))+(0)))=("store"),(INDEX(B1:XFD1,((A3)+(1))+(1)))=("U"),"false"),B3,U355),U355))</f>
        <v>#VALUE!</v>
      </c>
      <c r="V355" t="e">
        <f ca="1">IF((A1)=(2),"",IF((351)=(V4),IF(IF((INDEX(B1:XFD1,((A3)+(1))+(0)))=("store"),(INDEX(B1:XFD1,((A3)+(1))+(1)))=("V"),"false"),B3,V355),V355))</f>
        <v>#VALUE!</v>
      </c>
      <c r="W355" t="e">
        <f ca="1">IF((A1)=(2),"",IF((351)=(W4),IF(IF((INDEX(B1:XFD1,((A3)+(1))+(0)))=("store"),(INDEX(B1:XFD1,((A3)+(1))+(1)))=("W"),"false"),B3,W355),W355))</f>
        <v>#VALUE!</v>
      </c>
      <c r="X355" t="e">
        <f ca="1">IF((A1)=(2),"",IF((351)=(X4),IF(IF((INDEX(B1:XFD1,((A3)+(1))+(0)))=("store"),(INDEX(B1:XFD1,((A3)+(1))+(1)))=("X"),"false"),B3,X355),X355))</f>
        <v>#VALUE!</v>
      </c>
      <c r="Y355" t="e">
        <f ca="1">IF((A1)=(2),"",IF((351)=(Y4),IF(IF((INDEX(B1:XFD1,((A3)+(1))+(0)))=("store"),(INDEX(B1:XFD1,((A3)+(1))+(1)))=("Y"),"false"),B3,Y355),Y355))</f>
        <v>#VALUE!</v>
      </c>
      <c r="Z355" t="e">
        <f ca="1">IF((A1)=(2),"",IF((351)=(Z4),IF(IF((INDEX(B1:XFD1,((A3)+(1))+(0)))=("store"),(INDEX(B1:XFD1,((A3)+(1))+(1)))=("Z"),"false"),B3,Z355),Z355))</f>
        <v>#VALUE!</v>
      </c>
      <c r="AA355" t="e">
        <f ca="1">IF((A1)=(2),"",IF((351)=(AA4),IF(IF((INDEX(B1:XFD1,((A3)+(1))+(0)))=("store"),(INDEX(B1:XFD1,((A3)+(1))+(1)))=("AA"),"false"),B3,AA355),AA355))</f>
        <v>#VALUE!</v>
      </c>
      <c r="AB355" t="e">
        <f ca="1">IF((A1)=(2),"",IF((351)=(AB4),IF(IF((INDEX(B1:XFD1,((A3)+(1))+(0)))=("store"),(INDEX(B1:XFD1,((A3)+(1))+(1)))=("AB"),"false"),B3,AB355),AB355))</f>
        <v>#VALUE!</v>
      </c>
      <c r="AC355" t="e">
        <f ca="1">IF((A1)=(2),"",IF((351)=(AC4),IF(IF((INDEX(B1:XFD1,((A3)+(1))+(0)))=("store"),(INDEX(B1:XFD1,((A3)+(1))+(1)))=("AC"),"false"),B3,AC355),AC355))</f>
        <v>#VALUE!</v>
      </c>
      <c r="AD355" t="e">
        <f ca="1">IF((A1)=(2),"",IF((351)=(AD4),IF(IF((INDEX(B1:XFD1,((A3)+(1))+(0)))=("store"),(INDEX(B1:XFD1,((A3)+(1))+(1)))=("AD"),"false"),B3,AD355),AD355))</f>
        <v>#VALUE!</v>
      </c>
    </row>
    <row r="356" spans="1:30" x14ac:dyDescent="0.25">
      <c r="A356" t="e">
        <f ca="1">IF((A1)=(2),"",IF((352)=(A4),IF(("call")=(INDEX(B1:XFD1,((A3)+(1))+(0))),(B3)*(2),IF(("goto")=(INDEX(B1:XFD1,((A3)+(1))+(0))),(INDEX(B1:XFD1,((A3)+(1))+(1)))*(2),IF(("gotoiftrue")=(INDEX(B1:XFD1,((A3)+(1))+(0))),IF(B3,(INDEX(B1:XFD1,((A3)+(1))+(1)))*(2),(A356)+(2)),(A356)+(2)))),A356))</f>
        <v>#VALUE!</v>
      </c>
      <c r="B356" t="e">
        <f ca="1">IF((A1)=(2),"",IF((352)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356)+(1)),IF(("add")=(INDEX(B1:XFD1,((A3)+(1))+(0))),(INDEX(B5:B405,(B4)+(1)))+(B356),IF(("equals")=(INDEX(B1:XFD1,((A3)+(1))+(0))),(INDEX(B5:B405,(B4)+(1)))=(B356),IF(("leq")=(INDEX(B1:XFD1,((A3)+(1))+(0))),(INDEX(B5:B405,(B4)+(1)))&lt;=(B356),IF(("greater")=(INDEX(B1:XFD1,((A3)+(1))+(0))),(INDEX(B5:B405,(B4)+(1)))&gt;(B356),IF(("mod")=(INDEX(B1:XFD1,((A3)+(1))+(0))),MOD(INDEX(B5:B405,(B4)+(1)),B356),B356))))))))),B356))</f>
        <v>#VALUE!</v>
      </c>
      <c r="C356" t="e">
        <f ca="1">IF((A1)=(2),1,IF(AND((INDEX(B1:XFD1,((A3)+(1))+(0)))=("writeheap"),(INDEX(B5:B405,(B4)+(1)))=(351)),INDEX(B5:B405,(B4)+(2)),IF((A1)=(2),"",IF((352)=(C4),C356,C356))))</f>
        <v>#VALUE!</v>
      </c>
      <c r="F356" t="e">
        <f ca="1">IF((A1)=(2),"",IF((352)=(F4),IF(IF((INDEX(B1:XFD1,((A3)+(1))+(0)))=("store"),(INDEX(B1:XFD1,((A3)+(1))+(1)))=("F"),"false"),B3,F356),F356))</f>
        <v>#VALUE!</v>
      </c>
      <c r="G356" t="e">
        <f ca="1">IF((A1)=(2),"",IF((352)=(G4),IF(IF((INDEX(B1:XFD1,((A3)+(1))+(0)))=("store"),(INDEX(B1:XFD1,((A3)+(1))+(1)))=("G"),"false"),B3,G356),G356))</f>
        <v>#VALUE!</v>
      </c>
      <c r="H356" t="e">
        <f ca="1">IF((A1)=(2),"",IF((352)=(H4),IF(IF((INDEX(B1:XFD1,((A3)+(1))+(0)))=("store"),(INDEX(B1:XFD1,((A3)+(1))+(1)))=("H"),"false"),B3,H356),H356))</f>
        <v>#VALUE!</v>
      </c>
      <c r="I356" t="e">
        <f ca="1">IF((A1)=(2),"",IF((352)=(I4),IF(IF((INDEX(B1:XFD1,((A3)+(1))+(0)))=("store"),(INDEX(B1:XFD1,((A3)+(1))+(1)))=("I"),"false"),B3,I356),I356))</f>
        <v>#VALUE!</v>
      </c>
      <c r="J356" t="e">
        <f ca="1">IF((A1)=(2),"",IF((352)=(J4),IF(IF((INDEX(B1:XFD1,((A3)+(1))+(0)))=("store"),(INDEX(B1:XFD1,((A3)+(1))+(1)))=("J"),"false"),B3,J356),J356))</f>
        <v>#VALUE!</v>
      </c>
      <c r="K356" t="e">
        <f ca="1">IF((A1)=(2),"",IF((352)=(K4),IF(IF((INDEX(B1:XFD1,((A3)+(1))+(0)))=("store"),(INDEX(B1:XFD1,((A3)+(1))+(1)))=("K"),"false"),B3,K356),K356))</f>
        <v>#VALUE!</v>
      </c>
      <c r="L356" t="e">
        <f ca="1">IF((A1)=(2),"",IF((352)=(L4),IF(IF((INDEX(B1:XFD1,((A3)+(1))+(0)))=("store"),(INDEX(B1:XFD1,((A3)+(1))+(1)))=("L"),"false"),B3,L356),L356))</f>
        <v>#VALUE!</v>
      </c>
      <c r="M356" t="e">
        <f ca="1">IF((A1)=(2),"",IF((352)=(M4),IF(IF((INDEX(B1:XFD1,((A3)+(1))+(0)))=("store"),(INDEX(B1:XFD1,((A3)+(1))+(1)))=("M"),"false"),B3,M356),M356))</f>
        <v>#VALUE!</v>
      </c>
      <c r="N356" t="e">
        <f ca="1">IF((A1)=(2),"",IF((352)=(N4),IF(IF((INDEX(B1:XFD1,((A3)+(1))+(0)))=("store"),(INDEX(B1:XFD1,((A3)+(1))+(1)))=("N"),"false"),B3,N356),N356))</f>
        <v>#VALUE!</v>
      </c>
      <c r="O356" t="e">
        <f ca="1">IF((A1)=(2),"",IF((352)=(O4),IF(IF((INDEX(B1:XFD1,((A3)+(1))+(0)))=("store"),(INDEX(B1:XFD1,((A3)+(1))+(1)))=("O"),"false"),B3,O356),O356))</f>
        <v>#VALUE!</v>
      </c>
      <c r="P356" t="e">
        <f ca="1">IF((A1)=(2),"",IF((352)=(P4),IF(IF((INDEX(B1:XFD1,((A3)+(1))+(0)))=("store"),(INDEX(B1:XFD1,((A3)+(1))+(1)))=("P"),"false"),B3,P356),P356))</f>
        <v>#VALUE!</v>
      </c>
      <c r="Q356" t="e">
        <f ca="1">IF((A1)=(2),"",IF((352)=(Q4),IF(IF((INDEX(B1:XFD1,((A3)+(1))+(0)))=("store"),(INDEX(B1:XFD1,((A3)+(1))+(1)))=("Q"),"false"),B3,Q356),Q356))</f>
        <v>#VALUE!</v>
      </c>
      <c r="R356" t="e">
        <f ca="1">IF((A1)=(2),"",IF((352)=(R4),IF(IF((INDEX(B1:XFD1,((A3)+(1))+(0)))=("store"),(INDEX(B1:XFD1,((A3)+(1))+(1)))=("R"),"false"),B3,R356),R356))</f>
        <v>#VALUE!</v>
      </c>
      <c r="S356" t="e">
        <f ca="1">IF((A1)=(2),"",IF((352)=(S4),IF(IF((INDEX(B1:XFD1,((A3)+(1))+(0)))=("store"),(INDEX(B1:XFD1,((A3)+(1))+(1)))=("S"),"false"),B3,S356),S356))</f>
        <v>#VALUE!</v>
      </c>
      <c r="T356" t="e">
        <f ca="1">IF((A1)=(2),"",IF((352)=(T4),IF(IF((INDEX(B1:XFD1,((A3)+(1))+(0)))=("store"),(INDEX(B1:XFD1,((A3)+(1))+(1)))=("T"),"false"),B3,T356),T356))</f>
        <v>#VALUE!</v>
      </c>
      <c r="U356" t="e">
        <f ca="1">IF((A1)=(2),"",IF((352)=(U4),IF(IF((INDEX(B1:XFD1,((A3)+(1))+(0)))=("store"),(INDEX(B1:XFD1,((A3)+(1))+(1)))=("U"),"false"),B3,U356),U356))</f>
        <v>#VALUE!</v>
      </c>
      <c r="V356" t="e">
        <f ca="1">IF((A1)=(2),"",IF((352)=(V4),IF(IF((INDEX(B1:XFD1,((A3)+(1))+(0)))=("store"),(INDEX(B1:XFD1,((A3)+(1))+(1)))=("V"),"false"),B3,V356),V356))</f>
        <v>#VALUE!</v>
      </c>
      <c r="W356" t="e">
        <f ca="1">IF((A1)=(2),"",IF((352)=(W4),IF(IF((INDEX(B1:XFD1,((A3)+(1))+(0)))=("store"),(INDEX(B1:XFD1,((A3)+(1))+(1)))=("W"),"false"),B3,W356),W356))</f>
        <v>#VALUE!</v>
      </c>
      <c r="X356" t="e">
        <f ca="1">IF((A1)=(2),"",IF((352)=(X4),IF(IF((INDEX(B1:XFD1,((A3)+(1))+(0)))=("store"),(INDEX(B1:XFD1,((A3)+(1))+(1)))=("X"),"false"),B3,X356),X356))</f>
        <v>#VALUE!</v>
      </c>
      <c r="Y356" t="e">
        <f ca="1">IF((A1)=(2),"",IF((352)=(Y4),IF(IF((INDEX(B1:XFD1,((A3)+(1))+(0)))=("store"),(INDEX(B1:XFD1,((A3)+(1))+(1)))=("Y"),"false"),B3,Y356),Y356))</f>
        <v>#VALUE!</v>
      </c>
      <c r="Z356" t="e">
        <f ca="1">IF((A1)=(2),"",IF((352)=(Z4),IF(IF((INDEX(B1:XFD1,((A3)+(1))+(0)))=("store"),(INDEX(B1:XFD1,((A3)+(1))+(1)))=("Z"),"false"),B3,Z356),Z356))</f>
        <v>#VALUE!</v>
      </c>
      <c r="AA356" t="e">
        <f ca="1">IF((A1)=(2),"",IF((352)=(AA4),IF(IF((INDEX(B1:XFD1,((A3)+(1))+(0)))=("store"),(INDEX(B1:XFD1,((A3)+(1))+(1)))=("AA"),"false"),B3,AA356),AA356))</f>
        <v>#VALUE!</v>
      </c>
      <c r="AB356" t="e">
        <f ca="1">IF((A1)=(2),"",IF((352)=(AB4),IF(IF((INDEX(B1:XFD1,((A3)+(1))+(0)))=("store"),(INDEX(B1:XFD1,((A3)+(1))+(1)))=("AB"),"false"),B3,AB356),AB356))</f>
        <v>#VALUE!</v>
      </c>
      <c r="AC356" t="e">
        <f ca="1">IF((A1)=(2),"",IF((352)=(AC4),IF(IF((INDEX(B1:XFD1,((A3)+(1))+(0)))=("store"),(INDEX(B1:XFD1,((A3)+(1))+(1)))=("AC"),"false"),B3,AC356),AC356))</f>
        <v>#VALUE!</v>
      </c>
      <c r="AD356" t="e">
        <f ca="1">IF((A1)=(2),"",IF((352)=(AD4),IF(IF((INDEX(B1:XFD1,((A3)+(1))+(0)))=("store"),(INDEX(B1:XFD1,((A3)+(1))+(1)))=("AD"),"false"),B3,AD356),AD356))</f>
        <v>#VALUE!</v>
      </c>
    </row>
    <row r="357" spans="1:30" x14ac:dyDescent="0.25">
      <c r="A357" t="e">
        <f ca="1">IF((A1)=(2),"",IF((353)=(A4),IF(("call")=(INDEX(B1:XFD1,((A3)+(1))+(0))),(B3)*(2),IF(("goto")=(INDEX(B1:XFD1,((A3)+(1))+(0))),(INDEX(B1:XFD1,((A3)+(1))+(1)))*(2),IF(("gotoiftrue")=(INDEX(B1:XFD1,((A3)+(1))+(0))),IF(B3,(INDEX(B1:XFD1,((A3)+(1))+(1)))*(2),(A357)+(2)),(A357)+(2)))),A357))</f>
        <v>#VALUE!</v>
      </c>
      <c r="B357" t="e">
        <f ca="1">IF((A1)=(2),"",IF((353)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357)+(1)),IF(("add")=(INDEX(B1:XFD1,((A3)+(1))+(0))),(INDEX(B5:B405,(B4)+(1)))+(B357),IF(("equals")=(INDEX(B1:XFD1,((A3)+(1))+(0))),(INDEX(B5:B405,(B4)+(1)))=(B357),IF(("leq")=(INDEX(B1:XFD1,((A3)+(1))+(0))),(INDEX(B5:B405,(B4)+(1)))&lt;=(B357),IF(("greater")=(INDEX(B1:XFD1,((A3)+(1))+(0))),(INDEX(B5:B405,(B4)+(1)))&gt;(B357),IF(("mod")=(INDEX(B1:XFD1,((A3)+(1))+(0))),MOD(INDEX(B5:B405,(B4)+(1)),B357),B357))))))))),B357))</f>
        <v>#VALUE!</v>
      </c>
      <c r="C357" t="e">
        <f ca="1">IF((A1)=(2),1,IF(AND((INDEX(B1:XFD1,((A3)+(1))+(0)))=("writeheap"),(INDEX(B5:B405,(B4)+(1)))=(352)),INDEX(B5:B405,(B4)+(2)),IF((A1)=(2),"",IF((353)=(C4),C357,C357))))</f>
        <v>#VALUE!</v>
      </c>
      <c r="F357" t="e">
        <f ca="1">IF((A1)=(2),"",IF((353)=(F4),IF(IF((INDEX(B1:XFD1,((A3)+(1))+(0)))=("store"),(INDEX(B1:XFD1,((A3)+(1))+(1)))=("F"),"false"),B3,F357),F357))</f>
        <v>#VALUE!</v>
      </c>
      <c r="G357" t="e">
        <f ca="1">IF((A1)=(2),"",IF((353)=(G4),IF(IF((INDEX(B1:XFD1,((A3)+(1))+(0)))=("store"),(INDEX(B1:XFD1,((A3)+(1))+(1)))=("G"),"false"),B3,G357),G357))</f>
        <v>#VALUE!</v>
      </c>
      <c r="H357" t="e">
        <f ca="1">IF((A1)=(2),"",IF((353)=(H4),IF(IF((INDEX(B1:XFD1,((A3)+(1))+(0)))=("store"),(INDEX(B1:XFD1,((A3)+(1))+(1)))=("H"),"false"),B3,H357),H357))</f>
        <v>#VALUE!</v>
      </c>
      <c r="I357" t="e">
        <f ca="1">IF((A1)=(2),"",IF((353)=(I4),IF(IF((INDEX(B1:XFD1,((A3)+(1))+(0)))=("store"),(INDEX(B1:XFD1,((A3)+(1))+(1)))=("I"),"false"),B3,I357),I357))</f>
        <v>#VALUE!</v>
      </c>
      <c r="J357" t="e">
        <f ca="1">IF((A1)=(2),"",IF((353)=(J4),IF(IF((INDEX(B1:XFD1,((A3)+(1))+(0)))=("store"),(INDEX(B1:XFD1,((A3)+(1))+(1)))=("J"),"false"),B3,J357),J357))</f>
        <v>#VALUE!</v>
      </c>
      <c r="K357" t="e">
        <f ca="1">IF((A1)=(2),"",IF((353)=(K4),IF(IF((INDEX(B1:XFD1,((A3)+(1))+(0)))=("store"),(INDEX(B1:XFD1,((A3)+(1))+(1)))=("K"),"false"),B3,K357),K357))</f>
        <v>#VALUE!</v>
      </c>
      <c r="L357" t="e">
        <f ca="1">IF((A1)=(2),"",IF((353)=(L4),IF(IF((INDEX(B1:XFD1,((A3)+(1))+(0)))=("store"),(INDEX(B1:XFD1,((A3)+(1))+(1)))=("L"),"false"),B3,L357),L357))</f>
        <v>#VALUE!</v>
      </c>
      <c r="M357" t="e">
        <f ca="1">IF((A1)=(2),"",IF((353)=(M4),IF(IF((INDEX(B1:XFD1,((A3)+(1))+(0)))=("store"),(INDEX(B1:XFD1,((A3)+(1))+(1)))=("M"),"false"),B3,M357),M357))</f>
        <v>#VALUE!</v>
      </c>
      <c r="N357" t="e">
        <f ca="1">IF((A1)=(2),"",IF((353)=(N4),IF(IF((INDEX(B1:XFD1,((A3)+(1))+(0)))=("store"),(INDEX(B1:XFD1,((A3)+(1))+(1)))=("N"),"false"),B3,N357),N357))</f>
        <v>#VALUE!</v>
      </c>
      <c r="O357" t="e">
        <f ca="1">IF((A1)=(2),"",IF((353)=(O4),IF(IF((INDEX(B1:XFD1,((A3)+(1))+(0)))=("store"),(INDEX(B1:XFD1,((A3)+(1))+(1)))=("O"),"false"),B3,O357),O357))</f>
        <v>#VALUE!</v>
      </c>
      <c r="P357" t="e">
        <f ca="1">IF((A1)=(2),"",IF((353)=(P4),IF(IF((INDEX(B1:XFD1,((A3)+(1))+(0)))=("store"),(INDEX(B1:XFD1,((A3)+(1))+(1)))=("P"),"false"),B3,P357),P357))</f>
        <v>#VALUE!</v>
      </c>
      <c r="Q357" t="e">
        <f ca="1">IF((A1)=(2),"",IF((353)=(Q4),IF(IF((INDEX(B1:XFD1,((A3)+(1))+(0)))=("store"),(INDEX(B1:XFD1,((A3)+(1))+(1)))=("Q"),"false"),B3,Q357),Q357))</f>
        <v>#VALUE!</v>
      </c>
      <c r="R357" t="e">
        <f ca="1">IF((A1)=(2),"",IF((353)=(R4),IF(IF((INDEX(B1:XFD1,((A3)+(1))+(0)))=("store"),(INDEX(B1:XFD1,((A3)+(1))+(1)))=("R"),"false"),B3,R357),R357))</f>
        <v>#VALUE!</v>
      </c>
      <c r="S357" t="e">
        <f ca="1">IF((A1)=(2),"",IF((353)=(S4),IF(IF((INDEX(B1:XFD1,((A3)+(1))+(0)))=("store"),(INDEX(B1:XFD1,((A3)+(1))+(1)))=("S"),"false"),B3,S357),S357))</f>
        <v>#VALUE!</v>
      </c>
      <c r="T357" t="e">
        <f ca="1">IF((A1)=(2),"",IF((353)=(T4),IF(IF((INDEX(B1:XFD1,((A3)+(1))+(0)))=("store"),(INDEX(B1:XFD1,((A3)+(1))+(1)))=("T"),"false"),B3,T357),T357))</f>
        <v>#VALUE!</v>
      </c>
      <c r="U357" t="e">
        <f ca="1">IF((A1)=(2),"",IF((353)=(U4),IF(IF((INDEX(B1:XFD1,((A3)+(1))+(0)))=("store"),(INDEX(B1:XFD1,((A3)+(1))+(1)))=("U"),"false"),B3,U357),U357))</f>
        <v>#VALUE!</v>
      </c>
      <c r="V357" t="e">
        <f ca="1">IF((A1)=(2),"",IF((353)=(V4),IF(IF((INDEX(B1:XFD1,((A3)+(1))+(0)))=("store"),(INDEX(B1:XFD1,((A3)+(1))+(1)))=("V"),"false"),B3,V357),V357))</f>
        <v>#VALUE!</v>
      </c>
      <c r="W357" t="e">
        <f ca="1">IF((A1)=(2),"",IF((353)=(W4),IF(IF((INDEX(B1:XFD1,((A3)+(1))+(0)))=("store"),(INDEX(B1:XFD1,((A3)+(1))+(1)))=("W"),"false"),B3,W357),W357))</f>
        <v>#VALUE!</v>
      </c>
      <c r="X357" t="e">
        <f ca="1">IF((A1)=(2),"",IF((353)=(X4),IF(IF((INDEX(B1:XFD1,((A3)+(1))+(0)))=("store"),(INDEX(B1:XFD1,((A3)+(1))+(1)))=("X"),"false"),B3,X357),X357))</f>
        <v>#VALUE!</v>
      </c>
      <c r="Y357" t="e">
        <f ca="1">IF((A1)=(2),"",IF((353)=(Y4),IF(IF((INDEX(B1:XFD1,((A3)+(1))+(0)))=("store"),(INDEX(B1:XFD1,((A3)+(1))+(1)))=("Y"),"false"),B3,Y357),Y357))</f>
        <v>#VALUE!</v>
      </c>
      <c r="Z357" t="e">
        <f ca="1">IF((A1)=(2),"",IF((353)=(Z4),IF(IF((INDEX(B1:XFD1,((A3)+(1))+(0)))=("store"),(INDEX(B1:XFD1,((A3)+(1))+(1)))=("Z"),"false"),B3,Z357),Z357))</f>
        <v>#VALUE!</v>
      </c>
      <c r="AA357" t="e">
        <f ca="1">IF((A1)=(2),"",IF((353)=(AA4),IF(IF((INDEX(B1:XFD1,((A3)+(1))+(0)))=("store"),(INDEX(B1:XFD1,((A3)+(1))+(1)))=("AA"),"false"),B3,AA357),AA357))</f>
        <v>#VALUE!</v>
      </c>
      <c r="AB357" t="e">
        <f ca="1">IF((A1)=(2),"",IF((353)=(AB4),IF(IF((INDEX(B1:XFD1,((A3)+(1))+(0)))=("store"),(INDEX(B1:XFD1,((A3)+(1))+(1)))=("AB"),"false"),B3,AB357),AB357))</f>
        <v>#VALUE!</v>
      </c>
      <c r="AC357" t="e">
        <f ca="1">IF((A1)=(2),"",IF((353)=(AC4),IF(IF((INDEX(B1:XFD1,((A3)+(1))+(0)))=("store"),(INDEX(B1:XFD1,((A3)+(1))+(1)))=("AC"),"false"),B3,AC357),AC357))</f>
        <v>#VALUE!</v>
      </c>
      <c r="AD357" t="e">
        <f ca="1">IF((A1)=(2),"",IF((353)=(AD4),IF(IF((INDEX(B1:XFD1,((A3)+(1))+(0)))=("store"),(INDEX(B1:XFD1,((A3)+(1))+(1)))=("AD"),"false"),B3,AD357),AD357))</f>
        <v>#VALUE!</v>
      </c>
    </row>
    <row r="358" spans="1:30" x14ac:dyDescent="0.25">
      <c r="A358" t="e">
        <f ca="1">IF((A1)=(2),"",IF((354)=(A4),IF(("call")=(INDEX(B1:XFD1,((A3)+(1))+(0))),(B3)*(2),IF(("goto")=(INDEX(B1:XFD1,((A3)+(1))+(0))),(INDEX(B1:XFD1,((A3)+(1))+(1)))*(2),IF(("gotoiftrue")=(INDEX(B1:XFD1,((A3)+(1))+(0))),IF(B3,(INDEX(B1:XFD1,((A3)+(1))+(1)))*(2),(A358)+(2)),(A358)+(2)))),A358))</f>
        <v>#VALUE!</v>
      </c>
      <c r="B358" t="e">
        <f ca="1">IF((A1)=(2),"",IF((354)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358)+(1)),IF(("add")=(INDEX(B1:XFD1,((A3)+(1))+(0))),(INDEX(B5:B405,(B4)+(1)))+(B358),IF(("equals")=(INDEX(B1:XFD1,((A3)+(1))+(0))),(INDEX(B5:B405,(B4)+(1)))=(B358),IF(("leq")=(INDEX(B1:XFD1,((A3)+(1))+(0))),(INDEX(B5:B405,(B4)+(1)))&lt;=(B358),IF(("greater")=(INDEX(B1:XFD1,((A3)+(1))+(0))),(INDEX(B5:B405,(B4)+(1)))&gt;(B358),IF(("mod")=(INDEX(B1:XFD1,((A3)+(1))+(0))),MOD(INDEX(B5:B405,(B4)+(1)),B358),B358))))))))),B358))</f>
        <v>#VALUE!</v>
      </c>
      <c r="C358" t="e">
        <f ca="1">IF((A1)=(2),1,IF(AND((INDEX(B1:XFD1,((A3)+(1))+(0)))=("writeheap"),(INDEX(B5:B405,(B4)+(1)))=(353)),INDEX(B5:B405,(B4)+(2)),IF((A1)=(2),"",IF((354)=(C4),C358,C358))))</f>
        <v>#VALUE!</v>
      </c>
      <c r="F358" t="e">
        <f ca="1">IF((A1)=(2),"",IF((354)=(F4),IF(IF((INDEX(B1:XFD1,((A3)+(1))+(0)))=("store"),(INDEX(B1:XFD1,((A3)+(1))+(1)))=("F"),"false"),B3,F358),F358))</f>
        <v>#VALUE!</v>
      </c>
      <c r="G358" t="e">
        <f ca="1">IF((A1)=(2),"",IF((354)=(G4),IF(IF((INDEX(B1:XFD1,((A3)+(1))+(0)))=("store"),(INDEX(B1:XFD1,((A3)+(1))+(1)))=("G"),"false"),B3,G358),G358))</f>
        <v>#VALUE!</v>
      </c>
      <c r="H358" t="e">
        <f ca="1">IF((A1)=(2),"",IF((354)=(H4),IF(IF((INDEX(B1:XFD1,((A3)+(1))+(0)))=("store"),(INDEX(B1:XFD1,((A3)+(1))+(1)))=("H"),"false"),B3,H358),H358))</f>
        <v>#VALUE!</v>
      </c>
      <c r="I358" t="e">
        <f ca="1">IF((A1)=(2),"",IF((354)=(I4),IF(IF((INDEX(B1:XFD1,((A3)+(1))+(0)))=("store"),(INDEX(B1:XFD1,((A3)+(1))+(1)))=("I"),"false"),B3,I358),I358))</f>
        <v>#VALUE!</v>
      </c>
      <c r="J358" t="e">
        <f ca="1">IF((A1)=(2),"",IF((354)=(J4),IF(IF((INDEX(B1:XFD1,((A3)+(1))+(0)))=("store"),(INDEX(B1:XFD1,((A3)+(1))+(1)))=("J"),"false"),B3,J358),J358))</f>
        <v>#VALUE!</v>
      </c>
      <c r="K358" t="e">
        <f ca="1">IF((A1)=(2),"",IF((354)=(K4),IF(IF((INDEX(B1:XFD1,((A3)+(1))+(0)))=("store"),(INDEX(B1:XFD1,((A3)+(1))+(1)))=("K"),"false"),B3,K358),K358))</f>
        <v>#VALUE!</v>
      </c>
      <c r="L358" t="e">
        <f ca="1">IF((A1)=(2),"",IF((354)=(L4),IF(IF((INDEX(B1:XFD1,((A3)+(1))+(0)))=("store"),(INDEX(B1:XFD1,((A3)+(1))+(1)))=("L"),"false"),B3,L358),L358))</f>
        <v>#VALUE!</v>
      </c>
      <c r="M358" t="e">
        <f ca="1">IF((A1)=(2),"",IF((354)=(M4),IF(IF((INDEX(B1:XFD1,((A3)+(1))+(0)))=("store"),(INDEX(B1:XFD1,((A3)+(1))+(1)))=("M"),"false"),B3,M358),M358))</f>
        <v>#VALUE!</v>
      </c>
      <c r="N358" t="e">
        <f ca="1">IF((A1)=(2),"",IF((354)=(N4),IF(IF((INDEX(B1:XFD1,((A3)+(1))+(0)))=("store"),(INDEX(B1:XFD1,((A3)+(1))+(1)))=("N"),"false"),B3,N358),N358))</f>
        <v>#VALUE!</v>
      </c>
      <c r="O358" t="e">
        <f ca="1">IF((A1)=(2),"",IF((354)=(O4),IF(IF((INDEX(B1:XFD1,((A3)+(1))+(0)))=("store"),(INDEX(B1:XFD1,((A3)+(1))+(1)))=("O"),"false"),B3,O358),O358))</f>
        <v>#VALUE!</v>
      </c>
      <c r="P358" t="e">
        <f ca="1">IF((A1)=(2),"",IF((354)=(P4),IF(IF((INDEX(B1:XFD1,((A3)+(1))+(0)))=("store"),(INDEX(B1:XFD1,((A3)+(1))+(1)))=("P"),"false"),B3,P358),P358))</f>
        <v>#VALUE!</v>
      </c>
      <c r="Q358" t="e">
        <f ca="1">IF((A1)=(2),"",IF((354)=(Q4),IF(IF((INDEX(B1:XFD1,((A3)+(1))+(0)))=("store"),(INDEX(B1:XFD1,((A3)+(1))+(1)))=("Q"),"false"),B3,Q358),Q358))</f>
        <v>#VALUE!</v>
      </c>
      <c r="R358" t="e">
        <f ca="1">IF((A1)=(2),"",IF((354)=(R4),IF(IF((INDEX(B1:XFD1,((A3)+(1))+(0)))=("store"),(INDEX(B1:XFD1,((A3)+(1))+(1)))=("R"),"false"),B3,R358),R358))</f>
        <v>#VALUE!</v>
      </c>
      <c r="S358" t="e">
        <f ca="1">IF((A1)=(2),"",IF((354)=(S4),IF(IF((INDEX(B1:XFD1,((A3)+(1))+(0)))=("store"),(INDEX(B1:XFD1,((A3)+(1))+(1)))=("S"),"false"),B3,S358),S358))</f>
        <v>#VALUE!</v>
      </c>
      <c r="T358" t="e">
        <f ca="1">IF((A1)=(2),"",IF((354)=(T4),IF(IF((INDEX(B1:XFD1,((A3)+(1))+(0)))=("store"),(INDEX(B1:XFD1,((A3)+(1))+(1)))=("T"),"false"),B3,T358),T358))</f>
        <v>#VALUE!</v>
      </c>
      <c r="U358" t="e">
        <f ca="1">IF((A1)=(2),"",IF((354)=(U4),IF(IF((INDEX(B1:XFD1,((A3)+(1))+(0)))=("store"),(INDEX(B1:XFD1,((A3)+(1))+(1)))=("U"),"false"),B3,U358),U358))</f>
        <v>#VALUE!</v>
      </c>
      <c r="V358" t="e">
        <f ca="1">IF((A1)=(2),"",IF((354)=(V4),IF(IF((INDEX(B1:XFD1,((A3)+(1))+(0)))=("store"),(INDEX(B1:XFD1,((A3)+(1))+(1)))=("V"),"false"),B3,V358),V358))</f>
        <v>#VALUE!</v>
      </c>
      <c r="W358" t="e">
        <f ca="1">IF((A1)=(2),"",IF((354)=(W4),IF(IF((INDEX(B1:XFD1,((A3)+(1))+(0)))=("store"),(INDEX(B1:XFD1,((A3)+(1))+(1)))=("W"),"false"),B3,W358),W358))</f>
        <v>#VALUE!</v>
      </c>
      <c r="X358" t="e">
        <f ca="1">IF((A1)=(2),"",IF((354)=(X4),IF(IF((INDEX(B1:XFD1,((A3)+(1))+(0)))=("store"),(INDEX(B1:XFD1,((A3)+(1))+(1)))=("X"),"false"),B3,X358),X358))</f>
        <v>#VALUE!</v>
      </c>
      <c r="Y358" t="e">
        <f ca="1">IF((A1)=(2),"",IF((354)=(Y4),IF(IF((INDEX(B1:XFD1,((A3)+(1))+(0)))=("store"),(INDEX(B1:XFD1,((A3)+(1))+(1)))=("Y"),"false"),B3,Y358),Y358))</f>
        <v>#VALUE!</v>
      </c>
      <c r="Z358" t="e">
        <f ca="1">IF((A1)=(2),"",IF((354)=(Z4),IF(IF((INDEX(B1:XFD1,((A3)+(1))+(0)))=("store"),(INDEX(B1:XFD1,((A3)+(1))+(1)))=("Z"),"false"),B3,Z358),Z358))</f>
        <v>#VALUE!</v>
      </c>
      <c r="AA358" t="e">
        <f ca="1">IF((A1)=(2),"",IF((354)=(AA4),IF(IF((INDEX(B1:XFD1,((A3)+(1))+(0)))=("store"),(INDEX(B1:XFD1,((A3)+(1))+(1)))=("AA"),"false"),B3,AA358),AA358))</f>
        <v>#VALUE!</v>
      </c>
      <c r="AB358" t="e">
        <f ca="1">IF((A1)=(2),"",IF((354)=(AB4),IF(IF((INDEX(B1:XFD1,((A3)+(1))+(0)))=("store"),(INDEX(B1:XFD1,((A3)+(1))+(1)))=("AB"),"false"),B3,AB358),AB358))</f>
        <v>#VALUE!</v>
      </c>
      <c r="AC358" t="e">
        <f ca="1">IF((A1)=(2),"",IF((354)=(AC4),IF(IF((INDEX(B1:XFD1,((A3)+(1))+(0)))=("store"),(INDEX(B1:XFD1,((A3)+(1))+(1)))=("AC"),"false"),B3,AC358),AC358))</f>
        <v>#VALUE!</v>
      </c>
      <c r="AD358" t="e">
        <f ca="1">IF((A1)=(2),"",IF((354)=(AD4),IF(IF((INDEX(B1:XFD1,((A3)+(1))+(0)))=("store"),(INDEX(B1:XFD1,((A3)+(1))+(1)))=("AD"),"false"),B3,AD358),AD358))</f>
        <v>#VALUE!</v>
      </c>
    </row>
    <row r="359" spans="1:30" x14ac:dyDescent="0.25">
      <c r="A359" t="e">
        <f ca="1">IF((A1)=(2),"",IF((355)=(A4),IF(("call")=(INDEX(B1:XFD1,((A3)+(1))+(0))),(B3)*(2),IF(("goto")=(INDEX(B1:XFD1,((A3)+(1))+(0))),(INDEX(B1:XFD1,((A3)+(1))+(1)))*(2),IF(("gotoiftrue")=(INDEX(B1:XFD1,((A3)+(1))+(0))),IF(B3,(INDEX(B1:XFD1,((A3)+(1))+(1)))*(2),(A359)+(2)),(A359)+(2)))),A359))</f>
        <v>#VALUE!</v>
      </c>
      <c r="B359" t="e">
        <f ca="1">IF((A1)=(2),"",IF((355)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359)+(1)),IF(("add")=(INDEX(B1:XFD1,((A3)+(1))+(0))),(INDEX(B5:B405,(B4)+(1)))+(B359),IF(("equals")=(INDEX(B1:XFD1,((A3)+(1))+(0))),(INDEX(B5:B405,(B4)+(1)))=(B359),IF(("leq")=(INDEX(B1:XFD1,((A3)+(1))+(0))),(INDEX(B5:B405,(B4)+(1)))&lt;=(B359),IF(("greater")=(INDEX(B1:XFD1,((A3)+(1))+(0))),(INDEX(B5:B405,(B4)+(1)))&gt;(B359),IF(("mod")=(INDEX(B1:XFD1,((A3)+(1))+(0))),MOD(INDEX(B5:B405,(B4)+(1)),B359),B359))))))))),B359))</f>
        <v>#VALUE!</v>
      </c>
      <c r="C359" t="e">
        <f ca="1">IF((A1)=(2),1,IF(AND((INDEX(B1:XFD1,((A3)+(1))+(0)))=("writeheap"),(INDEX(B5:B405,(B4)+(1)))=(354)),INDEX(B5:B405,(B4)+(2)),IF((A1)=(2),"",IF((355)=(C4),C359,C359))))</f>
        <v>#VALUE!</v>
      </c>
      <c r="F359" t="e">
        <f ca="1">IF((A1)=(2),"",IF((355)=(F4),IF(IF((INDEX(B1:XFD1,((A3)+(1))+(0)))=("store"),(INDEX(B1:XFD1,((A3)+(1))+(1)))=("F"),"false"),B3,F359),F359))</f>
        <v>#VALUE!</v>
      </c>
      <c r="G359" t="e">
        <f ca="1">IF((A1)=(2),"",IF((355)=(G4),IF(IF((INDEX(B1:XFD1,((A3)+(1))+(0)))=("store"),(INDEX(B1:XFD1,((A3)+(1))+(1)))=("G"),"false"),B3,G359),G359))</f>
        <v>#VALUE!</v>
      </c>
      <c r="H359" t="e">
        <f ca="1">IF((A1)=(2),"",IF((355)=(H4),IF(IF((INDEX(B1:XFD1,((A3)+(1))+(0)))=("store"),(INDEX(B1:XFD1,((A3)+(1))+(1)))=("H"),"false"),B3,H359),H359))</f>
        <v>#VALUE!</v>
      </c>
      <c r="I359" t="e">
        <f ca="1">IF((A1)=(2),"",IF((355)=(I4),IF(IF((INDEX(B1:XFD1,((A3)+(1))+(0)))=("store"),(INDEX(B1:XFD1,((A3)+(1))+(1)))=("I"),"false"),B3,I359),I359))</f>
        <v>#VALUE!</v>
      </c>
      <c r="J359" t="e">
        <f ca="1">IF((A1)=(2),"",IF((355)=(J4),IF(IF((INDEX(B1:XFD1,((A3)+(1))+(0)))=("store"),(INDEX(B1:XFD1,((A3)+(1))+(1)))=("J"),"false"),B3,J359),J359))</f>
        <v>#VALUE!</v>
      </c>
      <c r="K359" t="e">
        <f ca="1">IF((A1)=(2),"",IF((355)=(K4),IF(IF((INDEX(B1:XFD1,((A3)+(1))+(0)))=("store"),(INDEX(B1:XFD1,((A3)+(1))+(1)))=("K"),"false"),B3,K359),K359))</f>
        <v>#VALUE!</v>
      </c>
      <c r="L359" t="e">
        <f ca="1">IF((A1)=(2),"",IF((355)=(L4),IF(IF((INDEX(B1:XFD1,((A3)+(1))+(0)))=("store"),(INDEX(B1:XFD1,((A3)+(1))+(1)))=("L"),"false"),B3,L359),L359))</f>
        <v>#VALUE!</v>
      </c>
      <c r="M359" t="e">
        <f ca="1">IF((A1)=(2),"",IF((355)=(M4),IF(IF((INDEX(B1:XFD1,((A3)+(1))+(0)))=("store"),(INDEX(B1:XFD1,((A3)+(1))+(1)))=("M"),"false"),B3,M359),M359))</f>
        <v>#VALUE!</v>
      </c>
      <c r="N359" t="e">
        <f ca="1">IF((A1)=(2),"",IF((355)=(N4),IF(IF((INDEX(B1:XFD1,((A3)+(1))+(0)))=("store"),(INDEX(B1:XFD1,((A3)+(1))+(1)))=("N"),"false"),B3,N359),N359))</f>
        <v>#VALUE!</v>
      </c>
      <c r="O359" t="e">
        <f ca="1">IF((A1)=(2),"",IF((355)=(O4),IF(IF((INDEX(B1:XFD1,((A3)+(1))+(0)))=("store"),(INDEX(B1:XFD1,((A3)+(1))+(1)))=("O"),"false"),B3,O359),O359))</f>
        <v>#VALUE!</v>
      </c>
      <c r="P359" t="e">
        <f ca="1">IF((A1)=(2),"",IF((355)=(P4),IF(IF((INDEX(B1:XFD1,((A3)+(1))+(0)))=("store"),(INDEX(B1:XFD1,((A3)+(1))+(1)))=("P"),"false"),B3,P359),P359))</f>
        <v>#VALUE!</v>
      </c>
      <c r="Q359" t="e">
        <f ca="1">IF((A1)=(2),"",IF((355)=(Q4),IF(IF((INDEX(B1:XFD1,((A3)+(1))+(0)))=("store"),(INDEX(B1:XFD1,((A3)+(1))+(1)))=("Q"),"false"),B3,Q359),Q359))</f>
        <v>#VALUE!</v>
      </c>
      <c r="R359" t="e">
        <f ca="1">IF((A1)=(2),"",IF((355)=(R4),IF(IF((INDEX(B1:XFD1,((A3)+(1))+(0)))=("store"),(INDEX(B1:XFD1,((A3)+(1))+(1)))=("R"),"false"),B3,R359),R359))</f>
        <v>#VALUE!</v>
      </c>
      <c r="S359" t="e">
        <f ca="1">IF((A1)=(2),"",IF((355)=(S4),IF(IF((INDEX(B1:XFD1,((A3)+(1))+(0)))=("store"),(INDEX(B1:XFD1,((A3)+(1))+(1)))=("S"),"false"),B3,S359),S359))</f>
        <v>#VALUE!</v>
      </c>
      <c r="T359" t="e">
        <f ca="1">IF((A1)=(2),"",IF((355)=(T4),IF(IF((INDEX(B1:XFD1,((A3)+(1))+(0)))=("store"),(INDEX(B1:XFD1,((A3)+(1))+(1)))=("T"),"false"),B3,T359),T359))</f>
        <v>#VALUE!</v>
      </c>
      <c r="U359" t="e">
        <f ca="1">IF((A1)=(2),"",IF((355)=(U4),IF(IF((INDEX(B1:XFD1,((A3)+(1))+(0)))=("store"),(INDEX(B1:XFD1,((A3)+(1))+(1)))=("U"),"false"),B3,U359),U359))</f>
        <v>#VALUE!</v>
      </c>
      <c r="V359" t="e">
        <f ca="1">IF((A1)=(2),"",IF((355)=(V4),IF(IF((INDEX(B1:XFD1,((A3)+(1))+(0)))=("store"),(INDEX(B1:XFD1,((A3)+(1))+(1)))=("V"),"false"),B3,V359),V359))</f>
        <v>#VALUE!</v>
      </c>
      <c r="W359" t="e">
        <f ca="1">IF((A1)=(2),"",IF((355)=(W4),IF(IF((INDEX(B1:XFD1,((A3)+(1))+(0)))=("store"),(INDEX(B1:XFD1,((A3)+(1))+(1)))=("W"),"false"),B3,W359),W359))</f>
        <v>#VALUE!</v>
      </c>
      <c r="X359" t="e">
        <f ca="1">IF((A1)=(2),"",IF((355)=(X4),IF(IF((INDEX(B1:XFD1,((A3)+(1))+(0)))=("store"),(INDEX(B1:XFD1,((A3)+(1))+(1)))=("X"),"false"),B3,X359),X359))</f>
        <v>#VALUE!</v>
      </c>
      <c r="Y359" t="e">
        <f ca="1">IF((A1)=(2),"",IF((355)=(Y4),IF(IF((INDEX(B1:XFD1,((A3)+(1))+(0)))=("store"),(INDEX(B1:XFD1,((A3)+(1))+(1)))=("Y"),"false"),B3,Y359),Y359))</f>
        <v>#VALUE!</v>
      </c>
      <c r="Z359" t="e">
        <f ca="1">IF((A1)=(2),"",IF((355)=(Z4),IF(IF((INDEX(B1:XFD1,((A3)+(1))+(0)))=("store"),(INDEX(B1:XFD1,((A3)+(1))+(1)))=("Z"),"false"),B3,Z359),Z359))</f>
        <v>#VALUE!</v>
      </c>
      <c r="AA359" t="e">
        <f ca="1">IF((A1)=(2),"",IF((355)=(AA4),IF(IF((INDEX(B1:XFD1,((A3)+(1))+(0)))=("store"),(INDEX(B1:XFD1,((A3)+(1))+(1)))=("AA"),"false"),B3,AA359),AA359))</f>
        <v>#VALUE!</v>
      </c>
      <c r="AB359" t="e">
        <f ca="1">IF((A1)=(2),"",IF((355)=(AB4),IF(IF((INDEX(B1:XFD1,((A3)+(1))+(0)))=("store"),(INDEX(B1:XFD1,((A3)+(1))+(1)))=("AB"),"false"),B3,AB359),AB359))</f>
        <v>#VALUE!</v>
      </c>
      <c r="AC359" t="e">
        <f ca="1">IF((A1)=(2),"",IF((355)=(AC4),IF(IF((INDEX(B1:XFD1,((A3)+(1))+(0)))=("store"),(INDEX(B1:XFD1,((A3)+(1))+(1)))=("AC"),"false"),B3,AC359),AC359))</f>
        <v>#VALUE!</v>
      </c>
      <c r="AD359" t="e">
        <f ca="1">IF((A1)=(2),"",IF((355)=(AD4),IF(IF((INDEX(B1:XFD1,((A3)+(1))+(0)))=("store"),(INDEX(B1:XFD1,((A3)+(1))+(1)))=("AD"),"false"),B3,AD359),AD359))</f>
        <v>#VALUE!</v>
      </c>
    </row>
    <row r="360" spans="1:30" x14ac:dyDescent="0.25">
      <c r="A360" t="e">
        <f ca="1">IF((A1)=(2),"",IF((356)=(A4),IF(("call")=(INDEX(B1:XFD1,((A3)+(1))+(0))),(B3)*(2),IF(("goto")=(INDEX(B1:XFD1,((A3)+(1))+(0))),(INDEX(B1:XFD1,((A3)+(1))+(1)))*(2),IF(("gotoiftrue")=(INDEX(B1:XFD1,((A3)+(1))+(0))),IF(B3,(INDEX(B1:XFD1,((A3)+(1))+(1)))*(2),(A360)+(2)),(A360)+(2)))),A360))</f>
        <v>#VALUE!</v>
      </c>
      <c r="B360" t="e">
        <f ca="1">IF((A1)=(2),"",IF((356)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360)+(1)),IF(("add")=(INDEX(B1:XFD1,((A3)+(1))+(0))),(INDEX(B5:B405,(B4)+(1)))+(B360),IF(("equals")=(INDEX(B1:XFD1,((A3)+(1))+(0))),(INDEX(B5:B405,(B4)+(1)))=(B360),IF(("leq")=(INDEX(B1:XFD1,((A3)+(1))+(0))),(INDEX(B5:B405,(B4)+(1)))&lt;=(B360),IF(("greater")=(INDEX(B1:XFD1,((A3)+(1))+(0))),(INDEX(B5:B405,(B4)+(1)))&gt;(B360),IF(("mod")=(INDEX(B1:XFD1,((A3)+(1))+(0))),MOD(INDEX(B5:B405,(B4)+(1)),B360),B360))))))))),B360))</f>
        <v>#VALUE!</v>
      </c>
      <c r="C360" t="e">
        <f ca="1">IF((A1)=(2),1,IF(AND((INDEX(B1:XFD1,((A3)+(1))+(0)))=("writeheap"),(INDEX(B5:B405,(B4)+(1)))=(355)),INDEX(B5:B405,(B4)+(2)),IF((A1)=(2),"",IF((356)=(C4),C360,C360))))</f>
        <v>#VALUE!</v>
      </c>
      <c r="F360" t="e">
        <f ca="1">IF((A1)=(2),"",IF((356)=(F4),IF(IF((INDEX(B1:XFD1,((A3)+(1))+(0)))=("store"),(INDEX(B1:XFD1,((A3)+(1))+(1)))=("F"),"false"),B3,F360),F360))</f>
        <v>#VALUE!</v>
      </c>
      <c r="G360" t="e">
        <f ca="1">IF((A1)=(2),"",IF((356)=(G4),IF(IF((INDEX(B1:XFD1,((A3)+(1))+(0)))=("store"),(INDEX(B1:XFD1,((A3)+(1))+(1)))=("G"),"false"),B3,G360),G360))</f>
        <v>#VALUE!</v>
      </c>
      <c r="H360" t="e">
        <f ca="1">IF((A1)=(2),"",IF((356)=(H4),IF(IF((INDEX(B1:XFD1,((A3)+(1))+(0)))=("store"),(INDEX(B1:XFD1,((A3)+(1))+(1)))=("H"),"false"),B3,H360),H360))</f>
        <v>#VALUE!</v>
      </c>
      <c r="I360" t="e">
        <f ca="1">IF((A1)=(2),"",IF((356)=(I4),IF(IF((INDEX(B1:XFD1,((A3)+(1))+(0)))=("store"),(INDEX(B1:XFD1,((A3)+(1))+(1)))=("I"),"false"),B3,I360),I360))</f>
        <v>#VALUE!</v>
      </c>
      <c r="J360" t="e">
        <f ca="1">IF((A1)=(2),"",IF((356)=(J4),IF(IF((INDEX(B1:XFD1,((A3)+(1))+(0)))=("store"),(INDEX(B1:XFD1,((A3)+(1))+(1)))=("J"),"false"),B3,J360),J360))</f>
        <v>#VALUE!</v>
      </c>
      <c r="K360" t="e">
        <f ca="1">IF((A1)=(2),"",IF((356)=(K4),IF(IF((INDEX(B1:XFD1,((A3)+(1))+(0)))=("store"),(INDEX(B1:XFD1,((A3)+(1))+(1)))=("K"),"false"),B3,K360),K360))</f>
        <v>#VALUE!</v>
      </c>
      <c r="L360" t="e">
        <f ca="1">IF((A1)=(2),"",IF((356)=(L4),IF(IF((INDEX(B1:XFD1,((A3)+(1))+(0)))=("store"),(INDEX(B1:XFD1,((A3)+(1))+(1)))=("L"),"false"),B3,L360),L360))</f>
        <v>#VALUE!</v>
      </c>
      <c r="M360" t="e">
        <f ca="1">IF((A1)=(2),"",IF((356)=(M4),IF(IF((INDEX(B1:XFD1,((A3)+(1))+(0)))=("store"),(INDEX(B1:XFD1,((A3)+(1))+(1)))=("M"),"false"),B3,M360),M360))</f>
        <v>#VALUE!</v>
      </c>
      <c r="N360" t="e">
        <f ca="1">IF((A1)=(2),"",IF((356)=(N4),IF(IF((INDEX(B1:XFD1,((A3)+(1))+(0)))=("store"),(INDEX(B1:XFD1,((A3)+(1))+(1)))=("N"),"false"),B3,N360),N360))</f>
        <v>#VALUE!</v>
      </c>
      <c r="O360" t="e">
        <f ca="1">IF((A1)=(2),"",IF((356)=(O4),IF(IF((INDEX(B1:XFD1,((A3)+(1))+(0)))=("store"),(INDEX(B1:XFD1,((A3)+(1))+(1)))=("O"),"false"),B3,O360),O360))</f>
        <v>#VALUE!</v>
      </c>
      <c r="P360" t="e">
        <f ca="1">IF((A1)=(2),"",IF((356)=(P4),IF(IF((INDEX(B1:XFD1,((A3)+(1))+(0)))=("store"),(INDEX(B1:XFD1,((A3)+(1))+(1)))=("P"),"false"),B3,P360),P360))</f>
        <v>#VALUE!</v>
      </c>
      <c r="Q360" t="e">
        <f ca="1">IF((A1)=(2),"",IF((356)=(Q4),IF(IF((INDEX(B1:XFD1,((A3)+(1))+(0)))=("store"),(INDEX(B1:XFD1,((A3)+(1))+(1)))=("Q"),"false"),B3,Q360),Q360))</f>
        <v>#VALUE!</v>
      </c>
      <c r="R360" t="e">
        <f ca="1">IF((A1)=(2),"",IF((356)=(R4),IF(IF((INDEX(B1:XFD1,((A3)+(1))+(0)))=("store"),(INDEX(B1:XFD1,((A3)+(1))+(1)))=("R"),"false"),B3,R360),R360))</f>
        <v>#VALUE!</v>
      </c>
      <c r="S360" t="e">
        <f ca="1">IF((A1)=(2),"",IF((356)=(S4),IF(IF((INDEX(B1:XFD1,((A3)+(1))+(0)))=("store"),(INDEX(B1:XFD1,((A3)+(1))+(1)))=("S"),"false"),B3,S360),S360))</f>
        <v>#VALUE!</v>
      </c>
      <c r="T360" t="e">
        <f ca="1">IF((A1)=(2),"",IF((356)=(T4),IF(IF((INDEX(B1:XFD1,((A3)+(1))+(0)))=("store"),(INDEX(B1:XFD1,((A3)+(1))+(1)))=("T"),"false"),B3,T360),T360))</f>
        <v>#VALUE!</v>
      </c>
      <c r="U360" t="e">
        <f ca="1">IF((A1)=(2),"",IF((356)=(U4),IF(IF((INDEX(B1:XFD1,((A3)+(1))+(0)))=("store"),(INDEX(B1:XFD1,((A3)+(1))+(1)))=("U"),"false"),B3,U360),U360))</f>
        <v>#VALUE!</v>
      </c>
      <c r="V360" t="e">
        <f ca="1">IF((A1)=(2),"",IF((356)=(V4),IF(IF((INDEX(B1:XFD1,((A3)+(1))+(0)))=("store"),(INDEX(B1:XFD1,((A3)+(1))+(1)))=("V"),"false"),B3,V360),V360))</f>
        <v>#VALUE!</v>
      </c>
      <c r="W360" t="e">
        <f ca="1">IF((A1)=(2),"",IF((356)=(W4),IF(IF((INDEX(B1:XFD1,((A3)+(1))+(0)))=("store"),(INDEX(B1:XFD1,((A3)+(1))+(1)))=("W"),"false"),B3,W360),W360))</f>
        <v>#VALUE!</v>
      </c>
      <c r="X360" t="e">
        <f ca="1">IF((A1)=(2),"",IF((356)=(X4),IF(IF((INDEX(B1:XFD1,((A3)+(1))+(0)))=("store"),(INDEX(B1:XFD1,((A3)+(1))+(1)))=("X"),"false"),B3,X360),X360))</f>
        <v>#VALUE!</v>
      </c>
      <c r="Y360" t="e">
        <f ca="1">IF((A1)=(2),"",IF((356)=(Y4),IF(IF((INDEX(B1:XFD1,((A3)+(1))+(0)))=("store"),(INDEX(B1:XFD1,((A3)+(1))+(1)))=("Y"),"false"),B3,Y360),Y360))</f>
        <v>#VALUE!</v>
      </c>
      <c r="Z360" t="e">
        <f ca="1">IF((A1)=(2),"",IF((356)=(Z4),IF(IF((INDEX(B1:XFD1,((A3)+(1))+(0)))=("store"),(INDEX(B1:XFD1,((A3)+(1))+(1)))=("Z"),"false"),B3,Z360),Z360))</f>
        <v>#VALUE!</v>
      </c>
      <c r="AA360" t="e">
        <f ca="1">IF((A1)=(2),"",IF((356)=(AA4),IF(IF((INDEX(B1:XFD1,((A3)+(1))+(0)))=("store"),(INDEX(B1:XFD1,((A3)+(1))+(1)))=("AA"),"false"),B3,AA360),AA360))</f>
        <v>#VALUE!</v>
      </c>
      <c r="AB360" t="e">
        <f ca="1">IF((A1)=(2),"",IF((356)=(AB4),IF(IF((INDEX(B1:XFD1,((A3)+(1))+(0)))=("store"),(INDEX(B1:XFD1,((A3)+(1))+(1)))=("AB"),"false"),B3,AB360),AB360))</f>
        <v>#VALUE!</v>
      </c>
      <c r="AC360" t="e">
        <f ca="1">IF((A1)=(2),"",IF((356)=(AC4),IF(IF((INDEX(B1:XFD1,((A3)+(1))+(0)))=("store"),(INDEX(B1:XFD1,((A3)+(1))+(1)))=("AC"),"false"),B3,AC360),AC360))</f>
        <v>#VALUE!</v>
      </c>
      <c r="AD360" t="e">
        <f ca="1">IF((A1)=(2),"",IF((356)=(AD4),IF(IF((INDEX(B1:XFD1,((A3)+(1))+(0)))=("store"),(INDEX(B1:XFD1,((A3)+(1))+(1)))=("AD"),"false"),B3,AD360),AD360))</f>
        <v>#VALUE!</v>
      </c>
    </row>
    <row r="361" spans="1:30" x14ac:dyDescent="0.25">
      <c r="A361" t="e">
        <f ca="1">IF((A1)=(2),"",IF((357)=(A4),IF(("call")=(INDEX(B1:XFD1,((A3)+(1))+(0))),(B3)*(2),IF(("goto")=(INDEX(B1:XFD1,((A3)+(1))+(0))),(INDEX(B1:XFD1,((A3)+(1))+(1)))*(2),IF(("gotoiftrue")=(INDEX(B1:XFD1,((A3)+(1))+(0))),IF(B3,(INDEX(B1:XFD1,((A3)+(1))+(1)))*(2),(A361)+(2)),(A361)+(2)))),A361))</f>
        <v>#VALUE!</v>
      </c>
      <c r="B361" t="e">
        <f ca="1">IF((A1)=(2),"",IF((357)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361)+(1)),IF(("add")=(INDEX(B1:XFD1,((A3)+(1))+(0))),(INDEX(B5:B405,(B4)+(1)))+(B361),IF(("equals")=(INDEX(B1:XFD1,((A3)+(1))+(0))),(INDEX(B5:B405,(B4)+(1)))=(B361),IF(("leq")=(INDEX(B1:XFD1,((A3)+(1))+(0))),(INDEX(B5:B405,(B4)+(1)))&lt;=(B361),IF(("greater")=(INDEX(B1:XFD1,((A3)+(1))+(0))),(INDEX(B5:B405,(B4)+(1)))&gt;(B361),IF(("mod")=(INDEX(B1:XFD1,((A3)+(1))+(0))),MOD(INDEX(B5:B405,(B4)+(1)),B361),B361))))))))),B361))</f>
        <v>#VALUE!</v>
      </c>
      <c r="C361" t="e">
        <f ca="1">IF((A1)=(2),1,IF(AND((INDEX(B1:XFD1,((A3)+(1))+(0)))=("writeheap"),(INDEX(B5:B405,(B4)+(1)))=(356)),INDEX(B5:B405,(B4)+(2)),IF((A1)=(2),"",IF((357)=(C4),C361,C361))))</f>
        <v>#VALUE!</v>
      </c>
      <c r="F361" t="e">
        <f ca="1">IF((A1)=(2),"",IF((357)=(F4),IF(IF((INDEX(B1:XFD1,((A3)+(1))+(0)))=("store"),(INDEX(B1:XFD1,((A3)+(1))+(1)))=("F"),"false"),B3,F361),F361))</f>
        <v>#VALUE!</v>
      </c>
      <c r="G361" t="e">
        <f ca="1">IF((A1)=(2),"",IF((357)=(G4),IF(IF((INDEX(B1:XFD1,((A3)+(1))+(0)))=("store"),(INDEX(B1:XFD1,((A3)+(1))+(1)))=("G"),"false"),B3,G361),G361))</f>
        <v>#VALUE!</v>
      </c>
      <c r="H361" t="e">
        <f ca="1">IF((A1)=(2),"",IF((357)=(H4),IF(IF((INDEX(B1:XFD1,((A3)+(1))+(0)))=("store"),(INDEX(B1:XFD1,((A3)+(1))+(1)))=("H"),"false"),B3,H361),H361))</f>
        <v>#VALUE!</v>
      </c>
      <c r="I361" t="e">
        <f ca="1">IF((A1)=(2),"",IF((357)=(I4),IF(IF((INDEX(B1:XFD1,((A3)+(1))+(0)))=("store"),(INDEX(B1:XFD1,((A3)+(1))+(1)))=("I"),"false"),B3,I361),I361))</f>
        <v>#VALUE!</v>
      </c>
      <c r="J361" t="e">
        <f ca="1">IF((A1)=(2),"",IF((357)=(J4),IF(IF((INDEX(B1:XFD1,((A3)+(1))+(0)))=("store"),(INDEX(B1:XFD1,((A3)+(1))+(1)))=("J"),"false"),B3,J361),J361))</f>
        <v>#VALUE!</v>
      </c>
      <c r="K361" t="e">
        <f ca="1">IF((A1)=(2),"",IF((357)=(K4),IF(IF((INDEX(B1:XFD1,((A3)+(1))+(0)))=("store"),(INDEX(B1:XFD1,((A3)+(1))+(1)))=("K"),"false"),B3,K361),K361))</f>
        <v>#VALUE!</v>
      </c>
      <c r="L361" t="e">
        <f ca="1">IF((A1)=(2),"",IF((357)=(L4),IF(IF((INDEX(B1:XFD1,((A3)+(1))+(0)))=("store"),(INDEX(B1:XFD1,((A3)+(1))+(1)))=("L"),"false"),B3,L361),L361))</f>
        <v>#VALUE!</v>
      </c>
      <c r="M361" t="e">
        <f ca="1">IF((A1)=(2),"",IF((357)=(M4),IF(IF((INDEX(B1:XFD1,((A3)+(1))+(0)))=("store"),(INDEX(B1:XFD1,((A3)+(1))+(1)))=("M"),"false"),B3,M361),M361))</f>
        <v>#VALUE!</v>
      </c>
      <c r="N361" t="e">
        <f ca="1">IF((A1)=(2),"",IF((357)=(N4),IF(IF((INDEX(B1:XFD1,((A3)+(1))+(0)))=("store"),(INDEX(B1:XFD1,((A3)+(1))+(1)))=("N"),"false"),B3,N361),N361))</f>
        <v>#VALUE!</v>
      </c>
      <c r="O361" t="e">
        <f ca="1">IF((A1)=(2),"",IF((357)=(O4),IF(IF((INDEX(B1:XFD1,((A3)+(1))+(0)))=("store"),(INDEX(B1:XFD1,((A3)+(1))+(1)))=("O"),"false"),B3,O361),O361))</f>
        <v>#VALUE!</v>
      </c>
      <c r="P361" t="e">
        <f ca="1">IF((A1)=(2),"",IF((357)=(P4),IF(IF((INDEX(B1:XFD1,((A3)+(1))+(0)))=("store"),(INDEX(B1:XFD1,((A3)+(1))+(1)))=("P"),"false"),B3,P361),P361))</f>
        <v>#VALUE!</v>
      </c>
      <c r="Q361" t="e">
        <f ca="1">IF((A1)=(2),"",IF((357)=(Q4),IF(IF((INDEX(B1:XFD1,((A3)+(1))+(0)))=("store"),(INDEX(B1:XFD1,((A3)+(1))+(1)))=("Q"),"false"),B3,Q361),Q361))</f>
        <v>#VALUE!</v>
      </c>
      <c r="R361" t="e">
        <f ca="1">IF((A1)=(2),"",IF((357)=(R4),IF(IF((INDEX(B1:XFD1,((A3)+(1))+(0)))=("store"),(INDEX(B1:XFD1,((A3)+(1))+(1)))=("R"),"false"),B3,R361),R361))</f>
        <v>#VALUE!</v>
      </c>
      <c r="S361" t="e">
        <f ca="1">IF((A1)=(2),"",IF((357)=(S4),IF(IF((INDEX(B1:XFD1,((A3)+(1))+(0)))=("store"),(INDEX(B1:XFD1,((A3)+(1))+(1)))=("S"),"false"),B3,S361),S361))</f>
        <v>#VALUE!</v>
      </c>
      <c r="T361" t="e">
        <f ca="1">IF((A1)=(2),"",IF((357)=(T4),IF(IF((INDEX(B1:XFD1,((A3)+(1))+(0)))=("store"),(INDEX(B1:XFD1,((A3)+(1))+(1)))=("T"),"false"),B3,T361),T361))</f>
        <v>#VALUE!</v>
      </c>
      <c r="U361" t="e">
        <f ca="1">IF((A1)=(2),"",IF((357)=(U4),IF(IF((INDEX(B1:XFD1,((A3)+(1))+(0)))=("store"),(INDEX(B1:XFD1,((A3)+(1))+(1)))=("U"),"false"),B3,U361),U361))</f>
        <v>#VALUE!</v>
      </c>
      <c r="V361" t="e">
        <f ca="1">IF((A1)=(2),"",IF((357)=(V4),IF(IF((INDEX(B1:XFD1,((A3)+(1))+(0)))=("store"),(INDEX(B1:XFD1,((A3)+(1))+(1)))=("V"),"false"),B3,V361),V361))</f>
        <v>#VALUE!</v>
      </c>
      <c r="W361" t="e">
        <f ca="1">IF((A1)=(2),"",IF((357)=(W4),IF(IF((INDEX(B1:XFD1,((A3)+(1))+(0)))=("store"),(INDEX(B1:XFD1,((A3)+(1))+(1)))=("W"),"false"),B3,W361),W361))</f>
        <v>#VALUE!</v>
      </c>
      <c r="X361" t="e">
        <f ca="1">IF((A1)=(2),"",IF((357)=(X4),IF(IF((INDEX(B1:XFD1,((A3)+(1))+(0)))=("store"),(INDEX(B1:XFD1,((A3)+(1))+(1)))=("X"),"false"),B3,X361),X361))</f>
        <v>#VALUE!</v>
      </c>
      <c r="Y361" t="e">
        <f ca="1">IF((A1)=(2),"",IF((357)=(Y4),IF(IF((INDEX(B1:XFD1,((A3)+(1))+(0)))=("store"),(INDEX(B1:XFD1,((A3)+(1))+(1)))=("Y"),"false"),B3,Y361),Y361))</f>
        <v>#VALUE!</v>
      </c>
      <c r="Z361" t="e">
        <f ca="1">IF((A1)=(2),"",IF((357)=(Z4),IF(IF((INDEX(B1:XFD1,((A3)+(1))+(0)))=("store"),(INDEX(B1:XFD1,((A3)+(1))+(1)))=("Z"),"false"),B3,Z361),Z361))</f>
        <v>#VALUE!</v>
      </c>
      <c r="AA361" t="e">
        <f ca="1">IF((A1)=(2),"",IF((357)=(AA4),IF(IF((INDEX(B1:XFD1,((A3)+(1))+(0)))=("store"),(INDEX(B1:XFD1,((A3)+(1))+(1)))=("AA"),"false"),B3,AA361),AA361))</f>
        <v>#VALUE!</v>
      </c>
      <c r="AB361" t="e">
        <f ca="1">IF((A1)=(2),"",IF((357)=(AB4),IF(IF((INDEX(B1:XFD1,((A3)+(1))+(0)))=("store"),(INDEX(B1:XFD1,((A3)+(1))+(1)))=("AB"),"false"),B3,AB361),AB361))</f>
        <v>#VALUE!</v>
      </c>
      <c r="AC361" t="e">
        <f ca="1">IF((A1)=(2),"",IF((357)=(AC4),IF(IF((INDEX(B1:XFD1,((A3)+(1))+(0)))=("store"),(INDEX(B1:XFD1,((A3)+(1))+(1)))=("AC"),"false"),B3,AC361),AC361))</f>
        <v>#VALUE!</v>
      </c>
      <c r="AD361" t="e">
        <f ca="1">IF((A1)=(2),"",IF((357)=(AD4),IF(IF((INDEX(B1:XFD1,((A3)+(1))+(0)))=("store"),(INDEX(B1:XFD1,((A3)+(1))+(1)))=("AD"),"false"),B3,AD361),AD361))</f>
        <v>#VALUE!</v>
      </c>
    </row>
    <row r="362" spans="1:30" x14ac:dyDescent="0.25">
      <c r="A362" t="e">
        <f ca="1">IF((A1)=(2),"",IF((358)=(A4),IF(("call")=(INDEX(B1:XFD1,((A3)+(1))+(0))),(B3)*(2),IF(("goto")=(INDEX(B1:XFD1,((A3)+(1))+(0))),(INDEX(B1:XFD1,((A3)+(1))+(1)))*(2),IF(("gotoiftrue")=(INDEX(B1:XFD1,((A3)+(1))+(0))),IF(B3,(INDEX(B1:XFD1,((A3)+(1))+(1)))*(2),(A362)+(2)),(A362)+(2)))),A362))</f>
        <v>#VALUE!</v>
      </c>
      <c r="B362" t="e">
        <f ca="1">IF((A1)=(2),"",IF((358)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362)+(1)),IF(("add")=(INDEX(B1:XFD1,((A3)+(1))+(0))),(INDEX(B5:B405,(B4)+(1)))+(B362),IF(("equals")=(INDEX(B1:XFD1,((A3)+(1))+(0))),(INDEX(B5:B405,(B4)+(1)))=(B362),IF(("leq")=(INDEX(B1:XFD1,((A3)+(1))+(0))),(INDEX(B5:B405,(B4)+(1)))&lt;=(B362),IF(("greater")=(INDEX(B1:XFD1,((A3)+(1))+(0))),(INDEX(B5:B405,(B4)+(1)))&gt;(B362),IF(("mod")=(INDEX(B1:XFD1,((A3)+(1))+(0))),MOD(INDEX(B5:B405,(B4)+(1)),B362),B362))))))))),B362))</f>
        <v>#VALUE!</v>
      </c>
      <c r="C362" t="e">
        <f ca="1">IF((A1)=(2),1,IF(AND((INDEX(B1:XFD1,((A3)+(1))+(0)))=("writeheap"),(INDEX(B5:B405,(B4)+(1)))=(357)),INDEX(B5:B405,(B4)+(2)),IF((A1)=(2),"",IF((358)=(C4),C362,C362))))</f>
        <v>#VALUE!</v>
      </c>
      <c r="F362" t="e">
        <f ca="1">IF((A1)=(2),"",IF((358)=(F4),IF(IF((INDEX(B1:XFD1,((A3)+(1))+(0)))=("store"),(INDEX(B1:XFD1,((A3)+(1))+(1)))=("F"),"false"),B3,F362),F362))</f>
        <v>#VALUE!</v>
      </c>
      <c r="G362" t="e">
        <f ca="1">IF((A1)=(2),"",IF((358)=(G4),IF(IF((INDEX(B1:XFD1,((A3)+(1))+(0)))=("store"),(INDEX(B1:XFD1,((A3)+(1))+(1)))=("G"),"false"),B3,G362),G362))</f>
        <v>#VALUE!</v>
      </c>
      <c r="H362" t="e">
        <f ca="1">IF((A1)=(2),"",IF((358)=(H4),IF(IF((INDEX(B1:XFD1,((A3)+(1))+(0)))=("store"),(INDEX(B1:XFD1,((A3)+(1))+(1)))=("H"),"false"),B3,H362),H362))</f>
        <v>#VALUE!</v>
      </c>
      <c r="I362" t="e">
        <f ca="1">IF((A1)=(2),"",IF((358)=(I4),IF(IF((INDEX(B1:XFD1,((A3)+(1))+(0)))=("store"),(INDEX(B1:XFD1,((A3)+(1))+(1)))=("I"),"false"),B3,I362),I362))</f>
        <v>#VALUE!</v>
      </c>
      <c r="J362" t="e">
        <f ca="1">IF((A1)=(2),"",IF((358)=(J4),IF(IF((INDEX(B1:XFD1,((A3)+(1))+(0)))=("store"),(INDEX(B1:XFD1,((A3)+(1))+(1)))=("J"),"false"),B3,J362),J362))</f>
        <v>#VALUE!</v>
      </c>
      <c r="K362" t="e">
        <f ca="1">IF((A1)=(2),"",IF((358)=(K4),IF(IF((INDEX(B1:XFD1,((A3)+(1))+(0)))=("store"),(INDEX(B1:XFD1,((A3)+(1))+(1)))=("K"),"false"),B3,K362),K362))</f>
        <v>#VALUE!</v>
      </c>
      <c r="L362" t="e">
        <f ca="1">IF((A1)=(2),"",IF((358)=(L4),IF(IF((INDEX(B1:XFD1,((A3)+(1))+(0)))=("store"),(INDEX(B1:XFD1,((A3)+(1))+(1)))=("L"),"false"),B3,L362),L362))</f>
        <v>#VALUE!</v>
      </c>
      <c r="M362" t="e">
        <f ca="1">IF((A1)=(2),"",IF((358)=(M4),IF(IF((INDEX(B1:XFD1,((A3)+(1))+(0)))=("store"),(INDEX(B1:XFD1,((A3)+(1))+(1)))=("M"),"false"),B3,M362),M362))</f>
        <v>#VALUE!</v>
      </c>
      <c r="N362" t="e">
        <f ca="1">IF((A1)=(2),"",IF((358)=(N4),IF(IF((INDEX(B1:XFD1,((A3)+(1))+(0)))=("store"),(INDEX(B1:XFD1,((A3)+(1))+(1)))=("N"),"false"),B3,N362),N362))</f>
        <v>#VALUE!</v>
      </c>
      <c r="O362" t="e">
        <f ca="1">IF((A1)=(2),"",IF((358)=(O4),IF(IF((INDEX(B1:XFD1,((A3)+(1))+(0)))=("store"),(INDEX(B1:XFD1,((A3)+(1))+(1)))=("O"),"false"),B3,O362),O362))</f>
        <v>#VALUE!</v>
      </c>
      <c r="P362" t="e">
        <f ca="1">IF((A1)=(2),"",IF((358)=(P4),IF(IF((INDEX(B1:XFD1,((A3)+(1))+(0)))=("store"),(INDEX(B1:XFD1,((A3)+(1))+(1)))=("P"),"false"),B3,P362),P362))</f>
        <v>#VALUE!</v>
      </c>
      <c r="Q362" t="e">
        <f ca="1">IF((A1)=(2),"",IF((358)=(Q4),IF(IF((INDEX(B1:XFD1,((A3)+(1))+(0)))=("store"),(INDEX(B1:XFD1,((A3)+(1))+(1)))=("Q"),"false"),B3,Q362),Q362))</f>
        <v>#VALUE!</v>
      </c>
      <c r="R362" t="e">
        <f ca="1">IF((A1)=(2),"",IF((358)=(R4),IF(IF((INDEX(B1:XFD1,((A3)+(1))+(0)))=("store"),(INDEX(B1:XFD1,((A3)+(1))+(1)))=("R"),"false"),B3,R362),R362))</f>
        <v>#VALUE!</v>
      </c>
      <c r="S362" t="e">
        <f ca="1">IF((A1)=(2),"",IF((358)=(S4),IF(IF((INDEX(B1:XFD1,((A3)+(1))+(0)))=("store"),(INDEX(B1:XFD1,((A3)+(1))+(1)))=("S"),"false"),B3,S362),S362))</f>
        <v>#VALUE!</v>
      </c>
      <c r="T362" t="e">
        <f ca="1">IF((A1)=(2),"",IF((358)=(T4),IF(IF((INDEX(B1:XFD1,((A3)+(1))+(0)))=("store"),(INDEX(B1:XFD1,((A3)+(1))+(1)))=("T"),"false"),B3,T362),T362))</f>
        <v>#VALUE!</v>
      </c>
      <c r="U362" t="e">
        <f ca="1">IF((A1)=(2),"",IF((358)=(U4),IF(IF((INDEX(B1:XFD1,((A3)+(1))+(0)))=("store"),(INDEX(B1:XFD1,((A3)+(1))+(1)))=("U"),"false"),B3,U362),U362))</f>
        <v>#VALUE!</v>
      </c>
      <c r="V362" t="e">
        <f ca="1">IF((A1)=(2),"",IF((358)=(V4),IF(IF((INDEX(B1:XFD1,((A3)+(1))+(0)))=("store"),(INDEX(B1:XFD1,((A3)+(1))+(1)))=("V"),"false"),B3,V362),V362))</f>
        <v>#VALUE!</v>
      </c>
      <c r="W362" t="e">
        <f ca="1">IF((A1)=(2),"",IF((358)=(W4),IF(IF((INDEX(B1:XFD1,((A3)+(1))+(0)))=("store"),(INDEX(B1:XFD1,((A3)+(1))+(1)))=("W"),"false"),B3,W362),W362))</f>
        <v>#VALUE!</v>
      </c>
      <c r="X362" t="e">
        <f ca="1">IF((A1)=(2),"",IF((358)=(X4),IF(IF((INDEX(B1:XFD1,((A3)+(1))+(0)))=("store"),(INDEX(B1:XFD1,((A3)+(1))+(1)))=("X"),"false"),B3,X362),X362))</f>
        <v>#VALUE!</v>
      </c>
      <c r="Y362" t="e">
        <f ca="1">IF((A1)=(2),"",IF((358)=(Y4),IF(IF((INDEX(B1:XFD1,((A3)+(1))+(0)))=("store"),(INDEX(B1:XFD1,((A3)+(1))+(1)))=("Y"),"false"),B3,Y362),Y362))</f>
        <v>#VALUE!</v>
      </c>
      <c r="Z362" t="e">
        <f ca="1">IF((A1)=(2),"",IF((358)=(Z4),IF(IF((INDEX(B1:XFD1,((A3)+(1))+(0)))=("store"),(INDEX(B1:XFD1,((A3)+(1))+(1)))=("Z"),"false"),B3,Z362),Z362))</f>
        <v>#VALUE!</v>
      </c>
      <c r="AA362" t="e">
        <f ca="1">IF((A1)=(2),"",IF((358)=(AA4),IF(IF((INDEX(B1:XFD1,((A3)+(1))+(0)))=("store"),(INDEX(B1:XFD1,((A3)+(1))+(1)))=("AA"),"false"),B3,AA362),AA362))</f>
        <v>#VALUE!</v>
      </c>
      <c r="AB362" t="e">
        <f ca="1">IF((A1)=(2),"",IF((358)=(AB4),IF(IF((INDEX(B1:XFD1,((A3)+(1))+(0)))=("store"),(INDEX(B1:XFD1,((A3)+(1))+(1)))=("AB"),"false"),B3,AB362),AB362))</f>
        <v>#VALUE!</v>
      </c>
      <c r="AC362" t="e">
        <f ca="1">IF((A1)=(2),"",IF((358)=(AC4),IF(IF((INDEX(B1:XFD1,((A3)+(1))+(0)))=("store"),(INDEX(B1:XFD1,((A3)+(1))+(1)))=("AC"),"false"),B3,AC362),AC362))</f>
        <v>#VALUE!</v>
      </c>
      <c r="AD362" t="e">
        <f ca="1">IF((A1)=(2),"",IF((358)=(AD4),IF(IF((INDEX(B1:XFD1,((A3)+(1))+(0)))=("store"),(INDEX(B1:XFD1,((A3)+(1))+(1)))=("AD"),"false"),B3,AD362),AD362))</f>
        <v>#VALUE!</v>
      </c>
    </row>
    <row r="363" spans="1:30" x14ac:dyDescent="0.25">
      <c r="A363" t="e">
        <f ca="1">IF((A1)=(2),"",IF((359)=(A4),IF(("call")=(INDEX(B1:XFD1,((A3)+(1))+(0))),(B3)*(2),IF(("goto")=(INDEX(B1:XFD1,((A3)+(1))+(0))),(INDEX(B1:XFD1,((A3)+(1))+(1)))*(2),IF(("gotoiftrue")=(INDEX(B1:XFD1,((A3)+(1))+(0))),IF(B3,(INDEX(B1:XFD1,((A3)+(1))+(1)))*(2),(A363)+(2)),(A363)+(2)))),A363))</f>
        <v>#VALUE!</v>
      </c>
      <c r="B363" t="e">
        <f ca="1">IF((A1)=(2),"",IF((359)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363)+(1)),IF(("add")=(INDEX(B1:XFD1,((A3)+(1))+(0))),(INDEX(B5:B405,(B4)+(1)))+(B363),IF(("equals")=(INDEX(B1:XFD1,((A3)+(1))+(0))),(INDEX(B5:B405,(B4)+(1)))=(B363),IF(("leq")=(INDEX(B1:XFD1,((A3)+(1))+(0))),(INDEX(B5:B405,(B4)+(1)))&lt;=(B363),IF(("greater")=(INDEX(B1:XFD1,((A3)+(1))+(0))),(INDEX(B5:B405,(B4)+(1)))&gt;(B363),IF(("mod")=(INDEX(B1:XFD1,((A3)+(1))+(0))),MOD(INDEX(B5:B405,(B4)+(1)),B363),B363))))))))),B363))</f>
        <v>#VALUE!</v>
      </c>
      <c r="C363" t="e">
        <f ca="1">IF((A1)=(2),1,IF(AND((INDEX(B1:XFD1,((A3)+(1))+(0)))=("writeheap"),(INDEX(B5:B405,(B4)+(1)))=(358)),INDEX(B5:B405,(B4)+(2)),IF((A1)=(2),"",IF((359)=(C4),C363,C363))))</f>
        <v>#VALUE!</v>
      </c>
      <c r="F363" t="e">
        <f ca="1">IF((A1)=(2),"",IF((359)=(F4),IF(IF((INDEX(B1:XFD1,((A3)+(1))+(0)))=("store"),(INDEX(B1:XFD1,((A3)+(1))+(1)))=("F"),"false"),B3,F363),F363))</f>
        <v>#VALUE!</v>
      </c>
      <c r="G363" t="e">
        <f ca="1">IF((A1)=(2),"",IF((359)=(G4),IF(IF((INDEX(B1:XFD1,((A3)+(1))+(0)))=("store"),(INDEX(B1:XFD1,((A3)+(1))+(1)))=("G"),"false"),B3,G363),G363))</f>
        <v>#VALUE!</v>
      </c>
      <c r="H363" t="e">
        <f ca="1">IF((A1)=(2),"",IF((359)=(H4),IF(IF((INDEX(B1:XFD1,((A3)+(1))+(0)))=("store"),(INDEX(B1:XFD1,((A3)+(1))+(1)))=("H"),"false"),B3,H363),H363))</f>
        <v>#VALUE!</v>
      </c>
      <c r="I363" t="e">
        <f ca="1">IF((A1)=(2),"",IF((359)=(I4),IF(IF((INDEX(B1:XFD1,((A3)+(1))+(0)))=("store"),(INDEX(B1:XFD1,((A3)+(1))+(1)))=("I"),"false"),B3,I363),I363))</f>
        <v>#VALUE!</v>
      </c>
      <c r="J363" t="e">
        <f ca="1">IF((A1)=(2),"",IF((359)=(J4),IF(IF((INDEX(B1:XFD1,((A3)+(1))+(0)))=("store"),(INDEX(B1:XFD1,((A3)+(1))+(1)))=("J"),"false"),B3,J363),J363))</f>
        <v>#VALUE!</v>
      </c>
      <c r="K363" t="e">
        <f ca="1">IF((A1)=(2),"",IF((359)=(K4),IF(IF((INDEX(B1:XFD1,((A3)+(1))+(0)))=("store"),(INDEX(B1:XFD1,((A3)+(1))+(1)))=("K"),"false"),B3,K363),K363))</f>
        <v>#VALUE!</v>
      </c>
      <c r="L363" t="e">
        <f ca="1">IF((A1)=(2),"",IF((359)=(L4),IF(IF((INDEX(B1:XFD1,((A3)+(1))+(0)))=("store"),(INDEX(B1:XFD1,((A3)+(1))+(1)))=("L"),"false"),B3,L363),L363))</f>
        <v>#VALUE!</v>
      </c>
      <c r="M363" t="e">
        <f ca="1">IF((A1)=(2),"",IF((359)=(M4),IF(IF((INDEX(B1:XFD1,((A3)+(1))+(0)))=("store"),(INDEX(B1:XFD1,((A3)+(1))+(1)))=("M"),"false"),B3,M363),M363))</f>
        <v>#VALUE!</v>
      </c>
      <c r="N363" t="e">
        <f ca="1">IF((A1)=(2),"",IF((359)=(N4),IF(IF((INDEX(B1:XFD1,((A3)+(1))+(0)))=("store"),(INDEX(B1:XFD1,((A3)+(1))+(1)))=("N"),"false"),B3,N363),N363))</f>
        <v>#VALUE!</v>
      </c>
      <c r="O363" t="e">
        <f ca="1">IF((A1)=(2),"",IF((359)=(O4),IF(IF((INDEX(B1:XFD1,((A3)+(1))+(0)))=("store"),(INDEX(B1:XFD1,((A3)+(1))+(1)))=("O"),"false"),B3,O363),O363))</f>
        <v>#VALUE!</v>
      </c>
      <c r="P363" t="e">
        <f ca="1">IF((A1)=(2),"",IF((359)=(P4),IF(IF((INDEX(B1:XFD1,((A3)+(1))+(0)))=("store"),(INDEX(B1:XFD1,((A3)+(1))+(1)))=("P"),"false"),B3,P363),P363))</f>
        <v>#VALUE!</v>
      </c>
      <c r="Q363" t="e">
        <f ca="1">IF((A1)=(2),"",IF((359)=(Q4),IF(IF((INDEX(B1:XFD1,((A3)+(1))+(0)))=("store"),(INDEX(B1:XFD1,((A3)+(1))+(1)))=("Q"),"false"),B3,Q363),Q363))</f>
        <v>#VALUE!</v>
      </c>
      <c r="R363" t="e">
        <f ca="1">IF((A1)=(2),"",IF((359)=(R4),IF(IF((INDEX(B1:XFD1,((A3)+(1))+(0)))=("store"),(INDEX(B1:XFD1,((A3)+(1))+(1)))=("R"),"false"),B3,R363),R363))</f>
        <v>#VALUE!</v>
      </c>
      <c r="S363" t="e">
        <f ca="1">IF((A1)=(2),"",IF((359)=(S4),IF(IF((INDEX(B1:XFD1,((A3)+(1))+(0)))=("store"),(INDEX(B1:XFD1,((A3)+(1))+(1)))=("S"),"false"),B3,S363),S363))</f>
        <v>#VALUE!</v>
      </c>
      <c r="T363" t="e">
        <f ca="1">IF((A1)=(2),"",IF((359)=(T4),IF(IF((INDEX(B1:XFD1,((A3)+(1))+(0)))=("store"),(INDEX(B1:XFD1,((A3)+(1))+(1)))=("T"),"false"),B3,T363),T363))</f>
        <v>#VALUE!</v>
      </c>
      <c r="U363" t="e">
        <f ca="1">IF((A1)=(2),"",IF((359)=(U4),IF(IF((INDEX(B1:XFD1,((A3)+(1))+(0)))=("store"),(INDEX(B1:XFD1,((A3)+(1))+(1)))=("U"),"false"),B3,U363),U363))</f>
        <v>#VALUE!</v>
      </c>
      <c r="V363" t="e">
        <f ca="1">IF((A1)=(2),"",IF((359)=(V4),IF(IF((INDEX(B1:XFD1,((A3)+(1))+(0)))=("store"),(INDEX(B1:XFD1,((A3)+(1))+(1)))=("V"),"false"),B3,V363),V363))</f>
        <v>#VALUE!</v>
      </c>
      <c r="W363" t="e">
        <f ca="1">IF((A1)=(2),"",IF((359)=(W4),IF(IF((INDEX(B1:XFD1,((A3)+(1))+(0)))=("store"),(INDEX(B1:XFD1,((A3)+(1))+(1)))=("W"),"false"),B3,W363),W363))</f>
        <v>#VALUE!</v>
      </c>
      <c r="X363" t="e">
        <f ca="1">IF((A1)=(2),"",IF((359)=(X4),IF(IF((INDEX(B1:XFD1,((A3)+(1))+(0)))=("store"),(INDEX(B1:XFD1,((A3)+(1))+(1)))=("X"),"false"),B3,X363),X363))</f>
        <v>#VALUE!</v>
      </c>
      <c r="Y363" t="e">
        <f ca="1">IF((A1)=(2),"",IF((359)=(Y4),IF(IF((INDEX(B1:XFD1,((A3)+(1))+(0)))=("store"),(INDEX(B1:XFD1,((A3)+(1))+(1)))=("Y"),"false"),B3,Y363),Y363))</f>
        <v>#VALUE!</v>
      </c>
      <c r="Z363" t="e">
        <f ca="1">IF((A1)=(2),"",IF((359)=(Z4),IF(IF((INDEX(B1:XFD1,((A3)+(1))+(0)))=("store"),(INDEX(B1:XFD1,((A3)+(1))+(1)))=("Z"),"false"),B3,Z363),Z363))</f>
        <v>#VALUE!</v>
      </c>
      <c r="AA363" t="e">
        <f ca="1">IF((A1)=(2),"",IF((359)=(AA4),IF(IF((INDEX(B1:XFD1,((A3)+(1))+(0)))=("store"),(INDEX(B1:XFD1,((A3)+(1))+(1)))=("AA"),"false"),B3,AA363),AA363))</f>
        <v>#VALUE!</v>
      </c>
      <c r="AB363" t="e">
        <f ca="1">IF((A1)=(2),"",IF((359)=(AB4),IF(IF((INDEX(B1:XFD1,((A3)+(1))+(0)))=("store"),(INDEX(B1:XFD1,((A3)+(1))+(1)))=("AB"),"false"),B3,AB363),AB363))</f>
        <v>#VALUE!</v>
      </c>
      <c r="AC363" t="e">
        <f ca="1">IF((A1)=(2),"",IF((359)=(AC4),IF(IF((INDEX(B1:XFD1,((A3)+(1))+(0)))=("store"),(INDEX(B1:XFD1,((A3)+(1))+(1)))=("AC"),"false"),B3,AC363),AC363))</f>
        <v>#VALUE!</v>
      </c>
      <c r="AD363" t="e">
        <f ca="1">IF((A1)=(2),"",IF((359)=(AD4),IF(IF((INDEX(B1:XFD1,((A3)+(1))+(0)))=("store"),(INDEX(B1:XFD1,((A3)+(1))+(1)))=("AD"),"false"),B3,AD363),AD363))</f>
        <v>#VALUE!</v>
      </c>
    </row>
    <row r="364" spans="1:30" x14ac:dyDescent="0.25">
      <c r="A364" t="e">
        <f ca="1">IF((A1)=(2),"",IF((360)=(A4),IF(("call")=(INDEX(B1:XFD1,((A3)+(1))+(0))),(B3)*(2),IF(("goto")=(INDEX(B1:XFD1,((A3)+(1))+(0))),(INDEX(B1:XFD1,((A3)+(1))+(1)))*(2),IF(("gotoiftrue")=(INDEX(B1:XFD1,((A3)+(1))+(0))),IF(B3,(INDEX(B1:XFD1,((A3)+(1))+(1)))*(2),(A364)+(2)),(A364)+(2)))),A364))</f>
        <v>#VALUE!</v>
      </c>
      <c r="B364" t="e">
        <f ca="1">IF((A1)=(2),"",IF((360)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364)+(1)),IF(("add")=(INDEX(B1:XFD1,((A3)+(1))+(0))),(INDEX(B5:B405,(B4)+(1)))+(B364),IF(("equals")=(INDEX(B1:XFD1,((A3)+(1))+(0))),(INDEX(B5:B405,(B4)+(1)))=(B364),IF(("leq")=(INDEX(B1:XFD1,((A3)+(1))+(0))),(INDEX(B5:B405,(B4)+(1)))&lt;=(B364),IF(("greater")=(INDEX(B1:XFD1,((A3)+(1))+(0))),(INDEX(B5:B405,(B4)+(1)))&gt;(B364),IF(("mod")=(INDEX(B1:XFD1,((A3)+(1))+(0))),MOD(INDEX(B5:B405,(B4)+(1)),B364),B364))))))))),B364))</f>
        <v>#VALUE!</v>
      </c>
      <c r="C364" t="e">
        <f ca="1">IF((A1)=(2),1,IF(AND((INDEX(B1:XFD1,((A3)+(1))+(0)))=("writeheap"),(INDEX(B5:B405,(B4)+(1)))=(359)),INDEX(B5:B405,(B4)+(2)),IF((A1)=(2),"",IF((360)=(C4),C364,C364))))</f>
        <v>#VALUE!</v>
      </c>
      <c r="F364" t="e">
        <f ca="1">IF((A1)=(2),"",IF((360)=(F4),IF(IF((INDEX(B1:XFD1,((A3)+(1))+(0)))=("store"),(INDEX(B1:XFD1,((A3)+(1))+(1)))=("F"),"false"),B3,F364),F364))</f>
        <v>#VALUE!</v>
      </c>
      <c r="G364" t="e">
        <f ca="1">IF((A1)=(2),"",IF((360)=(G4),IF(IF((INDEX(B1:XFD1,((A3)+(1))+(0)))=("store"),(INDEX(B1:XFD1,((A3)+(1))+(1)))=("G"),"false"),B3,G364),G364))</f>
        <v>#VALUE!</v>
      </c>
      <c r="H364" t="e">
        <f ca="1">IF((A1)=(2),"",IF((360)=(H4),IF(IF((INDEX(B1:XFD1,((A3)+(1))+(0)))=("store"),(INDEX(B1:XFD1,((A3)+(1))+(1)))=("H"),"false"),B3,H364),H364))</f>
        <v>#VALUE!</v>
      </c>
      <c r="I364" t="e">
        <f ca="1">IF((A1)=(2),"",IF((360)=(I4),IF(IF((INDEX(B1:XFD1,((A3)+(1))+(0)))=("store"),(INDEX(B1:XFD1,((A3)+(1))+(1)))=("I"),"false"),B3,I364),I364))</f>
        <v>#VALUE!</v>
      </c>
      <c r="J364" t="e">
        <f ca="1">IF((A1)=(2),"",IF((360)=(J4),IF(IF((INDEX(B1:XFD1,((A3)+(1))+(0)))=("store"),(INDEX(B1:XFD1,((A3)+(1))+(1)))=("J"),"false"),B3,J364),J364))</f>
        <v>#VALUE!</v>
      </c>
      <c r="K364" t="e">
        <f ca="1">IF((A1)=(2),"",IF((360)=(K4),IF(IF((INDEX(B1:XFD1,((A3)+(1))+(0)))=("store"),(INDEX(B1:XFD1,((A3)+(1))+(1)))=("K"),"false"),B3,K364),K364))</f>
        <v>#VALUE!</v>
      </c>
      <c r="L364" t="e">
        <f ca="1">IF((A1)=(2),"",IF((360)=(L4),IF(IF((INDEX(B1:XFD1,((A3)+(1))+(0)))=("store"),(INDEX(B1:XFD1,((A3)+(1))+(1)))=("L"),"false"),B3,L364),L364))</f>
        <v>#VALUE!</v>
      </c>
      <c r="M364" t="e">
        <f ca="1">IF((A1)=(2),"",IF((360)=(M4),IF(IF((INDEX(B1:XFD1,((A3)+(1))+(0)))=("store"),(INDEX(B1:XFD1,((A3)+(1))+(1)))=("M"),"false"),B3,M364),M364))</f>
        <v>#VALUE!</v>
      </c>
      <c r="N364" t="e">
        <f ca="1">IF((A1)=(2),"",IF((360)=(N4),IF(IF((INDEX(B1:XFD1,((A3)+(1))+(0)))=("store"),(INDEX(B1:XFD1,((A3)+(1))+(1)))=("N"),"false"),B3,N364),N364))</f>
        <v>#VALUE!</v>
      </c>
      <c r="O364" t="e">
        <f ca="1">IF((A1)=(2),"",IF((360)=(O4),IF(IF((INDEX(B1:XFD1,((A3)+(1))+(0)))=("store"),(INDEX(B1:XFD1,((A3)+(1))+(1)))=("O"),"false"),B3,O364),O364))</f>
        <v>#VALUE!</v>
      </c>
      <c r="P364" t="e">
        <f ca="1">IF((A1)=(2),"",IF((360)=(P4),IF(IF((INDEX(B1:XFD1,((A3)+(1))+(0)))=("store"),(INDEX(B1:XFD1,((A3)+(1))+(1)))=("P"),"false"),B3,P364),P364))</f>
        <v>#VALUE!</v>
      </c>
      <c r="Q364" t="e">
        <f ca="1">IF((A1)=(2),"",IF((360)=(Q4),IF(IF((INDEX(B1:XFD1,((A3)+(1))+(0)))=("store"),(INDEX(B1:XFD1,((A3)+(1))+(1)))=("Q"),"false"),B3,Q364),Q364))</f>
        <v>#VALUE!</v>
      </c>
      <c r="R364" t="e">
        <f ca="1">IF((A1)=(2),"",IF((360)=(R4),IF(IF((INDEX(B1:XFD1,((A3)+(1))+(0)))=("store"),(INDEX(B1:XFD1,((A3)+(1))+(1)))=("R"),"false"),B3,R364),R364))</f>
        <v>#VALUE!</v>
      </c>
      <c r="S364" t="e">
        <f ca="1">IF((A1)=(2),"",IF((360)=(S4),IF(IF((INDEX(B1:XFD1,((A3)+(1))+(0)))=("store"),(INDEX(B1:XFD1,((A3)+(1))+(1)))=("S"),"false"),B3,S364),S364))</f>
        <v>#VALUE!</v>
      </c>
      <c r="T364" t="e">
        <f ca="1">IF((A1)=(2),"",IF((360)=(T4),IF(IF((INDEX(B1:XFD1,((A3)+(1))+(0)))=("store"),(INDEX(B1:XFD1,((A3)+(1))+(1)))=("T"),"false"),B3,T364),T364))</f>
        <v>#VALUE!</v>
      </c>
      <c r="U364" t="e">
        <f ca="1">IF((A1)=(2),"",IF((360)=(U4),IF(IF((INDEX(B1:XFD1,((A3)+(1))+(0)))=("store"),(INDEX(B1:XFD1,((A3)+(1))+(1)))=("U"),"false"),B3,U364),U364))</f>
        <v>#VALUE!</v>
      </c>
      <c r="V364" t="e">
        <f ca="1">IF((A1)=(2),"",IF((360)=(V4),IF(IF((INDEX(B1:XFD1,((A3)+(1))+(0)))=("store"),(INDEX(B1:XFD1,((A3)+(1))+(1)))=("V"),"false"),B3,V364),V364))</f>
        <v>#VALUE!</v>
      </c>
      <c r="W364" t="e">
        <f ca="1">IF((A1)=(2),"",IF((360)=(W4),IF(IF((INDEX(B1:XFD1,((A3)+(1))+(0)))=("store"),(INDEX(B1:XFD1,((A3)+(1))+(1)))=("W"),"false"),B3,W364),W364))</f>
        <v>#VALUE!</v>
      </c>
      <c r="X364" t="e">
        <f ca="1">IF((A1)=(2),"",IF((360)=(X4),IF(IF((INDEX(B1:XFD1,((A3)+(1))+(0)))=("store"),(INDEX(B1:XFD1,((A3)+(1))+(1)))=("X"),"false"),B3,X364),X364))</f>
        <v>#VALUE!</v>
      </c>
      <c r="Y364" t="e">
        <f ca="1">IF((A1)=(2),"",IF((360)=(Y4),IF(IF((INDEX(B1:XFD1,((A3)+(1))+(0)))=("store"),(INDEX(B1:XFD1,((A3)+(1))+(1)))=("Y"),"false"),B3,Y364),Y364))</f>
        <v>#VALUE!</v>
      </c>
      <c r="Z364" t="e">
        <f ca="1">IF((A1)=(2),"",IF((360)=(Z4),IF(IF((INDEX(B1:XFD1,((A3)+(1))+(0)))=("store"),(INDEX(B1:XFD1,((A3)+(1))+(1)))=("Z"),"false"),B3,Z364),Z364))</f>
        <v>#VALUE!</v>
      </c>
      <c r="AA364" t="e">
        <f ca="1">IF((A1)=(2),"",IF((360)=(AA4),IF(IF((INDEX(B1:XFD1,((A3)+(1))+(0)))=("store"),(INDEX(B1:XFD1,((A3)+(1))+(1)))=("AA"),"false"),B3,AA364),AA364))</f>
        <v>#VALUE!</v>
      </c>
      <c r="AB364" t="e">
        <f ca="1">IF((A1)=(2),"",IF((360)=(AB4),IF(IF((INDEX(B1:XFD1,((A3)+(1))+(0)))=("store"),(INDEX(B1:XFD1,((A3)+(1))+(1)))=("AB"),"false"),B3,AB364),AB364))</f>
        <v>#VALUE!</v>
      </c>
      <c r="AC364" t="e">
        <f ca="1">IF((A1)=(2),"",IF((360)=(AC4),IF(IF((INDEX(B1:XFD1,((A3)+(1))+(0)))=("store"),(INDEX(B1:XFD1,((A3)+(1))+(1)))=("AC"),"false"),B3,AC364),AC364))</f>
        <v>#VALUE!</v>
      </c>
      <c r="AD364" t="e">
        <f ca="1">IF((A1)=(2),"",IF((360)=(AD4),IF(IF((INDEX(B1:XFD1,((A3)+(1))+(0)))=("store"),(INDEX(B1:XFD1,((A3)+(1))+(1)))=("AD"),"false"),B3,AD364),AD364))</f>
        <v>#VALUE!</v>
      </c>
    </row>
    <row r="365" spans="1:30" x14ac:dyDescent="0.25">
      <c r="A365" t="e">
        <f ca="1">IF((A1)=(2),"",IF((361)=(A4),IF(("call")=(INDEX(B1:XFD1,((A3)+(1))+(0))),(B3)*(2),IF(("goto")=(INDEX(B1:XFD1,((A3)+(1))+(0))),(INDEX(B1:XFD1,((A3)+(1))+(1)))*(2),IF(("gotoiftrue")=(INDEX(B1:XFD1,((A3)+(1))+(0))),IF(B3,(INDEX(B1:XFD1,((A3)+(1))+(1)))*(2),(A365)+(2)),(A365)+(2)))),A365))</f>
        <v>#VALUE!</v>
      </c>
      <c r="B365" t="e">
        <f ca="1">IF((A1)=(2),"",IF((361)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365)+(1)),IF(("add")=(INDEX(B1:XFD1,((A3)+(1))+(0))),(INDEX(B5:B405,(B4)+(1)))+(B365),IF(("equals")=(INDEX(B1:XFD1,((A3)+(1))+(0))),(INDEX(B5:B405,(B4)+(1)))=(B365),IF(("leq")=(INDEX(B1:XFD1,((A3)+(1))+(0))),(INDEX(B5:B405,(B4)+(1)))&lt;=(B365),IF(("greater")=(INDEX(B1:XFD1,((A3)+(1))+(0))),(INDEX(B5:B405,(B4)+(1)))&gt;(B365),IF(("mod")=(INDEX(B1:XFD1,((A3)+(1))+(0))),MOD(INDEX(B5:B405,(B4)+(1)),B365),B365))))))))),B365))</f>
        <v>#VALUE!</v>
      </c>
      <c r="C365" t="e">
        <f ca="1">IF((A1)=(2),1,IF(AND((INDEX(B1:XFD1,((A3)+(1))+(0)))=("writeheap"),(INDEX(B5:B405,(B4)+(1)))=(360)),INDEX(B5:B405,(B4)+(2)),IF((A1)=(2),"",IF((361)=(C4),C365,C365))))</f>
        <v>#VALUE!</v>
      </c>
      <c r="F365" t="e">
        <f ca="1">IF((A1)=(2),"",IF((361)=(F4),IF(IF((INDEX(B1:XFD1,((A3)+(1))+(0)))=("store"),(INDEX(B1:XFD1,((A3)+(1))+(1)))=("F"),"false"),B3,F365),F365))</f>
        <v>#VALUE!</v>
      </c>
      <c r="G365" t="e">
        <f ca="1">IF((A1)=(2),"",IF((361)=(G4),IF(IF((INDEX(B1:XFD1,((A3)+(1))+(0)))=("store"),(INDEX(B1:XFD1,((A3)+(1))+(1)))=("G"),"false"),B3,G365),G365))</f>
        <v>#VALUE!</v>
      </c>
      <c r="H365" t="e">
        <f ca="1">IF((A1)=(2),"",IF((361)=(H4),IF(IF((INDEX(B1:XFD1,((A3)+(1))+(0)))=("store"),(INDEX(B1:XFD1,((A3)+(1))+(1)))=("H"),"false"),B3,H365),H365))</f>
        <v>#VALUE!</v>
      </c>
      <c r="I365" t="e">
        <f ca="1">IF((A1)=(2),"",IF((361)=(I4),IF(IF((INDEX(B1:XFD1,((A3)+(1))+(0)))=("store"),(INDEX(B1:XFD1,((A3)+(1))+(1)))=("I"),"false"),B3,I365),I365))</f>
        <v>#VALUE!</v>
      </c>
      <c r="J365" t="e">
        <f ca="1">IF((A1)=(2),"",IF((361)=(J4),IF(IF((INDEX(B1:XFD1,((A3)+(1))+(0)))=("store"),(INDEX(B1:XFD1,((A3)+(1))+(1)))=("J"),"false"),B3,J365),J365))</f>
        <v>#VALUE!</v>
      </c>
      <c r="K365" t="e">
        <f ca="1">IF((A1)=(2),"",IF((361)=(K4),IF(IF((INDEX(B1:XFD1,((A3)+(1))+(0)))=("store"),(INDEX(B1:XFD1,((A3)+(1))+(1)))=("K"),"false"),B3,K365),K365))</f>
        <v>#VALUE!</v>
      </c>
      <c r="L365" t="e">
        <f ca="1">IF((A1)=(2),"",IF((361)=(L4),IF(IF((INDEX(B1:XFD1,((A3)+(1))+(0)))=("store"),(INDEX(B1:XFD1,((A3)+(1))+(1)))=("L"),"false"),B3,L365),L365))</f>
        <v>#VALUE!</v>
      </c>
      <c r="M365" t="e">
        <f ca="1">IF((A1)=(2),"",IF((361)=(M4),IF(IF((INDEX(B1:XFD1,((A3)+(1))+(0)))=("store"),(INDEX(B1:XFD1,((A3)+(1))+(1)))=("M"),"false"),B3,M365),M365))</f>
        <v>#VALUE!</v>
      </c>
      <c r="N365" t="e">
        <f ca="1">IF((A1)=(2),"",IF((361)=(N4),IF(IF((INDEX(B1:XFD1,((A3)+(1))+(0)))=("store"),(INDEX(B1:XFD1,((A3)+(1))+(1)))=("N"),"false"),B3,N365),N365))</f>
        <v>#VALUE!</v>
      </c>
      <c r="O365" t="e">
        <f ca="1">IF((A1)=(2),"",IF((361)=(O4),IF(IF((INDEX(B1:XFD1,((A3)+(1))+(0)))=("store"),(INDEX(B1:XFD1,((A3)+(1))+(1)))=("O"),"false"),B3,O365),O365))</f>
        <v>#VALUE!</v>
      </c>
      <c r="P365" t="e">
        <f ca="1">IF((A1)=(2),"",IF((361)=(P4),IF(IF((INDEX(B1:XFD1,((A3)+(1))+(0)))=("store"),(INDEX(B1:XFD1,((A3)+(1))+(1)))=("P"),"false"),B3,P365),P365))</f>
        <v>#VALUE!</v>
      </c>
      <c r="Q365" t="e">
        <f ca="1">IF((A1)=(2),"",IF((361)=(Q4),IF(IF((INDEX(B1:XFD1,((A3)+(1))+(0)))=("store"),(INDEX(B1:XFD1,((A3)+(1))+(1)))=("Q"),"false"),B3,Q365),Q365))</f>
        <v>#VALUE!</v>
      </c>
      <c r="R365" t="e">
        <f ca="1">IF((A1)=(2),"",IF((361)=(R4),IF(IF((INDEX(B1:XFD1,((A3)+(1))+(0)))=("store"),(INDEX(B1:XFD1,((A3)+(1))+(1)))=("R"),"false"),B3,R365),R365))</f>
        <v>#VALUE!</v>
      </c>
      <c r="S365" t="e">
        <f ca="1">IF((A1)=(2),"",IF((361)=(S4),IF(IF((INDEX(B1:XFD1,((A3)+(1))+(0)))=("store"),(INDEX(B1:XFD1,((A3)+(1))+(1)))=("S"),"false"),B3,S365),S365))</f>
        <v>#VALUE!</v>
      </c>
      <c r="T365" t="e">
        <f ca="1">IF((A1)=(2),"",IF((361)=(T4),IF(IF((INDEX(B1:XFD1,((A3)+(1))+(0)))=("store"),(INDEX(B1:XFD1,((A3)+(1))+(1)))=("T"),"false"),B3,T365),T365))</f>
        <v>#VALUE!</v>
      </c>
      <c r="U365" t="e">
        <f ca="1">IF((A1)=(2),"",IF((361)=(U4),IF(IF((INDEX(B1:XFD1,((A3)+(1))+(0)))=("store"),(INDEX(B1:XFD1,((A3)+(1))+(1)))=("U"),"false"),B3,U365),U365))</f>
        <v>#VALUE!</v>
      </c>
      <c r="V365" t="e">
        <f ca="1">IF((A1)=(2),"",IF((361)=(V4),IF(IF((INDEX(B1:XFD1,((A3)+(1))+(0)))=("store"),(INDEX(B1:XFD1,((A3)+(1))+(1)))=("V"),"false"),B3,V365),V365))</f>
        <v>#VALUE!</v>
      </c>
      <c r="W365" t="e">
        <f ca="1">IF((A1)=(2),"",IF((361)=(W4),IF(IF((INDEX(B1:XFD1,((A3)+(1))+(0)))=("store"),(INDEX(B1:XFD1,((A3)+(1))+(1)))=("W"),"false"),B3,W365),W365))</f>
        <v>#VALUE!</v>
      </c>
      <c r="X365" t="e">
        <f ca="1">IF((A1)=(2),"",IF((361)=(X4),IF(IF((INDEX(B1:XFD1,((A3)+(1))+(0)))=("store"),(INDEX(B1:XFD1,((A3)+(1))+(1)))=("X"),"false"),B3,X365),X365))</f>
        <v>#VALUE!</v>
      </c>
      <c r="Y365" t="e">
        <f ca="1">IF((A1)=(2),"",IF((361)=(Y4),IF(IF((INDEX(B1:XFD1,((A3)+(1))+(0)))=("store"),(INDEX(B1:XFD1,((A3)+(1))+(1)))=("Y"),"false"),B3,Y365),Y365))</f>
        <v>#VALUE!</v>
      </c>
      <c r="Z365" t="e">
        <f ca="1">IF((A1)=(2),"",IF((361)=(Z4),IF(IF((INDEX(B1:XFD1,((A3)+(1))+(0)))=("store"),(INDEX(B1:XFD1,((A3)+(1))+(1)))=("Z"),"false"),B3,Z365),Z365))</f>
        <v>#VALUE!</v>
      </c>
      <c r="AA365" t="e">
        <f ca="1">IF((A1)=(2),"",IF((361)=(AA4),IF(IF((INDEX(B1:XFD1,((A3)+(1))+(0)))=("store"),(INDEX(B1:XFD1,((A3)+(1))+(1)))=("AA"),"false"),B3,AA365),AA365))</f>
        <v>#VALUE!</v>
      </c>
      <c r="AB365" t="e">
        <f ca="1">IF((A1)=(2),"",IF((361)=(AB4),IF(IF((INDEX(B1:XFD1,((A3)+(1))+(0)))=("store"),(INDEX(B1:XFD1,((A3)+(1))+(1)))=("AB"),"false"),B3,AB365),AB365))</f>
        <v>#VALUE!</v>
      </c>
      <c r="AC365" t="e">
        <f ca="1">IF((A1)=(2),"",IF((361)=(AC4),IF(IF((INDEX(B1:XFD1,((A3)+(1))+(0)))=("store"),(INDEX(B1:XFD1,((A3)+(1))+(1)))=("AC"),"false"),B3,AC365),AC365))</f>
        <v>#VALUE!</v>
      </c>
      <c r="AD365" t="e">
        <f ca="1">IF((A1)=(2),"",IF((361)=(AD4),IF(IF((INDEX(B1:XFD1,((A3)+(1))+(0)))=("store"),(INDEX(B1:XFD1,((A3)+(1))+(1)))=("AD"),"false"),B3,AD365),AD365))</f>
        <v>#VALUE!</v>
      </c>
    </row>
    <row r="366" spans="1:30" x14ac:dyDescent="0.25">
      <c r="A366" t="e">
        <f ca="1">IF((A1)=(2),"",IF((362)=(A4),IF(("call")=(INDEX(B1:XFD1,((A3)+(1))+(0))),(B3)*(2),IF(("goto")=(INDEX(B1:XFD1,((A3)+(1))+(0))),(INDEX(B1:XFD1,((A3)+(1))+(1)))*(2),IF(("gotoiftrue")=(INDEX(B1:XFD1,((A3)+(1))+(0))),IF(B3,(INDEX(B1:XFD1,((A3)+(1))+(1)))*(2),(A366)+(2)),(A366)+(2)))),A366))</f>
        <v>#VALUE!</v>
      </c>
      <c r="B366" t="e">
        <f ca="1">IF((A1)=(2),"",IF((362)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366)+(1)),IF(("add")=(INDEX(B1:XFD1,((A3)+(1))+(0))),(INDEX(B5:B405,(B4)+(1)))+(B366),IF(("equals")=(INDEX(B1:XFD1,((A3)+(1))+(0))),(INDEX(B5:B405,(B4)+(1)))=(B366),IF(("leq")=(INDEX(B1:XFD1,((A3)+(1))+(0))),(INDEX(B5:B405,(B4)+(1)))&lt;=(B366),IF(("greater")=(INDEX(B1:XFD1,((A3)+(1))+(0))),(INDEX(B5:B405,(B4)+(1)))&gt;(B366),IF(("mod")=(INDEX(B1:XFD1,((A3)+(1))+(0))),MOD(INDEX(B5:B405,(B4)+(1)),B366),B366))))))))),B366))</f>
        <v>#VALUE!</v>
      </c>
      <c r="C366" t="e">
        <f ca="1">IF((A1)=(2),1,IF(AND((INDEX(B1:XFD1,((A3)+(1))+(0)))=("writeheap"),(INDEX(B5:B405,(B4)+(1)))=(361)),INDEX(B5:B405,(B4)+(2)),IF((A1)=(2),"",IF((362)=(C4),C366,C366))))</f>
        <v>#VALUE!</v>
      </c>
      <c r="F366" t="e">
        <f ca="1">IF((A1)=(2),"",IF((362)=(F4),IF(IF((INDEX(B1:XFD1,((A3)+(1))+(0)))=("store"),(INDEX(B1:XFD1,((A3)+(1))+(1)))=("F"),"false"),B3,F366),F366))</f>
        <v>#VALUE!</v>
      </c>
      <c r="G366" t="e">
        <f ca="1">IF((A1)=(2),"",IF((362)=(G4),IF(IF((INDEX(B1:XFD1,((A3)+(1))+(0)))=("store"),(INDEX(B1:XFD1,((A3)+(1))+(1)))=("G"),"false"),B3,G366),G366))</f>
        <v>#VALUE!</v>
      </c>
      <c r="H366" t="e">
        <f ca="1">IF((A1)=(2),"",IF((362)=(H4),IF(IF((INDEX(B1:XFD1,((A3)+(1))+(0)))=("store"),(INDEX(B1:XFD1,((A3)+(1))+(1)))=("H"),"false"),B3,H366),H366))</f>
        <v>#VALUE!</v>
      </c>
      <c r="I366" t="e">
        <f ca="1">IF((A1)=(2),"",IF((362)=(I4),IF(IF((INDEX(B1:XFD1,((A3)+(1))+(0)))=("store"),(INDEX(B1:XFD1,((A3)+(1))+(1)))=("I"),"false"),B3,I366),I366))</f>
        <v>#VALUE!</v>
      </c>
      <c r="J366" t="e">
        <f ca="1">IF((A1)=(2),"",IF((362)=(J4),IF(IF((INDEX(B1:XFD1,((A3)+(1))+(0)))=("store"),(INDEX(B1:XFD1,((A3)+(1))+(1)))=("J"),"false"),B3,J366),J366))</f>
        <v>#VALUE!</v>
      </c>
      <c r="K366" t="e">
        <f ca="1">IF((A1)=(2),"",IF((362)=(K4),IF(IF((INDEX(B1:XFD1,((A3)+(1))+(0)))=("store"),(INDEX(B1:XFD1,((A3)+(1))+(1)))=("K"),"false"),B3,K366),K366))</f>
        <v>#VALUE!</v>
      </c>
      <c r="L366" t="e">
        <f ca="1">IF((A1)=(2),"",IF((362)=(L4),IF(IF((INDEX(B1:XFD1,((A3)+(1))+(0)))=("store"),(INDEX(B1:XFD1,((A3)+(1))+(1)))=("L"),"false"),B3,L366),L366))</f>
        <v>#VALUE!</v>
      </c>
      <c r="M366" t="e">
        <f ca="1">IF((A1)=(2),"",IF((362)=(M4),IF(IF((INDEX(B1:XFD1,((A3)+(1))+(0)))=("store"),(INDEX(B1:XFD1,((A3)+(1))+(1)))=("M"),"false"),B3,M366),M366))</f>
        <v>#VALUE!</v>
      </c>
      <c r="N366" t="e">
        <f ca="1">IF((A1)=(2),"",IF((362)=(N4),IF(IF((INDEX(B1:XFD1,((A3)+(1))+(0)))=("store"),(INDEX(B1:XFD1,((A3)+(1))+(1)))=("N"),"false"),B3,N366),N366))</f>
        <v>#VALUE!</v>
      </c>
      <c r="O366" t="e">
        <f ca="1">IF((A1)=(2),"",IF((362)=(O4),IF(IF((INDEX(B1:XFD1,((A3)+(1))+(0)))=("store"),(INDEX(B1:XFD1,((A3)+(1))+(1)))=("O"),"false"),B3,O366),O366))</f>
        <v>#VALUE!</v>
      </c>
      <c r="P366" t="e">
        <f ca="1">IF((A1)=(2),"",IF((362)=(P4),IF(IF((INDEX(B1:XFD1,((A3)+(1))+(0)))=("store"),(INDEX(B1:XFD1,((A3)+(1))+(1)))=("P"),"false"),B3,P366),P366))</f>
        <v>#VALUE!</v>
      </c>
      <c r="Q366" t="e">
        <f ca="1">IF((A1)=(2),"",IF((362)=(Q4),IF(IF((INDEX(B1:XFD1,((A3)+(1))+(0)))=("store"),(INDEX(B1:XFD1,((A3)+(1))+(1)))=("Q"),"false"),B3,Q366),Q366))</f>
        <v>#VALUE!</v>
      </c>
      <c r="R366" t="e">
        <f ca="1">IF((A1)=(2),"",IF((362)=(R4),IF(IF((INDEX(B1:XFD1,((A3)+(1))+(0)))=("store"),(INDEX(B1:XFD1,((A3)+(1))+(1)))=("R"),"false"),B3,R366),R366))</f>
        <v>#VALUE!</v>
      </c>
      <c r="S366" t="e">
        <f ca="1">IF((A1)=(2),"",IF((362)=(S4),IF(IF((INDEX(B1:XFD1,((A3)+(1))+(0)))=("store"),(INDEX(B1:XFD1,((A3)+(1))+(1)))=("S"),"false"),B3,S366),S366))</f>
        <v>#VALUE!</v>
      </c>
      <c r="T366" t="e">
        <f ca="1">IF((A1)=(2),"",IF((362)=(T4),IF(IF((INDEX(B1:XFD1,((A3)+(1))+(0)))=("store"),(INDEX(B1:XFD1,((A3)+(1))+(1)))=("T"),"false"),B3,T366),T366))</f>
        <v>#VALUE!</v>
      </c>
      <c r="U366" t="e">
        <f ca="1">IF((A1)=(2),"",IF((362)=(U4),IF(IF((INDEX(B1:XFD1,((A3)+(1))+(0)))=("store"),(INDEX(B1:XFD1,((A3)+(1))+(1)))=("U"),"false"),B3,U366),U366))</f>
        <v>#VALUE!</v>
      </c>
      <c r="V366" t="e">
        <f ca="1">IF((A1)=(2),"",IF((362)=(V4),IF(IF((INDEX(B1:XFD1,((A3)+(1))+(0)))=("store"),(INDEX(B1:XFD1,((A3)+(1))+(1)))=("V"),"false"),B3,V366),V366))</f>
        <v>#VALUE!</v>
      </c>
      <c r="W366" t="e">
        <f ca="1">IF((A1)=(2),"",IF((362)=(W4),IF(IF((INDEX(B1:XFD1,((A3)+(1))+(0)))=("store"),(INDEX(B1:XFD1,((A3)+(1))+(1)))=("W"),"false"),B3,W366),W366))</f>
        <v>#VALUE!</v>
      </c>
      <c r="X366" t="e">
        <f ca="1">IF((A1)=(2),"",IF((362)=(X4),IF(IF((INDEX(B1:XFD1,((A3)+(1))+(0)))=("store"),(INDEX(B1:XFD1,((A3)+(1))+(1)))=("X"),"false"),B3,X366),X366))</f>
        <v>#VALUE!</v>
      </c>
      <c r="Y366" t="e">
        <f ca="1">IF((A1)=(2),"",IF((362)=(Y4),IF(IF((INDEX(B1:XFD1,((A3)+(1))+(0)))=("store"),(INDEX(B1:XFD1,((A3)+(1))+(1)))=("Y"),"false"),B3,Y366),Y366))</f>
        <v>#VALUE!</v>
      </c>
      <c r="Z366" t="e">
        <f ca="1">IF((A1)=(2),"",IF((362)=(Z4),IF(IF((INDEX(B1:XFD1,((A3)+(1))+(0)))=("store"),(INDEX(B1:XFD1,((A3)+(1))+(1)))=("Z"),"false"),B3,Z366),Z366))</f>
        <v>#VALUE!</v>
      </c>
      <c r="AA366" t="e">
        <f ca="1">IF((A1)=(2),"",IF((362)=(AA4),IF(IF((INDEX(B1:XFD1,((A3)+(1))+(0)))=("store"),(INDEX(B1:XFD1,((A3)+(1))+(1)))=("AA"),"false"),B3,AA366),AA366))</f>
        <v>#VALUE!</v>
      </c>
      <c r="AB366" t="e">
        <f ca="1">IF((A1)=(2),"",IF((362)=(AB4),IF(IF((INDEX(B1:XFD1,((A3)+(1))+(0)))=("store"),(INDEX(B1:XFD1,((A3)+(1))+(1)))=("AB"),"false"),B3,AB366),AB366))</f>
        <v>#VALUE!</v>
      </c>
      <c r="AC366" t="e">
        <f ca="1">IF((A1)=(2),"",IF((362)=(AC4),IF(IF((INDEX(B1:XFD1,((A3)+(1))+(0)))=("store"),(INDEX(B1:XFD1,((A3)+(1))+(1)))=("AC"),"false"),B3,AC366),AC366))</f>
        <v>#VALUE!</v>
      </c>
      <c r="AD366" t="e">
        <f ca="1">IF((A1)=(2),"",IF((362)=(AD4),IF(IF((INDEX(B1:XFD1,((A3)+(1))+(0)))=("store"),(INDEX(B1:XFD1,((A3)+(1))+(1)))=("AD"),"false"),B3,AD366),AD366))</f>
        <v>#VALUE!</v>
      </c>
    </row>
    <row r="367" spans="1:30" x14ac:dyDescent="0.25">
      <c r="A367" t="e">
        <f ca="1">IF((A1)=(2),"",IF((363)=(A4),IF(("call")=(INDEX(B1:XFD1,((A3)+(1))+(0))),(B3)*(2),IF(("goto")=(INDEX(B1:XFD1,((A3)+(1))+(0))),(INDEX(B1:XFD1,((A3)+(1))+(1)))*(2),IF(("gotoiftrue")=(INDEX(B1:XFD1,((A3)+(1))+(0))),IF(B3,(INDEX(B1:XFD1,((A3)+(1))+(1)))*(2),(A367)+(2)),(A367)+(2)))),A367))</f>
        <v>#VALUE!</v>
      </c>
      <c r="B367" t="e">
        <f ca="1">IF((A1)=(2),"",IF((363)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367)+(1)),IF(("add")=(INDEX(B1:XFD1,((A3)+(1))+(0))),(INDEX(B5:B405,(B4)+(1)))+(B367),IF(("equals")=(INDEX(B1:XFD1,((A3)+(1))+(0))),(INDEX(B5:B405,(B4)+(1)))=(B367),IF(("leq")=(INDEX(B1:XFD1,((A3)+(1))+(0))),(INDEX(B5:B405,(B4)+(1)))&lt;=(B367),IF(("greater")=(INDEX(B1:XFD1,((A3)+(1))+(0))),(INDEX(B5:B405,(B4)+(1)))&gt;(B367),IF(("mod")=(INDEX(B1:XFD1,((A3)+(1))+(0))),MOD(INDEX(B5:B405,(B4)+(1)),B367),B367))))))))),B367))</f>
        <v>#VALUE!</v>
      </c>
      <c r="C367" t="e">
        <f ca="1">IF((A1)=(2),1,IF(AND((INDEX(B1:XFD1,((A3)+(1))+(0)))=("writeheap"),(INDEX(B5:B405,(B4)+(1)))=(362)),INDEX(B5:B405,(B4)+(2)),IF((A1)=(2),"",IF((363)=(C4),C367,C367))))</f>
        <v>#VALUE!</v>
      </c>
      <c r="F367" t="e">
        <f ca="1">IF((A1)=(2),"",IF((363)=(F4),IF(IF((INDEX(B1:XFD1,((A3)+(1))+(0)))=("store"),(INDEX(B1:XFD1,((A3)+(1))+(1)))=("F"),"false"),B3,F367),F367))</f>
        <v>#VALUE!</v>
      </c>
      <c r="G367" t="e">
        <f ca="1">IF((A1)=(2),"",IF((363)=(G4),IF(IF((INDEX(B1:XFD1,((A3)+(1))+(0)))=("store"),(INDEX(B1:XFD1,((A3)+(1))+(1)))=("G"),"false"),B3,G367),G367))</f>
        <v>#VALUE!</v>
      </c>
      <c r="H367" t="e">
        <f ca="1">IF((A1)=(2),"",IF((363)=(H4),IF(IF((INDEX(B1:XFD1,((A3)+(1))+(0)))=("store"),(INDEX(B1:XFD1,((A3)+(1))+(1)))=("H"),"false"),B3,H367),H367))</f>
        <v>#VALUE!</v>
      </c>
      <c r="I367" t="e">
        <f ca="1">IF((A1)=(2),"",IF((363)=(I4),IF(IF((INDEX(B1:XFD1,((A3)+(1))+(0)))=("store"),(INDEX(B1:XFD1,((A3)+(1))+(1)))=("I"),"false"),B3,I367),I367))</f>
        <v>#VALUE!</v>
      </c>
      <c r="J367" t="e">
        <f ca="1">IF((A1)=(2),"",IF((363)=(J4),IF(IF((INDEX(B1:XFD1,((A3)+(1))+(0)))=("store"),(INDEX(B1:XFD1,((A3)+(1))+(1)))=("J"),"false"),B3,J367),J367))</f>
        <v>#VALUE!</v>
      </c>
      <c r="K367" t="e">
        <f ca="1">IF((A1)=(2),"",IF((363)=(K4),IF(IF((INDEX(B1:XFD1,((A3)+(1))+(0)))=("store"),(INDEX(B1:XFD1,((A3)+(1))+(1)))=("K"),"false"),B3,K367),K367))</f>
        <v>#VALUE!</v>
      </c>
      <c r="L367" t="e">
        <f ca="1">IF((A1)=(2),"",IF((363)=(L4),IF(IF((INDEX(B1:XFD1,((A3)+(1))+(0)))=("store"),(INDEX(B1:XFD1,((A3)+(1))+(1)))=("L"),"false"),B3,L367),L367))</f>
        <v>#VALUE!</v>
      </c>
      <c r="M367" t="e">
        <f ca="1">IF((A1)=(2),"",IF((363)=(M4),IF(IF((INDEX(B1:XFD1,((A3)+(1))+(0)))=("store"),(INDEX(B1:XFD1,((A3)+(1))+(1)))=("M"),"false"),B3,M367),M367))</f>
        <v>#VALUE!</v>
      </c>
      <c r="N367" t="e">
        <f ca="1">IF((A1)=(2),"",IF((363)=(N4),IF(IF((INDEX(B1:XFD1,((A3)+(1))+(0)))=("store"),(INDEX(B1:XFD1,((A3)+(1))+(1)))=("N"),"false"),B3,N367),N367))</f>
        <v>#VALUE!</v>
      </c>
      <c r="O367" t="e">
        <f ca="1">IF((A1)=(2),"",IF((363)=(O4),IF(IF((INDEX(B1:XFD1,((A3)+(1))+(0)))=("store"),(INDEX(B1:XFD1,((A3)+(1))+(1)))=("O"),"false"),B3,O367),O367))</f>
        <v>#VALUE!</v>
      </c>
      <c r="P367" t="e">
        <f ca="1">IF((A1)=(2),"",IF((363)=(P4),IF(IF((INDEX(B1:XFD1,((A3)+(1))+(0)))=("store"),(INDEX(B1:XFD1,((A3)+(1))+(1)))=("P"),"false"),B3,P367),P367))</f>
        <v>#VALUE!</v>
      </c>
      <c r="Q367" t="e">
        <f ca="1">IF((A1)=(2),"",IF((363)=(Q4),IF(IF((INDEX(B1:XFD1,((A3)+(1))+(0)))=("store"),(INDEX(B1:XFD1,((A3)+(1))+(1)))=("Q"),"false"),B3,Q367),Q367))</f>
        <v>#VALUE!</v>
      </c>
      <c r="R367" t="e">
        <f ca="1">IF((A1)=(2),"",IF((363)=(R4),IF(IF((INDEX(B1:XFD1,((A3)+(1))+(0)))=("store"),(INDEX(B1:XFD1,((A3)+(1))+(1)))=("R"),"false"),B3,R367),R367))</f>
        <v>#VALUE!</v>
      </c>
      <c r="S367" t="e">
        <f ca="1">IF((A1)=(2),"",IF((363)=(S4),IF(IF((INDEX(B1:XFD1,((A3)+(1))+(0)))=("store"),(INDEX(B1:XFD1,((A3)+(1))+(1)))=("S"),"false"),B3,S367),S367))</f>
        <v>#VALUE!</v>
      </c>
      <c r="T367" t="e">
        <f ca="1">IF((A1)=(2),"",IF((363)=(T4),IF(IF((INDEX(B1:XFD1,((A3)+(1))+(0)))=("store"),(INDEX(B1:XFD1,((A3)+(1))+(1)))=("T"),"false"),B3,T367),T367))</f>
        <v>#VALUE!</v>
      </c>
      <c r="U367" t="e">
        <f ca="1">IF((A1)=(2),"",IF((363)=(U4),IF(IF((INDEX(B1:XFD1,((A3)+(1))+(0)))=("store"),(INDEX(B1:XFD1,((A3)+(1))+(1)))=("U"),"false"),B3,U367),U367))</f>
        <v>#VALUE!</v>
      </c>
      <c r="V367" t="e">
        <f ca="1">IF((A1)=(2),"",IF((363)=(V4),IF(IF((INDEX(B1:XFD1,((A3)+(1))+(0)))=("store"),(INDEX(B1:XFD1,((A3)+(1))+(1)))=("V"),"false"),B3,V367),V367))</f>
        <v>#VALUE!</v>
      </c>
      <c r="W367" t="e">
        <f ca="1">IF((A1)=(2),"",IF((363)=(W4),IF(IF((INDEX(B1:XFD1,((A3)+(1))+(0)))=("store"),(INDEX(B1:XFD1,((A3)+(1))+(1)))=("W"),"false"),B3,W367),W367))</f>
        <v>#VALUE!</v>
      </c>
      <c r="X367" t="e">
        <f ca="1">IF((A1)=(2),"",IF((363)=(X4),IF(IF((INDEX(B1:XFD1,((A3)+(1))+(0)))=("store"),(INDEX(B1:XFD1,((A3)+(1))+(1)))=("X"),"false"),B3,X367),X367))</f>
        <v>#VALUE!</v>
      </c>
      <c r="Y367" t="e">
        <f ca="1">IF((A1)=(2),"",IF((363)=(Y4),IF(IF((INDEX(B1:XFD1,((A3)+(1))+(0)))=("store"),(INDEX(B1:XFD1,((A3)+(1))+(1)))=("Y"),"false"),B3,Y367),Y367))</f>
        <v>#VALUE!</v>
      </c>
      <c r="Z367" t="e">
        <f ca="1">IF((A1)=(2),"",IF((363)=(Z4),IF(IF((INDEX(B1:XFD1,((A3)+(1))+(0)))=("store"),(INDEX(B1:XFD1,((A3)+(1))+(1)))=("Z"),"false"),B3,Z367),Z367))</f>
        <v>#VALUE!</v>
      </c>
      <c r="AA367" t="e">
        <f ca="1">IF((A1)=(2),"",IF((363)=(AA4),IF(IF((INDEX(B1:XFD1,((A3)+(1))+(0)))=("store"),(INDEX(B1:XFD1,((A3)+(1))+(1)))=("AA"),"false"),B3,AA367),AA367))</f>
        <v>#VALUE!</v>
      </c>
      <c r="AB367" t="e">
        <f ca="1">IF((A1)=(2),"",IF((363)=(AB4),IF(IF((INDEX(B1:XFD1,((A3)+(1))+(0)))=("store"),(INDEX(B1:XFD1,((A3)+(1))+(1)))=("AB"),"false"),B3,AB367),AB367))</f>
        <v>#VALUE!</v>
      </c>
      <c r="AC367" t="e">
        <f ca="1">IF((A1)=(2),"",IF((363)=(AC4),IF(IF((INDEX(B1:XFD1,((A3)+(1))+(0)))=("store"),(INDEX(B1:XFD1,((A3)+(1))+(1)))=("AC"),"false"),B3,AC367),AC367))</f>
        <v>#VALUE!</v>
      </c>
      <c r="AD367" t="e">
        <f ca="1">IF((A1)=(2),"",IF((363)=(AD4),IF(IF((INDEX(B1:XFD1,((A3)+(1))+(0)))=("store"),(INDEX(B1:XFD1,((A3)+(1))+(1)))=("AD"),"false"),B3,AD367),AD367))</f>
        <v>#VALUE!</v>
      </c>
    </row>
    <row r="368" spans="1:30" x14ac:dyDescent="0.25">
      <c r="A368" t="e">
        <f ca="1">IF((A1)=(2),"",IF((364)=(A4),IF(("call")=(INDEX(B1:XFD1,((A3)+(1))+(0))),(B3)*(2),IF(("goto")=(INDEX(B1:XFD1,((A3)+(1))+(0))),(INDEX(B1:XFD1,((A3)+(1))+(1)))*(2),IF(("gotoiftrue")=(INDEX(B1:XFD1,((A3)+(1))+(0))),IF(B3,(INDEX(B1:XFD1,((A3)+(1))+(1)))*(2),(A368)+(2)),(A368)+(2)))),A368))</f>
        <v>#VALUE!</v>
      </c>
      <c r="B368" t="e">
        <f ca="1">IF((A1)=(2),"",IF((364)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368)+(1)),IF(("add")=(INDEX(B1:XFD1,((A3)+(1))+(0))),(INDEX(B5:B405,(B4)+(1)))+(B368),IF(("equals")=(INDEX(B1:XFD1,((A3)+(1))+(0))),(INDEX(B5:B405,(B4)+(1)))=(B368),IF(("leq")=(INDEX(B1:XFD1,((A3)+(1))+(0))),(INDEX(B5:B405,(B4)+(1)))&lt;=(B368),IF(("greater")=(INDEX(B1:XFD1,((A3)+(1))+(0))),(INDEX(B5:B405,(B4)+(1)))&gt;(B368),IF(("mod")=(INDEX(B1:XFD1,((A3)+(1))+(0))),MOD(INDEX(B5:B405,(B4)+(1)),B368),B368))))))))),B368))</f>
        <v>#VALUE!</v>
      </c>
      <c r="C368" t="e">
        <f ca="1">IF((A1)=(2),1,IF(AND((INDEX(B1:XFD1,((A3)+(1))+(0)))=("writeheap"),(INDEX(B5:B405,(B4)+(1)))=(363)),INDEX(B5:B405,(B4)+(2)),IF((A1)=(2),"",IF((364)=(C4),C368,C368))))</f>
        <v>#VALUE!</v>
      </c>
      <c r="F368" t="e">
        <f ca="1">IF((A1)=(2),"",IF((364)=(F4),IF(IF((INDEX(B1:XFD1,((A3)+(1))+(0)))=("store"),(INDEX(B1:XFD1,((A3)+(1))+(1)))=("F"),"false"),B3,F368),F368))</f>
        <v>#VALUE!</v>
      </c>
      <c r="G368" t="e">
        <f ca="1">IF((A1)=(2),"",IF((364)=(G4),IF(IF((INDEX(B1:XFD1,((A3)+(1))+(0)))=("store"),(INDEX(B1:XFD1,((A3)+(1))+(1)))=("G"),"false"),B3,G368),G368))</f>
        <v>#VALUE!</v>
      </c>
      <c r="H368" t="e">
        <f ca="1">IF((A1)=(2),"",IF((364)=(H4),IF(IF((INDEX(B1:XFD1,((A3)+(1))+(0)))=("store"),(INDEX(B1:XFD1,((A3)+(1))+(1)))=("H"),"false"),B3,H368),H368))</f>
        <v>#VALUE!</v>
      </c>
      <c r="I368" t="e">
        <f ca="1">IF((A1)=(2),"",IF((364)=(I4),IF(IF((INDEX(B1:XFD1,((A3)+(1))+(0)))=("store"),(INDEX(B1:XFD1,((A3)+(1))+(1)))=("I"),"false"),B3,I368),I368))</f>
        <v>#VALUE!</v>
      </c>
      <c r="J368" t="e">
        <f ca="1">IF((A1)=(2),"",IF((364)=(J4),IF(IF((INDEX(B1:XFD1,((A3)+(1))+(0)))=("store"),(INDEX(B1:XFD1,((A3)+(1))+(1)))=("J"),"false"),B3,J368),J368))</f>
        <v>#VALUE!</v>
      </c>
      <c r="K368" t="e">
        <f ca="1">IF((A1)=(2),"",IF((364)=(K4),IF(IF((INDEX(B1:XFD1,((A3)+(1))+(0)))=("store"),(INDEX(B1:XFD1,((A3)+(1))+(1)))=("K"),"false"),B3,K368),K368))</f>
        <v>#VALUE!</v>
      </c>
      <c r="L368" t="e">
        <f ca="1">IF((A1)=(2),"",IF((364)=(L4),IF(IF((INDEX(B1:XFD1,((A3)+(1))+(0)))=("store"),(INDEX(B1:XFD1,((A3)+(1))+(1)))=("L"),"false"),B3,L368),L368))</f>
        <v>#VALUE!</v>
      </c>
      <c r="M368" t="e">
        <f ca="1">IF((A1)=(2),"",IF((364)=(M4),IF(IF((INDEX(B1:XFD1,((A3)+(1))+(0)))=("store"),(INDEX(B1:XFD1,((A3)+(1))+(1)))=("M"),"false"),B3,M368),M368))</f>
        <v>#VALUE!</v>
      </c>
      <c r="N368" t="e">
        <f ca="1">IF((A1)=(2),"",IF((364)=(N4),IF(IF((INDEX(B1:XFD1,((A3)+(1))+(0)))=("store"),(INDEX(B1:XFD1,((A3)+(1))+(1)))=("N"),"false"),B3,N368),N368))</f>
        <v>#VALUE!</v>
      </c>
      <c r="O368" t="e">
        <f ca="1">IF((A1)=(2),"",IF((364)=(O4),IF(IF((INDEX(B1:XFD1,((A3)+(1))+(0)))=("store"),(INDEX(B1:XFD1,((A3)+(1))+(1)))=("O"),"false"),B3,O368),O368))</f>
        <v>#VALUE!</v>
      </c>
      <c r="P368" t="e">
        <f ca="1">IF((A1)=(2),"",IF((364)=(P4),IF(IF((INDEX(B1:XFD1,((A3)+(1))+(0)))=("store"),(INDEX(B1:XFD1,((A3)+(1))+(1)))=("P"),"false"),B3,P368),P368))</f>
        <v>#VALUE!</v>
      </c>
      <c r="Q368" t="e">
        <f ca="1">IF((A1)=(2),"",IF((364)=(Q4),IF(IF((INDEX(B1:XFD1,((A3)+(1))+(0)))=("store"),(INDEX(B1:XFD1,((A3)+(1))+(1)))=("Q"),"false"),B3,Q368),Q368))</f>
        <v>#VALUE!</v>
      </c>
      <c r="R368" t="e">
        <f ca="1">IF((A1)=(2),"",IF((364)=(R4),IF(IF((INDEX(B1:XFD1,((A3)+(1))+(0)))=("store"),(INDEX(B1:XFD1,((A3)+(1))+(1)))=("R"),"false"),B3,R368),R368))</f>
        <v>#VALUE!</v>
      </c>
      <c r="S368" t="e">
        <f ca="1">IF((A1)=(2),"",IF((364)=(S4),IF(IF((INDEX(B1:XFD1,((A3)+(1))+(0)))=("store"),(INDEX(B1:XFD1,((A3)+(1))+(1)))=("S"),"false"),B3,S368),S368))</f>
        <v>#VALUE!</v>
      </c>
      <c r="T368" t="e">
        <f ca="1">IF((A1)=(2),"",IF((364)=(T4),IF(IF((INDEX(B1:XFD1,((A3)+(1))+(0)))=("store"),(INDEX(B1:XFD1,((A3)+(1))+(1)))=("T"),"false"),B3,T368),T368))</f>
        <v>#VALUE!</v>
      </c>
      <c r="U368" t="e">
        <f ca="1">IF((A1)=(2),"",IF((364)=(U4),IF(IF((INDEX(B1:XFD1,((A3)+(1))+(0)))=("store"),(INDEX(B1:XFD1,((A3)+(1))+(1)))=("U"),"false"),B3,U368),U368))</f>
        <v>#VALUE!</v>
      </c>
      <c r="V368" t="e">
        <f ca="1">IF((A1)=(2),"",IF((364)=(V4),IF(IF((INDEX(B1:XFD1,((A3)+(1))+(0)))=("store"),(INDEX(B1:XFD1,((A3)+(1))+(1)))=("V"),"false"),B3,V368),V368))</f>
        <v>#VALUE!</v>
      </c>
      <c r="W368" t="e">
        <f ca="1">IF((A1)=(2),"",IF((364)=(W4),IF(IF((INDEX(B1:XFD1,((A3)+(1))+(0)))=("store"),(INDEX(B1:XFD1,((A3)+(1))+(1)))=("W"),"false"),B3,W368),W368))</f>
        <v>#VALUE!</v>
      </c>
      <c r="X368" t="e">
        <f ca="1">IF((A1)=(2),"",IF((364)=(X4),IF(IF((INDEX(B1:XFD1,((A3)+(1))+(0)))=("store"),(INDEX(B1:XFD1,((A3)+(1))+(1)))=("X"),"false"),B3,X368),X368))</f>
        <v>#VALUE!</v>
      </c>
      <c r="Y368" t="e">
        <f ca="1">IF((A1)=(2),"",IF((364)=(Y4),IF(IF((INDEX(B1:XFD1,((A3)+(1))+(0)))=("store"),(INDEX(B1:XFD1,((A3)+(1))+(1)))=("Y"),"false"),B3,Y368),Y368))</f>
        <v>#VALUE!</v>
      </c>
      <c r="Z368" t="e">
        <f ca="1">IF((A1)=(2),"",IF((364)=(Z4),IF(IF((INDEX(B1:XFD1,((A3)+(1))+(0)))=("store"),(INDEX(B1:XFD1,((A3)+(1))+(1)))=("Z"),"false"),B3,Z368),Z368))</f>
        <v>#VALUE!</v>
      </c>
      <c r="AA368" t="e">
        <f ca="1">IF((A1)=(2),"",IF((364)=(AA4),IF(IF((INDEX(B1:XFD1,((A3)+(1))+(0)))=("store"),(INDEX(B1:XFD1,((A3)+(1))+(1)))=("AA"),"false"),B3,AA368),AA368))</f>
        <v>#VALUE!</v>
      </c>
      <c r="AB368" t="e">
        <f ca="1">IF((A1)=(2),"",IF((364)=(AB4),IF(IF((INDEX(B1:XFD1,((A3)+(1))+(0)))=("store"),(INDEX(B1:XFD1,((A3)+(1))+(1)))=("AB"),"false"),B3,AB368),AB368))</f>
        <v>#VALUE!</v>
      </c>
      <c r="AC368" t="e">
        <f ca="1">IF((A1)=(2),"",IF((364)=(AC4),IF(IF((INDEX(B1:XFD1,((A3)+(1))+(0)))=("store"),(INDEX(B1:XFD1,((A3)+(1))+(1)))=("AC"),"false"),B3,AC368),AC368))</f>
        <v>#VALUE!</v>
      </c>
      <c r="AD368" t="e">
        <f ca="1">IF((A1)=(2),"",IF((364)=(AD4),IF(IF((INDEX(B1:XFD1,((A3)+(1))+(0)))=("store"),(INDEX(B1:XFD1,((A3)+(1))+(1)))=("AD"),"false"),B3,AD368),AD368))</f>
        <v>#VALUE!</v>
      </c>
    </row>
    <row r="369" spans="1:30" x14ac:dyDescent="0.25">
      <c r="A369" t="e">
        <f ca="1">IF((A1)=(2),"",IF((365)=(A4),IF(("call")=(INDEX(B1:XFD1,((A3)+(1))+(0))),(B3)*(2),IF(("goto")=(INDEX(B1:XFD1,((A3)+(1))+(0))),(INDEX(B1:XFD1,((A3)+(1))+(1)))*(2),IF(("gotoiftrue")=(INDEX(B1:XFD1,((A3)+(1))+(0))),IF(B3,(INDEX(B1:XFD1,((A3)+(1))+(1)))*(2),(A369)+(2)),(A369)+(2)))),A369))</f>
        <v>#VALUE!</v>
      </c>
      <c r="B369" t="e">
        <f ca="1">IF((A1)=(2),"",IF((365)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369)+(1)),IF(("add")=(INDEX(B1:XFD1,((A3)+(1))+(0))),(INDEX(B5:B405,(B4)+(1)))+(B369),IF(("equals")=(INDEX(B1:XFD1,((A3)+(1))+(0))),(INDEX(B5:B405,(B4)+(1)))=(B369),IF(("leq")=(INDEX(B1:XFD1,((A3)+(1))+(0))),(INDEX(B5:B405,(B4)+(1)))&lt;=(B369),IF(("greater")=(INDEX(B1:XFD1,((A3)+(1))+(0))),(INDEX(B5:B405,(B4)+(1)))&gt;(B369),IF(("mod")=(INDEX(B1:XFD1,((A3)+(1))+(0))),MOD(INDEX(B5:B405,(B4)+(1)),B369),B369))))))))),B369))</f>
        <v>#VALUE!</v>
      </c>
      <c r="C369" t="e">
        <f ca="1">IF((A1)=(2),1,IF(AND((INDEX(B1:XFD1,((A3)+(1))+(0)))=("writeheap"),(INDEX(B5:B405,(B4)+(1)))=(364)),INDEX(B5:B405,(B4)+(2)),IF((A1)=(2),"",IF((365)=(C4),C369,C369))))</f>
        <v>#VALUE!</v>
      </c>
      <c r="F369" t="e">
        <f ca="1">IF((A1)=(2),"",IF((365)=(F4),IF(IF((INDEX(B1:XFD1,((A3)+(1))+(0)))=("store"),(INDEX(B1:XFD1,((A3)+(1))+(1)))=("F"),"false"),B3,F369),F369))</f>
        <v>#VALUE!</v>
      </c>
      <c r="G369" t="e">
        <f ca="1">IF((A1)=(2),"",IF((365)=(G4),IF(IF((INDEX(B1:XFD1,((A3)+(1))+(0)))=("store"),(INDEX(B1:XFD1,((A3)+(1))+(1)))=("G"),"false"),B3,G369),G369))</f>
        <v>#VALUE!</v>
      </c>
      <c r="H369" t="e">
        <f ca="1">IF((A1)=(2),"",IF((365)=(H4),IF(IF((INDEX(B1:XFD1,((A3)+(1))+(0)))=("store"),(INDEX(B1:XFD1,((A3)+(1))+(1)))=("H"),"false"),B3,H369),H369))</f>
        <v>#VALUE!</v>
      </c>
      <c r="I369" t="e">
        <f ca="1">IF((A1)=(2),"",IF((365)=(I4),IF(IF((INDEX(B1:XFD1,((A3)+(1))+(0)))=("store"),(INDEX(B1:XFD1,((A3)+(1))+(1)))=("I"),"false"),B3,I369),I369))</f>
        <v>#VALUE!</v>
      </c>
      <c r="J369" t="e">
        <f ca="1">IF((A1)=(2),"",IF((365)=(J4),IF(IF((INDEX(B1:XFD1,((A3)+(1))+(0)))=("store"),(INDEX(B1:XFD1,((A3)+(1))+(1)))=("J"),"false"),B3,J369),J369))</f>
        <v>#VALUE!</v>
      </c>
      <c r="K369" t="e">
        <f ca="1">IF((A1)=(2),"",IF((365)=(K4),IF(IF((INDEX(B1:XFD1,((A3)+(1))+(0)))=("store"),(INDEX(B1:XFD1,((A3)+(1))+(1)))=("K"),"false"),B3,K369),K369))</f>
        <v>#VALUE!</v>
      </c>
      <c r="L369" t="e">
        <f ca="1">IF((A1)=(2),"",IF((365)=(L4),IF(IF((INDEX(B1:XFD1,((A3)+(1))+(0)))=("store"),(INDEX(B1:XFD1,((A3)+(1))+(1)))=("L"),"false"),B3,L369),L369))</f>
        <v>#VALUE!</v>
      </c>
      <c r="M369" t="e">
        <f ca="1">IF((A1)=(2),"",IF((365)=(M4),IF(IF((INDEX(B1:XFD1,((A3)+(1))+(0)))=("store"),(INDEX(B1:XFD1,((A3)+(1))+(1)))=("M"),"false"),B3,M369),M369))</f>
        <v>#VALUE!</v>
      </c>
      <c r="N369" t="e">
        <f ca="1">IF((A1)=(2),"",IF((365)=(N4),IF(IF((INDEX(B1:XFD1,((A3)+(1))+(0)))=("store"),(INDEX(B1:XFD1,((A3)+(1))+(1)))=("N"),"false"),B3,N369),N369))</f>
        <v>#VALUE!</v>
      </c>
      <c r="O369" t="e">
        <f ca="1">IF((A1)=(2),"",IF((365)=(O4),IF(IF((INDEX(B1:XFD1,((A3)+(1))+(0)))=("store"),(INDEX(B1:XFD1,((A3)+(1))+(1)))=("O"),"false"),B3,O369),O369))</f>
        <v>#VALUE!</v>
      </c>
      <c r="P369" t="e">
        <f ca="1">IF((A1)=(2),"",IF((365)=(P4),IF(IF((INDEX(B1:XFD1,((A3)+(1))+(0)))=("store"),(INDEX(B1:XFD1,((A3)+(1))+(1)))=("P"),"false"),B3,P369),P369))</f>
        <v>#VALUE!</v>
      </c>
      <c r="Q369" t="e">
        <f ca="1">IF((A1)=(2),"",IF((365)=(Q4),IF(IF((INDEX(B1:XFD1,((A3)+(1))+(0)))=("store"),(INDEX(B1:XFD1,((A3)+(1))+(1)))=("Q"),"false"),B3,Q369),Q369))</f>
        <v>#VALUE!</v>
      </c>
      <c r="R369" t="e">
        <f ca="1">IF((A1)=(2),"",IF((365)=(R4),IF(IF((INDEX(B1:XFD1,((A3)+(1))+(0)))=("store"),(INDEX(B1:XFD1,((A3)+(1))+(1)))=("R"),"false"),B3,R369),R369))</f>
        <v>#VALUE!</v>
      </c>
      <c r="S369" t="e">
        <f ca="1">IF((A1)=(2),"",IF((365)=(S4),IF(IF((INDEX(B1:XFD1,((A3)+(1))+(0)))=("store"),(INDEX(B1:XFD1,((A3)+(1))+(1)))=("S"),"false"),B3,S369),S369))</f>
        <v>#VALUE!</v>
      </c>
      <c r="T369" t="e">
        <f ca="1">IF((A1)=(2),"",IF((365)=(T4),IF(IF((INDEX(B1:XFD1,((A3)+(1))+(0)))=("store"),(INDEX(B1:XFD1,((A3)+(1))+(1)))=("T"),"false"),B3,T369),T369))</f>
        <v>#VALUE!</v>
      </c>
      <c r="U369" t="e">
        <f ca="1">IF((A1)=(2),"",IF((365)=(U4),IF(IF((INDEX(B1:XFD1,((A3)+(1))+(0)))=("store"),(INDEX(B1:XFD1,((A3)+(1))+(1)))=("U"),"false"),B3,U369),U369))</f>
        <v>#VALUE!</v>
      </c>
      <c r="V369" t="e">
        <f ca="1">IF((A1)=(2),"",IF((365)=(V4),IF(IF((INDEX(B1:XFD1,((A3)+(1))+(0)))=("store"),(INDEX(B1:XFD1,((A3)+(1))+(1)))=("V"),"false"),B3,V369),V369))</f>
        <v>#VALUE!</v>
      </c>
      <c r="W369" t="e">
        <f ca="1">IF((A1)=(2),"",IF((365)=(W4),IF(IF((INDEX(B1:XFD1,((A3)+(1))+(0)))=("store"),(INDEX(B1:XFD1,((A3)+(1))+(1)))=("W"),"false"),B3,W369),W369))</f>
        <v>#VALUE!</v>
      </c>
      <c r="X369" t="e">
        <f ca="1">IF((A1)=(2),"",IF((365)=(X4),IF(IF((INDEX(B1:XFD1,((A3)+(1))+(0)))=("store"),(INDEX(B1:XFD1,((A3)+(1))+(1)))=("X"),"false"),B3,X369),X369))</f>
        <v>#VALUE!</v>
      </c>
      <c r="Y369" t="e">
        <f ca="1">IF((A1)=(2),"",IF((365)=(Y4),IF(IF((INDEX(B1:XFD1,((A3)+(1))+(0)))=("store"),(INDEX(B1:XFD1,((A3)+(1))+(1)))=("Y"),"false"),B3,Y369),Y369))</f>
        <v>#VALUE!</v>
      </c>
      <c r="Z369" t="e">
        <f ca="1">IF((A1)=(2),"",IF((365)=(Z4),IF(IF((INDEX(B1:XFD1,((A3)+(1))+(0)))=("store"),(INDEX(B1:XFD1,((A3)+(1))+(1)))=("Z"),"false"),B3,Z369),Z369))</f>
        <v>#VALUE!</v>
      </c>
      <c r="AA369" t="e">
        <f ca="1">IF((A1)=(2),"",IF((365)=(AA4),IF(IF((INDEX(B1:XFD1,((A3)+(1))+(0)))=("store"),(INDEX(B1:XFD1,((A3)+(1))+(1)))=("AA"),"false"),B3,AA369),AA369))</f>
        <v>#VALUE!</v>
      </c>
      <c r="AB369" t="e">
        <f ca="1">IF((A1)=(2),"",IF((365)=(AB4),IF(IF((INDEX(B1:XFD1,((A3)+(1))+(0)))=("store"),(INDEX(B1:XFD1,((A3)+(1))+(1)))=("AB"),"false"),B3,AB369),AB369))</f>
        <v>#VALUE!</v>
      </c>
      <c r="AC369" t="e">
        <f ca="1">IF((A1)=(2),"",IF((365)=(AC4),IF(IF((INDEX(B1:XFD1,((A3)+(1))+(0)))=("store"),(INDEX(B1:XFD1,((A3)+(1))+(1)))=("AC"),"false"),B3,AC369),AC369))</f>
        <v>#VALUE!</v>
      </c>
      <c r="AD369" t="e">
        <f ca="1">IF((A1)=(2),"",IF((365)=(AD4),IF(IF((INDEX(B1:XFD1,((A3)+(1))+(0)))=("store"),(INDEX(B1:XFD1,((A3)+(1))+(1)))=("AD"),"false"),B3,AD369),AD369))</f>
        <v>#VALUE!</v>
      </c>
    </row>
    <row r="370" spans="1:30" x14ac:dyDescent="0.25">
      <c r="A370" t="e">
        <f ca="1">IF((A1)=(2),"",IF((366)=(A4),IF(("call")=(INDEX(B1:XFD1,((A3)+(1))+(0))),(B3)*(2),IF(("goto")=(INDEX(B1:XFD1,((A3)+(1))+(0))),(INDEX(B1:XFD1,((A3)+(1))+(1)))*(2),IF(("gotoiftrue")=(INDEX(B1:XFD1,((A3)+(1))+(0))),IF(B3,(INDEX(B1:XFD1,((A3)+(1))+(1)))*(2),(A370)+(2)),(A370)+(2)))),A370))</f>
        <v>#VALUE!</v>
      </c>
      <c r="B370" t="e">
        <f ca="1">IF((A1)=(2),"",IF((366)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370)+(1)),IF(("add")=(INDEX(B1:XFD1,((A3)+(1))+(0))),(INDEX(B5:B405,(B4)+(1)))+(B370),IF(("equals")=(INDEX(B1:XFD1,((A3)+(1))+(0))),(INDEX(B5:B405,(B4)+(1)))=(B370),IF(("leq")=(INDEX(B1:XFD1,((A3)+(1))+(0))),(INDEX(B5:B405,(B4)+(1)))&lt;=(B370),IF(("greater")=(INDEX(B1:XFD1,((A3)+(1))+(0))),(INDEX(B5:B405,(B4)+(1)))&gt;(B370),IF(("mod")=(INDEX(B1:XFD1,((A3)+(1))+(0))),MOD(INDEX(B5:B405,(B4)+(1)),B370),B370))))))))),B370))</f>
        <v>#VALUE!</v>
      </c>
      <c r="C370" t="e">
        <f ca="1">IF((A1)=(2),1,IF(AND((INDEX(B1:XFD1,((A3)+(1))+(0)))=("writeheap"),(INDEX(B5:B405,(B4)+(1)))=(365)),INDEX(B5:B405,(B4)+(2)),IF((A1)=(2),"",IF((366)=(C4),C370,C370))))</f>
        <v>#VALUE!</v>
      </c>
      <c r="F370" t="e">
        <f ca="1">IF((A1)=(2),"",IF((366)=(F4),IF(IF((INDEX(B1:XFD1,((A3)+(1))+(0)))=("store"),(INDEX(B1:XFD1,((A3)+(1))+(1)))=("F"),"false"),B3,F370),F370))</f>
        <v>#VALUE!</v>
      </c>
      <c r="G370" t="e">
        <f ca="1">IF((A1)=(2),"",IF((366)=(G4),IF(IF((INDEX(B1:XFD1,((A3)+(1))+(0)))=("store"),(INDEX(B1:XFD1,((A3)+(1))+(1)))=("G"),"false"),B3,G370),G370))</f>
        <v>#VALUE!</v>
      </c>
      <c r="H370" t="e">
        <f ca="1">IF((A1)=(2),"",IF((366)=(H4),IF(IF((INDEX(B1:XFD1,((A3)+(1))+(0)))=("store"),(INDEX(B1:XFD1,((A3)+(1))+(1)))=("H"),"false"),B3,H370),H370))</f>
        <v>#VALUE!</v>
      </c>
      <c r="I370" t="e">
        <f ca="1">IF((A1)=(2),"",IF((366)=(I4),IF(IF((INDEX(B1:XFD1,((A3)+(1))+(0)))=("store"),(INDEX(B1:XFD1,((A3)+(1))+(1)))=("I"),"false"),B3,I370),I370))</f>
        <v>#VALUE!</v>
      </c>
      <c r="J370" t="e">
        <f ca="1">IF((A1)=(2),"",IF((366)=(J4),IF(IF((INDEX(B1:XFD1,((A3)+(1))+(0)))=("store"),(INDEX(B1:XFD1,((A3)+(1))+(1)))=("J"),"false"),B3,J370),J370))</f>
        <v>#VALUE!</v>
      </c>
      <c r="K370" t="e">
        <f ca="1">IF((A1)=(2),"",IF((366)=(K4),IF(IF((INDEX(B1:XFD1,((A3)+(1))+(0)))=("store"),(INDEX(B1:XFD1,((A3)+(1))+(1)))=("K"),"false"),B3,K370),K370))</f>
        <v>#VALUE!</v>
      </c>
      <c r="L370" t="e">
        <f ca="1">IF((A1)=(2),"",IF((366)=(L4),IF(IF((INDEX(B1:XFD1,((A3)+(1))+(0)))=("store"),(INDEX(B1:XFD1,((A3)+(1))+(1)))=("L"),"false"),B3,L370),L370))</f>
        <v>#VALUE!</v>
      </c>
      <c r="M370" t="e">
        <f ca="1">IF((A1)=(2),"",IF((366)=(M4),IF(IF((INDEX(B1:XFD1,((A3)+(1))+(0)))=("store"),(INDEX(B1:XFD1,((A3)+(1))+(1)))=("M"),"false"),B3,M370),M370))</f>
        <v>#VALUE!</v>
      </c>
      <c r="N370" t="e">
        <f ca="1">IF((A1)=(2),"",IF((366)=(N4),IF(IF((INDEX(B1:XFD1,((A3)+(1))+(0)))=("store"),(INDEX(B1:XFD1,((A3)+(1))+(1)))=("N"),"false"),B3,N370),N370))</f>
        <v>#VALUE!</v>
      </c>
      <c r="O370" t="e">
        <f ca="1">IF((A1)=(2),"",IF((366)=(O4),IF(IF((INDEX(B1:XFD1,((A3)+(1))+(0)))=("store"),(INDEX(B1:XFD1,((A3)+(1))+(1)))=("O"),"false"),B3,O370),O370))</f>
        <v>#VALUE!</v>
      </c>
      <c r="P370" t="e">
        <f ca="1">IF((A1)=(2),"",IF((366)=(P4),IF(IF((INDEX(B1:XFD1,((A3)+(1))+(0)))=("store"),(INDEX(B1:XFD1,((A3)+(1))+(1)))=("P"),"false"),B3,P370),P370))</f>
        <v>#VALUE!</v>
      </c>
      <c r="Q370" t="e">
        <f ca="1">IF((A1)=(2),"",IF((366)=(Q4),IF(IF((INDEX(B1:XFD1,((A3)+(1))+(0)))=("store"),(INDEX(B1:XFD1,((A3)+(1))+(1)))=("Q"),"false"),B3,Q370),Q370))</f>
        <v>#VALUE!</v>
      </c>
      <c r="R370" t="e">
        <f ca="1">IF((A1)=(2),"",IF((366)=(R4),IF(IF((INDEX(B1:XFD1,((A3)+(1))+(0)))=("store"),(INDEX(B1:XFD1,((A3)+(1))+(1)))=("R"),"false"),B3,R370),R370))</f>
        <v>#VALUE!</v>
      </c>
      <c r="S370" t="e">
        <f ca="1">IF((A1)=(2),"",IF((366)=(S4),IF(IF((INDEX(B1:XFD1,((A3)+(1))+(0)))=("store"),(INDEX(B1:XFD1,((A3)+(1))+(1)))=("S"),"false"),B3,S370),S370))</f>
        <v>#VALUE!</v>
      </c>
      <c r="T370" t="e">
        <f ca="1">IF((A1)=(2),"",IF((366)=(T4),IF(IF((INDEX(B1:XFD1,((A3)+(1))+(0)))=("store"),(INDEX(B1:XFD1,((A3)+(1))+(1)))=("T"),"false"),B3,T370),T370))</f>
        <v>#VALUE!</v>
      </c>
      <c r="U370" t="e">
        <f ca="1">IF((A1)=(2),"",IF((366)=(U4),IF(IF((INDEX(B1:XFD1,((A3)+(1))+(0)))=("store"),(INDEX(B1:XFD1,((A3)+(1))+(1)))=("U"),"false"),B3,U370),U370))</f>
        <v>#VALUE!</v>
      </c>
      <c r="V370" t="e">
        <f ca="1">IF((A1)=(2),"",IF((366)=(V4),IF(IF((INDEX(B1:XFD1,((A3)+(1))+(0)))=("store"),(INDEX(B1:XFD1,((A3)+(1))+(1)))=("V"),"false"),B3,V370),V370))</f>
        <v>#VALUE!</v>
      </c>
      <c r="W370" t="e">
        <f ca="1">IF((A1)=(2),"",IF((366)=(W4),IF(IF((INDEX(B1:XFD1,((A3)+(1))+(0)))=("store"),(INDEX(B1:XFD1,((A3)+(1))+(1)))=("W"),"false"),B3,W370),W370))</f>
        <v>#VALUE!</v>
      </c>
      <c r="X370" t="e">
        <f ca="1">IF((A1)=(2),"",IF((366)=(X4),IF(IF((INDEX(B1:XFD1,((A3)+(1))+(0)))=("store"),(INDEX(B1:XFD1,((A3)+(1))+(1)))=("X"),"false"),B3,X370),X370))</f>
        <v>#VALUE!</v>
      </c>
      <c r="Y370" t="e">
        <f ca="1">IF((A1)=(2),"",IF((366)=(Y4),IF(IF((INDEX(B1:XFD1,((A3)+(1))+(0)))=("store"),(INDEX(B1:XFD1,((A3)+(1))+(1)))=("Y"),"false"),B3,Y370),Y370))</f>
        <v>#VALUE!</v>
      </c>
      <c r="Z370" t="e">
        <f ca="1">IF((A1)=(2),"",IF((366)=(Z4),IF(IF((INDEX(B1:XFD1,((A3)+(1))+(0)))=("store"),(INDEX(B1:XFD1,((A3)+(1))+(1)))=("Z"),"false"),B3,Z370),Z370))</f>
        <v>#VALUE!</v>
      </c>
      <c r="AA370" t="e">
        <f ca="1">IF((A1)=(2),"",IF((366)=(AA4),IF(IF((INDEX(B1:XFD1,((A3)+(1))+(0)))=("store"),(INDEX(B1:XFD1,((A3)+(1))+(1)))=("AA"),"false"),B3,AA370),AA370))</f>
        <v>#VALUE!</v>
      </c>
      <c r="AB370" t="e">
        <f ca="1">IF((A1)=(2),"",IF((366)=(AB4),IF(IF((INDEX(B1:XFD1,((A3)+(1))+(0)))=("store"),(INDEX(B1:XFD1,((A3)+(1))+(1)))=("AB"),"false"),B3,AB370),AB370))</f>
        <v>#VALUE!</v>
      </c>
      <c r="AC370" t="e">
        <f ca="1">IF((A1)=(2),"",IF((366)=(AC4),IF(IF((INDEX(B1:XFD1,((A3)+(1))+(0)))=("store"),(INDEX(B1:XFD1,((A3)+(1))+(1)))=("AC"),"false"),B3,AC370),AC370))</f>
        <v>#VALUE!</v>
      </c>
      <c r="AD370" t="e">
        <f ca="1">IF((A1)=(2),"",IF((366)=(AD4),IF(IF((INDEX(B1:XFD1,((A3)+(1))+(0)))=("store"),(INDEX(B1:XFD1,((A3)+(1))+(1)))=("AD"),"false"),B3,AD370),AD370))</f>
        <v>#VALUE!</v>
      </c>
    </row>
    <row r="371" spans="1:30" x14ac:dyDescent="0.25">
      <c r="A371" t="e">
        <f ca="1">IF((A1)=(2),"",IF((367)=(A4),IF(("call")=(INDEX(B1:XFD1,((A3)+(1))+(0))),(B3)*(2),IF(("goto")=(INDEX(B1:XFD1,((A3)+(1))+(0))),(INDEX(B1:XFD1,((A3)+(1))+(1)))*(2),IF(("gotoiftrue")=(INDEX(B1:XFD1,((A3)+(1))+(0))),IF(B3,(INDEX(B1:XFD1,((A3)+(1))+(1)))*(2),(A371)+(2)),(A371)+(2)))),A371))</f>
        <v>#VALUE!</v>
      </c>
      <c r="B371" t="e">
        <f ca="1">IF((A1)=(2),"",IF((367)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371)+(1)),IF(("add")=(INDEX(B1:XFD1,((A3)+(1))+(0))),(INDEX(B5:B405,(B4)+(1)))+(B371),IF(("equals")=(INDEX(B1:XFD1,((A3)+(1))+(0))),(INDEX(B5:B405,(B4)+(1)))=(B371),IF(("leq")=(INDEX(B1:XFD1,((A3)+(1))+(0))),(INDEX(B5:B405,(B4)+(1)))&lt;=(B371),IF(("greater")=(INDEX(B1:XFD1,((A3)+(1))+(0))),(INDEX(B5:B405,(B4)+(1)))&gt;(B371),IF(("mod")=(INDEX(B1:XFD1,((A3)+(1))+(0))),MOD(INDEX(B5:B405,(B4)+(1)),B371),B371))))))))),B371))</f>
        <v>#VALUE!</v>
      </c>
      <c r="C371" t="e">
        <f ca="1">IF((A1)=(2),1,IF(AND((INDEX(B1:XFD1,((A3)+(1))+(0)))=("writeheap"),(INDEX(B5:B405,(B4)+(1)))=(366)),INDEX(B5:B405,(B4)+(2)),IF((A1)=(2),"",IF((367)=(C4),C371,C371))))</f>
        <v>#VALUE!</v>
      </c>
      <c r="F371" t="e">
        <f ca="1">IF((A1)=(2),"",IF((367)=(F4),IF(IF((INDEX(B1:XFD1,((A3)+(1))+(0)))=("store"),(INDEX(B1:XFD1,((A3)+(1))+(1)))=("F"),"false"),B3,F371),F371))</f>
        <v>#VALUE!</v>
      </c>
      <c r="G371" t="e">
        <f ca="1">IF((A1)=(2),"",IF((367)=(G4),IF(IF((INDEX(B1:XFD1,((A3)+(1))+(0)))=("store"),(INDEX(B1:XFD1,((A3)+(1))+(1)))=("G"),"false"),B3,G371),G371))</f>
        <v>#VALUE!</v>
      </c>
      <c r="H371" t="e">
        <f ca="1">IF((A1)=(2),"",IF((367)=(H4),IF(IF((INDEX(B1:XFD1,((A3)+(1))+(0)))=("store"),(INDEX(B1:XFD1,((A3)+(1))+(1)))=("H"),"false"),B3,H371),H371))</f>
        <v>#VALUE!</v>
      </c>
      <c r="I371" t="e">
        <f ca="1">IF((A1)=(2),"",IF((367)=(I4),IF(IF((INDEX(B1:XFD1,((A3)+(1))+(0)))=("store"),(INDEX(B1:XFD1,((A3)+(1))+(1)))=("I"),"false"),B3,I371),I371))</f>
        <v>#VALUE!</v>
      </c>
      <c r="J371" t="e">
        <f ca="1">IF((A1)=(2),"",IF((367)=(J4),IF(IF((INDEX(B1:XFD1,((A3)+(1))+(0)))=("store"),(INDEX(B1:XFD1,((A3)+(1))+(1)))=("J"),"false"),B3,J371),J371))</f>
        <v>#VALUE!</v>
      </c>
      <c r="K371" t="e">
        <f ca="1">IF((A1)=(2),"",IF((367)=(K4),IF(IF((INDEX(B1:XFD1,((A3)+(1))+(0)))=("store"),(INDEX(B1:XFD1,((A3)+(1))+(1)))=("K"),"false"),B3,K371),K371))</f>
        <v>#VALUE!</v>
      </c>
      <c r="L371" t="e">
        <f ca="1">IF((A1)=(2),"",IF((367)=(L4),IF(IF((INDEX(B1:XFD1,((A3)+(1))+(0)))=("store"),(INDEX(B1:XFD1,((A3)+(1))+(1)))=("L"),"false"),B3,L371),L371))</f>
        <v>#VALUE!</v>
      </c>
      <c r="M371" t="e">
        <f ca="1">IF((A1)=(2),"",IF((367)=(M4),IF(IF((INDEX(B1:XFD1,((A3)+(1))+(0)))=("store"),(INDEX(B1:XFD1,((A3)+(1))+(1)))=("M"),"false"),B3,M371),M371))</f>
        <v>#VALUE!</v>
      </c>
      <c r="N371" t="e">
        <f ca="1">IF((A1)=(2),"",IF((367)=(N4),IF(IF((INDEX(B1:XFD1,((A3)+(1))+(0)))=("store"),(INDEX(B1:XFD1,((A3)+(1))+(1)))=("N"),"false"),B3,N371),N371))</f>
        <v>#VALUE!</v>
      </c>
      <c r="O371" t="e">
        <f ca="1">IF((A1)=(2),"",IF((367)=(O4),IF(IF((INDEX(B1:XFD1,((A3)+(1))+(0)))=("store"),(INDEX(B1:XFD1,((A3)+(1))+(1)))=("O"),"false"),B3,O371),O371))</f>
        <v>#VALUE!</v>
      </c>
      <c r="P371" t="e">
        <f ca="1">IF((A1)=(2),"",IF((367)=(P4),IF(IF((INDEX(B1:XFD1,((A3)+(1))+(0)))=("store"),(INDEX(B1:XFD1,((A3)+(1))+(1)))=("P"),"false"),B3,P371),P371))</f>
        <v>#VALUE!</v>
      </c>
      <c r="Q371" t="e">
        <f ca="1">IF((A1)=(2),"",IF((367)=(Q4),IF(IF((INDEX(B1:XFD1,((A3)+(1))+(0)))=("store"),(INDEX(B1:XFD1,((A3)+(1))+(1)))=("Q"),"false"),B3,Q371),Q371))</f>
        <v>#VALUE!</v>
      </c>
      <c r="R371" t="e">
        <f ca="1">IF((A1)=(2),"",IF((367)=(R4),IF(IF((INDEX(B1:XFD1,((A3)+(1))+(0)))=("store"),(INDEX(B1:XFD1,((A3)+(1))+(1)))=("R"),"false"),B3,R371),R371))</f>
        <v>#VALUE!</v>
      </c>
      <c r="S371" t="e">
        <f ca="1">IF((A1)=(2),"",IF((367)=(S4),IF(IF((INDEX(B1:XFD1,((A3)+(1))+(0)))=("store"),(INDEX(B1:XFD1,((A3)+(1))+(1)))=("S"),"false"),B3,S371),S371))</f>
        <v>#VALUE!</v>
      </c>
      <c r="T371" t="e">
        <f ca="1">IF((A1)=(2),"",IF((367)=(T4),IF(IF((INDEX(B1:XFD1,((A3)+(1))+(0)))=("store"),(INDEX(B1:XFD1,((A3)+(1))+(1)))=("T"),"false"),B3,T371),T371))</f>
        <v>#VALUE!</v>
      </c>
      <c r="U371" t="e">
        <f ca="1">IF((A1)=(2),"",IF((367)=(U4),IF(IF((INDEX(B1:XFD1,((A3)+(1))+(0)))=("store"),(INDEX(B1:XFD1,((A3)+(1))+(1)))=("U"),"false"),B3,U371),U371))</f>
        <v>#VALUE!</v>
      </c>
      <c r="V371" t="e">
        <f ca="1">IF((A1)=(2),"",IF((367)=(V4),IF(IF((INDEX(B1:XFD1,((A3)+(1))+(0)))=("store"),(INDEX(B1:XFD1,((A3)+(1))+(1)))=("V"),"false"),B3,V371),V371))</f>
        <v>#VALUE!</v>
      </c>
      <c r="W371" t="e">
        <f ca="1">IF((A1)=(2),"",IF((367)=(W4),IF(IF((INDEX(B1:XFD1,((A3)+(1))+(0)))=("store"),(INDEX(B1:XFD1,((A3)+(1))+(1)))=("W"),"false"),B3,W371),W371))</f>
        <v>#VALUE!</v>
      </c>
      <c r="X371" t="e">
        <f ca="1">IF((A1)=(2),"",IF((367)=(X4),IF(IF((INDEX(B1:XFD1,((A3)+(1))+(0)))=("store"),(INDEX(B1:XFD1,((A3)+(1))+(1)))=("X"),"false"),B3,X371),X371))</f>
        <v>#VALUE!</v>
      </c>
      <c r="Y371" t="e">
        <f ca="1">IF((A1)=(2),"",IF((367)=(Y4),IF(IF((INDEX(B1:XFD1,((A3)+(1))+(0)))=("store"),(INDEX(B1:XFD1,((A3)+(1))+(1)))=("Y"),"false"),B3,Y371),Y371))</f>
        <v>#VALUE!</v>
      </c>
      <c r="Z371" t="e">
        <f ca="1">IF((A1)=(2),"",IF((367)=(Z4),IF(IF((INDEX(B1:XFD1,((A3)+(1))+(0)))=("store"),(INDEX(B1:XFD1,((A3)+(1))+(1)))=("Z"),"false"),B3,Z371),Z371))</f>
        <v>#VALUE!</v>
      </c>
      <c r="AA371" t="e">
        <f ca="1">IF((A1)=(2),"",IF((367)=(AA4),IF(IF((INDEX(B1:XFD1,((A3)+(1))+(0)))=("store"),(INDEX(B1:XFD1,((A3)+(1))+(1)))=("AA"),"false"),B3,AA371),AA371))</f>
        <v>#VALUE!</v>
      </c>
      <c r="AB371" t="e">
        <f ca="1">IF((A1)=(2),"",IF((367)=(AB4),IF(IF((INDEX(B1:XFD1,((A3)+(1))+(0)))=("store"),(INDEX(B1:XFD1,((A3)+(1))+(1)))=("AB"),"false"),B3,AB371),AB371))</f>
        <v>#VALUE!</v>
      </c>
      <c r="AC371" t="e">
        <f ca="1">IF((A1)=(2),"",IF((367)=(AC4),IF(IF((INDEX(B1:XFD1,((A3)+(1))+(0)))=("store"),(INDEX(B1:XFD1,((A3)+(1))+(1)))=("AC"),"false"),B3,AC371),AC371))</f>
        <v>#VALUE!</v>
      </c>
      <c r="AD371" t="e">
        <f ca="1">IF((A1)=(2),"",IF((367)=(AD4),IF(IF((INDEX(B1:XFD1,((A3)+(1))+(0)))=("store"),(INDEX(B1:XFD1,((A3)+(1))+(1)))=("AD"),"false"),B3,AD371),AD371))</f>
        <v>#VALUE!</v>
      </c>
    </row>
    <row r="372" spans="1:30" x14ac:dyDescent="0.25">
      <c r="A372" t="e">
        <f ca="1">IF((A1)=(2),"",IF((368)=(A4),IF(("call")=(INDEX(B1:XFD1,((A3)+(1))+(0))),(B3)*(2),IF(("goto")=(INDEX(B1:XFD1,((A3)+(1))+(0))),(INDEX(B1:XFD1,((A3)+(1))+(1)))*(2),IF(("gotoiftrue")=(INDEX(B1:XFD1,((A3)+(1))+(0))),IF(B3,(INDEX(B1:XFD1,((A3)+(1))+(1)))*(2),(A372)+(2)),(A372)+(2)))),A372))</f>
        <v>#VALUE!</v>
      </c>
      <c r="B372" t="e">
        <f ca="1">IF((A1)=(2),"",IF((368)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372)+(1)),IF(("add")=(INDEX(B1:XFD1,((A3)+(1))+(0))),(INDEX(B5:B405,(B4)+(1)))+(B372),IF(("equals")=(INDEX(B1:XFD1,((A3)+(1))+(0))),(INDEX(B5:B405,(B4)+(1)))=(B372),IF(("leq")=(INDEX(B1:XFD1,((A3)+(1))+(0))),(INDEX(B5:B405,(B4)+(1)))&lt;=(B372),IF(("greater")=(INDEX(B1:XFD1,((A3)+(1))+(0))),(INDEX(B5:B405,(B4)+(1)))&gt;(B372),IF(("mod")=(INDEX(B1:XFD1,((A3)+(1))+(0))),MOD(INDEX(B5:B405,(B4)+(1)),B372),B372))))))))),B372))</f>
        <v>#VALUE!</v>
      </c>
      <c r="C372" t="e">
        <f ca="1">IF((A1)=(2),1,IF(AND((INDEX(B1:XFD1,((A3)+(1))+(0)))=("writeheap"),(INDEX(B5:B405,(B4)+(1)))=(367)),INDEX(B5:B405,(B4)+(2)),IF((A1)=(2),"",IF((368)=(C4),C372,C372))))</f>
        <v>#VALUE!</v>
      </c>
      <c r="F372" t="e">
        <f ca="1">IF((A1)=(2),"",IF((368)=(F4),IF(IF((INDEX(B1:XFD1,((A3)+(1))+(0)))=("store"),(INDEX(B1:XFD1,((A3)+(1))+(1)))=("F"),"false"),B3,F372),F372))</f>
        <v>#VALUE!</v>
      </c>
      <c r="G372" t="e">
        <f ca="1">IF((A1)=(2),"",IF((368)=(G4),IF(IF((INDEX(B1:XFD1,((A3)+(1))+(0)))=("store"),(INDEX(B1:XFD1,((A3)+(1))+(1)))=("G"),"false"),B3,G372),G372))</f>
        <v>#VALUE!</v>
      </c>
      <c r="H372" t="e">
        <f ca="1">IF((A1)=(2),"",IF((368)=(H4),IF(IF((INDEX(B1:XFD1,((A3)+(1))+(0)))=("store"),(INDEX(B1:XFD1,((A3)+(1))+(1)))=("H"),"false"),B3,H372),H372))</f>
        <v>#VALUE!</v>
      </c>
      <c r="I372" t="e">
        <f ca="1">IF((A1)=(2),"",IF((368)=(I4),IF(IF((INDEX(B1:XFD1,((A3)+(1))+(0)))=("store"),(INDEX(B1:XFD1,((A3)+(1))+(1)))=("I"),"false"),B3,I372),I372))</f>
        <v>#VALUE!</v>
      </c>
      <c r="J372" t="e">
        <f ca="1">IF((A1)=(2),"",IF((368)=(J4),IF(IF((INDEX(B1:XFD1,((A3)+(1))+(0)))=("store"),(INDEX(B1:XFD1,((A3)+(1))+(1)))=("J"),"false"),B3,J372),J372))</f>
        <v>#VALUE!</v>
      </c>
      <c r="K372" t="e">
        <f ca="1">IF((A1)=(2),"",IF((368)=(K4),IF(IF((INDEX(B1:XFD1,((A3)+(1))+(0)))=("store"),(INDEX(B1:XFD1,((A3)+(1))+(1)))=("K"),"false"),B3,K372),K372))</f>
        <v>#VALUE!</v>
      </c>
      <c r="L372" t="e">
        <f ca="1">IF((A1)=(2),"",IF((368)=(L4),IF(IF((INDEX(B1:XFD1,((A3)+(1))+(0)))=("store"),(INDEX(B1:XFD1,((A3)+(1))+(1)))=("L"),"false"),B3,L372),L372))</f>
        <v>#VALUE!</v>
      </c>
      <c r="M372" t="e">
        <f ca="1">IF((A1)=(2),"",IF((368)=(M4),IF(IF((INDEX(B1:XFD1,((A3)+(1))+(0)))=("store"),(INDEX(B1:XFD1,((A3)+(1))+(1)))=("M"),"false"),B3,M372),M372))</f>
        <v>#VALUE!</v>
      </c>
      <c r="N372" t="e">
        <f ca="1">IF((A1)=(2),"",IF((368)=(N4),IF(IF((INDEX(B1:XFD1,((A3)+(1))+(0)))=("store"),(INDEX(B1:XFD1,((A3)+(1))+(1)))=("N"),"false"),B3,N372),N372))</f>
        <v>#VALUE!</v>
      </c>
      <c r="O372" t="e">
        <f ca="1">IF((A1)=(2),"",IF((368)=(O4),IF(IF((INDEX(B1:XFD1,((A3)+(1))+(0)))=("store"),(INDEX(B1:XFD1,((A3)+(1))+(1)))=("O"),"false"),B3,O372),O372))</f>
        <v>#VALUE!</v>
      </c>
      <c r="P372" t="e">
        <f ca="1">IF((A1)=(2),"",IF((368)=(P4),IF(IF((INDEX(B1:XFD1,((A3)+(1))+(0)))=("store"),(INDEX(B1:XFD1,((A3)+(1))+(1)))=("P"),"false"),B3,P372),P372))</f>
        <v>#VALUE!</v>
      </c>
      <c r="Q372" t="e">
        <f ca="1">IF((A1)=(2),"",IF((368)=(Q4),IF(IF((INDEX(B1:XFD1,((A3)+(1))+(0)))=("store"),(INDEX(B1:XFD1,((A3)+(1))+(1)))=("Q"),"false"),B3,Q372),Q372))</f>
        <v>#VALUE!</v>
      </c>
      <c r="R372" t="e">
        <f ca="1">IF((A1)=(2),"",IF((368)=(R4),IF(IF((INDEX(B1:XFD1,((A3)+(1))+(0)))=("store"),(INDEX(B1:XFD1,((A3)+(1))+(1)))=("R"),"false"),B3,R372),R372))</f>
        <v>#VALUE!</v>
      </c>
      <c r="S372" t="e">
        <f ca="1">IF((A1)=(2),"",IF((368)=(S4),IF(IF((INDEX(B1:XFD1,((A3)+(1))+(0)))=("store"),(INDEX(B1:XFD1,((A3)+(1))+(1)))=("S"),"false"),B3,S372),S372))</f>
        <v>#VALUE!</v>
      </c>
      <c r="T372" t="e">
        <f ca="1">IF((A1)=(2),"",IF((368)=(T4),IF(IF((INDEX(B1:XFD1,((A3)+(1))+(0)))=("store"),(INDEX(B1:XFD1,((A3)+(1))+(1)))=("T"),"false"),B3,T372),T372))</f>
        <v>#VALUE!</v>
      </c>
      <c r="U372" t="e">
        <f ca="1">IF((A1)=(2),"",IF((368)=(U4),IF(IF((INDEX(B1:XFD1,((A3)+(1))+(0)))=("store"),(INDEX(B1:XFD1,((A3)+(1))+(1)))=("U"),"false"),B3,U372),U372))</f>
        <v>#VALUE!</v>
      </c>
      <c r="V372" t="e">
        <f ca="1">IF((A1)=(2),"",IF((368)=(V4),IF(IF((INDEX(B1:XFD1,((A3)+(1))+(0)))=("store"),(INDEX(B1:XFD1,((A3)+(1))+(1)))=("V"),"false"),B3,V372),V372))</f>
        <v>#VALUE!</v>
      </c>
      <c r="W372" t="e">
        <f ca="1">IF((A1)=(2),"",IF((368)=(W4),IF(IF((INDEX(B1:XFD1,((A3)+(1))+(0)))=("store"),(INDEX(B1:XFD1,((A3)+(1))+(1)))=("W"),"false"),B3,W372),W372))</f>
        <v>#VALUE!</v>
      </c>
      <c r="X372" t="e">
        <f ca="1">IF((A1)=(2),"",IF((368)=(X4),IF(IF((INDEX(B1:XFD1,((A3)+(1))+(0)))=("store"),(INDEX(B1:XFD1,((A3)+(1))+(1)))=("X"),"false"),B3,X372),X372))</f>
        <v>#VALUE!</v>
      </c>
      <c r="Y372" t="e">
        <f ca="1">IF((A1)=(2),"",IF((368)=(Y4),IF(IF((INDEX(B1:XFD1,((A3)+(1))+(0)))=("store"),(INDEX(B1:XFD1,((A3)+(1))+(1)))=("Y"),"false"),B3,Y372),Y372))</f>
        <v>#VALUE!</v>
      </c>
      <c r="Z372" t="e">
        <f ca="1">IF((A1)=(2),"",IF((368)=(Z4),IF(IF((INDEX(B1:XFD1,((A3)+(1))+(0)))=("store"),(INDEX(B1:XFD1,((A3)+(1))+(1)))=("Z"),"false"),B3,Z372),Z372))</f>
        <v>#VALUE!</v>
      </c>
      <c r="AA372" t="e">
        <f ca="1">IF((A1)=(2),"",IF((368)=(AA4),IF(IF((INDEX(B1:XFD1,((A3)+(1))+(0)))=("store"),(INDEX(B1:XFD1,((A3)+(1))+(1)))=("AA"),"false"),B3,AA372),AA372))</f>
        <v>#VALUE!</v>
      </c>
      <c r="AB372" t="e">
        <f ca="1">IF((A1)=(2),"",IF((368)=(AB4),IF(IF((INDEX(B1:XFD1,((A3)+(1))+(0)))=("store"),(INDEX(B1:XFD1,((A3)+(1))+(1)))=("AB"),"false"),B3,AB372),AB372))</f>
        <v>#VALUE!</v>
      </c>
      <c r="AC372" t="e">
        <f ca="1">IF((A1)=(2),"",IF((368)=(AC4),IF(IF((INDEX(B1:XFD1,((A3)+(1))+(0)))=("store"),(INDEX(B1:XFD1,((A3)+(1))+(1)))=("AC"),"false"),B3,AC372),AC372))</f>
        <v>#VALUE!</v>
      </c>
      <c r="AD372" t="e">
        <f ca="1">IF((A1)=(2),"",IF((368)=(AD4),IF(IF((INDEX(B1:XFD1,((A3)+(1))+(0)))=("store"),(INDEX(B1:XFD1,((A3)+(1))+(1)))=("AD"),"false"),B3,AD372),AD372))</f>
        <v>#VALUE!</v>
      </c>
    </row>
    <row r="373" spans="1:30" x14ac:dyDescent="0.25">
      <c r="A373" t="e">
        <f ca="1">IF((A1)=(2),"",IF((369)=(A4),IF(("call")=(INDEX(B1:XFD1,((A3)+(1))+(0))),(B3)*(2),IF(("goto")=(INDEX(B1:XFD1,((A3)+(1))+(0))),(INDEX(B1:XFD1,((A3)+(1))+(1)))*(2),IF(("gotoiftrue")=(INDEX(B1:XFD1,((A3)+(1))+(0))),IF(B3,(INDEX(B1:XFD1,((A3)+(1))+(1)))*(2),(A373)+(2)),(A373)+(2)))),A373))</f>
        <v>#VALUE!</v>
      </c>
      <c r="B373" t="e">
        <f ca="1">IF((A1)=(2),"",IF((369)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373)+(1)),IF(("add")=(INDEX(B1:XFD1,((A3)+(1))+(0))),(INDEX(B5:B405,(B4)+(1)))+(B373),IF(("equals")=(INDEX(B1:XFD1,((A3)+(1))+(0))),(INDEX(B5:B405,(B4)+(1)))=(B373),IF(("leq")=(INDEX(B1:XFD1,((A3)+(1))+(0))),(INDEX(B5:B405,(B4)+(1)))&lt;=(B373),IF(("greater")=(INDEX(B1:XFD1,((A3)+(1))+(0))),(INDEX(B5:B405,(B4)+(1)))&gt;(B373),IF(("mod")=(INDEX(B1:XFD1,((A3)+(1))+(0))),MOD(INDEX(B5:B405,(B4)+(1)),B373),B373))))))))),B373))</f>
        <v>#VALUE!</v>
      </c>
      <c r="C373" t="e">
        <f ca="1">IF((A1)=(2),1,IF(AND((INDEX(B1:XFD1,((A3)+(1))+(0)))=("writeheap"),(INDEX(B5:B405,(B4)+(1)))=(368)),INDEX(B5:B405,(B4)+(2)),IF((A1)=(2),"",IF((369)=(C4),C373,C373))))</f>
        <v>#VALUE!</v>
      </c>
      <c r="F373" t="e">
        <f ca="1">IF((A1)=(2),"",IF((369)=(F4),IF(IF((INDEX(B1:XFD1,((A3)+(1))+(0)))=("store"),(INDEX(B1:XFD1,((A3)+(1))+(1)))=("F"),"false"),B3,F373),F373))</f>
        <v>#VALUE!</v>
      </c>
      <c r="G373" t="e">
        <f ca="1">IF((A1)=(2),"",IF((369)=(G4),IF(IF((INDEX(B1:XFD1,((A3)+(1))+(0)))=("store"),(INDEX(B1:XFD1,((A3)+(1))+(1)))=("G"),"false"),B3,G373),G373))</f>
        <v>#VALUE!</v>
      </c>
      <c r="H373" t="e">
        <f ca="1">IF((A1)=(2),"",IF((369)=(H4),IF(IF((INDEX(B1:XFD1,((A3)+(1))+(0)))=("store"),(INDEX(B1:XFD1,((A3)+(1))+(1)))=("H"),"false"),B3,H373),H373))</f>
        <v>#VALUE!</v>
      </c>
      <c r="I373" t="e">
        <f ca="1">IF((A1)=(2),"",IF((369)=(I4),IF(IF((INDEX(B1:XFD1,((A3)+(1))+(0)))=("store"),(INDEX(B1:XFD1,((A3)+(1))+(1)))=("I"),"false"),B3,I373),I373))</f>
        <v>#VALUE!</v>
      </c>
      <c r="J373" t="e">
        <f ca="1">IF((A1)=(2),"",IF((369)=(J4),IF(IF((INDEX(B1:XFD1,((A3)+(1))+(0)))=("store"),(INDEX(B1:XFD1,((A3)+(1))+(1)))=("J"),"false"),B3,J373),J373))</f>
        <v>#VALUE!</v>
      </c>
      <c r="K373" t="e">
        <f ca="1">IF((A1)=(2),"",IF((369)=(K4),IF(IF((INDEX(B1:XFD1,((A3)+(1))+(0)))=("store"),(INDEX(B1:XFD1,((A3)+(1))+(1)))=("K"),"false"),B3,K373),K373))</f>
        <v>#VALUE!</v>
      </c>
      <c r="L373" t="e">
        <f ca="1">IF((A1)=(2),"",IF((369)=(L4),IF(IF((INDEX(B1:XFD1,((A3)+(1))+(0)))=("store"),(INDEX(B1:XFD1,((A3)+(1))+(1)))=("L"),"false"),B3,L373),L373))</f>
        <v>#VALUE!</v>
      </c>
      <c r="M373" t="e">
        <f ca="1">IF((A1)=(2),"",IF((369)=(M4),IF(IF((INDEX(B1:XFD1,((A3)+(1))+(0)))=("store"),(INDEX(B1:XFD1,((A3)+(1))+(1)))=("M"),"false"),B3,M373),M373))</f>
        <v>#VALUE!</v>
      </c>
      <c r="N373" t="e">
        <f ca="1">IF((A1)=(2),"",IF((369)=(N4),IF(IF((INDEX(B1:XFD1,((A3)+(1))+(0)))=("store"),(INDEX(B1:XFD1,((A3)+(1))+(1)))=("N"),"false"),B3,N373),N373))</f>
        <v>#VALUE!</v>
      </c>
      <c r="O373" t="e">
        <f ca="1">IF((A1)=(2),"",IF((369)=(O4),IF(IF((INDEX(B1:XFD1,((A3)+(1))+(0)))=("store"),(INDEX(B1:XFD1,((A3)+(1))+(1)))=("O"),"false"),B3,O373),O373))</f>
        <v>#VALUE!</v>
      </c>
      <c r="P373" t="e">
        <f ca="1">IF((A1)=(2),"",IF((369)=(P4),IF(IF((INDEX(B1:XFD1,((A3)+(1))+(0)))=("store"),(INDEX(B1:XFD1,((A3)+(1))+(1)))=("P"),"false"),B3,P373),P373))</f>
        <v>#VALUE!</v>
      </c>
      <c r="Q373" t="e">
        <f ca="1">IF((A1)=(2),"",IF((369)=(Q4),IF(IF((INDEX(B1:XFD1,((A3)+(1))+(0)))=("store"),(INDEX(B1:XFD1,((A3)+(1))+(1)))=("Q"),"false"),B3,Q373),Q373))</f>
        <v>#VALUE!</v>
      </c>
      <c r="R373" t="e">
        <f ca="1">IF((A1)=(2),"",IF((369)=(R4),IF(IF((INDEX(B1:XFD1,((A3)+(1))+(0)))=("store"),(INDEX(B1:XFD1,((A3)+(1))+(1)))=("R"),"false"),B3,R373),R373))</f>
        <v>#VALUE!</v>
      </c>
      <c r="S373" t="e">
        <f ca="1">IF((A1)=(2),"",IF((369)=(S4),IF(IF((INDEX(B1:XFD1,((A3)+(1))+(0)))=("store"),(INDEX(B1:XFD1,((A3)+(1))+(1)))=("S"),"false"),B3,S373),S373))</f>
        <v>#VALUE!</v>
      </c>
      <c r="T373" t="e">
        <f ca="1">IF((A1)=(2),"",IF((369)=(T4),IF(IF((INDEX(B1:XFD1,((A3)+(1))+(0)))=("store"),(INDEX(B1:XFD1,((A3)+(1))+(1)))=("T"),"false"),B3,T373),T373))</f>
        <v>#VALUE!</v>
      </c>
      <c r="U373" t="e">
        <f ca="1">IF((A1)=(2),"",IF((369)=(U4),IF(IF((INDEX(B1:XFD1,((A3)+(1))+(0)))=("store"),(INDEX(B1:XFD1,((A3)+(1))+(1)))=("U"),"false"),B3,U373),U373))</f>
        <v>#VALUE!</v>
      </c>
      <c r="V373" t="e">
        <f ca="1">IF((A1)=(2),"",IF((369)=(V4),IF(IF((INDEX(B1:XFD1,((A3)+(1))+(0)))=("store"),(INDEX(B1:XFD1,((A3)+(1))+(1)))=("V"),"false"),B3,V373),V373))</f>
        <v>#VALUE!</v>
      </c>
      <c r="W373" t="e">
        <f ca="1">IF((A1)=(2),"",IF((369)=(W4),IF(IF((INDEX(B1:XFD1,((A3)+(1))+(0)))=("store"),(INDEX(B1:XFD1,((A3)+(1))+(1)))=("W"),"false"),B3,W373),W373))</f>
        <v>#VALUE!</v>
      </c>
      <c r="X373" t="e">
        <f ca="1">IF((A1)=(2),"",IF((369)=(X4),IF(IF((INDEX(B1:XFD1,((A3)+(1))+(0)))=("store"),(INDEX(B1:XFD1,((A3)+(1))+(1)))=("X"),"false"),B3,X373),X373))</f>
        <v>#VALUE!</v>
      </c>
      <c r="Y373" t="e">
        <f ca="1">IF((A1)=(2),"",IF((369)=(Y4),IF(IF((INDEX(B1:XFD1,((A3)+(1))+(0)))=("store"),(INDEX(B1:XFD1,((A3)+(1))+(1)))=("Y"),"false"),B3,Y373),Y373))</f>
        <v>#VALUE!</v>
      </c>
      <c r="Z373" t="e">
        <f ca="1">IF((A1)=(2),"",IF((369)=(Z4),IF(IF((INDEX(B1:XFD1,((A3)+(1))+(0)))=("store"),(INDEX(B1:XFD1,((A3)+(1))+(1)))=("Z"),"false"),B3,Z373),Z373))</f>
        <v>#VALUE!</v>
      </c>
      <c r="AA373" t="e">
        <f ca="1">IF((A1)=(2),"",IF((369)=(AA4),IF(IF((INDEX(B1:XFD1,((A3)+(1))+(0)))=("store"),(INDEX(B1:XFD1,((A3)+(1))+(1)))=("AA"),"false"),B3,AA373),AA373))</f>
        <v>#VALUE!</v>
      </c>
      <c r="AB373" t="e">
        <f ca="1">IF((A1)=(2),"",IF((369)=(AB4),IF(IF((INDEX(B1:XFD1,((A3)+(1))+(0)))=("store"),(INDEX(B1:XFD1,((A3)+(1))+(1)))=("AB"),"false"),B3,AB373),AB373))</f>
        <v>#VALUE!</v>
      </c>
      <c r="AC373" t="e">
        <f ca="1">IF((A1)=(2),"",IF((369)=(AC4),IF(IF((INDEX(B1:XFD1,((A3)+(1))+(0)))=("store"),(INDEX(B1:XFD1,((A3)+(1))+(1)))=("AC"),"false"),B3,AC373),AC373))</f>
        <v>#VALUE!</v>
      </c>
      <c r="AD373" t="e">
        <f ca="1">IF((A1)=(2),"",IF((369)=(AD4),IF(IF((INDEX(B1:XFD1,((A3)+(1))+(0)))=("store"),(INDEX(B1:XFD1,((A3)+(1))+(1)))=("AD"),"false"),B3,AD373),AD373))</f>
        <v>#VALUE!</v>
      </c>
    </row>
    <row r="374" spans="1:30" x14ac:dyDescent="0.25">
      <c r="A374" t="e">
        <f ca="1">IF((A1)=(2),"",IF((370)=(A4),IF(("call")=(INDEX(B1:XFD1,((A3)+(1))+(0))),(B3)*(2),IF(("goto")=(INDEX(B1:XFD1,((A3)+(1))+(0))),(INDEX(B1:XFD1,((A3)+(1))+(1)))*(2),IF(("gotoiftrue")=(INDEX(B1:XFD1,((A3)+(1))+(0))),IF(B3,(INDEX(B1:XFD1,((A3)+(1))+(1)))*(2),(A374)+(2)),(A374)+(2)))),A374))</f>
        <v>#VALUE!</v>
      </c>
      <c r="B374" t="e">
        <f ca="1">IF((A1)=(2),"",IF((370)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374)+(1)),IF(("add")=(INDEX(B1:XFD1,((A3)+(1))+(0))),(INDEX(B5:B405,(B4)+(1)))+(B374),IF(("equals")=(INDEX(B1:XFD1,((A3)+(1))+(0))),(INDEX(B5:B405,(B4)+(1)))=(B374),IF(("leq")=(INDEX(B1:XFD1,((A3)+(1))+(0))),(INDEX(B5:B405,(B4)+(1)))&lt;=(B374),IF(("greater")=(INDEX(B1:XFD1,((A3)+(1))+(0))),(INDEX(B5:B405,(B4)+(1)))&gt;(B374),IF(("mod")=(INDEX(B1:XFD1,((A3)+(1))+(0))),MOD(INDEX(B5:B405,(B4)+(1)),B374),B374))))))))),B374))</f>
        <v>#VALUE!</v>
      </c>
      <c r="C374" t="e">
        <f ca="1">IF((A1)=(2),1,IF(AND((INDEX(B1:XFD1,((A3)+(1))+(0)))=("writeheap"),(INDEX(B5:B405,(B4)+(1)))=(369)),INDEX(B5:B405,(B4)+(2)),IF((A1)=(2),"",IF((370)=(C4),C374,C374))))</f>
        <v>#VALUE!</v>
      </c>
      <c r="F374" t="e">
        <f ca="1">IF((A1)=(2),"",IF((370)=(F4),IF(IF((INDEX(B1:XFD1,((A3)+(1))+(0)))=("store"),(INDEX(B1:XFD1,((A3)+(1))+(1)))=("F"),"false"),B3,F374),F374))</f>
        <v>#VALUE!</v>
      </c>
      <c r="G374" t="e">
        <f ca="1">IF((A1)=(2),"",IF((370)=(G4),IF(IF((INDEX(B1:XFD1,((A3)+(1))+(0)))=("store"),(INDEX(B1:XFD1,((A3)+(1))+(1)))=("G"),"false"),B3,G374),G374))</f>
        <v>#VALUE!</v>
      </c>
      <c r="H374" t="e">
        <f ca="1">IF((A1)=(2),"",IF((370)=(H4),IF(IF((INDEX(B1:XFD1,((A3)+(1))+(0)))=("store"),(INDEX(B1:XFD1,((A3)+(1))+(1)))=("H"),"false"),B3,H374),H374))</f>
        <v>#VALUE!</v>
      </c>
      <c r="I374" t="e">
        <f ca="1">IF((A1)=(2),"",IF((370)=(I4),IF(IF((INDEX(B1:XFD1,((A3)+(1))+(0)))=("store"),(INDEX(B1:XFD1,((A3)+(1))+(1)))=("I"),"false"),B3,I374),I374))</f>
        <v>#VALUE!</v>
      </c>
      <c r="J374" t="e">
        <f ca="1">IF((A1)=(2),"",IF((370)=(J4),IF(IF((INDEX(B1:XFD1,((A3)+(1))+(0)))=("store"),(INDEX(B1:XFD1,((A3)+(1))+(1)))=("J"),"false"),B3,J374),J374))</f>
        <v>#VALUE!</v>
      </c>
      <c r="K374" t="e">
        <f ca="1">IF((A1)=(2),"",IF((370)=(K4),IF(IF((INDEX(B1:XFD1,((A3)+(1))+(0)))=("store"),(INDEX(B1:XFD1,((A3)+(1))+(1)))=("K"),"false"),B3,K374),K374))</f>
        <v>#VALUE!</v>
      </c>
      <c r="L374" t="e">
        <f ca="1">IF((A1)=(2),"",IF((370)=(L4),IF(IF((INDEX(B1:XFD1,((A3)+(1))+(0)))=("store"),(INDEX(B1:XFD1,((A3)+(1))+(1)))=("L"),"false"),B3,L374),L374))</f>
        <v>#VALUE!</v>
      </c>
      <c r="M374" t="e">
        <f ca="1">IF((A1)=(2),"",IF((370)=(M4),IF(IF((INDEX(B1:XFD1,((A3)+(1))+(0)))=("store"),(INDEX(B1:XFD1,((A3)+(1))+(1)))=("M"),"false"),B3,M374),M374))</f>
        <v>#VALUE!</v>
      </c>
      <c r="N374" t="e">
        <f ca="1">IF((A1)=(2),"",IF((370)=(N4),IF(IF((INDEX(B1:XFD1,((A3)+(1))+(0)))=("store"),(INDEX(B1:XFD1,((A3)+(1))+(1)))=("N"),"false"),B3,N374),N374))</f>
        <v>#VALUE!</v>
      </c>
      <c r="O374" t="e">
        <f ca="1">IF((A1)=(2),"",IF((370)=(O4),IF(IF((INDEX(B1:XFD1,((A3)+(1))+(0)))=("store"),(INDEX(B1:XFD1,((A3)+(1))+(1)))=("O"),"false"),B3,O374),O374))</f>
        <v>#VALUE!</v>
      </c>
      <c r="P374" t="e">
        <f ca="1">IF((A1)=(2),"",IF((370)=(P4),IF(IF((INDEX(B1:XFD1,((A3)+(1))+(0)))=("store"),(INDEX(B1:XFD1,((A3)+(1))+(1)))=("P"),"false"),B3,P374),P374))</f>
        <v>#VALUE!</v>
      </c>
      <c r="Q374" t="e">
        <f ca="1">IF((A1)=(2),"",IF((370)=(Q4),IF(IF((INDEX(B1:XFD1,((A3)+(1))+(0)))=("store"),(INDEX(B1:XFD1,((A3)+(1))+(1)))=("Q"),"false"),B3,Q374),Q374))</f>
        <v>#VALUE!</v>
      </c>
      <c r="R374" t="e">
        <f ca="1">IF((A1)=(2),"",IF((370)=(R4),IF(IF((INDEX(B1:XFD1,((A3)+(1))+(0)))=("store"),(INDEX(B1:XFD1,((A3)+(1))+(1)))=("R"),"false"),B3,R374),R374))</f>
        <v>#VALUE!</v>
      </c>
      <c r="S374" t="e">
        <f ca="1">IF((A1)=(2),"",IF((370)=(S4),IF(IF((INDEX(B1:XFD1,((A3)+(1))+(0)))=("store"),(INDEX(B1:XFD1,((A3)+(1))+(1)))=("S"),"false"),B3,S374),S374))</f>
        <v>#VALUE!</v>
      </c>
      <c r="T374" t="e">
        <f ca="1">IF((A1)=(2),"",IF((370)=(T4),IF(IF((INDEX(B1:XFD1,((A3)+(1))+(0)))=("store"),(INDEX(B1:XFD1,((A3)+(1))+(1)))=("T"),"false"),B3,T374),T374))</f>
        <v>#VALUE!</v>
      </c>
      <c r="U374" t="e">
        <f ca="1">IF((A1)=(2),"",IF((370)=(U4),IF(IF((INDEX(B1:XFD1,((A3)+(1))+(0)))=("store"),(INDEX(B1:XFD1,((A3)+(1))+(1)))=("U"),"false"),B3,U374),U374))</f>
        <v>#VALUE!</v>
      </c>
      <c r="V374" t="e">
        <f ca="1">IF((A1)=(2),"",IF((370)=(V4),IF(IF((INDEX(B1:XFD1,((A3)+(1))+(0)))=("store"),(INDEX(B1:XFD1,((A3)+(1))+(1)))=("V"),"false"),B3,V374),V374))</f>
        <v>#VALUE!</v>
      </c>
      <c r="W374" t="e">
        <f ca="1">IF((A1)=(2),"",IF((370)=(W4),IF(IF((INDEX(B1:XFD1,((A3)+(1))+(0)))=("store"),(INDEX(B1:XFD1,((A3)+(1))+(1)))=("W"),"false"),B3,W374),W374))</f>
        <v>#VALUE!</v>
      </c>
      <c r="X374" t="e">
        <f ca="1">IF((A1)=(2),"",IF((370)=(X4),IF(IF((INDEX(B1:XFD1,((A3)+(1))+(0)))=("store"),(INDEX(B1:XFD1,((A3)+(1))+(1)))=("X"),"false"),B3,X374),X374))</f>
        <v>#VALUE!</v>
      </c>
      <c r="Y374" t="e">
        <f ca="1">IF((A1)=(2),"",IF((370)=(Y4),IF(IF((INDEX(B1:XFD1,((A3)+(1))+(0)))=("store"),(INDEX(B1:XFD1,((A3)+(1))+(1)))=("Y"),"false"),B3,Y374),Y374))</f>
        <v>#VALUE!</v>
      </c>
      <c r="Z374" t="e">
        <f ca="1">IF((A1)=(2),"",IF((370)=(Z4),IF(IF((INDEX(B1:XFD1,((A3)+(1))+(0)))=("store"),(INDEX(B1:XFD1,((A3)+(1))+(1)))=("Z"),"false"),B3,Z374),Z374))</f>
        <v>#VALUE!</v>
      </c>
      <c r="AA374" t="e">
        <f ca="1">IF((A1)=(2),"",IF((370)=(AA4),IF(IF((INDEX(B1:XFD1,((A3)+(1))+(0)))=("store"),(INDEX(B1:XFD1,((A3)+(1))+(1)))=("AA"),"false"),B3,AA374),AA374))</f>
        <v>#VALUE!</v>
      </c>
      <c r="AB374" t="e">
        <f ca="1">IF((A1)=(2),"",IF((370)=(AB4),IF(IF((INDEX(B1:XFD1,((A3)+(1))+(0)))=("store"),(INDEX(B1:XFD1,((A3)+(1))+(1)))=("AB"),"false"),B3,AB374),AB374))</f>
        <v>#VALUE!</v>
      </c>
      <c r="AC374" t="e">
        <f ca="1">IF((A1)=(2),"",IF((370)=(AC4),IF(IF((INDEX(B1:XFD1,((A3)+(1))+(0)))=("store"),(INDEX(B1:XFD1,((A3)+(1))+(1)))=("AC"),"false"),B3,AC374),AC374))</f>
        <v>#VALUE!</v>
      </c>
      <c r="AD374" t="e">
        <f ca="1">IF((A1)=(2),"",IF((370)=(AD4),IF(IF((INDEX(B1:XFD1,((A3)+(1))+(0)))=("store"),(INDEX(B1:XFD1,((A3)+(1))+(1)))=("AD"),"false"),B3,AD374),AD374))</f>
        <v>#VALUE!</v>
      </c>
    </row>
    <row r="375" spans="1:30" x14ac:dyDescent="0.25">
      <c r="A375" t="e">
        <f ca="1">IF((A1)=(2),"",IF((371)=(A4),IF(("call")=(INDEX(B1:XFD1,((A3)+(1))+(0))),(B3)*(2),IF(("goto")=(INDEX(B1:XFD1,((A3)+(1))+(0))),(INDEX(B1:XFD1,((A3)+(1))+(1)))*(2),IF(("gotoiftrue")=(INDEX(B1:XFD1,((A3)+(1))+(0))),IF(B3,(INDEX(B1:XFD1,((A3)+(1))+(1)))*(2),(A375)+(2)),(A375)+(2)))),A375))</f>
        <v>#VALUE!</v>
      </c>
      <c r="B375" t="e">
        <f ca="1">IF((A1)=(2),"",IF((371)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375)+(1)),IF(("add")=(INDEX(B1:XFD1,((A3)+(1))+(0))),(INDEX(B5:B405,(B4)+(1)))+(B375),IF(("equals")=(INDEX(B1:XFD1,((A3)+(1))+(0))),(INDEX(B5:B405,(B4)+(1)))=(B375),IF(("leq")=(INDEX(B1:XFD1,((A3)+(1))+(0))),(INDEX(B5:B405,(B4)+(1)))&lt;=(B375),IF(("greater")=(INDEX(B1:XFD1,((A3)+(1))+(0))),(INDEX(B5:B405,(B4)+(1)))&gt;(B375),IF(("mod")=(INDEX(B1:XFD1,((A3)+(1))+(0))),MOD(INDEX(B5:B405,(B4)+(1)),B375),B375))))))))),B375))</f>
        <v>#VALUE!</v>
      </c>
      <c r="C375" t="e">
        <f ca="1">IF((A1)=(2),1,IF(AND((INDEX(B1:XFD1,((A3)+(1))+(0)))=("writeheap"),(INDEX(B5:B405,(B4)+(1)))=(370)),INDEX(B5:B405,(B4)+(2)),IF((A1)=(2),"",IF((371)=(C4),C375,C375))))</f>
        <v>#VALUE!</v>
      </c>
      <c r="F375" t="e">
        <f ca="1">IF((A1)=(2),"",IF((371)=(F4),IF(IF((INDEX(B1:XFD1,((A3)+(1))+(0)))=("store"),(INDEX(B1:XFD1,((A3)+(1))+(1)))=("F"),"false"),B3,F375),F375))</f>
        <v>#VALUE!</v>
      </c>
      <c r="G375" t="e">
        <f ca="1">IF((A1)=(2),"",IF((371)=(G4),IF(IF((INDEX(B1:XFD1,((A3)+(1))+(0)))=("store"),(INDEX(B1:XFD1,((A3)+(1))+(1)))=("G"),"false"),B3,G375),G375))</f>
        <v>#VALUE!</v>
      </c>
      <c r="H375" t="e">
        <f ca="1">IF((A1)=(2),"",IF((371)=(H4),IF(IF((INDEX(B1:XFD1,((A3)+(1))+(0)))=("store"),(INDEX(B1:XFD1,((A3)+(1))+(1)))=("H"),"false"),B3,H375),H375))</f>
        <v>#VALUE!</v>
      </c>
      <c r="I375" t="e">
        <f ca="1">IF((A1)=(2),"",IF((371)=(I4),IF(IF((INDEX(B1:XFD1,((A3)+(1))+(0)))=("store"),(INDEX(B1:XFD1,((A3)+(1))+(1)))=("I"),"false"),B3,I375),I375))</f>
        <v>#VALUE!</v>
      </c>
      <c r="J375" t="e">
        <f ca="1">IF((A1)=(2),"",IF((371)=(J4),IF(IF((INDEX(B1:XFD1,((A3)+(1))+(0)))=("store"),(INDEX(B1:XFD1,((A3)+(1))+(1)))=("J"),"false"),B3,J375),J375))</f>
        <v>#VALUE!</v>
      </c>
      <c r="K375" t="e">
        <f ca="1">IF((A1)=(2),"",IF((371)=(K4),IF(IF((INDEX(B1:XFD1,((A3)+(1))+(0)))=("store"),(INDEX(B1:XFD1,((A3)+(1))+(1)))=("K"),"false"),B3,K375),K375))</f>
        <v>#VALUE!</v>
      </c>
      <c r="L375" t="e">
        <f ca="1">IF((A1)=(2),"",IF((371)=(L4),IF(IF((INDEX(B1:XFD1,((A3)+(1))+(0)))=("store"),(INDEX(B1:XFD1,((A3)+(1))+(1)))=("L"),"false"),B3,L375),L375))</f>
        <v>#VALUE!</v>
      </c>
      <c r="M375" t="e">
        <f ca="1">IF((A1)=(2),"",IF((371)=(M4),IF(IF((INDEX(B1:XFD1,((A3)+(1))+(0)))=("store"),(INDEX(B1:XFD1,((A3)+(1))+(1)))=("M"),"false"),B3,M375),M375))</f>
        <v>#VALUE!</v>
      </c>
      <c r="N375" t="e">
        <f ca="1">IF((A1)=(2),"",IF((371)=(N4),IF(IF((INDEX(B1:XFD1,((A3)+(1))+(0)))=("store"),(INDEX(B1:XFD1,((A3)+(1))+(1)))=("N"),"false"),B3,N375),N375))</f>
        <v>#VALUE!</v>
      </c>
      <c r="O375" t="e">
        <f ca="1">IF((A1)=(2),"",IF((371)=(O4),IF(IF((INDEX(B1:XFD1,((A3)+(1))+(0)))=("store"),(INDEX(B1:XFD1,((A3)+(1))+(1)))=("O"),"false"),B3,O375),O375))</f>
        <v>#VALUE!</v>
      </c>
      <c r="P375" t="e">
        <f ca="1">IF((A1)=(2),"",IF((371)=(P4),IF(IF((INDEX(B1:XFD1,((A3)+(1))+(0)))=("store"),(INDEX(B1:XFD1,((A3)+(1))+(1)))=("P"),"false"),B3,P375),P375))</f>
        <v>#VALUE!</v>
      </c>
      <c r="Q375" t="e">
        <f ca="1">IF((A1)=(2),"",IF((371)=(Q4),IF(IF((INDEX(B1:XFD1,((A3)+(1))+(0)))=("store"),(INDEX(B1:XFD1,((A3)+(1))+(1)))=("Q"),"false"),B3,Q375),Q375))</f>
        <v>#VALUE!</v>
      </c>
      <c r="R375" t="e">
        <f ca="1">IF((A1)=(2),"",IF((371)=(R4),IF(IF((INDEX(B1:XFD1,((A3)+(1))+(0)))=("store"),(INDEX(B1:XFD1,((A3)+(1))+(1)))=("R"),"false"),B3,R375),R375))</f>
        <v>#VALUE!</v>
      </c>
      <c r="S375" t="e">
        <f ca="1">IF((A1)=(2),"",IF((371)=(S4),IF(IF((INDEX(B1:XFD1,((A3)+(1))+(0)))=("store"),(INDEX(B1:XFD1,((A3)+(1))+(1)))=("S"),"false"),B3,S375),S375))</f>
        <v>#VALUE!</v>
      </c>
      <c r="T375" t="e">
        <f ca="1">IF((A1)=(2),"",IF((371)=(T4),IF(IF((INDEX(B1:XFD1,((A3)+(1))+(0)))=("store"),(INDEX(B1:XFD1,((A3)+(1))+(1)))=("T"),"false"),B3,T375),T375))</f>
        <v>#VALUE!</v>
      </c>
      <c r="U375" t="e">
        <f ca="1">IF((A1)=(2),"",IF((371)=(U4),IF(IF((INDEX(B1:XFD1,((A3)+(1))+(0)))=("store"),(INDEX(B1:XFD1,((A3)+(1))+(1)))=("U"),"false"),B3,U375),U375))</f>
        <v>#VALUE!</v>
      </c>
      <c r="V375" t="e">
        <f ca="1">IF((A1)=(2),"",IF((371)=(V4),IF(IF((INDEX(B1:XFD1,((A3)+(1))+(0)))=("store"),(INDEX(B1:XFD1,((A3)+(1))+(1)))=("V"),"false"),B3,V375),V375))</f>
        <v>#VALUE!</v>
      </c>
      <c r="W375" t="e">
        <f ca="1">IF((A1)=(2),"",IF((371)=(W4),IF(IF((INDEX(B1:XFD1,((A3)+(1))+(0)))=("store"),(INDEX(B1:XFD1,((A3)+(1))+(1)))=("W"),"false"),B3,W375),W375))</f>
        <v>#VALUE!</v>
      </c>
      <c r="X375" t="e">
        <f ca="1">IF((A1)=(2),"",IF((371)=(X4),IF(IF((INDEX(B1:XFD1,((A3)+(1))+(0)))=("store"),(INDEX(B1:XFD1,((A3)+(1))+(1)))=("X"),"false"),B3,X375),X375))</f>
        <v>#VALUE!</v>
      </c>
      <c r="Y375" t="e">
        <f ca="1">IF((A1)=(2),"",IF((371)=(Y4),IF(IF((INDEX(B1:XFD1,((A3)+(1))+(0)))=("store"),(INDEX(B1:XFD1,((A3)+(1))+(1)))=("Y"),"false"),B3,Y375),Y375))</f>
        <v>#VALUE!</v>
      </c>
      <c r="Z375" t="e">
        <f ca="1">IF((A1)=(2),"",IF((371)=(Z4),IF(IF((INDEX(B1:XFD1,((A3)+(1))+(0)))=("store"),(INDEX(B1:XFD1,((A3)+(1))+(1)))=("Z"),"false"),B3,Z375),Z375))</f>
        <v>#VALUE!</v>
      </c>
      <c r="AA375" t="e">
        <f ca="1">IF((A1)=(2),"",IF((371)=(AA4),IF(IF((INDEX(B1:XFD1,((A3)+(1))+(0)))=("store"),(INDEX(B1:XFD1,((A3)+(1))+(1)))=("AA"),"false"),B3,AA375),AA375))</f>
        <v>#VALUE!</v>
      </c>
      <c r="AB375" t="e">
        <f ca="1">IF((A1)=(2),"",IF((371)=(AB4),IF(IF((INDEX(B1:XFD1,((A3)+(1))+(0)))=("store"),(INDEX(B1:XFD1,((A3)+(1))+(1)))=("AB"),"false"),B3,AB375),AB375))</f>
        <v>#VALUE!</v>
      </c>
      <c r="AC375" t="e">
        <f ca="1">IF((A1)=(2),"",IF((371)=(AC4),IF(IF((INDEX(B1:XFD1,((A3)+(1))+(0)))=("store"),(INDEX(B1:XFD1,((A3)+(1))+(1)))=("AC"),"false"),B3,AC375),AC375))</f>
        <v>#VALUE!</v>
      </c>
      <c r="AD375" t="e">
        <f ca="1">IF((A1)=(2),"",IF((371)=(AD4),IF(IF((INDEX(B1:XFD1,((A3)+(1))+(0)))=("store"),(INDEX(B1:XFD1,((A3)+(1))+(1)))=("AD"),"false"),B3,AD375),AD375))</f>
        <v>#VALUE!</v>
      </c>
    </row>
    <row r="376" spans="1:30" x14ac:dyDescent="0.25">
      <c r="A376" t="e">
        <f ca="1">IF((A1)=(2),"",IF((372)=(A4),IF(("call")=(INDEX(B1:XFD1,((A3)+(1))+(0))),(B3)*(2),IF(("goto")=(INDEX(B1:XFD1,((A3)+(1))+(0))),(INDEX(B1:XFD1,((A3)+(1))+(1)))*(2),IF(("gotoiftrue")=(INDEX(B1:XFD1,((A3)+(1))+(0))),IF(B3,(INDEX(B1:XFD1,((A3)+(1))+(1)))*(2),(A376)+(2)),(A376)+(2)))),A376))</f>
        <v>#VALUE!</v>
      </c>
      <c r="B376" t="e">
        <f ca="1">IF((A1)=(2),"",IF((372)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376)+(1)),IF(("add")=(INDEX(B1:XFD1,((A3)+(1))+(0))),(INDEX(B5:B405,(B4)+(1)))+(B376),IF(("equals")=(INDEX(B1:XFD1,((A3)+(1))+(0))),(INDEX(B5:B405,(B4)+(1)))=(B376),IF(("leq")=(INDEX(B1:XFD1,((A3)+(1))+(0))),(INDEX(B5:B405,(B4)+(1)))&lt;=(B376),IF(("greater")=(INDEX(B1:XFD1,((A3)+(1))+(0))),(INDEX(B5:B405,(B4)+(1)))&gt;(B376),IF(("mod")=(INDEX(B1:XFD1,((A3)+(1))+(0))),MOD(INDEX(B5:B405,(B4)+(1)),B376),B376))))))))),B376))</f>
        <v>#VALUE!</v>
      </c>
      <c r="C376" t="e">
        <f ca="1">IF((A1)=(2),1,IF(AND((INDEX(B1:XFD1,((A3)+(1))+(0)))=("writeheap"),(INDEX(B5:B405,(B4)+(1)))=(371)),INDEX(B5:B405,(B4)+(2)),IF((A1)=(2),"",IF((372)=(C4),C376,C376))))</f>
        <v>#VALUE!</v>
      </c>
      <c r="F376" t="e">
        <f ca="1">IF((A1)=(2),"",IF((372)=(F4),IF(IF((INDEX(B1:XFD1,((A3)+(1))+(0)))=("store"),(INDEX(B1:XFD1,((A3)+(1))+(1)))=("F"),"false"),B3,F376),F376))</f>
        <v>#VALUE!</v>
      </c>
      <c r="G376" t="e">
        <f ca="1">IF((A1)=(2),"",IF((372)=(G4),IF(IF((INDEX(B1:XFD1,((A3)+(1))+(0)))=("store"),(INDEX(B1:XFD1,((A3)+(1))+(1)))=("G"),"false"),B3,G376),G376))</f>
        <v>#VALUE!</v>
      </c>
      <c r="H376" t="e">
        <f ca="1">IF((A1)=(2),"",IF((372)=(H4),IF(IF((INDEX(B1:XFD1,((A3)+(1))+(0)))=("store"),(INDEX(B1:XFD1,((A3)+(1))+(1)))=("H"),"false"),B3,H376),H376))</f>
        <v>#VALUE!</v>
      </c>
      <c r="I376" t="e">
        <f ca="1">IF((A1)=(2),"",IF((372)=(I4),IF(IF((INDEX(B1:XFD1,((A3)+(1))+(0)))=("store"),(INDEX(B1:XFD1,((A3)+(1))+(1)))=("I"),"false"),B3,I376),I376))</f>
        <v>#VALUE!</v>
      </c>
      <c r="J376" t="e">
        <f ca="1">IF((A1)=(2),"",IF((372)=(J4),IF(IF((INDEX(B1:XFD1,((A3)+(1))+(0)))=("store"),(INDEX(B1:XFD1,((A3)+(1))+(1)))=("J"),"false"),B3,J376),J376))</f>
        <v>#VALUE!</v>
      </c>
      <c r="K376" t="e">
        <f ca="1">IF((A1)=(2),"",IF((372)=(K4),IF(IF((INDEX(B1:XFD1,((A3)+(1))+(0)))=("store"),(INDEX(B1:XFD1,((A3)+(1))+(1)))=("K"),"false"),B3,K376),K376))</f>
        <v>#VALUE!</v>
      </c>
      <c r="L376" t="e">
        <f ca="1">IF((A1)=(2),"",IF((372)=(L4),IF(IF((INDEX(B1:XFD1,((A3)+(1))+(0)))=("store"),(INDEX(B1:XFD1,((A3)+(1))+(1)))=("L"),"false"),B3,L376),L376))</f>
        <v>#VALUE!</v>
      </c>
      <c r="M376" t="e">
        <f ca="1">IF((A1)=(2),"",IF((372)=(M4),IF(IF((INDEX(B1:XFD1,((A3)+(1))+(0)))=("store"),(INDEX(B1:XFD1,((A3)+(1))+(1)))=("M"),"false"),B3,M376),M376))</f>
        <v>#VALUE!</v>
      </c>
      <c r="N376" t="e">
        <f ca="1">IF((A1)=(2),"",IF((372)=(N4),IF(IF((INDEX(B1:XFD1,((A3)+(1))+(0)))=("store"),(INDEX(B1:XFD1,((A3)+(1))+(1)))=("N"),"false"),B3,N376),N376))</f>
        <v>#VALUE!</v>
      </c>
      <c r="O376" t="e">
        <f ca="1">IF((A1)=(2),"",IF((372)=(O4),IF(IF((INDEX(B1:XFD1,((A3)+(1))+(0)))=("store"),(INDEX(B1:XFD1,((A3)+(1))+(1)))=("O"),"false"),B3,O376),O376))</f>
        <v>#VALUE!</v>
      </c>
      <c r="P376" t="e">
        <f ca="1">IF((A1)=(2),"",IF((372)=(P4),IF(IF((INDEX(B1:XFD1,((A3)+(1))+(0)))=("store"),(INDEX(B1:XFD1,((A3)+(1))+(1)))=("P"),"false"),B3,P376),P376))</f>
        <v>#VALUE!</v>
      </c>
      <c r="Q376" t="e">
        <f ca="1">IF((A1)=(2),"",IF((372)=(Q4),IF(IF((INDEX(B1:XFD1,((A3)+(1))+(0)))=("store"),(INDEX(B1:XFD1,((A3)+(1))+(1)))=("Q"),"false"),B3,Q376),Q376))</f>
        <v>#VALUE!</v>
      </c>
      <c r="R376" t="e">
        <f ca="1">IF((A1)=(2),"",IF((372)=(R4),IF(IF((INDEX(B1:XFD1,((A3)+(1))+(0)))=("store"),(INDEX(B1:XFD1,((A3)+(1))+(1)))=("R"),"false"),B3,R376),R376))</f>
        <v>#VALUE!</v>
      </c>
      <c r="S376" t="e">
        <f ca="1">IF((A1)=(2),"",IF((372)=(S4),IF(IF((INDEX(B1:XFD1,((A3)+(1))+(0)))=("store"),(INDEX(B1:XFD1,((A3)+(1))+(1)))=("S"),"false"),B3,S376),S376))</f>
        <v>#VALUE!</v>
      </c>
      <c r="T376" t="e">
        <f ca="1">IF((A1)=(2),"",IF((372)=(T4),IF(IF((INDEX(B1:XFD1,((A3)+(1))+(0)))=("store"),(INDEX(B1:XFD1,((A3)+(1))+(1)))=("T"),"false"),B3,T376),T376))</f>
        <v>#VALUE!</v>
      </c>
      <c r="U376" t="e">
        <f ca="1">IF((A1)=(2),"",IF((372)=(U4),IF(IF((INDEX(B1:XFD1,((A3)+(1))+(0)))=("store"),(INDEX(B1:XFD1,((A3)+(1))+(1)))=("U"),"false"),B3,U376),U376))</f>
        <v>#VALUE!</v>
      </c>
      <c r="V376" t="e">
        <f ca="1">IF((A1)=(2),"",IF((372)=(V4),IF(IF((INDEX(B1:XFD1,((A3)+(1))+(0)))=("store"),(INDEX(B1:XFD1,((A3)+(1))+(1)))=("V"),"false"),B3,V376),V376))</f>
        <v>#VALUE!</v>
      </c>
      <c r="W376" t="e">
        <f ca="1">IF((A1)=(2),"",IF((372)=(W4),IF(IF((INDEX(B1:XFD1,((A3)+(1))+(0)))=("store"),(INDEX(B1:XFD1,((A3)+(1))+(1)))=("W"),"false"),B3,W376),W376))</f>
        <v>#VALUE!</v>
      </c>
      <c r="X376" t="e">
        <f ca="1">IF((A1)=(2),"",IF((372)=(X4),IF(IF((INDEX(B1:XFD1,((A3)+(1))+(0)))=("store"),(INDEX(B1:XFD1,((A3)+(1))+(1)))=("X"),"false"),B3,X376),X376))</f>
        <v>#VALUE!</v>
      </c>
      <c r="Y376" t="e">
        <f ca="1">IF((A1)=(2),"",IF((372)=(Y4),IF(IF((INDEX(B1:XFD1,((A3)+(1))+(0)))=("store"),(INDEX(B1:XFD1,((A3)+(1))+(1)))=("Y"),"false"),B3,Y376),Y376))</f>
        <v>#VALUE!</v>
      </c>
      <c r="Z376" t="e">
        <f ca="1">IF((A1)=(2),"",IF((372)=(Z4),IF(IF((INDEX(B1:XFD1,((A3)+(1))+(0)))=("store"),(INDEX(B1:XFD1,((A3)+(1))+(1)))=("Z"),"false"),B3,Z376),Z376))</f>
        <v>#VALUE!</v>
      </c>
      <c r="AA376" t="e">
        <f ca="1">IF((A1)=(2),"",IF((372)=(AA4),IF(IF((INDEX(B1:XFD1,((A3)+(1))+(0)))=("store"),(INDEX(B1:XFD1,((A3)+(1))+(1)))=("AA"),"false"),B3,AA376),AA376))</f>
        <v>#VALUE!</v>
      </c>
      <c r="AB376" t="e">
        <f ca="1">IF((A1)=(2),"",IF((372)=(AB4),IF(IF((INDEX(B1:XFD1,((A3)+(1))+(0)))=("store"),(INDEX(B1:XFD1,((A3)+(1))+(1)))=("AB"),"false"),B3,AB376),AB376))</f>
        <v>#VALUE!</v>
      </c>
      <c r="AC376" t="e">
        <f ca="1">IF((A1)=(2),"",IF((372)=(AC4),IF(IF((INDEX(B1:XFD1,((A3)+(1))+(0)))=("store"),(INDEX(B1:XFD1,((A3)+(1))+(1)))=("AC"),"false"),B3,AC376),AC376))</f>
        <v>#VALUE!</v>
      </c>
      <c r="AD376" t="e">
        <f ca="1">IF((A1)=(2),"",IF((372)=(AD4),IF(IF((INDEX(B1:XFD1,((A3)+(1))+(0)))=("store"),(INDEX(B1:XFD1,((A3)+(1))+(1)))=("AD"),"false"),B3,AD376),AD376))</f>
        <v>#VALUE!</v>
      </c>
    </row>
    <row r="377" spans="1:30" x14ac:dyDescent="0.25">
      <c r="A377" t="e">
        <f ca="1">IF((A1)=(2),"",IF((373)=(A4),IF(("call")=(INDEX(B1:XFD1,((A3)+(1))+(0))),(B3)*(2),IF(("goto")=(INDEX(B1:XFD1,((A3)+(1))+(0))),(INDEX(B1:XFD1,((A3)+(1))+(1)))*(2),IF(("gotoiftrue")=(INDEX(B1:XFD1,((A3)+(1))+(0))),IF(B3,(INDEX(B1:XFD1,((A3)+(1))+(1)))*(2),(A377)+(2)),(A377)+(2)))),A377))</f>
        <v>#VALUE!</v>
      </c>
      <c r="B377" t="e">
        <f ca="1">IF((A1)=(2),"",IF((373)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377)+(1)),IF(("add")=(INDEX(B1:XFD1,((A3)+(1))+(0))),(INDEX(B5:B405,(B4)+(1)))+(B377),IF(("equals")=(INDEX(B1:XFD1,((A3)+(1))+(0))),(INDEX(B5:B405,(B4)+(1)))=(B377),IF(("leq")=(INDEX(B1:XFD1,((A3)+(1))+(0))),(INDEX(B5:B405,(B4)+(1)))&lt;=(B377),IF(("greater")=(INDEX(B1:XFD1,((A3)+(1))+(0))),(INDEX(B5:B405,(B4)+(1)))&gt;(B377),IF(("mod")=(INDEX(B1:XFD1,((A3)+(1))+(0))),MOD(INDEX(B5:B405,(B4)+(1)),B377),B377))))))))),B377))</f>
        <v>#VALUE!</v>
      </c>
      <c r="C377" t="e">
        <f ca="1">IF((A1)=(2),1,IF(AND((INDEX(B1:XFD1,((A3)+(1))+(0)))=("writeheap"),(INDEX(B5:B405,(B4)+(1)))=(372)),INDEX(B5:B405,(B4)+(2)),IF((A1)=(2),"",IF((373)=(C4),C377,C377))))</f>
        <v>#VALUE!</v>
      </c>
      <c r="F377" t="e">
        <f ca="1">IF((A1)=(2),"",IF((373)=(F4),IF(IF((INDEX(B1:XFD1,((A3)+(1))+(0)))=("store"),(INDEX(B1:XFD1,((A3)+(1))+(1)))=("F"),"false"),B3,F377),F377))</f>
        <v>#VALUE!</v>
      </c>
      <c r="G377" t="e">
        <f ca="1">IF((A1)=(2),"",IF((373)=(G4),IF(IF((INDEX(B1:XFD1,((A3)+(1))+(0)))=("store"),(INDEX(B1:XFD1,((A3)+(1))+(1)))=("G"),"false"),B3,G377),G377))</f>
        <v>#VALUE!</v>
      </c>
      <c r="H377" t="e">
        <f ca="1">IF((A1)=(2),"",IF((373)=(H4),IF(IF((INDEX(B1:XFD1,((A3)+(1))+(0)))=("store"),(INDEX(B1:XFD1,((A3)+(1))+(1)))=("H"),"false"),B3,H377),H377))</f>
        <v>#VALUE!</v>
      </c>
      <c r="I377" t="e">
        <f ca="1">IF((A1)=(2),"",IF((373)=(I4),IF(IF((INDEX(B1:XFD1,((A3)+(1))+(0)))=("store"),(INDEX(B1:XFD1,((A3)+(1))+(1)))=("I"),"false"),B3,I377),I377))</f>
        <v>#VALUE!</v>
      </c>
      <c r="J377" t="e">
        <f ca="1">IF((A1)=(2),"",IF((373)=(J4),IF(IF((INDEX(B1:XFD1,((A3)+(1))+(0)))=("store"),(INDEX(B1:XFD1,((A3)+(1))+(1)))=("J"),"false"),B3,J377),J377))</f>
        <v>#VALUE!</v>
      </c>
      <c r="K377" t="e">
        <f ca="1">IF((A1)=(2),"",IF((373)=(K4),IF(IF((INDEX(B1:XFD1,((A3)+(1))+(0)))=("store"),(INDEX(B1:XFD1,((A3)+(1))+(1)))=("K"),"false"),B3,K377),K377))</f>
        <v>#VALUE!</v>
      </c>
      <c r="L377" t="e">
        <f ca="1">IF((A1)=(2),"",IF((373)=(L4),IF(IF((INDEX(B1:XFD1,((A3)+(1))+(0)))=("store"),(INDEX(B1:XFD1,((A3)+(1))+(1)))=("L"),"false"),B3,L377),L377))</f>
        <v>#VALUE!</v>
      </c>
      <c r="M377" t="e">
        <f ca="1">IF((A1)=(2),"",IF((373)=(M4),IF(IF((INDEX(B1:XFD1,((A3)+(1))+(0)))=("store"),(INDEX(B1:XFD1,((A3)+(1))+(1)))=("M"),"false"),B3,M377),M377))</f>
        <v>#VALUE!</v>
      </c>
      <c r="N377" t="e">
        <f ca="1">IF((A1)=(2),"",IF((373)=(N4),IF(IF((INDEX(B1:XFD1,((A3)+(1))+(0)))=("store"),(INDEX(B1:XFD1,((A3)+(1))+(1)))=("N"),"false"),B3,N377),N377))</f>
        <v>#VALUE!</v>
      </c>
      <c r="O377" t="e">
        <f ca="1">IF((A1)=(2),"",IF((373)=(O4),IF(IF((INDEX(B1:XFD1,((A3)+(1))+(0)))=("store"),(INDEX(B1:XFD1,((A3)+(1))+(1)))=("O"),"false"),B3,O377),O377))</f>
        <v>#VALUE!</v>
      </c>
      <c r="P377" t="e">
        <f ca="1">IF((A1)=(2),"",IF((373)=(P4),IF(IF((INDEX(B1:XFD1,((A3)+(1))+(0)))=("store"),(INDEX(B1:XFD1,((A3)+(1))+(1)))=("P"),"false"),B3,P377),P377))</f>
        <v>#VALUE!</v>
      </c>
      <c r="Q377" t="e">
        <f ca="1">IF((A1)=(2),"",IF((373)=(Q4),IF(IF((INDEX(B1:XFD1,((A3)+(1))+(0)))=("store"),(INDEX(B1:XFD1,((A3)+(1))+(1)))=("Q"),"false"),B3,Q377),Q377))</f>
        <v>#VALUE!</v>
      </c>
      <c r="R377" t="e">
        <f ca="1">IF((A1)=(2),"",IF((373)=(R4),IF(IF((INDEX(B1:XFD1,((A3)+(1))+(0)))=("store"),(INDEX(B1:XFD1,((A3)+(1))+(1)))=("R"),"false"),B3,R377),R377))</f>
        <v>#VALUE!</v>
      </c>
      <c r="S377" t="e">
        <f ca="1">IF((A1)=(2),"",IF((373)=(S4),IF(IF((INDEX(B1:XFD1,((A3)+(1))+(0)))=("store"),(INDEX(B1:XFD1,((A3)+(1))+(1)))=("S"),"false"),B3,S377),S377))</f>
        <v>#VALUE!</v>
      </c>
      <c r="T377" t="e">
        <f ca="1">IF((A1)=(2),"",IF((373)=(T4),IF(IF((INDEX(B1:XFD1,((A3)+(1))+(0)))=("store"),(INDEX(B1:XFD1,((A3)+(1))+(1)))=("T"),"false"),B3,T377),T377))</f>
        <v>#VALUE!</v>
      </c>
      <c r="U377" t="e">
        <f ca="1">IF((A1)=(2),"",IF((373)=(U4),IF(IF((INDEX(B1:XFD1,((A3)+(1))+(0)))=("store"),(INDEX(B1:XFD1,((A3)+(1))+(1)))=("U"),"false"),B3,U377),U377))</f>
        <v>#VALUE!</v>
      </c>
      <c r="V377" t="e">
        <f ca="1">IF((A1)=(2),"",IF((373)=(V4),IF(IF((INDEX(B1:XFD1,((A3)+(1))+(0)))=("store"),(INDEX(B1:XFD1,((A3)+(1))+(1)))=("V"),"false"),B3,V377),V377))</f>
        <v>#VALUE!</v>
      </c>
      <c r="W377" t="e">
        <f ca="1">IF((A1)=(2),"",IF((373)=(W4),IF(IF((INDEX(B1:XFD1,((A3)+(1))+(0)))=("store"),(INDEX(B1:XFD1,((A3)+(1))+(1)))=("W"),"false"),B3,W377),W377))</f>
        <v>#VALUE!</v>
      </c>
      <c r="X377" t="e">
        <f ca="1">IF((A1)=(2),"",IF((373)=(X4),IF(IF((INDEX(B1:XFD1,((A3)+(1))+(0)))=("store"),(INDEX(B1:XFD1,((A3)+(1))+(1)))=("X"),"false"),B3,X377),X377))</f>
        <v>#VALUE!</v>
      </c>
      <c r="Y377" t="e">
        <f ca="1">IF((A1)=(2),"",IF((373)=(Y4),IF(IF((INDEX(B1:XFD1,((A3)+(1))+(0)))=("store"),(INDEX(B1:XFD1,((A3)+(1))+(1)))=("Y"),"false"),B3,Y377),Y377))</f>
        <v>#VALUE!</v>
      </c>
      <c r="Z377" t="e">
        <f ca="1">IF((A1)=(2),"",IF((373)=(Z4),IF(IF((INDEX(B1:XFD1,((A3)+(1))+(0)))=("store"),(INDEX(B1:XFD1,((A3)+(1))+(1)))=("Z"),"false"),B3,Z377),Z377))</f>
        <v>#VALUE!</v>
      </c>
      <c r="AA377" t="e">
        <f ca="1">IF((A1)=(2),"",IF((373)=(AA4),IF(IF((INDEX(B1:XFD1,((A3)+(1))+(0)))=("store"),(INDEX(B1:XFD1,((A3)+(1))+(1)))=("AA"),"false"),B3,AA377),AA377))</f>
        <v>#VALUE!</v>
      </c>
      <c r="AB377" t="e">
        <f ca="1">IF((A1)=(2),"",IF((373)=(AB4),IF(IF((INDEX(B1:XFD1,((A3)+(1))+(0)))=("store"),(INDEX(B1:XFD1,((A3)+(1))+(1)))=("AB"),"false"),B3,AB377),AB377))</f>
        <v>#VALUE!</v>
      </c>
      <c r="AC377" t="e">
        <f ca="1">IF((A1)=(2),"",IF((373)=(AC4),IF(IF((INDEX(B1:XFD1,((A3)+(1))+(0)))=("store"),(INDEX(B1:XFD1,((A3)+(1))+(1)))=("AC"),"false"),B3,AC377),AC377))</f>
        <v>#VALUE!</v>
      </c>
      <c r="AD377" t="e">
        <f ca="1">IF((A1)=(2),"",IF((373)=(AD4),IF(IF((INDEX(B1:XFD1,((A3)+(1))+(0)))=("store"),(INDEX(B1:XFD1,((A3)+(1))+(1)))=("AD"),"false"),B3,AD377),AD377))</f>
        <v>#VALUE!</v>
      </c>
    </row>
    <row r="378" spans="1:30" x14ac:dyDescent="0.25">
      <c r="A378" t="e">
        <f ca="1">IF((A1)=(2),"",IF((374)=(A4),IF(("call")=(INDEX(B1:XFD1,((A3)+(1))+(0))),(B3)*(2),IF(("goto")=(INDEX(B1:XFD1,((A3)+(1))+(0))),(INDEX(B1:XFD1,((A3)+(1))+(1)))*(2),IF(("gotoiftrue")=(INDEX(B1:XFD1,((A3)+(1))+(0))),IF(B3,(INDEX(B1:XFD1,((A3)+(1))+(1)))*(2),(A378)+(2)),(A378)+(2)))),A378))</f>
        <v>#VALUE!</v>
      </c>
      <c r="B378" t="e">
        <f ca="1">IF((A1)=(2),"",IF((374)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378)+(1)),IF(("add")=(INDEX(B1:XFD1,((A3)+(1))+(0))),(INDEX(B5:B405,(B4)+(1)))+(B378),IF(("equals")=(INDEX(B1:XFD1,((A3)+(1))+(0))),(INDEX(B5:B405,(B4)+(1)))=(B378),IF(("leq")=(INDEX(B1:XFD1,((A3)+(1))+(0))),(INDEX(B5:B405,(B4)+(1)))&lt;=(B378),IF(("greater")=(INDEX(B1:XFD1,((A3)+(1))+(0))),(INDEX(B5:B405,(B4)+(1)))&gt;(B378),IF(("mod")=(INDEX(B1:XFD1,((A3)+(1))+(0))),MOD(INDEX(B5:B405,(B4)+(1)),B378),B378))))))))),B378))</f>
        <v>#VALUE!</v>
      </c>
      <c r="C378" t="e">
        <f ca="1">IF((A1)=(2),1,IF(AND((INDEX(B1:XFD1,((A3)+(1))+(0)))=("writeheap"),(INDEX(B5:B405,(B4)+(1)))=(373)),INDEX(B5:B405,(B4)+(2)),IF((A1)=(2),"",IF((374)=(C4),C378,C378))))</f>
        <v>#VALUE!</v>
      </c>
      <c r="F378" t="e">
        <f ca="1">IF((A1)=(2),"",IF((374)=(F4),IF(IF((INDEX(B1:XFD1,((A3)+(1))+(0)))=("store"),(INDEX(B1:XFD1,((A3)+(1))+(1)))=("F"),"false"),B3,F378),F378))</f>
        <v>#VALUE!</v>
      </c>
      <c r="G378" t="e">
        <f ca="1">IF((A1)=(2),"",IF((374)=(G4),IF(IF((INDEX(B1:XFD1,((A3)+(1))+(0)))=("store"),(INDEX(B1:XFD1,((A3)+(1))+(1)))=("G"),"false"),B3,G378),G378))</f>
        <v>#VALUE!</v>
      </c>
      <c r="H378" t="e">
        <f ca="1">IF((A1)=(2),"",IF((374)=(H4),IF(IF((INDEX(B1:XFD1,((A3)+(1))+(0)))=("store"),(INDEX(B1:XFD1,((A3)+(1))+(1)))=("H"),"false"),B3,H378),H378))</f>
        <v>#VALUE!</v>
      </c>
      <c r="I378" t="e">
        <f ca="1">IF((A1)=(2),"",IF((374)=(I4),IF(IF((INDEX(B1:XFD1,((A3)+(1))+(0)))=("store"),(INDEX(B1:XFD1,((A3)+(1))+(1)))=("I"),"false"),B3,I378),I378))</f>
        <v>#VALUE!</v>
      </c>
      <c r="J378" t="e">
        <f ca="1">IF((A1)=(2),"",IF((374)=(J4),IF(IF((INDEX(B1:XFD1,((A3)+(1))+(0)))=("store"),(INDEX(B1:XFD1,((A3)+(1))+(1)))=("J"),"false"),B3,J378),J378))</f>
        <v>#VALUE!</v>
      </c>
      <c r="K378" t="e">
        <f ca="1">IF((A1)=(2),"",IF((374)=(K4),IF(IF((INDEX(B1:XFD1,((A3)+(1))+(0)))=("store"),(INDEX(B1:XFD1,((A3)+(1))+(1)))=("K"),"false"),B3,K378),K378))</f>
        <v>#VALUE!</v>
      </c>
      <c r="L378" t="e">
        <f ca="1">IF((A1)=(2),"",IF((374)=(L4),IF(IF((INDEX(B1:XFD1,((A3)+(1))+(0)))=("store"),(INDEX(B1:XFD1,((A3)+(1))+(1)))=("L"),"false"),B3,L378),L378))</f>
        <v>#VALUE!</v>
      </c>
      <c r="M378" t="e">
        <f ca="1">IF((A1)=(2),"",IF((374)=(M4),IF(IF((INDEX(B1:XFD1,((A3)+(1))+(0)))=("store"),(INDEX(B1:XFD1,((A3)+(1))+(1)))=("M"),"false"),B3,M378),M378))</f>
        <v>#VALUE!</v>
      </c>
      <c r="N378" t="e">
        <f ca="1">IF((A1)=(2),"",IF((374)=(N4),IF(IF((INDEX(B1:XFD1,((A3)+(1))+(0)))=("store"),(INDEX(B1:XFD1,((A3)+(1))+(1)))=("N"),"false"),B3,N378),N378))</f>
        <v>#VALUE!</v>
      </c>
      <c r="O378" t="e">
        <f ca="1">IF((A1)=(2),"",IF((374)=(O4),IF(IF((INDEX(B1:XFD1,((A3)+(1))+(0)))=("store"),(INDEX(B1:XFD1,((A3)+(1))+(1)))=("O"),"false"),B3,O378),O378))</f>
        <v>#VALUE!</v>
      </c>
      <c r="P378" t="e">
        <f ca="1">IF((A1)=(2),"",IF((374)=(P4),IF(IF((INDEX(B1:XFD1,((A3)+(1))+(0)))=("store"),(INDEX(B1:XFD1,((A3)+(1))+(1)))=("P"),"false"),B3,P378),P378))</f>
        <v>#VALUE!</v>
      </c>
      <c r="Q378" t="e">
        <f ca="1">IF((A1)=(2),"",IF((374)=(Q4),IF(IF((INDEX(B1:XFD1,((A3)+(1))+(0)))=("store"),(INDEX(B1:XFD1,((A3)+(1))+(1)))=("Q"),"false"),B3,Q378),Q378))</f>
        <v>#VALUE!</v>
      </c>
      <c r="R378" t="e">
        <f ca="1">IF((A1)=(2),"",IF((374)=(R4),IF(IF((INDEX(B1:XFD1,((A3)+(1))+(0)))=("store"),(INDEX(B1:XFD1,((A3)+(1))+(1)))=("R"),"false"),B3,R378),R378))</f>
        <v>#VALUE!</v>
      </c>
      <c r="S378" t="e">
        <f ca="1">IF((A1)=(2),"",IF((374)=(S4),IF(IF((INDEX(B1:XFD1,((A3)+(1))+(0)))=("store"),(INDEX(B1:XFD1,((A3)+(1))+(1)))=("S"),"false"),B3,S378),S378))</f>
        <v>#VALUE!</v>
      </c>
      <c r="T378" t="e">
        <f ca="1">IF((A1)=(2),"",IF((374)=(T4),IF(IF((INDEX(B1:XFD1,((A3)+(1))+(0)))=("store"),(INDEX(B1:XFD1,((A3)+(1))+(1)))=("T"),"false"),B3,T378),T378))</f>
        <v>#VALUE!</v>
      </c>
      <c r="U378" t="e">
        <f ca="1">IF((A1)=(2),"",IF((374)=(U4),IF(IF((INDEX(B1:XFD1,((A3)+(1))+(0)))=("store"),(INDEX(B1:XFD1,((A3)+(1))+(1)))=("U"),"false"),B3,U378),U378))</f>
        <v>#VALUE!</v>
      </c>
      <c r="V378" t="e">
        <f ca="1">IF((A1)=(2),"",IF((374)=(V4),IF(IF((INDEX(B1:XFD1,((A3)+(1))+(0)))=("store"),(INDEX(B1:XFD1,((A3)+(1))+(1)))=("V"),"false"),B3,V378),V378))</f>
        <v>#VALUE!</v>
      </c>
      <c r="W378" t="e">
        <f ca="1">IF((A1)=(2),"",IF((374)=(W4),IF(IF((INDEX(B1:XFD1,((A3)+(1))+(0)))=("store"),(INDEX(B1:XFD1,((A3)+(1))+(1)))=("W"),"false"),B3,W378),W378))</f>
        <v>#VALUE!</v>
      </c>
      <c r="X378" t="e">
        <f ca="1">IF((A1)=(2),"",IF((374)=(X4),IF(IF((INDEX(B1:XFD1,((A3)+(1))+(0)))=("store"),(INDEX(B1:XFD1,((A3)+(1))+(1)))=("X"),"false"),B3,X378),X378))</f>
        <v>#VALUE!</v>
      </c>
      <c r="Y378" t="e">
        <f ca="1">IF((A1)=(2),"",IF((374)=(Y4),IF(IF((INDEX(B1:XFD1,((A3)+(1))+(0)))=("store"),(INDEX(B1:XFD1,((A3)+(1))+(1)))=("Y"),"false"),B3,Y378),Y378))</f>
        <v>#VALUE!</v>
      </c>
      <c r="Z378" t="e">
        <f ca="1">IF((A1)=(2),"",IF((374)=(Z4),IF(IF((INDEX(B1:XFD1,((A3)+(1))+(0)))=("store"),(INDEX(B1:XFD1,((A3)+(1))+(1)))=("Z"),"false"),B3,Z378),Z378))</f>
        <v>#VALUE!</v>
      </c>
      <c r="AA378" t="e">
        <f ca="1">IF((A1)=(2),"",IF((374)=(AA4),IF(IF((INDEX(B1:XFD1,((A3)+(1))+(0)))=("store"),(INDEX(B1:XFD1,((A3)+(1))+(1)))=("AA"),"false"),B3,AA378),AA378))</f>
        <v>#VALUE!</v>
      </c>
      <c r="AB378" t="e">
        <f ca="1">IF((A1)=(2),"",IF((374)=(AB4),IF(IF((INDEX(B1:XFD1,((A3)+(1))+(0)))=("store"),(INDEX(B1:XFD1,((A3)+(1))+(1)))=("AB"),"false"),B3,AB378),AB378))</f>
        <v>#VALUE!</v>
      </c>
      <c r="AC378" t="e">
        <f ca="1">IF((A1)=(2),"",IF((374)=(AC4),IF(IF((INDEX(B1:XFD1,((A3)+(1))+(0)))=("store"),(INDEX(B1:XFD1,((A3)+(1))+(1)))=("AC"),"false"),B3,AC378),AC378))</f>
        <v>#VALUE!</v>
      </c>
      <c r="AD378" t="e">
        <f ca="1">IF((A1)=(2),"",IF((374)=(AD4),IF(IF((INDEX(B1:XFD1,((A3)+(1))+(0)))=("store"),(INDEX(B1:XFD1,((A3)+(1))+(1)))=("AD"),"false"),B3,AD378),AD378))</f>
        <v>#VALUE!</v>
      </c>
    </row>
    <row r="379" spans="1:30" x14ac:dyDescent="0.25">
      <c r="A379" t="e">
        <f ca="1">IF((A1)=(2),"",IF((375)=(A4),IF(("call")=(INDEX(B1:XFD1,((A3)+(1))+(0))),(B3)*(2),IF(("goto")=(INDEX(B1:XFD1,((A3)+(1))+(0))),(INDEX(B1:XFD1,((A3)+(1))+(1)))*(2),IF(("gotoiftrue")=(INDEX(B1:XFD1,((A3)+(1))+(0))),IF(B3,(INDEX(B1:XFD1,((A3)+(1))+(1)))*(2),(A379)+(2)),(A379)+(2)))),A379))</f>
        <v>#VALUE!</v>
      </c>
      <c r="B379" t="e">
        <f ca="1">IF((A1)=(2),"",IF((375)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379)+(1)),IF(("add")=(INDEX(B1:XFD1,((A3)+(1))+(0))),(INDEX(B5:B405,(B4)+(1)))+(B379),IF(("equals")=(INDEX(B1:XFD1,((A3)+(1))+(0))),(INDEX(B5:B405,(B4)+(1)))=(B379),IF(("leq")=(INDEX(B1:XFD1,((A3)+(1))+(0))),(INDEX(B5:B405,(B4)+(1)))&lt;=(B379),IF(("greater")=(INDEX(B1:XFD1,((A3)+(1))+(0))),(INDEX(B5:B405,(B4)+(1)))&gt;(B379),IF(("mod")=(INDEX(B1:XFD1,((A3)+(1))+(0))),MOD(INDEX(B5:B405,(B4)+(1)),B379),B379))))))))),B379))</f>
        <v>#VALUE!</v>
      </c>
      <c r="C379" t="e">
        <f ca="1">IF((A1)=(2),1,IF(AND((INDEX(B1:XFD1,((A3)+(1))+(0)))=("writeheap"),(INDEX(B5:B405,(B4)+(1)))=(374)),INDEX(B5:B405,(B4)+(2)),IF((A1)=(2),"",IF((375)=(C4),C379,C379))))</f>
        <v>#VALUE!</v>
      </c>
      <c r="F379" t="e">
        <f ca="1">IF((A1)=(2),"",IF((375)=(F4),IF(IF((INDEX(B1:XFD1,((A3)+(1))+(0)))=("store"),(INDEX(B1:XFD1,((A3)+(1))+(1)))=("F"),"false"),B3,F379),F379))</f>
        <v>#VALUE!</v>
      </c>
      <c r="G379" t="e">
        <f ca="1">IF((A1)=(2),"",IF((375)=(G4),IF(IF((INDEX(B1:XFD1,((A3)+(1))+(0)))=("store"),(INDEX(B1:XFD1,((A3)+(1))+(1)))=("G"),"false"),B3,G379),G379))</f>
        <v>#VALUE!</v>
      </c>
      <c r="H379" t="e">
        <f ca="1">IF((A1)=(2),"",IF((375)=(H4),IF(IF((INDEX(B1:XFD1,((A3)+(1))+(0)))=("store"),(INDEX(B1:XFD1,((A3)+(1))+(1)))=("H"),"false"),B3,H379),H379))</f>
        <v>#VALUE!</v>
      </c>
      <c r="I379" t="e">
        <f ca="1">IF((A1)=(2),"",IF((375)=(I4),IF(IF((INDEX(B1:XFD1,((A3)+(1))+(0)))=("store"),(INDEX(B1:XFD1,((A3)+(1))+(1)))=("I"),"false"),B3,I379),I379))</f>
        <v>#VALUE!</v>
      </c>
      <c r="J379" t="e">
        <f ca="1">IF((A1)=(2),"",IF((375)=(J4),IF(IF((INDEX(B1:XFD1,((A3)+(1))+(0)))=("store"),(INDEX(B1:XFD1,((A3)+(1))+(1)))=("J"),"false"),B3,J379),J379))</f>
        <v>#VALUE!</v>
      </c>
      <c r="K379" t="e">
        <f ca="1">IF((A1)=(2),"",IF((375)=(K4),IF(IF((INDEX(B1:XFD1,((A3)+(1))+(0)))=("store"),(INDEX(B1:XFD1,((A3)+(1))+(1)))=("K"),"false"),B3,K379),K379))</f>
        <v>#VALUE!</v>
      </c>
      <c r="L379" t="e">
        <f ca="1">IF((A1)=(2),"",IF((375)=(L4),IF(IF((INDEX(B1:XFD1,((A3)+(1))+(0)))=("store"),(INDEX(B1:XFD1,((A3)+(1))+(1)))=("L"),"false"),B3,L379),L379))</f>
        <v>#VALUE!</v>
      </c>
      <c r="M379" t="e">
        <f ca="1">IF((A1)=(2),"",IF((375)=(M4),IF(IF((INDEX(B1:XFD1,((A3)+(1))+(0)))=("store"),(INDEX(B1:XFD1,((A3)+(1))+(1)))=("M"),"false"),B3,M379),M379))</f>
        <v>#VALUE!</v>
      </c>
      <c r="N379" t="e">
        <f ca="1">IF((A1)=(2),"",IF((375)=(N4),IF(IF((INDEX(B1:XFD1,((A3)+(1))+(0)))=("store"),(INDEX(B1:XFD1,((A3)+(1))+(1)))=("N"),"false"),B3,N379),N379))</f>
        <v>#VALUE!</v>
      </c>
      <c r="O379" t="e">
        <f ca="1">IF((A1)=(2),"",IF((375)=(O4),IF(IF((INDEX(B1:XFD1,((A3)+(1))+(0)))=("store"),(INDEX(B1:XFD1,((A3)+(1))+(1)))=("O"),"false"),B3,O379),O379))</f>
        <v>#VALUE!</v>
      </c>
      <c r="P379" t="e">
        <f ca="1">IF((A1)=(2),"",IF((375)=(P4),IF(IF((INDEX(B1:XFD1,((A3)+(1))+(0)))=("store"),(INDEX(B1:XFD1,((A3)+(1))+(1)))=("P"),"false"),B3,P379),P379))</f>
        <v>#VALUE!</v>
      </c>
      <c r="Q379" t="e">
        <f ca="1">IF((A1)=(2),"",IF((375)=(Q4),IF(IF((INDEX(B1:XFD1,((A3)+(1))+(0)))=("store"),(INDEX(B1:XFD1,((A3)+(1))+(1)))=("Q"),"false"),B3,Q379),Q379))</f>
        <v>#VALUE!</v>
      </c>
      <c r="R379" t="e">
        <f ca="1">IF((A1)=(2),"",IF((375)=(R4),IF(IF((INDEX(B1:XFD1,((A3)+(1))+(0)))=("store"),(INDEX(B1:XFD1,((A3)+(1))+(1)))=("R"),"false"),B3,R379),R379))</f>
        <v>#VALUE!</v>
      </c>
      <c r="S379" t="e">
        <f ca="1">IF((A1)=(2),"",IF((375)=(S4),IF(IF((INDEX(B1:XFD1,((A3)+(1))+(0)))=("store"),(INDEX(B1:XFD1,((A3)+(1))+(1)))=("S"),"false"),B3,S379),S379))</f>
        <v>#VALUE!</v>
      </c>
      <c r="T379" t="e">
        <f ca="1">IF((A1)=(2),"",IF((375)=(T4),IF(IF((INDEX(B1:XFD1,((A3)+(1))+(0)))=("store"),(INDEX(B1:XFD1,((A3)+(1))+(1)))=("T"),"false"),B3,T379),T379))</f>
        <v>#VALUE!</v>
      </c>
      <c r="U379" t="e">
        <f ca="1">IF((A1)=(2),"",IF((375)=(U4),IF(IF((INDEX(B1:XFD1,((A3)+(1))+(0)))=("store"),(INDEX(B1:XFD1,((A3)+(1))+(1)))=("U"),"false"),B3,U379),U379))</f>
        <v>#VALUE!</v>
      </c>
      <c r="V379" t="e">
        <f ca="1">IF((A1)=(2),"",IF((375)=(V4),IF(IF((INDEX(B1:XFD1,((A3)+(1))+(0)))=("store"),(INDEX(B1:XFD1,((A3)+(1))+(1)))=("V"),"false"),B3,V379),V379))</f>
        <v>#VALUE!</v>
      </c>
      <c r="W379" t="e">
        <f ca="1">IF((A1)=(2),"",IF((375)=(W4),IF(IF((INDEX(B1:XFD1,((A3)+(1))+(0)))=("store"),(INDEX(B1:XFD1,((A3)+(1))+(1)))=("W"),"false"),B3,W379),W379))</f>
        <v>#VALUE!</v>
      </c>
      <c r="X379" t="e">
        <f ca="1">IF((A1)=(2),"",IF((375)=(X4),IF(IF((INDEX(B1:XFD1,((A3)+(1))+(0)))=("store"),(INDEX(B1:XFD1,((A3)+(1))+(1)))=("X"),"false"),B3,X379),X379))</f>
        <v>#VALUE!</v>
      </c>
      <c r="Y379" t="e">
        <f ca="1">IF((A1)=(2),"",IF((375)=(Y4),IF(IF((INDEX(B1:XFD1,((A3)+(1))+(0)))=("store"),(INDEX(B1:XFD1,((A3)+(1))+(1)))=("Y"),"false"),B3,Y379),Y379))</f>
        <v>#VALUE!</v>
      </c>
      <c r="Z379" t="e">
        <f ca="1">IF((A1)=(2),"",IF((375)=(Z4),IF(IF((INDEX(B1:XFD1,((A3)+(1))+(0)))=("store"),(INDEX(B1:XFD1,((A3)+(1))+(1)))=("Z"),"false"),B3,Z379),Z379))</f>
        <v>#VALUE!</v>
      </c>
      <c r="AA379" t="e">
        <f ca="1">IF((A1)=(2),"",IF((375)=(AA4),IF(IF((INDEX(B1:XFD1,((A3)+(1))+(0)))=("store"),(INDEX(B1:XFD1,((A3)+(1))+(1)))=("AA"),"false"),B3,AA379),AA379))</f>
        <v>#VALUE!</v>
      </c>
      <c r="AB379" t="e">
        <f ca="1">IF((A1)=(2),"",IF((375)=(AB4),IF(IF((INDEX(B1:XFD1,((A3)+(1))+(0)))=("store"),(INDEX(B1:XFD1,((A3)+(1))+(1)))=("AB"),"false"),B3,AB379),AB379))</f>
        <v>#VALUE!</v>
      </c>
      <c r="AC379" t="e">
        <f ca="1">IF((A1)=(2),"",IF((375)=(AC4),IF(IF((INDEX(B1:XFD1,((A3)+(1))+(0)))=("store"),(INDEX(B1:XFD1,((A3)+(1))+(1)))=("AC"),"false"),B3,AC379),AC379))</f>
        <v>#VALUE!</v>
      </c>
      <c r="AD379" t="e">
        <f ca="1">IF((A1)=(2),"",IF((375)=(AD4),IF(IF((INDEX(B1:XFD1,((A3)+(1))+(0)))=("store"),(INDEX(B1:XFD1,((A3)+(1))+(1)))=("AD"),"false"),B3,AD379),AD379))</f>
        <v>#VALUE!</v>
      </c>
    </row>
    <row r="380" spans="1:30" x14ac:dyDescent="0.25">
      <c r="A380" t="e">
        <f ca="1">IF((A1)=(2),"",IF((376)=(A4),IF(("call")=(INDEX(B1:XFD1,((A3)+(1))+(0))),(B3)*(2),IF(("goto")=(INDEX(B1:XFD1,((A3)+(1))+(0))),(INDEX(B1:XFD1,((A3)+(1))+(1)))*(2),IF(("gotoiftrue")=(INDEX(B1:XFD1,((A3)+(1))+(0))),IF(B3,(INDEX(B1:XFD1,((A3)+(1))+(1)))*(2),(A380)+(2)),(A380)+(2)))),A380))</f>
        <v>#VALUE!</v>
      </c>
      <c r="B380" t="e">
        <f ca="1">IF((A1)=(2),"",IF((376)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380)+(1)),IF(("add")=(INDEX(B1:XFD1,((A3)+(1))+(0))),(INDEX(B5:B405,(B4)+(1)))+(B380),IF(("equals")=(INDEX(B1:XFD1,((A3)+(1))+(0))),(INDEX(B5:B405,(B4)+(1)))=(B380),IF(("leq")=(INDEX(B1:XFD1,((A3)+(1))+(0))),(INDEX(B5:B405,(B4)+(1)))&lt;=(B380),IF(("greater")=(INDEX(B1:XFD1,((A3)+(1))+(0))),(INDEX(B5:B405,(B4)+(1)))&gt;(B380),IF(("mod")=(INDEX(B1:XFD1,((A3)+(1))+(0))),MOD(INDEX(B5:B405,(B4)+(1)),B380),B380))))))))),B380))</f>
        <v>#VALUE!</v>
      </c>
      <c r="C380" t="e">
        <f ca="1">IF((A1)=(2),1,IF(AND((INDEX(B1:XFD1,((A3)+(1))+(0)))=("writeheap"),(INDEX(B5:B405,(B4)+(1)))=(375)),INDEX(B5:B405,(B4)+(2)),IF((A1)=(2),"",IF((376)=(C4),C380,C380))))</f>
        <v>#VALUE!</v>
      </c>
      <c r="F380" t="e">
        <f ca="1">IF((A1)=(2),"",IF((376)=(F4),IF(IF((INDEX(B1:XFD1,((A3)+(1))+(0)))=("store"),(INDEX(B1:XFD1,((A3)+(1))+(1)))=("F"),"false"),B3,F380),F380))</f>
        <v>#VALUE!</v>
      </c>
      <c r="G380" t="e">
        <f ca="1">IF((A1)=(2),"",IF((376)=(G4),IF(IF((INDEX(B1:XFD1,((A3)+(1))+(0)))=("store"),(INDEX(B1:XFD1,((A3)+(1))+(1)))=("G"),"false"),B3,G380),G380))</f>
        <v>#VALUE!</v>
      </c>
      <c r="H380" t="e">
        <f ca="1">IF((A1)=(2),"",IF((376)=(H4),IF(IF((INDEX(B1:XFD1,((A3)+(1))+(0)))=("store"),(INDEX(B1:XFD1,((A3)+(1))+(1)))=("H"),"false"),B3,H380),H380))</f>
        <v>#VALUE!</v>
      </c>
      <c r="I380" t="e">
        <f ca="1">IF((A1)=(2),"",IF((376)=(I4),IF(IF((INDEX(B1:XFD1,((A3)+(1))+(0)))=("store"),(INDEX(B1:XFD1,((A3)+(1))+(1)))=("I"),"false"),B3,I380),I380))</f>
        <v>#VALUE!</v>
      </c>
      <c r="J380" t="e">
        <f ca="1">IF((A1)=(2),"",IF((376)=(J4),IF(IF((INDEX(B1:XFD1,((A3)+(1))+(0)))=("store"),(INDEX(B1:XFD1,((A3)+(1))+(1)))=("J"),"false"),B3,J380),J380))</f>
        <v>#VALUE!</v>
      </c>
      <c r="K380" t="e">
        <f ca="1">IF((A1)=(2),"",IF((376)=(K4),IF(IF((INDEX(B1:XFD1,((A3)+(1))+(0)))=("store"),(INDEX(B1:XFD1,((A3)+(1))+(1)))=("K"),"false"),B3,K380),K380))</f>
        <v>#VALUE!</v>
      </c>
      <c r="L380" t="e">
        <f ca="1">IF((A1)=(2),"",IF((376)=(L4),IF(IF((INDEX(B1:XFD1,((A3)+(1))+(0)))=("store"),(INDEX(B1:XFD1,((A3)+(1))+(1)))=("L"),"false"),B3,L380),L380))</f>
        <v>#VALUE!</v>
      </c>
      <c r="M380" t="e">
        <f ca="1">IF((A1)=(2),"",IF((376)=(M4),IF(IF((INDEX(B1:XFD1,((A3)+(1))+(0)))=("store"),(INDEX(B1:XFD1,((A3)+(1))+(1)))=("M"),"false"),B3,M380),M380))</f>
        <v>#VALUE!</v>
      </c>
      <c r="N380" t="e">
        <f ca="1">IF((A1)=(2),"",IF((376)=(N4),IF(IF((INDEX(B1:XFD1,((A3)+(1))+(0)))=("store"),(INDEX(B1:XFD1,((A3)+(1))+(1)))=("N"),"false"),B3,N380),N380))</f>
        <v>#VALUE!</v>
      </c>
      <c r="O380" t="e">
        <f ca="1">IF((A1)=(2),"",IF((376)=(O4),IF(IF((INDEX(B1:XFD1,((A3)+(1))+(0)))=("store"),(INDEX(B1:XFD1,((A3)+(1))+(1)))=("O"),"false"),B3,O380),O380))</f>
        <v>#VALUE!</v>
      </c>
      <c r="P380" t="e">
        <f ca="1">IF((A1)=(2),"",IF((376)=(P4),IF(IF((INDEX(B1:XFD1,((A3)+(1))+(0)))=("store"),(INDEX(B1:XFD1,((A3)+(1))+(1)))=("P"),"false"),B3,P380),P380))</f>
        <v>#VALUE!</v>
      </c>
      <c r="Q380" t="e">
        <f ca="1">IF((A1)=(2),"",IF((376)=(Q4),IF(IF((INDEX(B1:XFD1,((A3)+(1))+(0)))=("store"),(INDEX(B1:XFD1,((A3)+(1))+(1)))=("Q"),"false"),B3,Q380),Q380))</f>
        <v>#VALUE!</v>
      </c>
      <c r="R380" t="e">
        <f ca="1">IF((A1)=(2),"",IF((376)=(R4),IF(IF((INDEX(B1:XFD1,((A3)+(1))+(0)))=("store"),(INDEX(B1:XFD1,((A3)+(1))+(1)))=("R"),"false"),B3,R380),R380))</f>
        <v>#VALUE!</v>
      </c>
      <c r="S380" t="e">
        <f ca="1">IF((A1)=(2),"",IF((376)=(S4),IF(IF((INDEX(B1:XFD1,((A3)+(1))+(0)))=("store"),(INDEX(B1:XFD1,((A3)+(1))+(1)))=("S"),"false"),B3,S380),S380))</f>
        <v>#VALUE!</v>
      </c>
      <c r="T380" t="e">
        <f ca="1">IF((A1)=(2),"",IF((376)=(T4),IF(IF((INDEX(B1:XFD1,((A3)+(1))+(0)))=("store"),(INDEX(B1:XFD1,((A3)+(1))+(1)))=("T"),"false"),B3,T380),T380))</f>
        <v>#VALUE!</v>
      </c>
      <c r="U380" t="e">
        <f ca="1">IF((A1)=(2),"",IF((376)=(U4),IF(IF((INDEX(B1:XFD1,((A3)+(1))+(0)))=("store"),(INDEX(B1:XFD1,((A3)+(1))+(1)))=("U"),"false"),B3,U380),U380))</f>
        <v>#VALUE!</v>
      </c>
      <c r="V380" t="e">
        <f ca="1">IF((A1)=(2),"",IF((376)=(V4),IF(IF((INDEX(B1:XFD1,((A3)+(1))+(0)))=("store"),(INDEX(B1:XFD1,((A3)+(1))+(1)))=("V"),"false"),B3,V380),V380))</f>
        <v>#VALUE!</v>
      </c>
      <c r="W380" t="e">
        <f ca="1">IF((A1)=(2),"",IF((376)=(W4),IF(IF((INDEX(B1:XFD1,((A3)+(1))+(0)))=("store"),(INDEX(B1:XFD1,((A3)+(1))+(1)))=("W"),"false"),B3,W380),W380))</f>
        <v>#VALUE!</v>
      </c>
      <c r="X380" t="e">
        <f ca="1">IF((A1)=(2),"",IF((376)=(X4),IF(IF((INDEX(B1:XFD1,((A3)+(1))+(0)))=("store"),(INDEX(B1:XFD1,((A3)+(1))+(1)))=("X"),"false"),B3,X380),X380))</f>
        <v>#VALUE!</v>
      </c>
      <c r="Y380" t="e">
        <f ca="1">IF((A1)=(2),"",IF((376)=(Y4),IF(IF((INDEX(B1:XFD1,((A3)+(1))+(0)))=("store"),(INDEX(B1:XFD1,((A3)+(1))+(1)))=("Y"),"false"),B3,Y380),Y380))</f>
        <v>#VALUE!</v>
      </c>
      <c r="Z380" t="e">
        <f ca="1">IF((A1)=(2),"",IF((376)=(Z4),IF(IF((INDEX(B1:XFD1,((A3)+(1))+(0)))=("store"),(INDEX(B1:XFD1,((A3)+(1))+(1)))=("Z"),"false"),B3,Z380),Z380))</f>
        <v>#VALUE!</v>
      </c>
      <c r="AA380" t="e">
        <f ca="1">IF((A1)=(2),"",IF((376)=(AA4),IF(IF((INDEX(B1:XFD1,((A3)+(1))+(0)))=("store"),(INDEX(B1:XFD1,((A3)+(1))+(1)))=("AA"),"false"),B3,AA380),AA380))</f>
        <v>#VALUE!</v>
      </c>
      <c r="AB380" t="e">
        <f ca="1">IF((A1)=(2),"",IF((376)=(AB4),IF(IF((INDEX(B1:XFD1,((A3)+(1))+(0)))=("store"),(INDEX(B1:XFD1,((A3)+(1))+(1)))=("AB"),"false"),B3,AB380),AB380))</f>
        <v>#VALUE!</v>
      </c>
      <c r="AC380" t="e">
        <f ca="1">IF((A1)=(2),"",IF((376)=(AC4),IF(IF((INDEX(B1:XFD1,((A3)+(1))+(0)))=("store"),(INDEX(B1:XFD1,((A3)+(1))+(1)))=("AC"),"false"),B3,AC380),AC380))</f>
        <v>#VALUE!</v>
      </c>
      <c r="AD380" t="e">
        <f ca="1">IF((A1)=(2),"",IF((376)=(AD4),IF(IF((INDEX(B1:XFD1,((A3)+(1))+(0)))=("store"),(INDEX(B1:XFD1,((A3)+(1))+(1)))=("AD"),"false"),B3,AD380),AD380))</f>
        <v>#VALUE!</v>
      </c>
    </row>
    <row r="381" spans="1:30" x14ac:dyDescent="0.25">
      <c r="A381" t="e">
        <f ca="1">IF((A1)=(2),"",IF((377)=(A4),IF(("call")=(INDEX(B1:XFD1,((A3)+(1))+(0))),(B3)*(2),IF(("goto")=(INDEX(B1:XFD1,((A3)+(1))+(0))),(INDEX(B1:XFD1,((A3)+(1))+(1)))*(2),IF(("gotoiftrue")=(INDEX(B1:XFD1,((A3)+(1))+(0))),IF(B3,(INDEX(B1:XFD1,((A3)+(1))+(1)))*(2),(A381)+(2)),(A381)+(2)))),A381))</f>
        <v>#VALUE!</v>
      </c>
      <c r="B381" t="e">
        <f ca="1">IF((A1)=(2),"",IF((377)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381)+(1)),IF(("add")=(INDEX(B1:XFD1,((A3)+(1))+(0))),(INDEX(B5:B405,(B4)+(1)))+(B381),IF(("equals")=(INDEX(B1:XFD1,((A3)+(1))+(0))),(INDEX(B5:B405,(B4)+(1)))=(B381),IF(("leq")=(INDEX(B1:XFD1,((A3)+(1))+(0))),(INDEX(B5:B405,(B4)+(1)))&lt;=(B381),IF(("greater")=(INDEX(B1:XFD1,((A3)+(1))+(0))),(INDEX(B5:B405,(B4)+(1)))&gt;(B381),IF(("mod")=(INDEX(B1:XFD1,((A3)+(1))+(0))),MOD(INDEX(B5:B405,(B4)+(1)),B381),B381))))))))),B381))</f>
        <v>#VALUE!</v>
      </c>
      <c r="C381" t="e">
        <f ca="1">IF((A1)=(2),1,IF(AND((INDEX(B1:XFD1,((A3)+(1))+(0)))=("writeheap"),(INDEX(B5:B405,(B4)+(1)))=(376)),INDEX(B5:B405,(B4)+(2)),IF((A1)=(2),"",IF((377)=(C4),C381,C381))))</f>
        <v>#VALUE!</v>
      </c>
      <c r="F381" t="e">
        <f ca="1">IF((A1)=(2),"",IF((377)=(F4),IF(IF((INDEX(B1:XFD1,((A3)+(1))+(0)))=("store"),(INDEX(B1:XFD1,((A3)+(1))+(1)))=("F"),"false"),B3,F381),F381))</f>
        <v>#VALUE!</v>
      </c>
      <c r="G381" t="e">
        <f ca="1">IF((A1)=(2),"",IF((377)=(G4),IF(IF((INDEX(B1:XFD1,((A3)+(1))+(0)))=("store"),(INDEX(B1:XFD1,((A3)+(1))+(1)))=("G"),"false"),B3,G381),G381))</f>
        <v>#VALUE!</v>
      </c>
      <c r="H381" t="e">
        <f ca="1">IF((A1)=(2),"",IF((377)=(H4),IF(IF((INDEX(B1:XFD1,((A3)+(1))+(0)))=("store"),(INDEX(B1:XFD1,((A3)+(1))+(1)))=("H"),"false"),B3,H381),H381))</f>
        <v>#VALUE!</v>
      </c>
      <c r="I381" t="e">
        <f ca="1">IF((A1)=(2),"",IF((377)=(I4),IF(IF((INDEX(B1:XFD1,((A3)+(1))+(0)))=("store"),(INDEX(B1:XFD1,((A3)+(1))+(1)))=("I"),"false"),B3,I381),I381))</f>
        <v>#VALUE!</v>
      </c>
      <c r="J381" t="e">
        <f ca="1">IF((A1)=(2),"",IF((377)=(J4),IF(IF((INDEX(B1:XFD1,((A3)+(1))+(0)))=("store"),(INDEX(B1:XFD1,((A3)+(1))+(1)))=("J"),"false"),B3,J381),J381))</f>
        <v>#VALUE!</v>
      </c>
      <c r="K381" t="e">
        <f ca="1">IF((A1)=(2),"",IF((377)=(K4),IF(IF((INDEX(B1:XFD1,((A3)+(1))+(0)))=("store"),(INDEX(B1:XFD1,((A3)+(1))+(1)))=("K"),"false"),B3,K381),K381))</f>
        <v>#VALUE!</v>
      </c>
      <c r="L381" t="e">
        <f ca="1">IF((A1)=(2),"",IF((377)=(L4),IF(IF((INDEX(B1:XFD1,((A3)+(1))+(0)))=("store"),(INDEX(B1:XFD1,((A3)+(1))+(1)))=("L"),"false"),B3,L381),L381))</f>
        <v>#VALUE!</v>
      </c>
      <c r="M381" t="e">
        <f ca="1">IF((A1)=(2),"",IF((377)=(M4),IF(IF((INDEX(B1:XFD1,((A3)+(1))+(0)))=("store"),(INDEX(B1:XFD1,((A3)+(1))+(1)))=("M"),"false"),B3,M381),M381))</f>
        <v>#VALUE!</v>
      </c>
      <c r="N381" t="e">
        <f ca="1">IF((A1)=(2),"",IF((377)=(N4),IF(IF((INDEX(B1:XFD1,((A3)+(1))+(0)))=("store"),(INDEX(B1:XFD1,((A3)+(1))+(1)))=("N"),"false"),B3,N381),N381))</f>
        <v>#VALUE!</v>
      </c>
      <c r="O381" t="e">
        <f ca="1">IF((A1)=(2),"",IF((377)=(O4),IF(IF((INDEX(B1:XFD1,((A3)+(1))+(0)))=("store"),(INDEX(B1:XFD1,((A3)+(1))+(1)))=("O"),"false"),B3,O381),O381))</f>
        <v>#VALUE!</v>
      </c>
      <c r="P381" t="e">
        <f ca="1">IF((A1)=(2),"",IF((377)=(P4),IF(IF((INDEX(B1:XFD1,((A3)+(1))+(0)))=("store"),(INDEX(B1:XFD1,((A3)+(1))+(1)))=("P"),"false"),B3,P381),P381))</f>
        <v>#VALUE!</v>
      </c>
      <c r="Q381" t="e">
        <f ca="1">IF((A1)=(2),"",IF((377)=(Q4),IF(IF((INDEX(B1:XFD1,((A3)+(1))+(0)))=("store"),(INDEX(B1:XFD1,((A3)+(1))+(1)))=("Q"),"false"),B3,Q381),Q381))</f>
        <v>#VALUE!</v>
      </c>
      <c r="R381" t="e">
        <f ca="1">IF((A1)=(2),"",IF((377)=(R4),IF(IF((INDEX(B1:XFD1,((A3)+(1))+(0)))=("store"),(INDEX(B1:XFD1,((A3)+(1))+(1)))=("R"),"false"),B3,R381),R381))</f>
        <v>#VALUE!</v>
      </c>
      <c r="S381" t="e">
        <f ca="1">IF((A1)=(2),"",IF((377)=(S4),IF(IF((INDEX(B1:XFD1,((A3)+(1))+(0)))=("store"),(INDEX(B1:XFD1,((A3)+(1))+(1)))=("S"),"false"),B3,S381),S381))</f>
        <v>#VALUE!</v>
      </c>
      <c r="T381" t="e">
        <f ca="1">IF((A1)=(2),"",IF((377)=(T4),IF(IF((INDEX(B1:XFD1,((A3)+(1))+(0)))=("store"),(INDEX(B1:XFD1,((A3)+(1))+(1)))=("T"),"false"),B3,T381),T381))</f>
        <v>#VALUE!</v>
      </c>
      <c r="U381" t="e">
        <f ca="1">IF((A1)=(2),"",IF((377)=(U4),IF(IF((INDEX(B1:XFD1,((A3)+(1))+(0)))=("store"),(INDEX(B1:XFD1,((A3)+(1))+(1)))=("U"),"false"),B3,U381),U381))</f>
        <v>#VALUE!</v>
      </c>
      <c r="V381" t="e">
        <f ca="1">IF((A1)=(2),"",IF((377)=(V4),IF(IF((INDEX(B1:XFD1,((A3)+(1))+(0)))=("store"),(INDEX(B1:XFD1,((A3)+(1))+(1)))=("V"),"false"),B3,V381),V381))</f>
        <v>#VALUE!</v>
      </c>
      <c r="W381" t="e">
        <f ca="1">IF((A1)=(2),"",IF((377)=(W4),IF(IF((INDEX(B1:XFD1,((A3)+(1))+(0)))=("store"),(INDEX(B1:XFD1,((A3)+(1))+(1)))=("W"),"false"),B3,W381),W381))</f>
        <v>#VALUE!</v>
      </c>
      <c r="X381" t="e">
        <f ca="1">IF((A1)=(2),"",IF((377)=(X4),IF(IF((INDEX(B1:XFD1,((A3)+(1))+(0)))=("store"),(INDEX(B1:XFD1,((A3)+(1))+(1)))=("X"),"false"),B3,X381),X381))</f>
        <v>#VALUE!</v>
      </c>
      <c r="Y381" t="e">
        <f ca="1">IF((A1)=(2),"",IF((377)=(Y4),IF(IF((INDEX(B1:XFD1,((A3)+(1))+(0)))=("store"),(INDEX(B1:XFD1,((A3)+(1))+(1)))=("Y"),"false"),B3,Y381),Y381))</f>
        <v>#VALUE!</v>
      </c>
      <c r="Z381" t="e">
        <f ca="1">IF((A1)=(2),"",IF((377)=(Z4),IF(IF((INDEX(B1:XFD1,((A3)+(1))+(0)))=("store"),(INDEX(B1:XFD1,((A3)+(1))+(1)))=("Z"),"false"),B3,Z381),Z381))</f>
        <v>#VALUE!</v>
      </c>
      <c r="AA381" t="e">
        <f ca="1">IF((A1)=(2),"",IF((377)=(AA4),IF(IF((INDEX(B1:XFD1,((A3)+(1))+(0)))=("store"),(INDEX(B1:XFD1,((A3)+(1))+(1)))=("AA"),"false"),B3,AA381),AA381))</f>
        <v>#VALUE!</v>
      </c>
      <c r="AB381" t="e">
        <f ca="1">IF((A1)=(2),"",IF((377)=(AB4),IF(IF((INDEX(B1:XFD1,((A3)+(1))+(0)))=("store"),(INDEX(B1:XFD1,((A3)+(1))+(1)))=("AB"),"false"),B3,AB381),AB381))</f>
        <v>#VALUE!</v>
      </c>
      <c r="AC381" t="e">
        <f ca="1">IF((A1)=(2),"",IF((377)=(AC4),IF(IF((INDEX(B1:XFD1,((A3)+(1))+(0)))=("store"),(INDEX(B1:XFD1,((A3)+(1))+(1)))=("AC"),"false"),B3,AC381),AC381))</f>
        <v>#VALUE!</v>
      </c>
      <c r="AD381" t="e">
        <f ca="1">IF((A1)=(2),"",IF((377)=(AD4),IF(IF((INDEX(B1:XFD1,((A3)+(1))+(0)))=("store"),(INDEX(B1:XFD1,((A3)+(1))+(1)))=("AD"),"false"),B3,AD381),AD381))</f>
        <v>#VALUE!</v>
      </c>
    </row>
    <row r="382" spans="1:30" x14ac:dyDescent="0.25">
      <c r="A382" t="e">
        <f ca="1">IF((A1)=(2),"",IF((378)=(A4),IF(("call")=(INDEX(B1:XFD1,((A3)+(1))+(0))),(B3)*(2),IF(("goto")=(INDEX(B1:XFD1,((A3)+(1))+(0))),(INDEX(B1:XFD1,((A3)+(1))+(1)))*(2),IF(("gotoiftrue")=(INDEX(B1:XFD1,((A3)+(1))+(0))),IF(B3,(INDEX(B1:XFD1,((A3)+(1))+(1)))*(2),(A382)+(2)),(A382)+(2)))),A382))</f>
        <v>#VALUE!</v>
      </c>
      <c r="B382" t="e">
        <f ca="1">IF((A1)=(2),"",IF((378)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382)+(1)),IF(("add")=(INDEX(B1:XFD1,((A3)+(1))+(0))),(INDEX(B5:B405,(B4)+(1)))+(B382),IF(("equals")=(INDEX(B1:XFD1,((A3)+(1))+(0))),(INDEX(B5:B405,(B4)+(1)))=(B382),IF(("leq")=(INDEX(B1:XFD1,((A3)+(1))+(0))),(INDEX(B5:B405,(B4)+(1)))&lt;=(B382),IF(("greater")=(INDEX(B1:XFD1,((A3)+(1))+(0))),(INDEX(B5:B405,(B4)+(1)))&gt;(B382),IF(("mod")=(INDEX(B1:XFD1,((A3)+(1))+(0))),MOD(INDEX(B5:B405,(B4)+(1)),B382),B382))))))))),B382))</f>
        <v>#VALUE!</v>
      </c>
      <c r="C382" t="e">
        <f ca="1">IF((A1)=(2),1,IF(AND((INDEX(B1:XFD1,((A3)+(1))+(0)))=("writeheap"),(INDEX(B5:B405,(B4)+(1)))=(377)),INDEX(B5:B405,(B4)+(2)),IF((A1)=(2),"",IF((378)=(C4),C382,C382))))</f>
        <v>#VALUE!</v>
      </c>
      <c r="F382" t="e">
        <f ca="1">IF((A1)=(2),"",IF((378)=(F4),IF(IF((INDEX(B1:XFD1,((A3)+(1))+(0)))=("store"),(INDEX(B1:XFD1,((A3)+(1))+(1)))=("F"),"false"),B3,F382),F382))</f>
        <v>#VALUE!</v>
      </c>
      <c r="G382" t="e">
        <f ca="1">IF((A1)=(2),"",IF((378)=(G4),IF(IF((INDEX(B1:XFD1,((A3)+(1))+(0)))=("store"),(INDEX(B1:XFD1,((A3)+(1))+(1)))=("G"),"false"),B3,G382),G382))</f>
        <v>#VALUE!</v>
      </c>
      <c r="H382" t="e">
        <f ca="1">IF((A1)=(2),"",IF((378)=(H4),IF(IF((INDEX(B1:XFD1,((A3)+(1))+(0)))=("store"),(INDEX(B1:XFD1,((A3)+(1))+(1)))=("H"),"false"),B3,H382),H382))</f>
        <v>#VALUE!</v>
      </c>
      <c r="I382" t="e">
        <f ca="1">IF((A1)=(2),"",IF((378)=(I4),IF(IF((INDEX(B1:XFD1,((A3)+(1))+(0)))=("store"),(INDEX(B1:XFD1,((A3)+(1))+(1)))=("I"),"false"),B3,I382),I382))</f>
        <v>#VALUE!</v>
      </c>
      <c r="J382" t="e">
        <f ca="1">IF((A1)=(2),"",IF((378)=(J4),IF(IF((INDEX(B1:XFD1,((A3)+(1))+(0)))=("store"),(INDEX(B1:XFD1,((A3)+(1))+(1)))=("J"),"false"),B3,J382),J382))</f>
        <v>#VALUE!</v>
      </c>
      <c r="K382" t="e">
        <f ca="1">IF((A1)=(2),"",IF((378)=(K4),IF(IF((INDEX(B1:XFD1,((A3)+(1))+(0)))=("store"),(INDEX(B1:XFD1,((A3)+(1))+(1)))=("K"),"false"),B3,K382),K382))</f>
        <v>#VALUE!</v>
      </c>
      <c r="L382" t="e">
        <f ca="1">IF((A1)=(2),"",IF((378)=(L4),IF(IF((INDEX(B1:XFD1,((A3)+(1))+(0)))=("store"),(INDEX(B1:XFD1,((A3)+(1))+(1)))=("L"),"false"),B3,L382),L382))</f>
        <v>#VALUE!</v>
      </c>
      <c r="M382" t="e">
        <f ca="1">IF((A1)=(2),"",IF((378)=(M4),IF(IF((INDEX(B1:XFD1,((A3)+(1))+(0)))=("store"),(INDEX(B1:XFD1,((A3)+(1))+(1)))=("M"),"false"),B3,M382),M382))</f>
        <v>#VALUE!</v>
      </c>
      <c r="N382" t="e">
        <f ca="1">IF((A1)=(2),"",IF((378)=(N4),IF(IF((INDEX(B1:XFD1,((A3)+(1))+(0)))=("store"),(INDEX(B1:XFD1,((A3)+(1))+(1)))=("N"),"false"),B3,N382),N382))</f>
        <v>#VALUE!</v>
      </c>
      <c r="O382" t="e">
        <f ca="1">IF((A1)=(2),"",IF((378)=(O4),IF(IF((INDEX(B1:XFD1,((A3)+(1))+(0)))=("store"),(INDEX(B1:XFD1,((A3)+(1))+(1)))=("O"),"false"),B3,O382),O382))</f>
        <v>#VALUE!</v>
      </c>
      <c r="P382" t="e">
        <f ca="1">IF((A1)=(2),"",IF((378)=(P4),IF(IF((INDEX(B1:XFD1,((A3)+(1))+(0)))=("store"),(INDEX(B1:XFD1,((A3)+(1))+(1)))=("P"),"false"),B3,P382),P382))</f>
        <v>#VALUE!</v>
      </c>
      <c r="Q382" t="e">
        <f ca="1">IF((A1)=(2),"",IF((378)=(Q4),IF(IF((INDEX(B1:XFD1,((A3)+(1))+(0)))=("store"),(INDEX(B1:XFD1,((A3)+(1))+(1)))=("Q"),"false"),B3,Q382),Q382))</f>
        <v>#VALUE!</v>
      </c>
      <c r="R382" t="e">
        <f ca="1">IF((A1)=(2),"",IF((378)=(R4),IF(IF((INDEX(B1:XFD1,((A3)+(1))+(0)))=("store"),(INDEX(B1:XFD1,((A3)+(1))+(1)))=("R"),"false"),B3,R382),R382))</f>
        <v>#VALUE!</v>
      </c>
      <c r="S382" t="e">
        <f ca="1">IF((A1)=(2),"",IF((378)=(S4),IF(IF((INDEX(B1:XFD1,((A3)+(1))+(0)))=("store"),(INDEX(B1:XFD1,((A3)+(1))+(1)))=("S"),"false"),B3,S382),S382))</f>
        <v>#VALUE!</v>
      </c>
      <c r="T382" t="e">
        <f ca="1">IF((A1)=(2),"",IF((378)=(T4),IF(IF((INDEX(B1:XFD1,((A3)+(1))+(0)))=("store"),(INDEX(B1:XFD1,((A3)+(1))+(1)))=("T"),"false"),B3,T382),T382))</f>
        <v>#VALUE!</v>
      </c>
      <c r="U382" t="e">
        <f ca="1">IF((A1)=(2),"",IF((378)=(U4),IF(IF((INDEX(B1:XFD1,((A3)+(1))+(0)))=("store"),(INDEX(B1:XFD1,((A3)+(1))+(1)))=("U"),"false"),B3,U382),U382))</f>
        <v>#VALUE!</v>
      </c>
      <c r="V382" t="e">
        <f ca="1">IF((A1)=(2),"",IF((378)=(V4),IF(IF((INDEX(B1:XFD1,((A3)+(1))+(0)))=("store"),(INDEX(B1:XFD1,((A3)+(1))+(1)))=("V"),"false"),B3,V382),V382))</f>
        <v>#VALUE!</v>
      </c>
      <c r="W382" t="e">
        <f ca="1">IF((A1)=(2),"",IF((378)=(W4),IF(IF((INDEX(B1:XFD1,((A3)+(1))+(0)))=("store"),(INDEX(B1:XFD1,((A3)+(1))+(1)))=("W"),"false"),B3,W382),W382))</f>
        <v>#VALUE!</v>
      </c>
      <c r="X382" t="e">
        <f ca="1">IF((A1)=(2),"",IF((378)=(X4),IF(IF((INDEX(B1:XFD1,((A3)+(1))+(0)))=("store"),(INDEX(B1:XFD1,((A3)+(1))+(1)))=("X"),"false"),B3,X382),X382))</f>
        <v>#VALUE!</v>
      </c>
      <c r="Y382" t="e">
        <f ca="1">IF((A1)=(2),"",IF((378)=(Y4),IF(IF((INDEX(B1:XFD1,((A3)+(1))+(0)))=("store"),(INDEX(B1:XFD1,((A3)+(1))+(1)))=("Y"),"false"),B3,Y382),Y382))</f>
        <v>#VALUE!</v>
      </c>
      <c r="Z382" t="e">
        <f ca="1">IF((A1)=(2),"",IF((378)=(Z4),IF(IF((INDEX(B1:XFD1,((A3)+(1))+(0)))=("store"),(INDEX(B1:XFD1,((A3)+(1))+(1)))=("Z"),"false"),B3,Z382),Z382))</f>
        <v>#VALUE!</v>
      </c>
      <c r="AA382" t="e">
        <f ca="1">IF((A1)=(2),"",IF((378)=(AA4),IF(IF((INDEX(B1:XFD1,((A3)+(1))+(0)))=("store"),(INDEX(B1:XFD1,((A3)+(1))+(1)))=("AA"),"false"),B3,AA382),AA382))</f>
        <v>#VALUE!</v>
      </c>
      <c r="AB382" t="e">
        <f ca="1">IF((A1)=(2),"",IF((378)=(AB4),IF(IF((INDEX(B1:XFD1,((A3)+(1))+(0)))=("store"),(INDEX(B1:XFD1,((A3)+(1))+(1)))=("AB"),"false"),B3,AB382),AB382))</f>
        <v>#VALUE!</v>
      </c>
      <c r="AC382" t="e">
        <f ca="1">IF((A1)=(2),"",IF((378)=(AC4),IF(IF((INDEX(B1:XFD1,((A3)+(1))+(0)))=("store"),(INDEX(B1:XFD1,((A3)+(1))+(1)))=("AC"),"false"),B3,AC382),AC382))</f>
        <v>#VALUE!</v>
      </c>
      <c r="AD382" t="e">
        <f ca="1">IF((A1)=(2),"",IF((378)=(AD4),IF(IF((INDEX(B1:XFD1,((A3)+(1))+(0)))=("store"),(INDEX(B1:XFD1,((A3)+(1))+(1)))=("AD"),"false"),B3,AD382),AD382))</f>
        <v>#VALUE!</v>
      </c>
    </row>
    <row r="383" spans="1:30" x14ac:dyDescent="0.25">
      <c r="A383" t="e">
        <f ca="1">IF((A1)=(2),"",IF((379)=(A4),IF(("call")=(INDEX(B1:XFD1,((A3)+(1))+(0))),(B3)*(2),IF(("goto")=(INDEX(B1:XFD1,((A3)+(1))+(0))),(INDEX(B1:XFD1,((A3)+(1))+(1)))*(2),IF(("gotoiftrue")=(INDEX(B1:XFD1,((A3)+(1))+(0))),IF(B3,(INDEX(B1:XFD1,((A3)+(1))+(1)))*(2),(A383)+(2)),(A383)+(2)))),A383))</f>
        <v>#VALUE!</v>
      </c>
      <c r="B383" t="e">
        <f ca="1">IF((A1)=(2),"",IF((379)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383)+(1)),IF(("add")=(INDEX(B1:XFD1,((A3)+(1))+(0))),(INDEX(B5:B405,(B4)+(1)))+(B383),IF(("equals")=(INDEX(B1:XFD1,((A3)+(1))+(0))),(INDEX(B5:B405,(B4)+(1)))=(B383),IF(("leq")=(INDEX(B1:XFD1,((A3)+(1))+(0))),(INDEX(B5:B405,(B4)+(1)))&lt;=(B383),IF(("greater")=(INDEX(B1:XFD1,((A3)+(1))+(0))),(INDEX(B5:B405,(B4)+(1)))&gt;(B383),IF(("mod")=(INDEX(B1:XFD1,((A3)+(1))+(0))),MOD(INDEX(B5:B405,(B4)+(1)),B383),B383))))))))),B383))</f>
        <v>#VALUE!</v>
      </c>
      <c r="C383" t="e">
        <f ca="1">IF((A1)=(2),1,IF(AND((INDEX(B1:XFD1,((A3)+(1))+(0)))=("writeheap"),(INDEX(B5:B405,(B4)+(1)))=(378)),INDEX(B5:B405,(B4)+(2)),IF((A1)=(2),"",IF((379)=(C4),C383,C383))))</f>
        <v>#VALUE!</v>
      </c>
      <c r="F383" t="e">
        <f ca="1">IF((A1)=(2),"",IF((379)=(F4),IF(IF((INDEX(B1:XFD1,((A3)+(1))+(0)))=("store"),(INDEX(B1:XFD1,((A3)+(1))+(1)))=("F"),"false"),B3,F383),F383))</f>
        <v>#VALUE!</v>
      </c>
      <c r="G383" t="e">
        <f ca="1">IF((A1)=(2),"",IF((379)=(G4),IF(IF((INDEX(B1:XFD1,((A3)+(1))+(0)))=("store"),(INDEX(B1:XFD1,((A3)+(1))+(1)))=("G"),"false"),B3,G383),G383))</f>
        <v>#VALUE!</v>
      </c>
      <c r="H383" t="e">
        <f ca="1">IF((A1)=(2),"",IF((379)=(H4),IF(IF((INDEX(B1:XFD1,((A3)+(1))+(0)))=("store"),(INDEX(B1:XFD1,((A3)+(1))+(1)))=("H"),"false"),B3,H383),H383))</f>
        <v>#VALUE!</v>
      </c>
      <c r="I383" t="e">
        <f ca="1">IF((A1)=(2),"",IF((379)=(I4),IF(IF((INDEX(B1:XFD1,((A3)+(1))+(0)))=("store"),(INDEX(B1:XFD1,((A3)+(1))+(1)))=("I"),"false"),B3,I383),I383))</f>
        <v>#VALUE!</v>
      </c>
      <c r="J383" t="e">
        <f ca="1">IF((A1)=(2),"",IF((379)=(J4),IF(IF((INDEX(B1:XFD1,((A3)+(1))+(0)))=("store"),(INDEX(B1:XFD1,((A3)+(1))+(1)))=("J"),"false"),B3,J383),J383))</f>
        <v>#VALUE!</v>
      </c>
      <c r="K383" t="e">
        <f ca="1">IF((A1)=(2),"",IF((379)=(K4),IF(IF((INDEX(B1:XFD1,((A3)+(1))+(0)))=("store"),(INDEX(B1:XFD1,((A3)+(1))+(1)))=("K"),"false"),B3,K383),K383))</f>
        <v>#VALUE!</v>
      </c>
      <c r="L383" t="e">
        <f ca="1">IF((A1)=(2),"",IF((379)=(L4),IF(IF((INDEX(B1:XFD1,((A3)+(1))+(0)))=("store"),(INDEX(B1:XFD1,((A3)+(1))+(1)))=("L"),"false"),B3,L383),L383))</f>
        <v>#VALUE!</v>
      </c>
      <c r="M383" t="e">
        <f ca="1">IF((A1)=(2),"",IF((379)=(M4),IF(IF((INDEX(B1:XFD1,((A3)+(1))+(0)))=("store"),(INDEX(B1:XFD1,((A3)+(1))+(1)))=("M"),"false"),B3,M383),M383))</f>
        <v>#VALUE!</v>
      </c>
      <c r="N383" t="e">
        <f ca="1">IF((A1)=(2),"",IF((379)=(N4),IF(IF((INDEX(B1:XFD1,((A3)+(1))+(0)))=("store"),(INDEX(B1:XFD1,((A3)+(1))+(1)))=("N"),"false"),B3,N383),N383))</f>
        <v>#VALUE!</v>
      </c>
      <c r="O383" t="e">
        <f ca="1">IF((A1)=(2),"",IF((379)=(O4),IF(IF((INDEX(B1:XFD1,((A3)+(1))+(0)))=("store"),(INDEX(B1:XFD1,((A3)+(1))+(1)))=("O"),"false"),B3,O383),O383))</f>
        <v>#VALUE!</v>
      </c>
      <c r="P383" t="e">
        <f ca="1">IF((A1)=(2),"",IF((379)=(P4),IF(IF((INDEX(B1:XFD1,((A3)+(1))+(0)))=("store"),(INDEX(B1:XFD1,((A3)+(1))+(1)))=("P"),"false"),B3,P383),P383))</f>
        <v>#VALUE!</v>
      </c>
      <c r="Q383" t="e">
        <f ca="1">IF((A1)=(2),"",IF((379)=(Q4),IF(IF((INDEX(B1:XFD1,((A3)+(1))+(0)))=("store"),(INDEX(B1:XFD1,((A3)+(1))+(1)))=("Q"),"false"),B3,Q383),Q383))</f>
        <v>#VALUE!</v>
      </c>
      <c r="R383" t="e">
        <f ca="1">IF((A1)=(2),"",IF((379)=(R4),IF(IF((INDEX(B1:XFD1,((A3)+(1))+(0)))=("store"),(INDEX(B1:XFD1,((A3)+(1))+(1)))=("R"),"false"),B3,R383),R383))</f>
        <v>#VALUE!</v>
      </c>
      <c r="S383" t="e">
        <f ca="1">IF((A1)=(2),"",IF((379)=(S4),IF(IF((INDEX(B1:XFD1,((A3)+(1))+(0)))=("store"),(INDEX(B1:XFD1,((A3)+(1))+(1)))=("S"),"false"),B3,S383),S383))</f>
        <v>#VALUE!</v>
      </c>
      <c r="T383" t="e">
        <f ca="1">IF((A1)=(2),"",IF((379)=(T4),IF(IF((INDEX(B1:XFD1,((A3)+(1))+(0)))=("store"),(INDEX(B1:XFD1,((A3)+(1))+(1)))=("T"),"false"),B3,T383),T383))</f>
        <v>#VALUE!</v>
      </c>
      <c r="U383" t="e">
        <f ca="1">IF((A1)=(2),"",IF((379)=(U4),IF(IF((INDEX(B1:XFD1,((A3)+(1))+(0)))=("store"),(INDEX(B1:XFD1,((A3)+(1))+(1)))=("U"),"false"),B3,U383),U383))</f>
        <v>#VALUE!</v>
      </c>
      <c r="V383" t="e">
        <f ca="1">IF((A1)=(2),"",IF((379)=(V4),IF(IF((INDEX(B1:XFD1,((A3)+(1))+(0)))=("store"),(INDEX(B1:XFD1,((A3)+(1))+(1)))=("V"),"false"),B3,V383),V383))</f>
        <v>#VALUE!</v>
      </c>
      <c r="W383" t="e">
        <f ca="1">IF((A1)=(2),"",IF((379)=(W4),IF(IF((INDEX(B1:XFD1,((A3)+(1))+(0)))=("store"),(INDEX(B1:XFD1,((A3)+(1))+(1)))=("W"),"false"),B3,W383),W383))</f>
        <v>#VALUE!</v>
      </c>
      <c r="X383" t="e">
        <f ca="1">IF((A1)=(2),"",IF((379)=(X4),IF(IF((INDEX(B1:XFD1,((A3)+(1))+(0)))=("store"),(INDEX(B1:XFD1,((A3)+(1))+(1)))=("X"),"false"),B3,X383),X383))</f>
        <v>#VALUE!</v>
      </c>
      <c r="Y383" t="e">
        <f ca="1">IF((A1)=(2),"",IF((379)=(Y4),IF(IF((INDEX(B1:XFD1,((A3)+(1))+(0)))=("store"),(INDEX(B1:XFD1,((A3)+(1))+(1)))=("Y"),"false"),B3,Y383),Y383))</f>
        <v>#VALUE!</v>
      </c>
      <c r="Z383" t="e">
        <f ca="1">IF((A1)=(2),"",IF((379)=(Z4),IF(IF((INDEX(B1:XFD1,((A3)+(1))+(0)))=("store"),(INDEX(B1:XFD1,((A3)+(1))+(1)))=("Z"),"false"),B3,Z383),Z383))</f>
        <v>#VALUE!</v>
      </c>
      <c r="AA383" t="e">
        <f ca="1">IF((A1)=(2),"",IF((379)=(AA4),IF(IF((INDEX(B1:XFD1,((A3)+(1))+(0)))=("store"),(INDEX(B1:XFD1,((A3)+(1))+(1)))=("AA"),"false"),B3,AA383),AA383))</f>
        <v>#VALUE!</v>
      </c>
      <c r="AB383" t="e">
        <f ca="1">IF((A1)=(2),"",IF((379)=(AB4),IF(IF((INDEX(B1:XFD1,((A3)+(1))+(0)))=("store"),(INDEX(B1:XFD1,((A3)+(1))+(1)))=("AB"),"false"),B3,AB383),AB383))</f>
        <v>#VALUE!</v>
      </c>
      <c r="AC383" t="e">
        <f ca="1">IF((A1)=(2),"",IF((379)=(AC4),IF(IF((INDEX(B1:XFD1,((A3)+(1))+(0)))=("store"),(INDEX(B1:XFD1,((A3)+(1))+(1)))=("AC"),"false"),B3,AC383),AC383))</f>
        <v>#VALUE!</v>
      </c>
      <c r="AD383" t="e">
        <f ca="1">IF((A1)=(2),"",IF((379)=(AD4),IF(IF((INDEX(B1:XFD1,((A3)+(1))+(0)))=("store"),(INDEX(B1:XFD1,((A3)+(1))+(1)))=("AD"),"false"),B3,AD383),AD383))</f>
        <v>#VALUE!</v>
      </c>
    </row>
    <row r="384" spans="1:30" x14ac:dyDescent="0.25">
      <c r="A384" t="e">
        <f ca="1">IF((A1)=(2),"",IF((380)=(A4),IF(("call")=(INDEX(B1:XFD1,((A3)+(1))+(0))),(B3)*(2),IF(("goto")=(INDEX(B1:XFD1,((A3)+(1))+(0))),(INDEX(B1:XFD1,((A3)+(1))+(1)))*(2),IF(("gotoiftrue")=(INDEX(B1:XFD1,((A3)+(1))+(0))),IF(B3,(INDEX(B1:XFD1,((A3)+(1))+(1)))*(2),(A384)+(2)),(A384)+(2)))),A384))</f>
        <v>#VALUE!</v>
      </c>
      <c r="B384" t="e">
        <f ca="1">IF((A1)=(2),"",IF((380)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384)+(1)),IF(("add")=(INDEX(B1:XFD1,((A3)+(1))+(0))),(INDEX(B5:B405,(B4)+(1)))+(B384),IF(("equals")=(INDEX(B1:XFD1,((A3)+(1))+(0))),(INDEX(B5:B405,(B4)+(1)))=(B384),IF(("leq")=(INDEX(B1:XFD1,((A3)+(1))+(0))),(INDEX(B5:B405,(B4)+(1)))&lt;=(B384),IF(("greater")=(INDEX(B1:XFD1,((A3)+(1))+(0))),(INDEX(B5:B405,(B4)+(1)))&gt;(B384),IF(("mod")=(INDEX(B1:XFD1,((A3)+(1))+(0))),MOD(INDEX(B5:B405,(B4)+(1)),B384),B384))))))))),B384))</f>
        <v>#VALUE!</v>
      </c>
      <c r="C384" t="e">
        <f ca="1">IF((A1)=(2),1,IF(AND((INDEX(B1:XFD1,((A3)+(1))+(0)))=("writeheap"),(INDEX(B5:B405,(B4)+(1)))=(379)),INDEX(B5:B405,(B4)+(2)),IF((A1)=(2),"",IF((380)=(C4),C384,C384))))</f>
        <v>#VALUE!</v>
      </c>
      <c r="F384" t="e">
        <f ca="1">IF((A1)=(2),"",IF((380)=(F4),IF(IF((INDEX(B1:XFD1,((A3)+(1))+(0)))=("store"),(INDEX(B1:XFD1,((A3)+(1))+(1)))=("F"),"false"),B3,F384),F384))</f>
        <v>#VALUE!</v>
      </c>
      <c r="G384" t="e">
        <f ca="1">IF((A1)=(2),"",IF((380)=(G4),IF(IF((INDEX(B1:XFD1,((A3)+(1))+(0)))=("store"),(INDEX(B1:XFD1,((A3)+(1))+(1)))=("G"),"false"),B3,G384),G384))</f>
        <v>#VALUE!</v>
      </c>
      <c r="H384" t="e">
        <f ca="1">IF((A1)=(2),"",IF((380)=(H4),IF(IF((INDEX(B1:XFD1,((A3)+(1))+(0)))=("store"),(INDEX(B1:XFD1,((A3)+(1))+(1)))=("H"),"false"),B3,H384),H384))</f>
        <v>#VALUE!</v>
      </c>
      <c r="I384" t="e">
        <f ca="1">IF((A1)=(2),"",IF((380)=(I4),IF(IF((INDEX(B1:XFD1,((A3)+(1))+(0)))=("store"),(INDEX(B1:XFD1,((A3)+(1))+(1)))=("I"),"false"),B3,I384),I384))</f>
        <v>#VALUE!</v>
      </c>
      <c r="J384" t="e">
        <f ca="1">IF((A1)=(2),"",IF((380)=(J4),IF(IF((INDEX(B1:XFD1,((A3)+(1))+(0)))=("store"),(INDEX(B1:XFD1,((A3)+(1))+(1)))=("J"),"false"),B3,J384),J384))</f>
        <v>#VALUE!</v>
      </c>
      <c r="K384" t="e">
        <f ca="1">IF((A1)=(2),"",IF((380)=(K4),IF(IF((INDEX(B1:XFD1,((A3)+(1))+(0)))=("store"),(INDEX(B1:XFD1,((A3)+(1))+(1)))=("K"),"false"),B3,K384),K384))</f>
        <v>#VALUE!</v>
      </c>
      <c r="L384" t="e">
        <f ca="1">IF((A1)=(2),"",IF((380)=(L4),IF(IF((INDEX(B1:XFD1,((A3)+(1))+(0)))=("store"),(INDEX(B1:XFD1,((A3)+(1))+(1)))=("L"),"false"),B3,L384),L384))</f>
        <v>#VALUE!</v>
      </c>
      <c r="M384" t="e">
        <f ca="1">IF((A1)=(2),"",IF((380)=(M4),IF(IF((INDEX(B1:XFD1,((A3)+(1))+(0)))=("store"),(INDEX(B1:XFD1,((A3)+(1))+(1)))=("M"),"false"),B3,M384),M384))</f>
        <v>#VALUE!</v>
      </c>
      <c r="N384" t="e">
        <f ca="1">IF((A1)=(2),"",IF((380)=(N4),IF(IF((INDEX(B1:XFD1,((A3)+(1))+(0)))=("store"),(INDEX(B1:XFD1,((A3)+(1))+(1)))=("N"),"false"),B3,N384),N384))</f>
        <v>#VALUE!</v>
      </c>
      <c r="O384" t="e">
        <f ca="1">IF((A1)=(2),"",IF((380)=(O4),IF(IF((INDEX(B1:XFD1,((A3)+(1))+(0)))=("store"),(INDEX(B1:XFD1,((A3)+(1))+(1)))=("O"),"false"),B3,O384),O384))</f>
        <v>#VALUE!</v>
      </c>
      <c r="P384" t="e">
        <f ca="1">IF((A1)=(2),"",IF((380)=(P4),IF(IF((INDEX(B1:XFD1,((A3)+(1))+(0)))=("store"),(INDEX(B1:XFD1,((A3)+(1))+(1)))=("P"),"false"),B3,P384),P384))</f>
        <v>#VALUE!</v>
      </c>
      <c r="Q384" t="e">
        <f ca="1">IF((A1)=(2),"",IF((380)=(Q4),IF(IF((INDEX(B1:XFD1,((A3)+(1))+(0)))=("store"),(INDEX(B1:XFD1,((A3)+(1))+(1)))=("Q"),"false"),B3,Q384),Q384))</f>
        <v>#VALUE!</v>
      </c>
      <c r="R384" t="e">
        <f ca="1">IF((A1)=(2),"",IF((380)=(R4),IF(IF((INDEX(B1:XFD1,((A3)+(1))+(0)))=("store"),(INDEX(B1:XFD1,((A3)+(1))+(1)))=("R"),"false"),B3,R384),R384))</f>
        <v>#VALUE!</v>
      </c>
      <c r="S384" t="e">
        <f ca="1">IF((A1)=(2),"",IF((380)=(S4),IF(IF((INDEX(B1:XFD1,((A3)+(1))+(0)))=("store"),(INDEX(B1:XFD1,((A3)+(1))+(1)))=("S"),"false"),B3,S384),S384))</f>
        <v>#VALUE!</v>
      </c>
      <c r="T384" t="e">
        <f ca="1">IF((A1)=(2),"",IF((380)=(T4),IF(IF((INDEX(B1:XFD1,((A3)+(1))+(0)))=("store"),(INDEX(B1:XFD1,((A3)+(1))+(1)))=("T"),"false"),B3,T384),T384))</f>
        <v>#VALUE!</v>
      </c>
      <c r="U384" t="e">
        <f ca="1">IF((A1)=(2),"",IF((380)=(U4),IF(IF((INDEX(B1:XFD1,((A3)+(1))+(0)))=("store"),(INDEX(B1:XFD1,((A3)+(1))+(1)))=("U"),"false"),B3,U384),U384))</f>
        <v>#VALUE!</v>
      </c>
      <c r="V384" t="e">
        <f ca="1">IF((A1)=(2),"",IF((380)=(V4),IF(IF((INDEX(B1:XFD1,((A3)+(1))+(0)))=("store"),(INDEX(B1:XFD1,((A3)+(1))+(1)))=("V"),"false"),B3,V384),V384))</f>
        <v>#VALUE!</v>
      </c>
      <c r="W384" t="e">
        <f ca="1">IF((A1)=(2),"",IF((380)=(W4),IF(IF((INDEX(B1:XFD1,((A3)+(1))+(0)))=("store"),(INDEX(B1:XFD1,((A3)+(1))+(1)))=("W"),"false"),B3,W384),W384))</f>
        <v>#VALUE!</v>
      </c>
      <c r="X384" t="e">
        <f ca="1">IF((A1)=(2),"",IF((380)=(X4),IF(IF((INDEX(B1:XFD1,((A3)+(1))+(0)))=("store"),(INDEX(B1:XFD1,((A3)+(1))+(1)))=("X"),"false"),B3,X384),X384))</f>
        <v>#VALUE!</v>
      </c>
      <c r="Y384" t="e">
        <f ca="1">IF((A1)=(2),"",IF((380)=(Y4),IF(IF((INDEX(B1:XFD1,((A3)+(1))+(0)))=("store"),(INDEX(B1:XFD1,((A3)+(1))+(1)))=("Y"),"false"),B3,Y384),Y384))</f>
        <v>#VALUE!</v>
      </c>
      <c r="Z384" t="e">
        <f ca="1">IF((A1)=(2),"",IF((380)=(Z4),IF(IF((INDEX(B1:XFD1,((A3)+(1))+(0)))=("store"),(INDEX(B1:XFD1,((A3)+(1))+(1)))=("Z"),"false"),B3,Z384),Z384))</f>
        <v>#VALUE!</v>
      </c>
      <c r="AA384" t="e">
        <f ca="1">IF((A1)=(2),"",IF((380)=(AA4),IF(IF((INDEX(B1:XFD1,((A3)+(1))+(0)))=("store"),(INDEX(B1:XFD1,((A3)+(1))+(1)))=("AA"),"false"),B3,AA384),AA384))</f>
        <v>#VALUE!</v>
      </c>
      <c r="AB384" t="e">
        <f ca="1">IF((A1)=(2),"",IF((380)=(AB4),IF(IF((INDEX(B1:XFD1,((A3)+(1))+(0)))=("store"),(INDEX(B1:XFD1,((A3)+(1))+(1)))=("AB"),"false"),B3,AB384),AB384))</f>
        <v>#VALUE!</v>
      </c>
      <c r="AC384" t="e">
        <f ca="1">IF((A1)=(2),"",IF((380)=(AC4),IF(IF((INDEX(B1:XFD1,((A3)+(1))+(0)))=("store"),(INDEX(B1:XFD1,((A3)+(1))+(1)))=("AC"),"false"),B3,AC384),AC384))</f>
        <v>#VALUE!</v>
      </c>
      <c r="AD384" t="e">
        <f ca="1">IF((A1)=(2),"",IF((380)=(AD4),IF(IF((INDEX(B1:XFD1,((A3)+(1))+(0)))=("store"),(INDEX(B1:XFD1,((A3)+(1))+(1)))=("AD"),"false"),B3,AD384),AD384))</f>
        <v>#VALUE!</v>
      </c>
    </row>
    <row r="385" spans="1:30" x14ac:dyDescent="0.25">
      <c r="A385" t="e">
        <f ca="1">IF((A1)=(2),"",IF((381)=(A4),IF(("call")=(INDEX(B1:XFD1,((A3)+(1))+(0))),(B3)*(2),IF(("goto")=(INDEX(B1:XFD1,((A3)+(1))+(0))),(INDEX(B1:XFD1,((A3)+(1))+(1)))*(2),IF(("gotoiftrue")=(INDEX(B1:XFD1,((A3)+(1))+(0))),IF(B3,(INDEX(B1:XFD1,((A3)+(1))+(1)))*(2),(A385)+(2)),(A385)+(2)))),A385))</f>
        <v>#VALUE!</v>
      </c>
      <c r="B385" t="e">
        <f ca="1">IF((A1)=(2),"",IF((381)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385)+(1)),IF(("add")=(INDEX(B1:XFD1,((A3)+(1))+(0))),(INDEX(B5:B405,(B4)+(1)))+(B385),IF(("equals")=(INDEX(B1:XFD1,((A3)+(1))+(0))),(INDEX(B5:B405,(B4)+(1)))=(B385),IF(("leq")=(INDEX(B1:XFD1,((A3)+(1))+(0))),(INDEX(B5:B405,(B4)+(1)))&lt;=(B385),IF(("greater")=(INDEX(B1:XFD1,((A3)+(1))+(0))),(INDEX(B5:B405,(B4)+(1)))&gt;(B385),IF(("mod")=(INDEX(B1:XFD1,((A3)+(1))+(0))),MOD(INDEX(B5:B405,(B4)+(1)),B385),B385))))))))),B385))</f>
        <v>#VALUE!</v>
      </c>
      <c r="C385" t="e">
        <f ca="1">IF((A1)=(2),1,IF(AND((INDEX(B1:XFD1,((A3)+(1))+(0)))=("writeheap"),(INDEX(B5:B405,(B4)+(1)))=(380)),INDEX(B5:B405,(B4)+(2)),IF((A1)=(2),"",IF((381)=(C4),C385,C385))))</f>
        <v>#VALUE!</v>
      </c>
      <c r="F385" t="e">
        <f ca="1">IF((A1)=(2),"",IF((381)=(F4),IF(IF((INDEX(B1:XFD1,((A3)+(1))+(0)))=("store"),(INDEX(B1:XFD1,((A3)+(1))+(1)))=("F"),"false"),B3,F385),F385))</f>
        <v>#VALUE!</v>
      </c>
      <c r="G385" t="e">
        <f ca="1">IF((A1)=(2),"",IF((381)=(G4),IF(IF((INDEX(B1:XFD1,((A3)+(1))+(0)))=("store"),(INDEX(B1:XFD1,((A3)+(1))+(1)))=("G"),"false"),B3,G385),G385))</f>
        <v>#VALUE!</v>
      </c>
      <c r="H385" t="e">
        <f ca="1">IF((A1)=(2),"",IF((381)=(H4),IF(IF((INDEX(B1:XFD1,((A3)+(1))+(0)))=("store"),(INDEX(B1:XFD1,((A3)+(1))+(1)))=("H"),"false"),B3,H385),H385))</f>
        <v>#VALUE!</v>
      </c>
      <c r="I385" t="e">
        <f ca="1">IF((A1)=(2),"",IF((381)=(I4),IF(IF((INDEX(B1:XFD1,((A3)+(1))+(0)))=("store"),(INDEX(B1:XFD1,((A3)+(1))+(1)))=("I"),"false"),B3,I385),I385))</f>
        <v>#VALUE!</v>
      </c>
      <c r="J385" t="e">
        <f ca="1">IF((A1)=(2),"",IF((381)=(J4),IF(IF((INDEX(B1:XFD1,((A3)+(1))+(0)))=("store"),(INDEX(B1:XFD1,((A3)+(1))+(1)))=("J"),"false"),B3,J385),J385))</f>
        <v>#VALUE!</v>
      </c>
      <c r="K385" t="e">
        <f ca="1">IF((A1)=(2),"",IF((381)=(K4),IF(IF((INDEX(B1:XFD1,((A3)+(1))+(0)))=("store"),(INDEX(B1:XFD1,((A3)+(1))+(1)))=("K"),"false"),B3,K385),K385))</f>
        <v>#VALUE!</v>
      </c>
      <c r="L385" t="e">
        <f ca="1">IF((A1)=(2),"",IF((381)=(L4),IF(IF((INDEX(B1:XFD1,((A3)+(1))+(0)))=("store"),(INDEX(B1:XFD1,((A3)+(1))+(1)))=("L"),"false"),B3,L385),L385))</f>
        <v>#VALUE!</v>
      </c>
      <c r="M385" t="e">
        <f ca="1">IF((A1)=(2),"",IF((381)=(M4),IF(IF((INDEX(B1:XFD1,((A3)+(1))+(0)))=("store"),(INDEX(B1:XFD1,((A3)+(1))+(1)))=("M"),"false"),B3,M385),M385))</f>
        <v>#VALUE!</v>
      </c>
      <c r="N385" t="e">
        <f ca="1">IF((A1)=(2),"",IF((381)=(N4),IF(IF((INDEX(B1:XFD1,((A3)+(1))+(0)))=("store"),(INDEX(B1:XFD1,((A3)+(1))+(1)))=("N"),"false"),B3,N385),N385))</f>
        <v>#VALUE!</v>
      </c>
      <c r="O385" t="e">
        <f ca="1">IF((A1)=(2),"",IF((381)=(O4),IF(IF((INDEX(B1:XFD1,((A3)+(1))+(0)))=("store"),(INDEX(B1:XFD1,((A3)+(1))+(1)))=("O"),"false"),B3,O385),O385))</f>
        <v>#VALUE!</v>
      </c>
      <c r="P385" t="e">
        <f ca="1">IF((A1)=(2),"",IF((381)=(P4),IF(IF((INDEX(B1:XFD1,((A3)+(1))+(0)))=("store"),(INDEX(B1:XFD1,((A3)+(1))+(1)))=("P"),"false"),B3,P385),P385))</f>
        <v>#VALUE!</v>
      </c>
      <c r="Q385" t="e">
        <f ca="1">IF((A1)=(2),"",IF((381)=(Q4),IF(IF((INDEX(B1:XFD1,((A3)+(1))+(0)))=("store"),(INDEX(B1:XFD1,((A3)+(1))+(1)))=("Q"),"false"),B3,Q385),Q385))</f>
        <v>#VALUE!</v>
      </c>
      <c r="R385" t="e">
        <f ca="1">IF((A1)=(2),"",IF((381)=(R4),IF(IF((INDEX(B1:XFD1,((A3)+(1))+(0)))=("store"),(INDEX(B1:XFD1,((A3)+(1))+(1)))=("R"),"false"),B3,R385),R385))</f>
        <v>#VALUE!</v>
      </c>
      <c r="S385" t="e">
        <f ca="1">IF((A1)=(2),"",IF((381)=(S4),IF(IF((INDEX(B1:XFD1,((A3)+(1))+(0)))=("store"),(INDEX(B1:XFD1,((A3)+(1))+(1)))=("S"),"false"),B3,S385),S385))</f>
        <v>#VALUE!</v>
      </c>
      <c r="T385" t="e">
        <f ca="1">IF((A1)=(2),"",IF((381)=(T4),IF(IF((INDEX(B1:XFD1,((A3)+(1))+(0)))=("store"),(INDEX(B1:XFD1,((A3)+(1))+(1)))=("T"),"false"),B3,T385),T385))</f>
        <v>#VALUE!</v>
      </c>
      <c r="U385" t="e">
        <f ca="1">IF((A1)=(2),"",IF((381)=(U4),IF(IF((INDEX(B1:XFD1,((A3)+(1))+(0)))=("store"),(INDEX(B1:XFD1,((A3)+(1))+(1)))=("U"),"false"),B3,U385),U385))</f>
        <v>#VALUE!</v>
      </c>
      <c r="V385" t="e">
        <f ca="1">IF((A1)=(2),"",IF((381)=(V4),IF(IF((INDEX(B1:XFD1,((A3)+(1))+(0)))=("store"),(INDEX(B1:XFD1,((A3)+(1))+(1)))=("V"),"false"),B3,V385),V385))</f>
        <v>#VALUE!</v>
      </c>
      <c r="W385" t="e">
        <f ca="1">IF((A1)=(2),"",IF((381)=(W4),IF(IF((INDEX(B1:XFD1,((A3)+(1))+(0)))=("store"),(INDEX(B1:XFD1,((A3)+(1))+(1)))=("W"),"false"),B3,W385),W385))</f>
        <v>#VALUE!</v>
      </c>
      <c r="X385" t="e">
        <f ca="1">IF((A1)=(2),"",IF((381)=(X4),IF(IF((INDEX(B1:XFD1,((A3)+(1))+(0)))=("store"),(INDEX(B1:XFD1,((A3)+(1))+(1)))=("X"),"false"),B3,X385),X385))</f>
        <v>#VALUE!</v>
      </c>
      <c r="Y385" t="e">
        <f ca="1">IF((A1)=(2),"",IF((381)=(Y4),IF(IF((INDEX(B1:XFD1,((A3)+(1))+(0)))=("store"),(INDEX(B1:XFD1,((A3)+(1))+(1)))=("Y"),"false"),B3,Y385),Y385))</f>
        <v>#VALUE!</v>
      </c>
      <c r="Z385" t="e">
        <f ca="1">IF((A1)=(2),"",IF((381)=(Z4),IF(IF((INDEX(B1:XFD1,((A3)+(1))+(0)))=("store"),(INDEX(B1:XFD1,((A3)+(1))+(1)))=("Z"),"false"),B3,Z385),Z385))</f>
        <v>#VALUE!</v>
      </c>
      <c r="AA385" t="e">
        <f ca="1">IF((A1)=(2),"",IF((381)=(AA4),IF(IF((INDEX(B1:XFD1,((A3)+(1))+(0)))=("store"),(INDEX(B1:XFD1,((A3)+(1))+(1)))=("AA"),"false"),B3,AA385),AA385))</f>
        <v>#VALUE!</v>
      </c>
      <c r="AB385" t="e">
        <f ca="1">IF((A1)=(2),"",IF((381)=(AB4),IF(IF((INDEX(B1:XFD1,((A3)+(1))+(0)))=("store"),(INDEX(B1:XFD1,((A3)+(1))+(1)))=("AB"),"false"),B3,AB385),AB385))</f>
        <v>#VALUE!</v>
      </c>
      <c r="AC385" t="e">
        <f ca="1">IF((A1)=(2),"",IF((381)=(AC4),IF(IF((INDEX(B1:XFD1,((A3)+(1))+(0)))=("store"),(INDEX(B1:XFD1,((A3)+(1))+(1)))=("AC"),"false"),B3,AC385),AC385))</f>
        <v>#VALUE!</v>
      </c>
      <c r="AD385" t="e">
        <f ca="1">IF((A1)=(2),"",IF((381)=(AD4),IF(IF((INDEX(B1:XFD1,((A3)+(1))+(0)))=("store"),(INDEX(B1:XFD1,((A3)+(1))+(1)))=("AD"),"false"),B3,AD385),AD385))</f>
        <v>#VALUE!</v>
      </c>
    </row>
    <row r="386" spans="1:30" x14ac:dyDescent="0.25">
      <c r="A386" t="e">
        <f ca="1">IF((A1)=(2),"",IF((382)=(A4),IF(("call")=(INDEX(B1:XFD1,((A3)+(1))+(0))),(B3)*(2),IF(("goto")=(INDEX(B1:XFD1,((A3)+(1))+(0))),(INDEX(B1:XFD1,((A3)+(1))+(1)))*(2),IF(("gotoiftrue")=(INDEX(B1:XFD1,((A3)+(1))+(0))),IF(B3,(INDEX(B1:XFD1,((A3)+(1))+(1)))*(2),(A386)+(2)),(A386)+(2)))),A386))</f>
        <v>#VALUE!</v>
      </c>
      <c r="B386" t="e">
        <f ca="1">IF((A1)=(2),"",IF((382)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386)+(1)),IF(("add")=(INDEX(B1:XFD1,((A3)+(1))+(0))),(INDEX(B5:B405,(B4)+(1)))+(B386),IF(("equals")=(INDEX(B1:XFD1,((A3)+(1))+(0))),(INDEX(B5:B405,(B4)+(1)))=(B386),IF(("leq")=(INDEX(B1:XFD1,((A3)+(1))+(0))),(INDEX(B5:B405,(B4)+(1)))&lt;=(B386),IF(("greater")=(INDEX(B1:XFD1,((A3)+(1))+(0))),(INDEX(B5:B405,(B4)+(1)))&gt;(B386),IF(("mod")=(INDEX(B1:XFD1,((A3)+(1))+(0))),MOD(INDEX(B5:B405,(B4)+(1)),B386),B386))))))))),B386))</f>
        <v>#VALUE!</v>
      </c>
      <c r="C386" t="e">
        <f ca="1">IF((A1)=(2),1,IF(AND((INDEX(B1:XFD1,((A3)+(1))+(0)))=("writeheap"),(INDEX(B5:B405,(B4)+(1)))=(381)),INDEX(B5:B405,(B4)+(2)),IF((A1)=(2),"",IF((382)=(C4),C386,C386))))</f>
        <v>#VALUE!</v>
      </c>
      <c r="F386" t="e">
        <f ca="1">IF((A1)=(2),"",IF((382)=(F4),IF(IF((INDEX(B1:XFD1,((A3)+(1))+(0)))=("store"),(INDEX(B1:XFD1,((A3)+(1))+(1)))=("F"),"false"),B3,F386),F386))</f>
        <v>#VALUE!</v>
      </c>
      <c r="G386" t="e">
        <f ca="1">IF((A1)=(2),"",IF((382)=(G4),IF(IF((INDEX(B1:XFD1,((A3)+(1))+(0)))=("store"),(INDEX(B1:XFD1,((A3)+(1))+(1)))=("G"),"false"),B3,G386),G386))</f>
        <v>#VALUE!</v>
      </c>
      <c r="H386" t="e">
        <f ca="1">IF((A1)=(2),"",IF((382)=(H4),IF(IF((INDEX(B1:XFD1,((A3)+(1))+(0)))=("store"),(INDEX(B1:XFD1,((A3)+(1))+(1)))=("H"),"false"),B3,H386),H386))</f>
        <v>#VALUE!</v>
      </c>
      <c r="I386" t="e">
        <f ca="1">IF((A1)=(2),"",IF((382)=(I4),IF(IF((INDEX(B1:XFD1,((A3)+(1))+(0)))=("store"),(INDEX(B1:XFD1,((A3)+(1))+(1)))=("I"),"false"),B3,I386),I386))</f>
        <v>#VALUE!</v>
      </c>
      <c r="J386" t="e">
        <f ca="1">IF((A1)=(2),"",IF((382)=(J4),IF(IF((INDEX(B1:XFD1,((A3)+(1))+(0)))=("store"),(INDEX(B1:XFD1,((A3)+(1))+(1)))=("J"),"false"),B3,J386),J386))</f>
        <v>#VALUE!</v>
      </c>
      <c r="K386" t="e">
        <f ca="1">IF((A1)=(2),"",IF((382)=(K4),IF(IF((INDEX(B1:XFD1,((A3)+(1))+(0)))=("store"),(INDEX(B1:XFD1,((A3)+(1))+(1)))=("K"),"false"),B3,K386),K386))</f>
        <v>#VALUE!</v>
      </c>
      <c r="L386" t="e">
        <f ca="1">IF((A1)=(2),"",IF((382)=(L4),IF(IF((INDEX(B1:XFD1,((A3)+(1))+(0)))=("store"),(INDEX(B1:XFD1,((A3)+(1))+(1)))=("L"),"false"),B3,L386),L386))</f>
        <v>#VALUE!</v>
      </c>
      <c r="M386" t="e">
        <f ca="1">IF((A1)=(2),"",IF((382)=(M4),IF(IF((INDEX(B1:XFD1,((A3)+(1))+(0)))=("store"),(INDEX(B1:XFD1,((A3)+(1))+(1)))=("M"),"false"),B3,M386),M386))</f>
        <v>#VALUE!</v>
      </c>
      <c r="N386" t="e">
        <f ca="1">IF((A1)=(2),"",IF((382)=(N4),IF(IF((INDEX(B1:XFD1,((A3)+(1))+(0)))=("store"),(INDEX(B1:XFD1,((A3)+(1))+(1)))=("N"),"false"),B3,N386),N386))</f>
        <v>#VALUE!</v>
      </c>
      <c r="O386" t="e">
        <f ca="1">IF((A1)=(2),"",IF((382)=(O4),IF(IF((INDEX(B1:XFD1,((A3)+(1))+(0)))=("store"),(INDEX(B1:XFD1,((A3)+(1))+(1)))=("O"),"false"),B3,O386),O386))</f>
        <v>#VALUE!</v>
      </c>
      <c r="P386" t="e">
        <f ca="1">IF((A1)=(2),"",IF((382)=(P4),IF(IF((INDEX(B1:XFD1,((A3)+(1))+(0)))=("store"),(INDEX(B1:XFD1,((A3)+(1))+(1)))=("P"),"false"),B3,P386),P386))</f>
        <v>#VALUE!</v>
      </c>
      <c r="Q386" t="e">
        <f ca="1">IF((A1)=(2),"",IF((382)=(Q4),IF(IF((INDEX(B1:XFD1,((A3)+(1))+(0)))=("store"),(INDEX(B1:XFD1,((A3)+(1))+(1)))=("Q"),"false"),B3,Q386),Q386))</f>
        <v>#VALUE!</v>
      </c>
      <c r="R386" t="e">
        <f ca="1">IF((A1)=(2),"",IF((382)=(R4),IF(IF((INDEX(B1:XFD1,((A3)+(1))+(0)))=("store"),(INDEX(B1:XFD1,((A3)+(1))+(1)))=("R"),"false"),B3,R386),R386))</f>
        <v>#VALUE!</v>
      </c>
      <c r="S386" t="e">
        <f ca="1">IF((A1)=(2),"",IF((382)=(S4),IF(IF((INDEX(B1:XFD1,((A3)+(1))+(0)))=("store"),(INDEX(B1:XFD1,((A3)+(1))+(1)))=("S"),"false"),B3,S386),S386))</f>
        <v>#VALUE!</v>
      </c>
      <c r="T386" t="e">
        <f ca="1">IF((A1)=(2),"",IF((382)=(T4),IF(IF((INDEX(B1:XFD1,((A3)+(1))+(0)))=("store"),(INDEX(B1:XFD1,((A3)+(1))+(1)))=("T"),"false"),B3,T386),T386))</f>
        <v>#VALUE!</v>
      </c>
      <c r="U386" t="e">
        <f ca="1">IF((A1)=(2),"",IF((382)=(U4),IF(IF((INDEX(B1:XFD1,((A3)+(1))+(0)))=("store"),(INDEX(B1:XFD1,((A3)+(1))+(1)))=("U"),"false"),B3,U386),U386))</f>
        <v>#VALUE!</v>
      </c>
      <c r="V386" t="e">
        <f ca="1">IF((A1)=(2),"",IF((382)=(V4),IF(IF((INDEX(B1:XFD1,((A3)+(1))+(0)))=("store"),(INDEX(B1:XFD1,((A3)+(1))+(1)))=("V"),"false"),B3,V386),V386))</f>
        <v>#VALUE!</v>
      </c>
      <c r="W386" t="e">
        <f ca="1">IF((A1)=(2),"",IF((382)=(W4),IF(IF((INDEX(B1:XFD1,((A3)+(1))+(0)))=("store"),(INDEX(B1:XFD1,((A3)+(1))+(1)))=("W"),"false"),B3,W386),W386))</f>
        <v>#VALUE!</v>
      </c>
      <c r="X386" t="e">
        <f ca="1">IF((A1)=(2),"",IF((382)=(X4),IF(IF((INDEX(B1:XFD1,((A3)+(1))+(0)))=("store"),(INDEX(B1:XFD1,((A3)+(1))+(1)))=("X"),"false"),B3,X386),X386))</f>
        <v>#VALUE!</v>
      </c>
      <c r="Y386" t="e">
        <f ca="1">IF((A1)=(2),"",IF((382)=(Y4),IF(IF((INDEX(B1:XFD1,((A3)+(1))+(0)))=("store"),(INDEX(B1:XFD1,((A3)+(1))+(1)))=("Y"),"false"),B3,Y386),Y386))</f>
        <v>#VALUE!</v>
      </c>
      <c r="Z386" t="e">
        <f ca="1">IF((A1)=(2),"",IF((382)=(Z4),IF(IF((INDEX(B1:XFD1,((A3)+(1))+(0)))=("store"),(INDEX(B1:XFD1,((A3)+(1))+(1)))=("Z"),"false"),B3,Z386),Z386))</f>
        <v>#VALUE!</v>
      </c>
      <c r="AA386" t="e">
        <f ca="1">IF((A1)=(2),"",IF((382)=(AA4),IF(IF((INDEX(B1:XFD1,((A3)+(1))+(0)))=("store"),(INDEX(B1:XFD1,((A3)+(1))+(1)))=("AA"),"false"),B3,AA386),AA386))</f>
        <v>#VALUE!</v>
      </c>
      <c r="AB386" t="e">
        <f ca="1">IF((A1)=(2),"",IF((382)=(AB4),IF(IF((INDEX(B1:XFD1,((A3)+(1))+(0)))=("store"),(INDEX(B1:XFD1,((A3)+(1))+(1)))=("AB"),"false"),B3,AB386),AB386))</f>
        <v>#VALUE!</v>
      </c>
      <c r="AC386" t="e">
        <f ca="1">IF((A1)=(2),"",IF((382)=(AC4),IF(IF((INDEX(B1:XFD1,((A3)+(1))+(0)))=("store"),(INDEX(B1:XFD1,((A3)+(1))+(1)))=("AC"),"false"),B3,AC386),AC386))</f>
        <v>#VALUE!</v>
      </c>
      <c r="AD386" t="e">
        <f ca="1">IF((A1)=(2),"",IF((382)=(AD4),IF(IF((INDEX(B1:XFD1,((A3)+(1))+(0)))=("store"),(INDEX(B1:XFD1,((A3)+(1))+(1)))=("AD"),"false"),B3,AD386),AD386))</f>
        <v>#VALUE!</v>
      </c>
    </row>
    <row r="387" spans="1:30" x14ac:dyDescent="0.25">
      <c r="A387" t="e">
        <f ca="1">IF((A1)=(2),"",IF((383)=(A4),IF(("call")=(INDEX(B1:XFD1,((A3)+(1))+(0))),(B3)*(2),IF(("goto")=(INDEX(B1:XFD1,((A3)+(1))+(0))),(INDEX(B1:XFD1,((A3)+(1))+(1)))*(2),IF(("gotoiftrue")=(INDEX(B1:XFD1,((A3)+(1))+(0))),IF(B3,(INDEX(B1:XFD1,((A3)+(1))+(1)))*(2),(A387)+(2)),(A387)+(2)))),A387))</f>
        <v>#VALUE!</v>
      </c>
      <c r="B387" t="e">
        <f ca="1">IF((A1)=(2),"",IF((383)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387)+(1)),IF(("add")=(INDEX(B1:XFD1,((A3)+(1))+(0))),(INDEX(B5:B405,(B4)+(1)))+(B387),IF(("equals")=(INDEX(B1:XFD1,((A3)+(1))+(0))),(INDEX(B5:B405,(B4)+(1)))=(B387),IF(("leq")=(INDEX(B1:XFD1,((A3)+(1))+(0))),(INDEX(B5:B405,(B4)+(1)))&lt;=(B387),IF(("greater")=(INDEX(B1:XFD1,((A3)+(1))+(0))),(INDEX(B5:B405,(B4)+(1)))&gt;(B387),IF(("mod")=(INDEX(B1:XFD1,((A3)+(1))+(0))),MOD(INDEX(B5:B405,(B4)+(1)),B387),B387))))))))),B387))</f>
        <v>#VALUE!</v>
      </c>
      <c r="C387" t="e">
        <f ca="1">IF((A1)=(2),1,IF(AND((INDEX(B1:XFD1,((A3)+(1))+(0)))=("writeheap"),(INDEX(B5:B405,(B4)+(1)))=(382)),INDEX(B5:B405,(B4)+(2)),IF((A1)=(2),"",IF((383)=(C4),C387,C387))))</f>
        <v>#VALUE!</v>
      </c>
      <c r="F387" t="e">
        <f ca="1">IF((A1)=(2),"",IF((383)=(F4),IF(IF((INDEX(B1:XFD1,((A3)+(1))+(0)))=("store"),(INDEX(B1:XFD1,((A3)+(1))+(1)))=("F"),"false"),B3,F387),F387))</f>
        <v>#VALUE!</v>
      </c>
      <c r="G387" t="e">
        <f ca="1">IF((A1)=(2),"",IF((383)=(G4),IF(IF((INDEX(B1:XFD1,((A3)+(1))+(0)))=("store"),(INDEX(B1:XFD1,((A3)+(1))+(1)))=("G"),"false"),B3,G387),G387))</f>
        <v>#VALUE!</v>
      </c>
      <c r="H387" t="e">
        <f ca="1">IF((A1)=(2),"",IF((383)=(H4),IF(IF((INDEX(B1:XFD1,((A3)+(1))+(0)))=("store"),(INDEX(B1:XFD1,((A3)+(1))+(1)))=("H"),"false"),B3,H387),H387))</f>
        <v>#VALUE!</v>
      </c>
      <c r="I387" t="e">
        <f ca="1">IF((A1)=(2),"",IF((383)=(I4),IF(IF((INDEX(B1:XFD1,((A3)+(1))+(0)))=("store"),(INDEX(B1:XFD1,((A3)+(1))+(1)))=("I"),"false"),B3,I387),I387))</f>
        <v>#VALUE!</v>
      </c>
      <c r="J387" t="e">
        <f ca="1">IF((A1)=(2),"",IF((383)=(J4),IF(IF((INDEX(B1:XFD1,((A3)+(1))+(0)))=("store"),(INDEX(B1:XFD1,((A3)+(1))+(1)))=("J"),"false"),B3,J387),J387))</f>
        <v>#VALUE!</v>
      </c>
      <c r="K387" t="e">
        <f ca="1">IF((A1)=(2),"",IF((383)=(K4),IF(IF((INDEX(B1:XFD1,((A3)+(1))+(0)))=("store"),(INDEX(B1:XFD1,((A3)+(1))+(1)))=("K"),"false"),B3,K387),K387))</f>
        <v>#VALUE!</v>
      </c>
      <c r="L387" t="e">
        <f ca="1">IF((A1)=(2),"",IF((383)=(L4),IF(IF((INDEX(B1:XFD1,((A3)+(1))+(0)))=("store"),(INDEX(B1:XFD1,((A3)+(1))+(1)))=("L"),"false"),B3,L387),L387))</f>
        <v>#VALUE!</v>
      </c>
      <c r="M387" t="e">
        <f ca="1">IF((A1)=(2),"",IF((383)=(M4),IF(IF((INDEX(B1:XFD1,((A3)+(1))+(0)))=("store"),(INDEX(B1:XFD1,((A3)+(1))+(1)))=("M"),"false"),B3,M387),M387))</f>
        <v>#VALUE!</v>
      </c>
      <c r="N387" t="e">
        <f ca="1">IF((A1)=(2),"",IF((383)=(N4),IF(IF((INDEX(B1:XFD1,((A3)+(1))+(0)))=("store"),(INDEX(B1:XFD1,((A3)+(1))+(1)))=("N"),"false"),B3,N387),N387))</f>
        <v>#VALUE!</v>
      </c>
      <c r="O387" t="e">
        <f ca="1">IF((A1)=(2),"",IF((383)=(O4),IF(IF((INDEX(B1:XFD1,((A3)+(1))+(0)))=("store"),(INDEX(B1:XFD1,((A3)+(1))+(1)))=("O"),"false"),B3,O387),O387))</f>
        <v>#VALUE!</v>
      </c>
      <c r="P387" t="e">
        <f ca="1">IF((A1)=(2),"",IF((383)=(P4),IF(IF((INDEX(B1:XFD1,((A3)+(1))+(0)))=("store"),(INDEX(B1:XFD1,((A3)+(1))+(1)))=("P"),"false"),B3,P387),P387))</f>
        <v>#VALUE!</v>
      </c>
      <c r="Q387" t="e">
        <f ca="1">IF((A1)=(2),"",IF((383)=(Q4),IF(IF((INDEX(B1:XFD1,((A3)+(1))+(0)))=("store"),(INDEX(B1:XFD1,((A3)+(1))+(1)))=("Q"),"false"),B3,Q387),Q387))</f>
        <v>#VALUE!</v>
      </c>
      <c r="R387" t="e">
        <f ca="1">IF((A1)=(2),"",IF((383)=(R4),IF(IF((INDEX(B1:XFD1,((A3)+(1))+(0)))=("store"),(INDEX(B1:XFD1,((A3)+(1))+(1)))=("R"),"false"),B3,R387),R387))</f>
        <v>#VALUE!</v>
      </c>
      <c r="S387" t="e">
        <f ca="1">IF((A1)=(2),"",IF((383)=(S4),IF(IF((INDEX(B1:XFD1,((A3)+(1))+(0)))=("store"),(INDEX(B1:XFD1,((A3)+(1))+(1)))=("S"),"false"),B3,S387),S387))</f>
        <v>#VALUE!</v>
      </c>
      <c r="T387" t="e">
        <f ca="1">IF((A1)=(2),"",IF((383)=(T4),IF(IF((INDEX(B1:XFD1,((A3)+(1))+(0)))=("store"),(INDEX(B1:XFD1,((A3)+(1))+(1)))=("T"),"false"),B3,T387),T387))</f>
        <v>#VALUE!</v>
      </c>
      <c r="U387" t="e">
        <f ca="1">IF((A1)=(2),"",IF((383)=(U4),IF(IF((INDEX(B1:XFD1,((A3)+(1))+(0)))=("store"),(INDEX(B1:XFD1,((A3)+(1))+(1)))=("U"),"false"),B3,U387),U387))</f>
        <v>#VALUE!</v>
      </c>
      <c r="V387" t="e">
        <f ca="1">IF((A1)=(2),"",IF((383)=(V4),IF(IF((INDEX(B1:XFD1,((A3)+(1))+(0)))=("store"),(INDEX(B1:XFD1,((A3)+(1))+(1)))=("V"),"false"),B3,V387),V387))</f>
        <v>#VALUE!</v>
      </c>
      <c r="W387" t="e">
        <f ca="1">IF((A1)=(2),"",IF((383)=(W4),IF(IF((INDEX(B1:XFD1,((A3)+(1))+(0)))=("store"),(INDEX(B1:XFD1,((A3)+(1))+(1)))=("W"),"false"),B3,W387),W387))</f>
        <v>#VALUE!</v>
      </c>
      <c r="X387" t="e">
        <f ca="1">IF((A1)=(2),"",IF((383)=(X4),IF(IF((INDEX(B1:XFD1,((A3)+(1))+(0)))=("store"),(INDEX(B1:XFD1,((A3)+(1))+(1)))=("X"),"false"),B3,X387),X387))</f>
        <v>#VALUE!</v>
      </c>
      <c r="Y387" t="e">
        <f ca="1">IF((A1)=(2),"",IF((383)=(Y4),IF(IF((INDEX(B1:XFD1,((A3)+(1))+(0)))=("store"),(INDEX(B1:XFD1,((A3)+(1))+(1)))=("Y"),"false"),B3,Y387),Y387))</f>
        <v>#VALUE!</v>
      </c>
      <c r="Z387" t="e">
        <f ca="1">IF((A1)=(2),"",IF((383)=(Z4),IF(IF((INDEX(B1:XFD1,((A3)+(1))+(0)))=("store"),(INDEX(B1:XFD1,((A3)+(1))+(1)))=("Z"),"false"),B3,Z387),Z387))</f>
        <v>#VALUE!</v>
      </c>
      <c r="AA387" t="e">
        <f ca="1">IF((A1)=(2),"",IF((383)=(AA4),IF(IF((INDEX(B1:XFD1,((A3)+(1))+(0)))=("store"),(INDEX(B1:XFD1,((A3)+(1))+(1)))=("AA"),"false"),B3,AA387),AA387))</f>
        <v>#VALUE!</v>
      </c>
      <c r="AB387" t="e">
        <f ca="1">IF((A1)=(2),"",IF((383)=(AB4),IF(IF((INDEX(B1:XFD1,((A3)+(1))+(0)))=("store"),(INDEX(B1:XFD1,((A3)+(1))+(1)))=("AB"),"false"),B3,AB387),AB387))</f>
        <v>#VALUE!</v>
      </c>
      <c r="AC387" t="e">
        <f ca="1">IF((A1)=(2),"",IF((383)=(AC4),IF(IF((INDEX(B1:XFD1,((A3)+(1))+(0)))=("store"),(INDEX(B1:XFD1,((A3)+(1))+(1)))=("AC"),"false"),B3,AC387),AC387))</f>
        <v>#VALUE!</v>
      </c>
      <c r="AD387" t="e">
        <f ca="1">IF((A1)=(2),"",IF((383)=(AD4),IF(IF((INDEX(B1:XFD1,((A3)+(1))+(0)))=("store"),(INDEX(B1:XFD1,((A3)+(1))+(1)))=("AD"),"false"),B3,AD387),AD387))</f>
        <v>#VALUE!</v>
      </c>
    </row>
    <row r="388" spans="1:30" x14ac:dyDescent="0.25">
      <c r="A388" t="e">
        <f ca="1">IF((A1)=(2),"",IF((384)=(A4),IF(("call")=(INDEX(B1:XFD1,((A3)+(1))+(0))),(B3)*(2),IF(("goto")=(INDEX(B1:XFD1,((A3)+(1))+(0))),(INDEX(B1:XFD1,((A3)+(1))+(1)))*(2),IF(("gotoiftrue")=(INDEX(B1:XFD1,((A3)+(1))+(0))),IF(B3,(INDEX(B1:XFD1,((A3)+(1))+(1)))*(2),(A388)+(2)),(A388)+(2)))),A388))</f>
        <v>#VALUE!</v>
      </c>
      <c r="B388" t="e">
        <f ca="1">IF((A1)=(2),"",IF((384)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388)+(1)),IF(("add")=(INDEX(B1:XFD1,((A3)+(1))+(0))),(INDEX(B5:B405,(B4)+(1)))+(B388),IF(("equals")=(INDEX(B1:XFD1,((A3)+(1))+(0))),(INDEX(B5:B405,(B4)+(1)))=(B388),IF(("leq")=(INDEX(B1:XFD1,((A3)+(1))+(0))),(INDEX(B5:B405,(B4)+(1)))&lt;=(B388),IF(("greater")=(INDEX(B1:XFD1,((A3)+(1))+(0))),(INDEX(B5:B405,(B4)+(1)))&gt;(B388),IF(("mod")=(INDEX(B1:XFD1,((A3)+(1))+(0))),MOD(INDEX(B5:B405,(B4)+(1)),B388),B388))))))))),B388))</f>
        <v>#VALUE!</v>
      </c>
      <c r="C388" t="e">
        <f ca="1">IF((A1)=(2),1,IF(AND((INDEX(B1:XFD1,((A3)+(1))+(0)))=("writeheap"),(INDEX(B5:B405,(B4)+(1)))=(383)),INDEX(B5:B405,(B4)+(2)),IF((A1)=(2),"",IF((384)=(C4),C388,C388))))</f>
        <v>#VALUE!</v>
      </c>
      <c r="F388" t="e">
        <f ca="1">IF((A1)=(2),"",IF((384)=(F4),IF(IF((INDEX(B1:XFD1,((A3)+(1))+(0)))=("store"),(INDEX(B1:XFD1,((A3)+(1))+(1)))=("F"),"false"),B3,F388),F388))</f>
        <v>#VALUE!</v>
      </c>
      <c r="G388" t="e">
        <f ca="1">IF((A1)=(2),"",IF((384)=(G4),IF(IF((INDEX(B1:XFD1,((A3)+(1))+(0)))=("store"),(INDEX(B1:XFD1,((A3)+(1))+(1)))=("G"),"false"),B3,G388),G388))</f>
        <v>#VALUE!</v>
      </c>
      <c r="H388" t="e">
        <f ca="1">IF((A1)=(2),"",IF((384)=(H4),IF(IF((INDEX(B1:XFD1,((A3)+(1))+(0)))=("store"),(INDEX(B1:XFD1,((A3)+(1))+(1)))=("H"),"false"),B3,H388),H388))</f>
        <v>#VALUE!</v>
      </c>
      <c r="I388" t="e">
        <f ca="1">IF((A1)=(2),"",IF((384)=(I4),IF(IF((INDEX(B1:XFD1,((A3)+(1))+(0)))=("store"),(INDEX(B1:XFD1,((A3)+(1))+(1)))=("I"),"false"),B3,I388),I388))</f>
        <v>#VALUE!</v>
      </c>
      <c r="J388" t="e">
        <f ca="1">IF((A1)=(2),"",IF((384)=(J4),IF(IF((INDEX(B1:XFD1,((A3)+(1))+(0)))=("store"),(INDEX(B1:XFD1,((A3)+(1))+(1)))=("J"),"false"),B3,J388),J388))</f>
        <v>#VALUE!</v>
      </c>
      <c r="K388" t="e">
        <f ca="1">IF((A1)=(2),"",IF((384)=(K4),IF(IF((INDEX(B1:XFD1,((A3)+(1))+(0)))=("store"),(INDEX(B1:XFD1,((A3)+(1))+(1)))=("K"),"false"),B3,K388),K388))</f>
        <v>#VALUE!</v>
      </c>
      <c r="L388" t="e">
        <f ca="1">IF((A1)=(2),"",IF((384)=(L4),IF(IF((INDEX(B1:XFD1,((A3)+(1))+(0)))=("store"),(INDEX(B1:XFD1,((A3)+(1))+(1)))=("L"),"false"),B3,L388),L388))</f>
        <v>#VALUE!</v>
      </c>
      <c r="M388" t="e">
        <f ca="1">IF((A1)=(2),"",IF((384)=(M4),IF(IF((INDEX(B1:XFD1,((A3)+(1))+(0)))=("store"),(INDEX(B1:XFD1,((A3)+(1))+(1)))=("M"),"false"),B3,M388),M388))</f>
        <v>#VALUE!</v>
      </c>
      <c r="N388" t="e">
        <f ca="1">IF((A1)=(2),"",IF((384)=(N4),IF(IF((INDEX(B1:XFD1,((A3)+(1))+(0)))=("store"),(INDEX(B1:XFD1,((A3)+(1))+(1)))=("N"),"false"),B3,N388),N388))</f>
        <v>#VALUE!</v>
      </c>
      <c r="O388" t="e">
        <f ca="1">IF((A1)=(2),"",IF((384)=(O4),IF(IF((INDEX(B1:XFD1,((A3)+(1))+(0)))=("store"),(INDEX(B1:XFD1,((A3)+(1))+(1)))=("O"),"false"),B3,O388),O388))</f>
        <v>#VALUE!</v>
      </c>
      <c r="P388" t="e">
        <f ca="1">IF((A1)=(2),"",IF((384)=(P4),IF(IF((INDEX(B1:XFD1,((A3)+(1))+(0)))=("store"),(INDEX(B1:XFD1,((A3)+(1))+(1)))=("P"),"false"),B3,P388),P388))</f>
        <v>#VALUE!</v>
      </c>
      <c r="Q388" t="e">
        <f ca="1">IF((A1)=(2),"",IF((384)=(Q4),IF(IF((INDEX(B1:XFD1,((A3)+(1))+(0)))=("store"),(INDEX(B1:XFD1,((A3)+(1))+(1)))=("Q"),"false"),B3,Q388),Q388))</f>
        <v>#VALUE!</v>
      </c>
      <c r="R388" t="e">
        <f ca="1">IF((A1)=(2),"",IF((384)=(R4),IF(IF((INDEX(B1:XFD1,((A3)+(1))+(0)))=("store"),(INDEX(B1:XFD1,((A3)+(1))+(1)))=("R"),"false"),B3,R388),R388))</f>
        <v>#VALUE!</v>
      </c>
      <c r="S388" t="e">
        <f ca="1">IF((A1)=(2),"",IF((384)=(S4),IF(IF((INDEX(B1:XFD1,((A3)+(1))+(0)))=("store"),(INDEX(B1:XFD1,((A3)+(1))+(1)))=("S"),"false"),B3,S388),S388))</f>
        <v>#VALUE!</v>
      </c>
      <c r="T388" t="e">
        <f ca="1">IF((A1)=(2),"",IF((384)=(T4),IF(IF((INDEX(B1:XFD1,((A3)+(1))+(0)))=("store"),(INDEX(B1:XFD1,((A3)+(1))+(1)))=("T"),"false"),B3,T388),T388))</f>
        <v>#VALUE!</v>
      </c>
      <c r="U388" t="e">
        <f ca="1">IF((A1)=(2),"",IF((384)=(U4),IF(IF((INDEX(B1:XFD1,((A3)+(1))+(0)))=("store"),(INDEX(B1:XFD1,((A3)+(1))+(1)))=("U"),"false"),B3,U388),U388))</f>
        <v>#VALUE!</v>
      </c>
      <c r="V388" t="e">
        <f ca="1">IF((A1)=(2),"",IF((384)=(V4),IF(IF((INDEX(B1:XFD1,((A3)+(1))+(0)))=("store"),(INDEX(B1:XFD1,((A3)+(1))+(1)))=("V"),"false"),B3,V388),V388))</f>
        <v>#VALUE!</v>
      </c>
      <c r="W388" t="e">
        <f ca="1">IF((A1)=(2),"",IF((384)=(W4),IF(IF((INDEX(B1:XFD1,((A3)+(1))+(0)))=("store"),(INDEX(B1:XFD1,((A3)+(1))+(1)))=("W"),"false"),B3,W388),W388))</f>
        <v>#VALUE!</v>
      </c>
      <c r="X388" t="e">
        <f ca="1">IF((A1)=(2),"",IF((384)=(X4),IF(IF((INDEX(B1:XFD1,((A3)+(1))+(0)))=("store"),(INDEX(B1:XFD1,((A3)+(1))+(1)))=("X"),"false"),B3,X388),X388))</f>
        <v>#VALUE!</v>
      </c>
      <c r="Y388" t="e">
        <f ca="1">IF((A1)=(2),"",IF((384)=(Y4),IF(IF((INDEX(B1:XFD1,((A3)+(1))+(0)))=("store"),(INDEX(B1:XFD1,((A3)+(1))+(1)))=("Y"),"false"),B3,Y388),Y388))</f>
        <v>#VALUE!</v>
      </c>
      <c r="Z388" t="e">
        <f ca="1">IF((A1)=(2),"",IF((384)=(Z4),IF(IF((INDEX(B1:XFD1,((A3)+(1))+(0)))=("store"),(INDEX(B1:XFD1,((A3)+(1))+(1)))=("Z"),"false"),B3,Z388),Z388))</f>
        <v>#VALUE!</v>
      </c>
      <c r="AA388" t="e">
        <f ca="1">IF((A1)=(2),"",IF((384)=(AA4),IF(IF((INDEX(B1:XFD1,((A3)+(1))+(0)))=("store"),(INDEX(B1:XFD1,((A3)+(1))+(1)))=("AA"),"false"),B3,AA388),AA388))</f>
        <v>#VALUE!</v>
      </c>
      <c r="AB388" t="e">
        <f ca="1">IF((A1)=(2),"",IF((384)=(AB4),IF(IF((INDEX(B1:XFD1,((A3)+(1))+(0)))=("store"),(INDEX(B1:XFD1,((A3)+(1))+(1)))=("AB"),"false"),B3,AB388),AB388))</f>
        <v>#VALUE!</v>
      </c>
      <c r="AC388" t="e">
        <f ca="1">IF((A1)=(2),"",IF((384)=(AC4),IF(IF((INDEX(B1:XFD1,((A3)+(1))+(0)))=("store"),(INDEX(B1:XFD1,((A3)+(1))+(1)))=("AC"),"false"),B3,AC388),AC388))</f>
        <v>#VALUE!</v>
      </c>
      <c r="AD388" t="e">
        <f ca="1">IF((A1)=(2),"",IF((384)=(AD4),IF(IF((INDEX(B1:XFD1,((A3)+(1))+(0)))=("store"),(INDEX(B1:XFD1,((A3)+(1))+(1)))=("AD"),"false"),B3,AD388),AD388))</f>
        <v>#VALUE!</v>
      </c>
    </row>
    <row r="389" spans="1:30" x14ac:dyDescent="0.25">
      <c r="A389" t="e">
        <f ca="1">IF((A1)=(2),"",IF((385)=(A4),IF(("call")=(INDEX(B1:XFD1,((A3)+(1))+(0))),(B3)*(2),IF(("goto")=(INDEX(B1:XFD1,((A3)+(1))+(0))),(INDEX(B1:XFD1,((A3)+(1))+(1)))*(2),IF(("gotoiftrue")=(INDEX(B1:XFD1,((A3)+(1))+(0))),IF(B3,(INDEX(B1:XFD1,((A3)+(1))+(1)))*(2),(A389)+(2)),(A389)+(2)))),A389))</f>
        <v>#VALUE!</v>
      </c>
      <c r="B389" t="e">
        <f ca="1">IF((A1)=(2),"",IF((385)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389)+(1)),IF(("add")=(INDEX(B1:XFD1,((A3)+(1))+(0))),(INDEX(B5:B405,(B4)+(1)))+(B389),IF(("equals")=(INDEX(B1:XFD1,((A3)+(1))+(0))),(INDEX(B5:B405,(B4)+(1)))=(B389),IF(("leq")=(INDEX(B1:XFD1,((A3)+(1))+(0))),(INDEX(B5:B405,(B4)+(1)))&lt;=(B389),IF(("greater")=(INDEX(B1:XFD1,((A3)+(1))+(0))),(INDEX(B5:B405,(B4)+(1)))&gt;(B389),IF(("mod")=(INDEX(B1:XFD1,((A3)+(1))+(0))),MOD(INDEX(B5:B405,(B4)+(1)),B389),B389))))))))),B389))</f>
        <v>#VALUE!</v>
      </c>
      <c r="C389" t="e">
        <f ca="1">IF((A1)=(2),1,IF(AND((INDEX(B1:XFD1,((A3)+(1))+(0)))=("writeheap"),(INDEX(B5:B405,(B4)+(1)))=(384)),INDEX(B5:B405,(B4)+(2)),IF((A1)=(2),"",IF((385)=(C4),C389,C389))))</f>
        <v>#VALUE!</v>
      </c>
      <c r="F389" t="e">
        <f ca="1">IF((A1)=(2),"",IF((385)=(F4),IF(IF((INDEX(B1:XFD1,((A3)+(1))+(0)))=("store"),(INDEX(B1:XFD1,((A3)+(1))+(1)))=("F"),"false"),B3,F389),F389))</f>
        <v>#VALUE!</v>
      </c>
      <c r="G389" t="e">
        <f ca="1">IF((A1)=(2),"",IF((385)=(G4),IF(IF((INDEX(B1:XFD1,((A3)+(1))+(0)))=("store"),(INDEX(B1:XFD1,((A3)+(1))+(1)))=("G"),"false"),B3,G389),G389))</f>
        <v>#VALUE!</v>
      </c>
      <c r="H389" t="e">
        <f ca="1">IF((A1)=(2),"",IF((385)=(H4),IF(IF((INDEX(B1:XFD1,((A3)+(1))+(0)))=("store"),(INDEX(B1:XFD1,((A3)+(1))+(1)))=("H"),"false"),B3,H389),H389))</f>
        <v>#VALUE!</v>
      </c>
      <c r="I389" t="e">
        <f ca="1">IF((A1)=(2),"",IF((385)=(I4),IF(IF((INDEX(B1:XFD1,((A3)+(1))+(0)))=("store"),(INDEX(B1:XFD1,((A3)+(1))+(1)))=("I"),"false"),B3,I389),I389))</f>
        <v>#VALUE!</v>
      </c>
      <c r="J389" t="e">
        <f ca="1">IF((A1)=(2),"",IF((385)=(J4),IF(IF((INDEX(B1:XFD1,((A3)+(1))+(0)))=("store"),(INDEX(B1:XFD1,((A3)+(1))+(1)))=("J"),"false"),B3,J389),J389))</f>
        <v>#VALUE!</v>
      </c>
      <c r="K389" t="e">
        <f ca="1">IF((A1)=(2),"",IF((385)=(K4),IF(IF((INDEX(B1:XFD1,((A3)+(1))+(0)))=("store"),(INDEX(B1:XFD1,((A3)+(1))+(1)))=("K"),"false"),B3,K389),K389))</f>
        <v>#VALUE!</v>
      </c>
      <c r="L389" t="e">
        <f ca="1">IF((A1)=(2),"",IF((385)=(L4),IF(IF((INDEX(B1:XFD1,((A3)+(1))+(0)))=("store"),(INDEX(B1:XFD1,((A3)+(1))+(1)))=("L"),"false"),B3,L389),L389))</f>
        <v>#VALUE!</v>
      </c>
      <c r="M389" t="e">
        <f ca="1">IF((A1)=(2),"",IF((385)=(M4),IF(IF((INDEX(B1:XFD1,((A3)+(1))+(0)))=("store"),(INDEX(B1:XFD1,((A3)+(1))+(1)))=("M"),"false"),B3,M389),M389))</f>
        <v>#VALUE!</v>
      </c>
      <c r="N389" t="e">
        <f ca="1">IF((A1)=(2),"",IF((385)=(N4),IF(IF((INDEX(B1:XFD1,((A3)+(1))+(0)))=("store"),(INDEX(B1:XFD1,((A3)+(1))+(1)))=("N"),"false"),B3,N389),N389))</f>
        <v>#VALUE!</v>
      </c>
      <c r="O389" t="e">
        <f ca="1">IF((A1)=(2),"",IF((385)=(O4),IF(IF((INDEX(B1:XFD1,((A3)+(1))+(0)))=("store"),(INDEX(B1:XFD1,((A3)+(1))+(1)))=("O"),"false"),B3,O389),O389))</f>
        <v>#VALUE!</v>
      </c>
      <c r="P389" t="e">
        <f ca="1">IF((A1)=(2),"",IF((385)=(P4),IF(IF((INDEX(B1:XFD1,((A3)+(1))+(0)))=("store"),(INDEX(B1:XFD1,((A3)+(1))+(1)))=("P"),"false"),B3,P389),P389))</f>
        <v>#VALUE!</v>
      </c>
      <c r="Q389" t="e">
        <f ca="1">IF((A1)=(2),"",IF((385)=(Q4),IF(IF((INDEX(B1:XFD1,((A3)+(1))+(0)))=("store"),(INDEX(B1:XFD1,((A3)+(1))+(1)))=("Q"),"false"),B3,Q389),Q389))</f>
        <v>#VALUE!</v>
      </c>
      <c r="R389" t="e">
        <f ca="1">IF((A1)=(2),"",IF((385)=(R4),IF(IF((INDEX(B1:XFD1,((A3)+(1))+(0)))=("store"),(INDEX(B1:XFD1,((A3)+(1))+(1)))=("R"),"false"),B3,R389),R389))</f>
        <v>#VALUE!</v>
      </c>
      <c r="S389" t="e">
        <f ca="1">IF((A1)=(2),"",IF((385)=(S4),IF(IF((INDEX(B1:XFD1,((A3)+(1))+(0)))=("store"),(INDEX(B1:XFD1,((A3)+(1))+(1)))=("S"),"false"),B3,S389),S389))</f>
        <v>#VALUE!</v>
      </c>
      <c r="T389" t="e">
        <f ca="1">IF((A1)=(2),"",IF((385)=(T4),IF(IF((INDEX(B1:XFD1,((A3)+(1))+(0)))=("store"),(INDEX(B1:XFD1,((A3)+(1))+(1)))=("T"),"false"),B3,T389),T389))</f>
        <v>#VALUE!</v>
      </c>
      <c r="U389" t="e">
        <f ca="1">IF((A1)=(2),"",IF((385)=(U4),IF(IF((INDEX(B1:XFD1,((A3)+(1))+(0)))=("store"),(INDEX(B1:XFD1,((A3)+(1))+(1)))=("U"),"false"),B3,U389),U389))</f>
        <v>#VALUE!</v>
      </c>
      <c r="V389" t="e">
        <f ca="1">IF((A1)=(2),"",IF((385)=(V4),IF(IF((INDEX(B1:XFD1,((A3)+(1))+(0)))=("store"),(INDEX(B1:XFD1,((A3)+(1))+(1)))=("V"),"false"),B3,V389),V389))</f>
        <v>#VALUE!</v>
      </c>
      <c r="W389" t="e">
        <f ca="1">IF((A1)=(2),"",IF((385)=(W4),IF(IF((INDEX(B1:XFD1,((A3)+(1))+(0)))=("store"),(INDEX(B1:XFD1,((A3)+(1))+(1)))=("W"),"false"),B3,W389),W389))</f>
        <v>#VALUE!</v>
      </c>
      <c r="X389" t="e">
        <f ca="1">IF((A1)=(2),"",IF((385)=(X4),IF(IF((INDEX(B1:XFD1,((A3)+(1))+(0)))=("store"),(INDEX(B1:XFD1,((A3)+(1))+(1)))=("X"),"false"),B3,X389),X389))</f>
        <v>#VALUE!</v>
      </c>
      <c r="Y389" t="e">
        <f ca="1">IF((A1)=(2),"",IF((385)=(Y4),IF(IF((INDEX(B1:XFD1,((A3)+(1))+(0)))=("store"),(INDEX(B1:XFD1,((A3)+(1))+(1)))=("Y"),"false"),B3,Y389),Y389))</f>
        <v>#VALUE!</v>
      </c>
      <c r="Z389" t="e">
        <f ca="1">IF((A1)=(2),"",IF((385)=(Z4),IF(IF((INDEX(B1:XFD1,((A3)+(1))+(0)))=("store"),(INDEX(B1:XFD1,((A3)+(1))+(1)))=("Z"),"false"),B3,Z389),Z389))</f>
        <v>#VALUE!</v>
      </c>
      <c r="AA389" t="e">
        <f ca="1">IF((A1)=(2),"",IF((385)=(AA4),IF(IF((INDEX(B1:XFD1,((A3)+(1))+(0)))=("store"),(INDEX(B1:XFD1,((A3)+(1))+(1)))=("AA"),"false"),B3,AA389),AA389))</f>
        <v>#VALUE!</v>
      </c>
      <c r="AB389" t="e">
        <f ca="1">IF((A1)=(2),"",IF((385)=(AB4),IF(IF((INDEX(B1:XFD1,((A3)+(1))+(0)))=("store"),(INDEX(B1:XFD1,((A3)+(1))+(1)))=("AB"),"false"),B3,AB389),AB389))</f>
        <v>#VALUE!</v>
      </c>
      <c r="AC389" t="e">
        <f ca="1">IF((A1)=(2),"",IF((385)=(AC4),IF(IF((INDEX(B1:XFD1,((A3)+(1))+(0)))=("store"),(INDEX(B1:XFD1,((A3)+(1))+(1)))=("AC"),"false"),B3,AC389),AC389))</f>
        <v>#VALUE!</v>
      </c>
      <c r="AD389" t="e">
        <f ca="1">IF((A1)=(2),"",IF((385)=(AD4),IF(IF((INDEX(B1:XFD1,((A3)+(1))+(0)))=("store"),(INDEX(B1:XFD1,((A3)+(1))+(1)))=("AD"),"false"),B3,AD389),AD389))</f>
        <v>#VALUE!</v>
      </c>
    </row>
    <row r="390" spans="1:30" x14ac:dyDescent="0.25">
      <c r="A390" t="e">
        <f ca="1">IF((A1)=(2),"",IF((386)=(A4),IF(("call")=(INDEX(B1:XFD1,((A3)+(1))+(0))),(B3)*(2),IF(("goto")=(INDEX(B1:XFD1,((A3)+(1))+(0))),(INDEX(B1:XFD1,((A3)+(1))+(1)))*(2),IF(("gotoiftrue")=(INDEX(B1:XFD1,((A3)+(1))+(0))),IF(B3,(INDEX(B1:XFD1,((A3)+(1))+(1)))*(2),(A390)+(2)),(A390)+(2)))),A390))</f>
        <v>#VALUE!</v>
      </c>
      <c r="B390" t="e">
        <f ca="1">IF((A1)=(2),"",IF((386)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390)+(1)),IF(("add")=(INDEX(B1:XFD1,((A3)+(1))+(0))),(INDEX(B5:B405,(B4)+(1)))+(B390),IF(("equals")=(INDEX(B1:XFD1,((A3)+(1))+(0))),(INDEX(B5:B405,(B4)+(1)))=(B390),IF(("leq")=(INDEX(B1:XFD1,((A3)+(1))+(0))),(INDEX(B5:B405,(B4)+(1)))&lt;=(B390),IF(("greater")=(INDEX(B1:XFD1,((A3)+(1))+(0))),(INDEX(B5:B405,(B4)+(1)))&gt;(B390),IF(("mod")=(INDEX(B1:XFD1,((A3)+(1))+(0))),MOD(INDEX(B5:B405,(B4)+(1)),B390),B390))))))))),B390))</f>
        <v>#VALUE!</v>
      </c>
      <c r="C390" t="e">
        <f ca="1">IF((A1)=(2),1,IF(AND((INDEX(B1:XFD1,((A3)+(1))+(0)))=("writeheap"),(INDEX(B5:B405,(B4)+(1)))=(385)),INDEX(B5:B405,(B4)+(2)),IF((A1)=(2),"",IF((386)=(C4),C390,C390))))</f>
        <v>#VALUE!</v>
      </c>
      <c r="F390" t="e">
        <f ca="1">IF((A1)=(2),"",IF((386)=(F4),IF(IF((INDEX(B1:XFD1,((A3)+(1))+(0)))=("store"),(INDEX(B1:XFD1,((A3)+(1))+(1)))=("F"),"false"),B3,F390),F390))</f>
        <v>#VALUE!</v>
      </c>
      <c r="G390" t="e">
        <f ca="1">IF((A1)=(2),"",IF((386)=(G4),IF(IF((INDEX(B1:XFD1,((A3)+(1))+(0)))=("store"),(INDEX(B1:XFD1,((A3)+(1))+(1)))=("G"),"false"),B3,G390),G390))</f>
        <v>#VALUE!</v>
      </c>
      <c r="H390" t="e">
        <f ca="1">IF((A1)=(2),"",IF((386)=(H4),IF(IF((INDEX(B1:XFD1,((A3)+(1))+(0)))=("store"),(INDEX(B1:XFD1,((A3)+(1))+(1)))=("H"),"false"),B3,H390),H390))</f>
        <v>#VALUE!</v>
      </c>
      <c r="I390" t="e">
        <f ca="1">IF((A1)=(2),"",IF((386)=(I4),IF(IF((INDEX(B1:XFD1,((A3)+(1))+(0)))=("store"),(INDEX(B1:XFD1,((A3)+(1))+(1)))=("I"),"false"),B3,I390),I390))</f>
        <v>#VALUE!</v>
      </c>
      <c r="J390" t="e">
        <f ca="1">IF((A1)=(2),"",IF((386)=(J4),IF(IF((INDEX(B1:XFD1,((A3)+(1))+(0)))=("store"),(INDEX(B1:XFD1,((A3)+(1))+(1)))=("J"),"false"),B3,J390),J390))</f>
        <v>#VALUE!</v>
      </c>
      <c r="K390" t="e">
        <f ca="1">IF((A1)=(2),"",IF((386)=(K4),IF(IF((INDEX(B1:XFD1,((A3)+(1))+(0)))=("store"),(INDEX(B1:XFD1,((A3)+(1))+(1)))=("K"),"false"),B3,K390),K390))</f>
        <v>#VALUE!</v>
      </c>
      <c r="L390" t="e">
        <f ca="1">IF((A1)=(2),"",IF((386)=(L4),IF(IF((INDEX(B1:XFD1,((A3)+(1))+(0)))=("store"),(INDEX(B1:XFD1,((A3)+(1))+(1)))=("L"),"false"),B3,L390),L390))</f>
        <v>#VALUE!</v>
      </c>
      <c r="M390" t="e">
        <f ca="1">IF((A1)=(2),"",IF((386)=(M4),IF(IF((INDEX(B1:XFD1,((A3)+(1))+(0)))=("store"),(INDEX(B1:XFD1,((A3)+(1))+(1)))=("M"),"false"),B3,M390),M390))</f>
        <v>#VALUE!</v>
      </c>
      <c r="N390" t="e">
        <f ca="1">IF((A1)=(2),"",IF((386)=(N4),IF(IF((INDEX(B1:XFD1,((A3)+(1))+(0)))=("store"),(INDEX(B1:XFD1,((A3)+(1))+(1)))=("N"),"false"),B3,N390),N390))</f>
        <v>#VALUE!</v>
      </c>
      <c r="O390" t="e">
        <f ca="1">IF((A1)=(2),"",IF((386)=(O4),IF(IF((INDEX(B1:XFD1,((A3)+(1))+(0)))=("store"),(INDEX(B1:XFD1,((A3)+(1))+(1)))=("O"),"false"),B3,O390),O390))</f>
        <v>#VALUE!</v>
      </c>
      <c r="P390" t="e">
        <f ca="1">IF((A1)=(2),"",IF((386)=(P4),IF(IF((INDEX(B1:XFD1,((A3)+(1))+(0)))=("store"),(INDEX(B1:XFD1,((A3)+(1))+(1)))=("P"),"false"),B3,P390),P390))</f>
        <v>#VALUE!</v>
      </c>
      <c r="Q390" t="e">
        <f ca="1">IF((A1)=(2),"",IF((386)=(Q4),IF(IF((INDEX(B1:XFD1,((A3)+(1))+(0)))=("store"),(INDEX(B1:XFD1,((A3)+(1))+(1)))=("Q"),"false"),B3,Q390),Q390))</f>
        <v>#VALUE!</v>
      </c>
      <c r="R390" t="e">
        <f ca="1">IF((A1)=(2),"",IF((386)=(R4),IF(IF((INDEX(B1:XFD1,((A3)+(1))+(0)))=("store"),(INDEX(B1:XFD1,((A3)+(1))+(1)))=("R"),"false"),B3,R390),R390))</f>
        <v>#VALUE!</v>
      </c>
      <c r="S390" t="e">
        <f ca="1">IF((A1)=(2),"",IF((386)=(S4),IF(IF((INDEX(B1:XFD1,((A3)+(1))+(0)))=("store"),(INDEX(B1:XFD1,((A3)+(1))+(1)))=("S"),"false"),B3,S390),S390))</f>
        <v>#VALUE!</v>
      </c>
      <c r="T390" t="e">
        <f ca="1">IF((A1)=(2),"",IF((386)=(T4),IF(IF((INDEX(B1:XFD1,((A3)+(1))+(0)))=("store"),(INDEX(B1:XFD1,((A3)+(1))+(1)))=("T"),"false"),B3,T390),T390))</f>
        <v>#VALUE!</v>
      </c>
      <c r="U390" t="e">
        <f ca="1">IF((A1)=(2),"",IF((386)=(U4),IF(IF((INDEX(B1:XFD1,((A3)+(1))+(0)))=("store"),(INDEX(B1:XFD1,((A3)+(1))+(1)))=("U"),"false"),B3,U390),U390))</f>
        <v>#VALUE!</v>
      </c>
      <c r="V390" t="e">
        <f ca="1">IF((A1)=(2),"",IF((386)=(V4),IF(IF((INDEX(B1:XFD1,((A3)+(1))+(0)))=("store"),(INDEX(B1:XFD1,((A3)+(1))+(1)))=("V"),"false"),B3,V390),V390))</f>
        <v>#VALUE!</v>
      </c>
      <c r="W390" t="e">
        <f ca="1">IF((A1)=(2),"",IF((386)=(W4),IF(IF((INDEX(B1:XFD1,((A3)+(1))+(0)))=("store"),(INDEX(B1:XFD1,((A3)+(1))+(1)))=("W"),"false"),B3,W390),W390))</f>
        <v>#VALUE!</v>
      </c>
      <c r="X390" t="e">
        <f ca="1">IF((A1)=(2),"",IF((386)=(X4),IF(IF((INDEX(B1:XFD1,((A3)+(1))+(0)))=("store"),(INDEX(B1:XFD1,((A3)+(1))+(1)))=("X"),"false"),B3,X390),X390))</f>
        <v>#VALUE!</v>
      </c>
      <c r="Y390" t="e">
        <f ca="1">IF((A1)=(2),"",IF((386)=(Y4),IF(IF((INDEX(B1:XFD1,((A3)+(1))+(0)))=("store"),(INDEX(B1:XFD1,((A3)+(1))+(1)))=("Y"),"false"),B3,Y390),Y390))</f>
        <v>#VALUE!</v>
      </c>
      <c r="Z390" t="e">
        <f ca="1">IF((A1)=(2),"",IF((386)=(Z4),IF(IF((INDEX(B1:XFD1,((A3)+(1))+(0)))=("store"),(INDEX(B1:XFD1,((A3)+(1))+(1)))=("Z"),"false"),B3,Z390),Z390))</f>
        <v>#VALUE!</v>
      </c>
      <c r="AA390" t="e">
        <f ca="1">IF((A1)=(2),"",IF((386)=(AA4),IF(IF((INDEX(B1:XFD1,((A3)+(1))+(0)))=("store"),(INDEX(B1:XFD1,((A3)+(1))+(1)))=("AA"),"false"),B3,AA390),AA390))</f>
        <v>#VALUE!</v>
      </c>
      <c r="AB390" t="e">
        <f ca="1">IF((A1)=(2),"",IF((386)=(AB4),IF(IF((INDEX(B1:XFD1,((A3)+(1))+(0)))=("store"),(INDEX(B1:XFD1,((A3)+(1))+(1)))=("AB"),"false"),B3,AB390),AB390))</f>
        <v>#VALUE!</v>
      </c>
      <c r="AC390" t="e">
        <f ca="1">IF((A1)=(2),"",IF((386)=(AC4),IF(IF((INDEX(B1:XFD1,((A3)+(1))+(0)))=("store"),(INDEX(B1:XFD1,((A3)+(1))+(1)))=("AC"),"false"),B3,AC390),AC390))</f>
        <v>#VALUE!</v>
      </c>
      <c r="AD390" t="e">
        <f ca="1">IF((A1)=(2),"",IF((386)=(AD4),IF(IF((INDEX(B1:XFD1,((A3)+(1))+(0)))=("store"),(INDEX(B1:XFD1,((A3)+(1))+(1)))=("AD"),"false"),B3,AD390),AD390))</f>
        <v>#VALUE!</v>
      </c>
    </row>
    <row r="391" spans="1:30" x14ac:dyDescent="0.25">
      <c r="A391" t="e">
        <f ca="1">IF((A1)=(2),"",IF((387)=(A4),IF(("call")=(INDEX(B1:XFD1,((A3)+(1))+(0))),(B3)*(2),IF(("goto")=(INDEX(B1:XFD1,((A3)+(1))+(0))),(INDEX(B1:XFD1,((A3)+(1))+(1)))*(2),IF(("gotoiftrue")=(INDEX(B1:XFD1,((A3)+(1))+(0))),IF(B3,(INDEX(B1:XFD1,((A3)+(1))+(1)))*(2),(A391)+(2)),(A391)+(2)))),A391))</f>
        <v>#VALUE!</v>
      </c>
      <c r="B391" t="e">
        <f ca="1">IF((A1)=(2),"",IF((387)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391)+(1)),IF(("add")=(INDEX(B1:XFD1,((A3)+(1))+(0))),(INDEX(B5:B405,(B4)+(1)))+(B391),IF(("equals")=(INDEX(B1:XFD1,((A3)+(1))+(0))),(INDEX(B5:B405,(B4)+(1)))=(B391),IF(("leq")=(INDEX(B1:XFD1,((A3)+(1))+(0))),(INDEX(B5:B405,(B4)+(1)))&lt;=(B391),IF(("greater")=(INDEX(B1:XFD1,((A3)+(1))+(0))),(INDEX(B5:B405,(B4)+(1)))&gt;(B391),IF(("mod")=(INDEX(B1:XFD1,((A3)+(1))+(0))),MOD(INDEX(B5:B405,(B4)+(1)),B391),B391))))))))),B391))</f>
        <v>#VALUE!</v>
      </c>
      <c r="C391" t="e">
        <f ca="1">IF((A1)=(2),1,IF(AND((INDEX(B1:XFD1,((A3)+(1))+(0)))=("writeheap"),(INDEX(B5:B405,(B4)+(1)))=(386)),INDEX(B5:B405,(B4)+(2)),IF((A1)=(2),"",IF((387)=(C4),C391,C391))))</f>
        <v>#VALUE!</v>
      </c>
      <c r="F391" t="e">
        <f ca="1">IF((A1)=(2),"",IF((387)=(F4),IF(IF((INDEX(B1:XFD1,((A3)+(1))+(0)))=("store"),(INDEX(B1:XFD1,((A3)+(1))+(1)))=("F"),"false"),B3,F391),F391))</f>
        <v>#VALUE!</v>
      </c>
      <c r="G391" t="e">
        <f ca="1">IF((A1)=(2),"",IF((387)=(G4),IF(IF((INDEX(B1:XFD1,((A3)+(1))+(0)))=("store"),(INDEX(B1:XFD1,((A3)+(1))+(1)))=("G"),"false"),B3,G391),G391))</f>
        <v>#VALUE!</v>
      </c>
      <c r="H391" t="e">
        <f ca="1">IF((A1)=(2),"",IF((387)=(H4),IF(IF((INDEX(B1:XFD1,((A3)+(1))+(0)))=("store"),(INDEX(B1:XFD1,((A3)+(1))+(1)))=("H"),"false"),B3,H391),H391))</f>
        <v>#VALUE!</v>
      </c>
      <c r="I391" t="e">
        <f ca="1">IF((A1)=(2),"",IF((387)=(I4),IF(IF((INDEX(B1:XFD1,((A3)+(1))+(0)))=("store"),(INDEX(B1:XFD1,((A3)+(1))+(1)))=("I"),"false"),B3,I391),I391))</f>
        <v>#VALUE!</v>
      </c>
      <c r="J391" t="e">
        <f ca="1">IF((A1)=(2),"",IF((387)=(J4),IF(IF((INDEX(B1:XFD1,((A3)+(1))+(0)))=("store"),(INDEX(B1:XFD1,((A3)+(1))+(1)))=("J"),"false"),B3,J391),J391))</f>
        <v>#VALUE!</v>
      </c>
      <c r="K391" t="e">
        <f ca="1">IF((A1)=(2),"",IF((387)=(K4),IF(IF((INDEX(B1:XFD1,((A3)+(1))+(0)))=("store"),(INDEX(B1:XFD1,((A3)+(1))+(1)))=("K"),"false"),B3,K391),K391))</f>
        <v>#VALUE!</v>
      </c>
      <c r="L391" t="e">
        <f ca="1">IF((A1)=(2),"",IF((387)=(L4),IF(IF((INDEX(B1:XFD1,((A3)+(1))+(0)))=("store"),(INDEX(B1:XFD1,((A3)+(1))+(1)))=("L"),"false"),B3,L391),L391))</f>
        <v>#VALUE!</v>
      </c>
      <c r="M391" t="e">
        <f ca="1">IF((A1)=(2),"",IF((387)=(M4),IF(IF((INDEX(B1:XFD1,((A3)+(1))+(0)))=("store"),(INDEX(B1:XFD1,((A3)+(1))+(1)))=("M"),"false"),B3,M391),M391))</f>
        <v>#VALUE!</v>
      </c>
      <c r="N391" t="e">
        <f ca="1">IF((A1)=(2),"",IF((387)=(N4),IF(IF((INDEX(B1:XFD1,((A3)+(1))+(0)))=("store"),(INDEX(B1:XFD1,((A3)+(1))+(1)))=("N"),"false"),B3,N391),N391))</f>
        <v>#VALUE!</v>
      </c>
      <c r="O391" t="e">
        <f ca="1">IF((A1)=(2),"",IF((387)=(O4),IF(IF((INDEX(B1:XFD1,((A3)+(1))+(0)))=("store"),(INDEX(B1:XFD1,((A3)+(1))+(1)))=("O"),"false"),B3,O391),O391))</f>
        <v>#VALUE!</v>
      </c>
      <c r="P391" t="e">
        <f ca="1">IF((A1)=(2),"",IF((387)=(P4),IF(IF((INDEX(B1:XFD1,((A3)+(1))+(0)))=("store"),(INDEX(B1:XFD1,((A3)+(1))+(1)))=("P"),"false"),B3,P391),P391))</f>
        <v>#VALUE!</v>
      </c>
      <c r="Q391" t="e">
        <f ca="1">IF((A1)=(2),"",IF((387)=(Q4),IF(IF((INDEX(B1:XFD1,((A3)+(1))+(0)))=("store"),(INDEX(B1:XFD1,((A3)+(1))+(1)))=("Q"),"false"),B3,Q391),Q391))</f>
        <v>#VALUE!</v>
      </c>
      <c r="R391" t="e">
        <f ca="1">IF((A1)=(2),"",IF((387)=(R4),IF(IF((INDEX(B1:XFD1,((A3)+(1))+(0)))=("store"),(INDEX(B1:XFD1,((A3)+(1))+(1)))=("R"),"false"),B3,R391),R391))</f>
        <v>#VALUE!</v>
      </c>
      <c r="S391" t="e">
        <f ca="1">IF((A1)=(2),"",IF((387)=(S4),IF(IF((INDEX(B1:XFD1,((A3)+(1))+(0)))=("store"),(INDEX(B1:XFD1,((A3)+(1))+(1)))=("S"),"false"),B3,S391),S391))</f>
        <v>#VALUE!</v>
      </c>
      <c r="T391" t="e">
        <f ca="1">IF((A1)=(2),"",IF((387)=(T4),IF(IF((INDEX(B1:XFD1,((A3)+(1))+(0)))=("store"),(INDEX(B1:XFD1,((A3)+(1))+(1)))=("T"),"false"),B3,T391),T391))</f>
        <v>#VALUE!</v>
      </c>
      <c r="U391" t="e">
        <f ca="1">IF((A1)=(2),"",IF((387)=(U4),IF(IF((INDEX(B1:XFD1,((A3)+(1))+(0)))=("store"),(INDEX(B1:XFD1,((A3)+(1))+(1)))=("U"),"false"),B3,U391),U391))</f>
        <v>#VALUE!</v>
      </c>
      <c r="V391" t="e">
        <f ca="1">IF((A1)=(2),"",IF((387)=(V4),IF(IF((INDEX(B1:XFD1,((A3)+(1))+(0)))=("store"),(INDEX(B1:XFD1,((A3)+(1))+(1)))=("V"),"false"),B3,V391),V391))</f>
        <v>#VALUE!</v>
      </c>
      <c r="W391" t="e">
        <f ca="1">IF((A1)=(2),"",IF((387)=(W4),IF(IF((INDEX(B1:XFD1,((A3)+(1))+(0)))=("store"),(INDEX(B1:XFD1,((A3)+(1))+(1)))=("W"),"false"),B3,W391),W391))</f>
        <v>#VALUE!</v>
      </c>
      <c r="X391" t="e">
        <f ca="1">IF((A1)=(2),"",IF((387)=(X4),IF(IF((INDEX(B1:XFD1,((A3)+(1))+(0)))=("store"),(INDEX(B1:XFD1,((A3)+(1))+(1)))=("X"),"false"),B3,X391),X391))</f>
        <v>#VALUE!</v>
      </c>
      <c r="Y391" t="e">
        <f ca="1">IF((A1)=(2),"",IF((387)=(Y4),IF(IF((INDEX(B1:XFD1,((A3)+(1))+(0)))=("store"),(INDEX(B1:XFD1,((A3)+(1))+(1)))=("Y"),"false"),B3,Y391),Y391))</f>
        <v>#VALUE!</v>
      </c>
      <c r="Z391" t="e">
        <f ca="1">IF((A1)=(2),"",IF((387)=(Z4),IF(IF((INDEX(B1:XFD1,((A3)+(1))+(0)))=("store"),(INDEX(B1:XFD1,((A3)+(1))+(1)))=("Z"),"false"),B3,Z391),Z391))</f>
        <v>#VALUE!</v>
      </c>
      <c r="AA391" t="e">
        <f ca="1">IF((A1)=(2),"",IF((387)=(AA4),IF(IF((INDEX(B1:XFD1,((A3)+(1))+(0)))=("store"),(INDEX(B1:XFD1,((A3)+(1))+(1)))=("AA"),"false"),B3,AA391),AA391))</f>
        <v>#VALUE!</v>
      </c>
      <c r="AB391" t="e">
        <f ca="1">IF((A1)=(2),"",IF((387)=(AB4),IF(IF((INDEX(B1:XFD1,((A3)+(1))+(0)))=("store"),(INDEX(B1:XFD1,((A3)+(1))+(1)))=("AB"),"false"),B3,AB391),AB391))</f>
        <v>#VALUE!</v>
      </c>
      <c r="AC391" t="e">
        <f ca="1">IF((A1)=(2),"",IF((387)=(AC4),IF(IF((INDEX(B1:XFD1,((A3)+(1))+(0)))=("store"),(INDEX(B1:XFD1,((A3)+(1))+(1)))=("AC"),"false"),B3,AC391),AC391))</f>
        <v>#VALUE!</v>
      </c>
      <c r="AD391" t="e">
        <f ca="1">IF((A1)=(2),"",IF((387)=(AD4),IF(IF((INDEX(B1:XFD1,((A3)+(1))+(0)))=("store"),(INDEX(B1:XFD1,((A3)+(1))+(1)))=("AD"),"false"),B3,AD391),AD391))</f>
        <v>#VALUE!</v>
      </c>
    </row>
    <row r="392" spans="1:30" x14ac:dyDescent="0.25">
      <c r="A392" t="e">
        <f ca="1">IF((A1)=(2),"",IF((388)=(A4),IF(("call")=(INDEX(B1:XFD1,((A3)+(1))+(0))),(B3)*(2),IF(("goto")=(INDEX(B1:XFD1,((A3)+(1))+(0))),(INDEX(B1:XFD1,((A3)+(1))+(1)))*(2),IF(("gotoiftrue")=(INDEX(B1:XFD1,((A3)+(1))+(0))),IF(B3,(INDEX(B1:XFD1,((A3)+(1))+(1)))*(2),(A392)+(2)),(A392)+(2)))),A392))</f>
        <v>#VALUE!</v>
      </c>
      <c r="B392" t="e">
        <f ca="1">IF((A1)=(2),"",IF((388)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392)+(1)),IF(("add")=(INDEX(B1:XFD1,((A3)+(1))+(0))),(INDEX(B5:B405,(B4)+(1)))+(B392),IF(("equals")=(INDEX(B1:XFD1,((A3)+(1))+(0))),(INDEX(B5:B405,(B4)+(1)))=(B392),IF(("leq")=(INDEX(B1:XFD1,((A3)+(1))+(0))),(INDEX(B5:B405,(B4)+(1)))&lt;=(B392),IF(("greater")=(INDEX(B1:XFD1,((A3)+(1))+(0))),(INDEX(B5:B405,(B4)+(1)))&gt;(B392),IF(("mod")=(INDEX(B1:XFD1,((A3)+(1))+(0))),MOD(INDEX(B5:B405,(B4)+(1)),B392),B392))))))))),B392))</f>
        <v>#VALUE!</v>
      </c>
      <c r="C392" t="e">
        <f ca="1">IF((A1)=(2),1,IF(AND((INDEX(B1:XFD1,((A3)+(1))+(0)))=("writeheap"),(INDEX(B5:B405,(B4)+(1)))=(387)),INDEX(B5:B405,(B4)+(2)),IF((A1)=(2),"",IF((388)=(C4),C392,C392))))</f>
        <v>#VALUE!</v>
      </c>
      <c r="F392" t="e">
        <f ca="1">IF((A1)=(2),"",IF((388)=(F4),IF(IF((INDEX(B1:XFD1,((A3)+(1))+(0)))=("store"),(INDEX(B1:XFD1,((A3)+(1))+(1)))=("F"),"false"),B3,F392),F392))</f>
        <v>#VALUE!</v>
      </c>
      <c r="G392" t="e">
        <f ca="1">IF((A1)=(2),"",IF((388)=(G4),IF(IF((INDEX(B1:XFD1,((A3)+(1))+(0)))=("store"),(INDEX(B1:XFD1,((A3)+(1))+(1)))=("G"),"false"),B3,G392),G392))</f>
        <v>#VALUE!</v>
      </c>
      <c r="H392" t="e">
        <f ca="1">IF((A1)=(2),"",IF((388)=(H4),IF(IF((INDEX(B1:XFD1,((A3)+(1))+(0)))=("store"),(INDEX(B1:XFD1,((A3)+(1))+(1)))=("H"),"false"),B3,H392),H392))</f>
        <v>#VALUE!</v>
      </c>
      <c r="I392" t="e">
        <f ca="1">IF((A1)=(2),"",IF((388)=(I4),IF(IF((INDEX(B1:XFD1,((A3)+(1))+(0)))=("store"),(INDEX(B1:XFD1,((A3)+(1))+(1)))=("I"),"false"),B3,I392),I392))</f>
        <v>#VALUE!</v>
      </c>
      <c r="J392" t="e">
        <f ca="1">IF((A1)=(2),"",IF((388)=(J4),IF(IF((INDEX(B1:XFD1,((A3)+(1))+(0)))=("store"),(INDEX(B1:XFD1,((A3)+(1))+(1)))=("J"),"false"),B3,J392),J392))</f>
        <v>#VALUE!</v>
      </c>
      <c r="K392" t="e">
        <f ca="1">IF((A1)=(2),"",IF((388)=(K4),IF(IF((INDEX(B1:XFD1,((A3)+(1))+(0)))=("store"),(INDEX(B1:XFD1,((A3)+(1))+(1)))=("K"),"false"),B3,K392),K392))</f>
        <v>#VALUE!</v>
      </c>
      <c r="L392" t="e">
        <f ca="1">IF((A1)=(2),"",IF((388)=(L4),IF(IF((INDEX(B1:XFD1,((A3)+(1))+(0)))=("store"),(INDEX(B1:XFD1,((A3)+(1))+(1)))=("L"),"false"),B3,L392),L392))</f>
        <v>#VALUE!</v>
      </c>
      <c r="M392" t="e">
        <f ca="1">IF((A1)=(2),"",IF((388)=(M4),IF(IF((INDEX(B1:XFD1,((A3)+(1))+(0)))=("store"),(INDEX(B1:XFD1,((A3)+(1))+(1)))=("M"),"false"),B3,M392),M392))</f>
        <v>#VALUE!</v>
      </c>
      <c r="N392" t="e">
        <f ca="1">IF((A1)=(2),"",IF((388)=(N4),IF(IF((INDEX(B1:XFD1,((A3)+(1))+(0)))=("store"),(INDEX(B1:XFD1,((A3)+(1))+(1)))=("N"),"false"),B3,N392),N392))</f>
        <v>#VALUE!</v>
      </c>
      <c r="O392" t="e">
        <f ca="1">IF((A1)=(2),"",IF((388)=(O4),IF(IF((INDEX(B1:XFD1,((A3)+(1))+(0)))=("store"),(INDEX(B1:XFD1,((A3)+(1))+(1)))=("O"),"false"),B3,O392),O392))</f>
        <v>#VALUE!</v>
      </c>
      <c r="P392" t="e">
        <f ca="1">IF((A1)=(2),"",IF((388)=(P4),IF(IF((INDEX(B1:XFD1,((A3)+(1))+(0)))=("store"),(INDEX(B1:XFD1,((A3)+(1))+(1)))=("P"),"false"),B3,P392),P392))</f>
        <v>#VALUE!</v>
      </c>
      <c r="Q392" t="e">
        <f ca="1">IF((A1)=(2),"",IF((388)=(Q4),IF(IF((INDEX(B1:XFD1,((A3)+(1))+(0)))=("store"),(INDEX(B1:XFD1,((A3)+(1))+(1)))=("Q"),"false"),B3,Q392),Q392))</f>
        <v>#VALUE!</v>
      </c>
      <c r="R392" t="e">
        <f ca="1">IF((A1)=(2),"",IF((388)=(R4),IF(IF((INDEX(B1:XFD1,((A3)+(1))+(0)))=("store"),(INDEX(B1:XFD1,((A3)+(1))+(1)))=("R"),"false"),B3,R392),R392))</f>
        <v>#VALUE!</v>
      </c>
      <c r="S392" t="e">
        <f ca="1">IF((A1)=(2),"",IF((388)=(S4),IF(IF((INDEX(B1:XFD1,((A3)+(1))+(0)))=("store"),(INDEX(B1:XFD1,((A3)+(1))+(1)))=("S"),"false"),B3,S392),S392))</f>
        <v>#VALUE!</v>
      </c>
      <c r="T392" t="e">
        <f ca="1">IF((A1)=(2),"",IF((388)=(T4),IF(IF((INDEX(B1:XFD1,((A3)+(1))+(0)))=("store"),(INDEX(B1:XFD1,((A3)+(1))+(1)))=("T"),"false"),B3,T392),T392))</f>
        <v>#VALUE!</v>
      </c>
      <c r="U392" t="e">
        <f ca="1">IF((A1)=(2),"",IF((388)=(U4),IF(IF((INDEX(B1:XFD1,((A3)+(1))+(0)))=("store"),(INDEX(B1:XFD1,((A3)+(1))+(1)))=("U"),"false"),B3,U392),U392))</f>
        <v>#VALUE!</v>
      </c>
      <c r="V392" t="e">
        <f ca="1">IF((A1)=(2),"",IF((388)=(V4),IF(IF((INDEX(B1:XFD1,((A3)+(1))+(0)))=("store"),(INDEX(B1:XFD1,((A3)+(1))+(1)))=("V"),"false"),B3,V392),V392))</f>
        <v>#VALUE!</v>
      </c>
      <c r="W392" t="e">
        <f ca="1">IF((A1)=(2),"",IF((388)=(W4),IF(IF((INDEX(B1:XFD1,((A3)+(1))+(0)))=("store"),(INDEX(B1:XFD1,((A3)+(1))+(1)))=("W"),"false"),B3,W392),W392))</f>
        <v>#VALUE!</v>
      </c>
      <c r="X392" t="e">
        <f ca="1">IF((A1)=(2),"",IF((388)=(X4),IF(IF((INDEX(B1:XFD1,((A3)+(1))+(0)))=("store"),(INDEX(B1:XFD1,((A3)+(1))+(1)))=("X"),"false"),B3,X392),X392))</f>
        <v>#VALUE!</v>
      </c>
      <c r="Y392" t="e">
        <f ca="1">IF((A1)=(2),"",IF((388)=(Y4),IF(IF((INDEX(B1:XFD1,((A3)+(1))+(0)))=("store"),(INDEX(B1:XFD1,((A3)+(1))+(1)))=("Y"),"false"),B3,Y392),Y392))</f>
        <v>#VALUE!</v>
      </c>
      <c r="Z392" t="e">
        <f ca="1">IF((A1)=(2),"",IF((388)=(Z4),IF(IF((INDEX(B1:XFD1,((A3)+(1))+(0)))=("store"),(INDEX(B1:XFD1,((A3)+(1))+(1)))=("Z"),"false"),B3,Z392),Z392))</f>
        <v>#VALUE!</v>
      </c>
      <c r="AA392" t="e">
        <f ca="1">IF((A1)=(2),"",IF((388)=(AA4),IF(IF((INDEX(B1:XFD1,((A3)+(1))+(0)))=("store"),(INDEX(B1:XFD1,((A3)+(1))+(1)))=("AA"),"false"),B3,AA392),AA392))</f>
        <v>#VALUE!</v>
      </c>
      <c r="AB392" t="e">
        <f ca="1">IF((A1)=(2),"",IF((388)=(AB4),IF(IF((INDEX(B1:XFD1,((A3)+(1))+(0)))=("store"),(INDEX(B1:XFD1,((A3)+(1))+(1)))=("AB"),"false"),B3,AB392),AB392))</f>
        <v>#VALUE!</v>
      </c>
      <c r="AC392" t="e">
        <f ca="1">IF((A1)=(2),"",IF((388)=(AC4),IF(IF((INDEX(B1:XFD1,((A3)+(1))+(0)))=("store"),(INDEX(B1:XFD1,((A3)+(1))+(1)))=("AC"),"false"),B3,AC392),AC392))</f>
        <v>#VALUE!</v>
      </c>
      <c r="AD392" t="e">
        <f ca="1">IF((A1)=(2),"",IF((388)=(AD4),IF(IF((INDEX(B1:XFD1,((A3)+(1))+(0)))=("store"),(INDEX(B1:XFD1,((A3)+(1))+(1)))=("AD"),"false"),B3,AD392),AD392))</f>
        <v>#VALUE!</v>
      </c>
    </row>
    <row r="393" spans="1:30" x14ac:dyDescent="0.25">
      <c r="A393" t="e">
        <f ca="1">IF((A1)=(2),"",IF((389)=(A4),IF(("call")=(INDEX(B1:XFD1,((A3)+(1))+(0))),(B3)*(2),IF(("goto")=(INDEX(B1:XFD1,((A3)+(1))+(0))),(INDEX(B1:XFD1,((A3)+(1))+(1)))*(2),IF(("gotoiftrue")=(INDEX(B1:XFD1,((A3)+(1))+(0))),IF(B3,(INDEX(B1:XFD1,((A3)+(1))+(1)))*(2),(A393)+(2)),(A393)+(2)))),A393))</f>
        <v>#VALUE!</v>
      </c>
      <c r="B393" t="e">
        <f ca="1">IF((A1)=(2),"",IF((389)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393)+(1)),IF(("add")=(INDEX(B1:XFD1,((A3)+(1))+(0))),(INDEX(B5:B405,(B4)+(1)))+(B393),IF(("equals")=(INDEX(B1:XFD1,((A3)+(1))+(0))),(INDEX(B5:B405,(B4)+(1)))=(B393),IF(("leq")=(INDEX(B1:XFD1,((A3)+(1))+(0))),(INDEX(B5:B405,(B4)+(1)))&lt;=(B393),IF(("greater")=(INDEX(B1:XFD1,((A3)+(1))+(0))),(INDEX(B5:B405,(B4)+(1)))&gt;(B393),IF(("mod")=(INDEX(B1:XFD1,((A3)+(1))+(0))),MOD(INDEX(B5:B405,(B4)+(1)),B393),B393))))))))),B393))</f>
        <v>#VALUE!</v>
      </c>
      <c r="C393" t="e">
        <f ca="1">IF((A1)=(2),1,IF(AND((INDEX(B1:XFD1,((A3)+(1))+(0)))=("writeheap"),(INDEX(B5:B405,(B4)+(1)))=(388)),INDEX(B5:B405,(B4)+(2)),IF((A1)=(2),"",IF((389)=(C4),C393,C393))))</f>
        <v>#VALUE!</v>
      </c>
      <c r="F393" t="e">
        <f ca="1">IF((A1)=(2),"",IF((389)=(F4),IF(IF((INDEX(B1:XFD1,((A3)+(1))+(0)))=("store"),(INDEX(B1:XFD1,((A3)+(1))+(1)))=("F"),"false"),B3,F393),F393))</f>
        <v>#VALUE!</v>
      </c>
      <c r="G393" t="e">
        <f ca="1">IF((A1)=(2),"",IF((389)=(G4),IF(IF((INDEX(B1:XFD1,((A3)+(1))+(0)))=("store"),(INDEX(B1:XFD1,((A3)+(1))+(1)))=("G"),"false"),B3,G393),G393))</f>
        <v>#VALUE!</v>
      </c>
      <c r="H393" t="e">
        <f ca="1">IF((A1)=(2),"",IF((389)=(H4),IF(IF((INDEX(B1:XFD1,((A3)+(1))+(0)))=("store"),(INDEX(B1:XFD1,((A3)+(1))+(1)))=("H"),"false"),B3,H393),H393))</f>
        <v>#VALUE!</v>
      </c>
      <c r="I393" t="e">
        <f ca="1">IF((A1)=(2),"",IF((389)=(I4),IF(IF((INDEX(B1:XFD1,((A3)+(1))+(0)))=("store"),(INDEX(B1:XFD1,((A3)+(1))+(1)))=("I"),"false"),B3,I393),I393))</f>
        <v>#VALUE!</v>
      </c>
      <c r="J393" t="e">
        <f ca="1">IF((A1)=(2),"",IF((389)=(J4),IF(IF((INDEX(B1:XFD1,((A3)+(1))+(0)))=("store"),(INDEX(B1:XFD1,((A3)+(1))+(1)))=("J"),"false"),B3,J393),J393))</f>
        <v>#VALUE!</v>
      </c>
      <c r="K393" t="e">
        <f ca="1">IF((A1)=(2),"",IF((389)=(K4),IF(IF((INDEX(B1:XFD1,((A3)+(1))+(0)))=("store"),(INDEX(B1:XFD1,((A3)+(1))+(1)))=("K"),"false"),B3,K393),K393))</f>
        <v>#VALUE!</v>
      </c>
      <c r="L393" t="e">
        <f ca="1">IF((A1)=(2),"",IF((389)=(L4),IF(IF((INDEX(B1:XFD1,((A3)+(1))+(0)))=("store"),(INDEX(B1:XFD1,((A3)+(1))+(1)))=("L"),"false"),B3,L393),L393))</f>
        <v>#VALUE!</v>
      </c>
      <c r="M393" t="e">
        <f ca="1">IF((A1)=(2),"",IF((389)=(M4),IF(IF((INDEX(B1:XFD1,((A3)+(1))+(0)))=("store"),(INDEX(B1:XFD1,((A3)+(1))+(1)))=("M"),"false"),B3,M393),M393))</f>
        <v>#VALUE!</v>
      </c>
      <c r="N393" t="e">
        <f ca="1">IF((A1)=(2),"",IF((389)=(N4),IF(IF((INDEX(B1:XFD1,((A3)+(1))+(0)))=("store"),(INDEX(B1:XFD1,((A3)+(1))+(1)))=("N"),"false"),B3,N393),N393))</f>
        <v>#VALUE!</v>
      </c>
      <c r="O393" t="e">
        <f ca="1">IF((A1)=(2),"",IF((389)=(O4),IF(IF((INDEX(B1:XFD1,((A3)+(1))+(0)))=("store"),(INDEX(B1:XFD1,((A3)+(1))+(1)))=("O"),"false"),B3,O393),O393))</f>
        <v>#VALUE!</v>
      </c>
      <c r="P393" t="e">
        <f ca="1">IF((A1)=(2),"",IF((389)=(P4),IF(IF((INDEX(B1:XFD1,((A3)+(1))+(0)))=("store"),(INDEX(B1:XFD1,((A3)+(1))+(1)))=("P"),"false"),B3,P393),P393))</f>
        <v>#VALUE!</v>
      </c>
      <c r="Q393" t="e">
        <f ca="1">IF((A1)=(2),"",IF((389)=(Q4),IF(IF((INDEX(B1:XFD1,((A3)+(1))+(0)))=("store"),(INDEX(B1:XFD1,((A3)+(1))+(1)))=("Q"),"false"),B3,Q393),Q393))</f>
        <v>#VALUE!</v>
      </c>
      <c r="R393" t="e">
        <f ca="1">IF((A1)=(2),"",IF((389)=(R4),IF(IF((INDEX(B1:XFD1,((A3)+(1))+(0)))=("store"),(INDEX(B1:XFD1,((A3)+(1))+(1)))=("R"),"false"),B3,R393),R393))</f>
        <v>#VALUE!</v>
      </c>
      <c r="S393" t="e">
        <f ca="1">IF((A1)=(2),"",IF((389)=(S4),IF(IF((INDEX(B1:XFD1,((A3)+(1))+(0)))=("store"),(INDEX(B1:XFD1,((A3)+(1))+(1)))=("S"),"false"),B3,S393),S393))</f>
        <v>#VALUE!</v>
      </c>
      <c r="T393" t="e">
        <f ca="1">IF((A1)=(2),"",IF((389)=(T4),IF(IF((INDEX(B1:XFD1,((A3)+(1))+(0)))=("store"),(INDEX(B1:XFD1,((A3)+(1))+(1)))=("T"),"false"),B3,T393),T393))</f>
        <v>#VALUE!</v>
      </c>
      <c r="U393" t="e">
        <f ca="1">IF((A1)=(2),"",IF((389)=(U4),IF(IF((INDEX(B1:XFD1,((A3)+(1))+(0)))=("store"),(INDEX(B1:XFD1,((A3)+(1))+(1)))=("U"),"false"),B3,U393),U393))</f>
        <v>#VALUE!</v>
      </c>
      <c r="V393" t="e">
        <f ca="1">IF((A1)=(2),"",IF((389)=(V4),IF(IF((INDEX(B1:XFD1,((A3)+(1))+(0)))=("store"),(INDEX(B1:XFD1,((A3)+(1))+(1)))=("V"),"false"),B3,V393),V393))</f>
        <v>#VALUE!</v>
      </c>
      <c r="W393" t="e">
        <f ca="1">IF((A1)=(2),"",IF((389)=(W4),IF(IF((INDEX(B1:XFD1,((A3)+(1))+(0)))=("store"),(INDEX(B1:XFD1,((A3)+(1))+(1)))=("W"),"false"),B3,W393),W393))</f>
        <v>#VALUE!</v>
      </c>
      <c r="X393" t="e">
        <f ca="1">IF((A1)=(2),"",IF((389)=(X4),IF(IF((INDEX(B1:XFD1,((A3)+(1))+(0)))=("store"),(INDEX(B1:XFD1,((A3)+(1))+(1)))=("X"),"false"),B3,X393),X393))</f>
        <v>#VALUE!</v>
      </c>
      <c r="Y393" t="e">
        <f ca="1">IF((A1)=(2),"",IF((389)=(Y4),IF(IF((INDEX(B1:XFD1,((A3)+(1))+(0)))=("store"),(INDEX(B1:XFD1,((A3)+(1))+(1)))=("Y"),"false"),B3,Y393),Y393))</f>
        <v>#VALUE!</v>
      </c>
      <c r="Z393" t="e">
        <f ca="1">IF((A1)=(2),"",IF((389)=(Z4),IF(IF((INDEX(B1:XFD1,((A3)+(1))+(0)))=("store"),(INDEX(B1:XFD1,((A3)+(1))+(1)))=("Z"),"false"),B3,Z393),Z393))</f>
        <v>#VALUE!</v>
      </c>
      <c r="AA393" t="e">
        <f ca="1">IF((A1)=(2),"",IF((389)=(AA4),IF(IF((INDEX(B1:XFD1,((A3)+(1))+(0)))=("store"),(INDEX(B1:XFD1,((A3)+(1))+(1)))=("AA"),"false"),B3,AA393),AA393))</f>
        <v>#VALUE!</v>
      </c>
      <c r="AB393" t="e">
        <f ca="1">IF((A1)=(2),"",IF((389)=(AB4),IF(IF((INDEX(B1:XFD1,((A3)+(1))+(0)))=("store"),(INDEX(B1:XFD1,((A3)+(1))+(1)))=("AB"),"false"),B3,AB393),AB393))</f>
        <v>#VALUE!</v>
      </c>
      <c r="AC393" t="e">
        <f ca="1">IF((A1)=(2),"",IF((389)=(AC4),IF(IF((INDEX(B1:XFD1,((A3)+(1))+(0)))=("store"),(INDEX(B1:XFD1,((A3)+(1))+(1)))=("AC"),"false"),B3,AC393),AC393))</f>
        <v>#VALUE!</v>
      </c>
      <c r="AD393" t="e">
        <f ca="1">IF((A1)=(2),"",IF((389)=(AD4),IF(IF((INDEX(B1:XFD1,((A3)+(1))+(0)))=("store"),(INDEX(B1:XFD1,((A3)+(1))+(1)))=("AD"),"false"),B3,AD393),AD393))</f>
        <v>#VALUE!</v>
      </c>
    </row>
    <row r="394" spans="1:30" x14ac:dyDescent="0.25">
      <c r="A394" t="e">
        <f ca="1">IF((A1)=(2),"",IF((390)=(A4),IF(("call")=(INDEX(B1:XFD1,((A3)+(1))+(0))),(B3)*(2),IF(("goto")=(INDEX(B1:XFD1,((A3)+(1))+(0))),(INDEX(B1:XFD1,((A3)+(1))+(1)))*(2),IF(("gotoiftrue")=(INDEX(B1:XFD1,((A3)+(1))+(0))),IF(B3,(INDEX(B1:XFD1,((A3)+(1))+(1)))*(2),(A394)+(2)),(A394)+(2)))),A394))</f>
        <v>#VALUE!</v>
      </c>
      <c r="B394" t="e">
        <f ca="1">IF((A1)=(2),"",IF((390)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394)+(1)),IF(("add")=(INDEX(B1:XFD1,((A3)+(1))+(0))),(INDEX(B5:B405,(B4)+(1)))+(B394),IF(("equals")=(INDEX(B1:XFD1,((A3)+(1))+(0))),(INDEX(B5:B405,(B4)+(1)))=(B394),IF(("leq")=(INDEX(B1:XFD1,((A3)+(1))+(0))),(INDEX(B5:B405,(B4)+(1)))&lt;=(B394),IF(("greater")=(INDEX(B1:XFD1,((A3)+(1))+(0))),(INDEX(B5:B405,(B4)+(1)))&gt;(B394),IF(("mod")=(INDEX(B1:XFD1,((A3)+(1))+(0))),MOD(INDEX(B5:B405,(B4)+(1)),B394),B394))))))))),B394))</f>
        <v>#VALUE!</v>
      </c>
      <c r="C394" t="e">
        <f ca="1">IF((A1)=(2),1,IF(AND((INDEX(B1:XFD1,((A3)+(1))+(0)))=("writeheap"),(INDEX(B5:B405,(B4)+(1)))=(389)),INDEX(B5:B405,(B4)+(2)),IF((A1)=(2),"",IF((390)=(C4),C394,C394))))</f>
        <v>#VALUE!</v>
      </c>
      <c r="F394" t="e">
        <f ca="1">IF((A1)=(2),"",IF((390)=(F4),IF(IF((INDEX(B1:XFD1,((A3)+(1))+(0)))=("store"),(INDEX(B1:XFD1,((A3)+(1))+(1)))=("F"),"false"),B3,F394),F394))</f>
        <v>#VALUE!</v>
      </c>
      <c r="G394" t="e">
        <f ca="1">IF((A1)=(2),"",IF((390)=(G4),IF(IF((INDEX(B1:XFD1,((A3)+(1))+(0)))=("store"),(INDEX(B1:XFD1,((A3)+(1))+(1)))=("G"),"false"),B3,G394),G394))</f>
        <v>#VALUE!</v>
      </c>
      <c r="H394" t="e">
        <f ca="1">IF((A1)=(2),"",IF((390)=(H4),IF(IF((INDEX(B1:XFD1,((A3)+(1))+(0)))=("store"),(INDEX(B1:XFD1,((A3)+(1))+(1)))=("H"),"false"),B3,H394),H394))</f>
        <v>#VALUE!</v>
      </c>
      <c r="I394" t="e">
        <f ca="1">IF((A1)=(2),"",IF((390)=(I4),IF(IF((INDEX(B1:XFD1,((A3)+(1))+(0)))=("store"),(INDEX(B1:XFD1,((A3)+(1))+(1)))=("I"),"false"),B3,I394),I394))</f>
        <v>#VALUE!</v>
      </c>
      <c r="J394" t="e">
        <f ca="1">IF((A1)=(2),"",IF((390)=(J4),IF(IF((INDEX(B1:XFD1,((A3)+(1))+(0)))=("store"),(INDEX(B1:XFD1,((A3)+(1))+(1)))=("J"),"false"),B3,J394),J394))</f>
        <v>#VALUE!</v>
      </c>
      <c r="K394" t="e">
        <f ca="1">IF((A1)=(2),"",IF((390)=(K4),IF(IF((INDEX(B1:XFD1,((A3)+(1))+(0)))=("store"),(INDEX(B1:XFD1,((A3)+(1))+(1)))=("K"),"false"),B3,K394),K394))</f>
        <v>#VALUE!</v>
      </c>
      <c r="L394" t="e">
        <f ca="1">IF((A1)=(2),"",IF((390)=(L4),IF(IF((INDEX(B1:XFD1,((A3)+(1))+(0)))=("store"),(INDEX(B1:XFD1,((A3)+(1))+(1)))=("L"),"false"),B3,L394),L394))</f>
        <v>#VALUE!</v>
      </c>
      <c r="M394" t="e">
        <f ca="1">IF((A1)=(2),"",IF((390)=(M4),IF(IF((INDEX(B1:XFD1,((A3)+(1))+(0)))=("store"),(INDEX(B1:XFD1,((A3)+(1))+(1)))=("M"),"false"),B3,M394),M394))</f>
        <v>#VALUE!</v>
      </c>
      <c r="N394" t="e">
        <f ca="1">IF((A1)=(2),"",IF((390)=(N4),IF(IF((INDEX(B1:XFD1,((A3)+(1))+(0)))=("store"),(INDEX(B1:XFD1,((A3)+(1))+(1)))=("N"),"false"),B3,N394),N394))</f>
        <v>#VALUE!</v>
      </c>
      <c r="O394" t="e">
        <f ca="1">IF((A1)=(2),"",IF((390)=(O4),IF(IF((INDEX(B1:XFD1,((A3)+(1))+(0)))=("store"),(INDEX(B1:XFD1,((A3)+(1))+(1)))=("O"),"false"),B3,O394),O394))</f>
        <v>#VALUE!</v>
      </c>
      <c r="P394" t="e">
        <f ca="1">IF((A1)=(2),"",IF((390)=(P4),IF(IF((INDEX(B1:XFD1,((A3)+(1))+(0)))=("store"),(INDEX(B1:XFD1,((A3)+(1))+(1)))=("P"),"false"),B3,P394),P394))</f>
        <v>#VALUE!</v>
      </c>
      <c r="Q394" t="e">
        <f ca="1">IF((A1)=(2),"",IF((390)=(Q4),IF(IF((INDEX(B1:XFD1,((A3)+(1))+(0)))=("store"),(INDEX(B1:XFD1,((A3)+(1))+(1)))=("Q"),"false"),B3,Q394),Q394))</f>
        <v>#VALUE!</v>
      </c>
      <c r="R394" t="e">
        <f ca="1">IF((A1)=(2),"",IF((390)=(R4),IF(IF((INDEX(B1:XFD1,((A3)+(1))+(0)))=("store"),(INDEX(B1:XFD1,((A3)+(1))+(1)))=("R"),"false"),B3,R394),R394))</f>
        <v>#VALUE!</v>
      </c>
      <c r="S394" t="e">
        <f ca="1">IF((A1)=(2),"",IF((390)=(S4),IF(IF((INDEX(B1:XFD1,((A3)+(1))+(0)))=("store"),(INDEX(B1:XFD1,((A3)+(1))+(1)))=("S"),"false"),B3,S394),S394))</f>
        <v>#VALUE!</v>
      </c>
      <c r="T394" t="e">
        <f ca="1">IF((A1)=(2),"",IF((390)=(T4),IF(IF((INDEX(B1:XFD1,((A3)+(1))+(0)))=("store"),(INDEX(B1:XFD1,((A3)+(1))+(1)))=("T"),"false"),B3,T394),T394))</f>
        <v>#VALUE!</v>
      </c>
      <c r="U394" t="e">
        <f ca="1">IF((A1)=(2),"",IF((390)=(U4),IF(IF((INDEX(B1:XFD1,((A3)+(1))+(0)))=("store"),(INDEX(B1:XFD1,((A3)+(1))+(1)))=("U"),"false"),B3,U394),U394))</f>
        <v>#VALUE!</v>
      </c>
      <c r="V394" t="e">
        <f ca="1">IF((A1)=(2),"",IF((390)=(V4),IF(IF((INDEX(B1:XFD1,((A3)+(1))+(0)))=("store"),(INDEX(B1:XFD1,((A3)+(1))+(1)))=("V"),"false"),B3,V394),V394))</f>
        <v>#VALUE!</v>
      </c>
      <c r="W394" t="e">
        <f ca="1">IF((A1)=(2),"",IF((390)=(W4),IF(IF((INDEX(B1:XFD1,((A3)+(1))+(0)))=("store"),(INDEX(B1:XFD1,((A3)+(1))+(1)))=("W"),"false"),B3,W394),W394))</f>
        <v>#VALUE!</v>
      </c>
      <c r="X394" t="e">
        <f ca="1">IF((A1)=(2),"",IF((390)=(X4),IF(IF((INDEX(B1:XFD1,((A3)+(1))+(0)))=("store"),(INDEX(B1:XFD1,((A3)+(1))+(1)))=("X"),"false"),B3,X394),X394))</f>
        <v>#VALUE!</v>
      </c>
      <c r="Y394" t="e">
        <f ca="1">IF((A1)=(2),"",IF((390)=(Y4),IF(IF((INDEX(B1:XFD1,((A3)+(1))+(0)))=("store"),(INDEX(B1:XFD1,((A3)+(1))+(1)))=("Y"),"false"),B3,Y394),Y394))</f>
        <v>#VALUE!</v>
      </c>
      <c r="Z394" t="e">
        <f ca="1">IF((A1)=(2),"",IF((390)=(Z4),IF(IF((INDEX(B1:XFD1,((A3)+(1))+(0)))=("store"),(INDEX(B1:XFD1,((A3)+(1))+(1)))=("Z"),"false"),B3,Z394),Z394))</f>
        <v>#VALUE!</v>
      </c>
      <c r="AA394" t="e">
        <f ca="1">IF((A1)=(2),"",IF((390)=(AA4),IF(IF((INDEX(B1:XFD1,((A3)+(1))+(0)))=("store"),(INDEX(B1:XFD1,((A3)+(1))+(1)))=("AA"),"false"),B3,AA394),AA394))</f>
        <v>#VALUE!</v>
      </c>
      <c r="AB394" t="e">
        <f ca="1">IF((A1)=(2),"",IF((390)=(AB4),IF(IF((INDEX(B1:XFD1,((A3)+(1))+(0)))=("store"),(INDEX(B1:XFD1,((A3)+(1))+(1)))=("AB"),"false"),B3,AB394),AB394))</f>
        <v>#VALUE!</v>
      </c>
      <c r="AC394" t="e">
        <f ca="1">IF((A1)=(2),"",IF((390)=(AC4),IF(IF((INDEX(B1:XFD1,((A3)+(1))+(0)))=("store"),(INDEX(B1:XFD1,((A3)+(1))+(1)))=("AC"),"false"),B3,AC394),AC394))</f>
        <v>#VALUE!</v>
      </c>
      <c r="AD394" t="e">
        <f ca="1">IF((A1)=(2),"",IF((390)=(AD4),IF(IF((INDEX(B1:XFD1,((A3)+(1))+(0)))=("store"),(INDEX(B1:XFD1,((A3)+(1))+(1)))=("AD"),"false"),B3,AD394),AD394))</f>
        <v>#VALUE!</v>
      </c>
    </row>
    <row r="395" spans="1:30" x14ac:dyDescent="0.25">
      <c r="A395" t="e">
        <f ca="1">IF((A1)=(2),"",IF((391)=(A4),IF(("call")=(INDEX(B1:XFD1,((A3)+(1))+(0))),(B3)*(2),IF(("goto")=(INDEX(B1:XFD1,((A3)+(1))+(0))),(INDEX(B1:XFD1,((A3)+(1))+(1)))*(2),IF(("gotoiftrue")=(INDEX(B1:XFD1,((A3)+(1))+(0))),IF(B3,(INDEX(B1:XFD1,((A3)+(1))+(1)))*(2),(A395)+(2)),(A395)+(2)))),A395))</f>
        <v>#VALUE!</v>
      </c>
      <c r="B395" t="e">
        <f ca="1">IF((A1)=(2),"",IF((391)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395)+(1)),IF(("add")=(INDEX(B1:XFD1,((A3)+(1))+(0))),(INDEX(B5:B405,(B4)+(1)))+(B395),IF(("equals")=(INDEX(B1:XFD1,((A3)+(1))+(0))),(INDEX(B5:B405,(B4)+(1)))=(B395),IF(("leq")=(INDEX(B1:XFD1,((A3)+(1))+(0))),(INDEX(B5:B405,(B4)+(1)))&lt;=(B395),IF(("greater")=(INDEX(B1:XFD1,((A3)+(1))+(0))),(INDEX(B5:B405,(B4)+(1)))&gt;(B395),IF(("mod")=(INDEX(B1:XFD1,((A3)+(1))+(0))),MOD(INDEX(B5:B405,(B4)+(1)),B395),B395))))))))),B395))</f>
        <v>#VALUE!</v>
      </c>
      <c r="C395" t="e">
        <f ca="1">IF((A1)=(2),1,IF(AND((INDEX(B1:XFD1,((A3)+(1))+(0)))=("writeheap"),(INDEX(B5:B405,(B4)+(1)))=(390)),INDEX(B5:B405,(B4)+(2)),IF((A1)=(2),"",IF((391)=(C4),C395,C395))))</f>
        <v>#VALUE!</v>
      </c>
      <c r="F395" t="e">
        <f ca="1">IF((A1)=(2),"",IF((391)=(F4),IF(IF((INDEX(B1:XFD1,((A3)+(1))+(0)))=("store"),(INDEX(B1:XFD1,((A3)+(1))+(1)))=("F"),"false"),B3,F395),F395))</f>
        <v>#VALUE!</v>
      </c>
      <c r="G395" t="e">
        <f ca="1">IF((A1)=(2),"",IF((391)=(G4),IF(IF((INDEX(B1:XFD1,((A3)+(1))+(0)))=("store"),(INDEX(B1:XFD1,((A3)+(1))+(1)))=("G"),"false"),B3,G395),G395))</f>
        <v>#VALUE!</v>
      </c>
      <c r="H395" t="e">
        <f ca="1">IF((A1)=(2),"",IF((391)=(H4),IF(IF((INDEX(B1:XFD1,((A3)+(1))+(0)))=("store"),(INDEX(B1:XFD1,((A3)+(1))+(1)))=("H"),"false"),B3,H395),H395))</f>
        <v>#VALUE!</v>
      </c>
      <c r="I395" t="e">
        <f ca="1">IF((A1)=(2),"",IF((391)=(I4),IF(IF((INDEX(B1:XFD1,((A3)+(1))+(0)))=("store"),(INDEX(B1:XFD1,((A3)+(1))+(1)))=("I"),"false"),B3,I395),I395))</f>
        <v>#VALUE!</v>
      </c>
      <c r="J395" t="e">
        <f ca="1">IF((A1)=(2),"",IF((391)=(J4),IF(IF((INDEX(B1:XFD1,((A3)+(1))+(0)))=("store"),(INDEX(B1:XFD1,((A3)+(1))+(1)))=("J"),"false"),B3,J395),J395))</f>
        <v>#VALUE!</v>
      </c>
      <c r="K395" t="e">
        <f ca="1">IF((A1)=(2),"",IF((391)=(K4),IF(IF((INDEX(B1:XFD1,((A3)+(1))+(0)))=("store"),(INDEX(B1:XFD1,((A3)+(1))+(1)))=("K"),"false"),B3,K395),K395))</f>
        <v>#VALUE!</v>
      </c>
      <c r="L395" t="e">
        <f ca="1">IF((A1)=(2),"",IF((391)=(L4),IF(IF((INDEX(B1:XFD1,((A3)+(1))+(0)))=("store"),(INDEX(B1:XFD1,((A3)+(1))+(1)))=("L"),"false"),B3,L395),L395))</f>
        <v>#VALUE!</v>
      </c>
      <c r="M395" t="e">
        <f ca="1">IF((A1)=(2),"",IF((391)=(M4),IF(IF((INDEX(B1:XFD1,((A3)+(1))+(0)))=("store"),(INDEX(B1:XFD1,((A3)+(1))+(1)))=("M"),"false"),B3,M395),M395))</f>
        <v>#VALUE!</v>
      </c>
      <c r="N395" t="e">
        <f ca="1">IF((A1)=(2),"",IF((391)=(N4),IF(IF((INDEX(B1:XFD1,((A3)+(1))+(0)))=("store"),(INDEX(B1:XFD1,((A3)+(1))+(1)))=("N"),"false"),B3,N395),N395))</f>
        <v>#VALUE!</v>
      </c>
      <c r="O395" t="e">
        <f ca="1">IF((A1)=(2),"",IF((391)=(O4),IF(IF((INDEX(B1:XFD1,((A3)+(1))+(0)))=("store"),(INDEX(B1:XFD1,((A3)+(1))+(1)))=("O"),"false"),B3,O395),O395))</f>
        <v>#VALUE!</v>
      </c>
      <c r="P395" t="e">
        <f ca="1">IF((A1)=(2),"",IF((391)=(P4),IF(IF((INDEX(B1:XFD1,((A3)+(1))+(0)))=("store"),(INDEX(B1:XFD1,((A3)+(1))+(1)))=("P"),"false"),B3,P395),P395))</f>
        <v>#VALUE!</v>
      </c>
      <c r="Q395" t="e">
        <f ca="1">IF((A1)=(2),"",IF((391)=(Q4),IF(IF((INDEX(B1:XFD1,((A3)+(1))+(0)))=("store"),(INDEX(B1:XFD1,((A3)+(1))+(1)))=("Q"),"false"),B3,Q395),Q395))</f>
        <v>#VALUE!</v>
      </c>
      <c r="R395" t="e">
        <f ca="1">IF((A1)=(2),"",IF((391)=(R4),IF(IF((INDEX(B1:XFD1,((A3)+(1))+(0)))=("store"),(INDEX(B1:XFD1,((A3)+(1))+(1)))=("R"),"false"),B3,R395),R395))</f>
        <v>#VALUE!</v>
      </c>
      <c r="S395" t="e">
        <f ca="1">IF((A1)=(2),"",IF((391)=(S4),IF(IF((INDEX(B1:XFD1,((A3)+(1))+(0)))=("store"),(INDEX(B1:XFD1,((A3)+(1))+(1)))=("S"),"false"),B3,S395),S395))</f>
        <v>#VALUE!</v>
      </c>
      <c r="T395" t="e">
        <f ca="1">IF((A1)=(2),"",IF((391)=(T4),IF(IF((INDEX(B1:XFD1,((A3)+(1))+(0)))=("store"),(INDEX(B1:XFD1,((A3)+(1))+(1)))=("T"),"false"),B3,T395),T395))</f>
        <v>#VALUE!</v>
      </c>
      <c r="U395" t="e">
        <f ca="1">IF((A1)=(2),"",IF((391)=(U4),IF(IF((INDEX(B1:XFD1,((A3)+(1))+(0)))=("store"),(INDEX(B1:XFD1,((A3)+(1))+(1)))=("U"),"false"),B3,U395),U395))</f>
        <v>#VALUE!</v>
      </c>
      <c r="V395" t="e">
        <f ca="1">IF((A1)=(2),"",IF((391)=(V4),IF(IF((INDEX(B1:XFD1,((A3)+(1))+(0)))=("store"),(INDEX(B1:XFD1,((A3)+(1))+(1)))=("V"),"false"),B3,V395),V395))</f>
        <v>#VALUE!</v>
      </c>
      <c r="W395" t="e">
        <f ca="1">IF((A1)=(2),"",IF((391)=(W4),IF(IF((INDEX(B1:XFD1,((A3)+(1))+(0)))=("store"),(INDEX(B1:XFD1,((A3)+(1))+(1)))=("W"),"false"),B3,W395),W395))</f>
        <v>#VALUE!</v>
      </c>
      <c r="X395" t="e">
        <f ca="1">IF((A1)=(2),"",IF((391)=(X4),IF(IF((INDEX(B1:XFD1,((A3)+(1))+(0)))=("store"),(INDEX(B1:XFD1,((A3)+(1))+(1)))=("X"),"false"),B3,X395),X395))</f>
        <v>#VALUE!</v>
      </c>
      <c r="Y395" t="e">
        <f ca="1">IF((A1)=(2),"",IF((391)=(Y4),IF(IF((INDEX(B1:XFD1,((A3)+(1))+(0)))=("store"),(INDEX(B1:XFD1,((A3)+(1))+(1)))=("Y"),"false"),B3,Y395),Y395))</f>
        <v>#VALUE!</v>
      </c>
      <c r="Z395" t="e">
        <f ca="1">IF((A1)=(2),"",IF((391)=(Z4),IF(IF((INDEX(B1:XFD1,((A3)+(1))+(0)))=("store"),(INDEX(B1:XFD1,((A3)+(1))+(1)))=("Z"),"false"),B3,Z395),Z395))</f>
        <v>#VALUE!</v>
      </c>
      <c r="AA395" t="e">
        <f ca="1">IF((A1)=(2),"",IF((391)=(AA4),IF(IF((INDEX(B1:XFD1,((A3)+(1))+(0)))=("store"),(INDEX(B1:XFD1,((A3)+(1))+(1)))=("AA"),"false"),B3,AA395),AA395))</f>
        <v>#VALUE!</v>
      </c>
      <c r="AB395" t="e">
        <f ca="1">IF((A1)=(2),"",IF((391)=(AB4),IF(IF((INDEX(B1:XFD1,((A3)+(1))+(0)))=("store"),(INDEX(B1:XFD1,((A3)+(1))+(1)))=("AB"),"false"),B3,AB395),AB395))</f>
        <v>#VALUE!</v>
      </c>
      <c r="AC395" t="e">
        <f ca="1">IF((A1)=(2),"",IF((391)=(AC4),IF(IF((INDEX(B1:XFD1,((A3)+(1))+(0)))=("store"),(INDEX(B1:XFD1,((A3)+(1))+(1)))=("AC"),"false"),B3,AC395),AC395))</f>
        <v>#VALUE!</v>
      </c>
      <c r="AD395" t="e">
        <f ca="1">IF((A1)=(2),"",IF((391)=(AD4),IF(IF((INDEX(B1:XFD1,((A3)+(1))+(0)))=("store"),(INDEX(B1:XFD1,((A3)+(1))+(1)))=("AD"),"false"),B3,AD395),AD395))</f>
        <v>#VALUE!</v>
      </c>
    </row>
    <row r="396" spans="1:30" x14ac:dyDescent="0.25">
      <c r="A396" t="e">
        <f ca="1">IF((A1)=(2),"",IF((392)=(A4),IF(("call")=(INDEX(B1:XFD1,((A3)+(1))+(0))),(B3)*(2),IF(("goto")=(INDEX(B1:XFD1,((A3)+(1))+(0))),(INDEX(B1:XFD1,((A3)+(1))+(1)))*(2),IF(("gotoiftrue")=(INDEX(B1:XFD1,((A3)+(1))+(0))),IF(B3,(INDEX(B1:XFD1,((A3)+(1))+(1)))*(2),(A396)+(2)),(A396)+(2)))),A396))</f>
        <v>#VALUE!</v>
      </c>
      <c r="B396" t="e">
        <f ca="1">IF((A1)=(2),"",IF((392)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396)+(1)),IF(("add")=(INDEX(B1:XFD1,((A3)+(1))+(0))),(INDEX(B5:B405,(B4)+(1)))+(B396),IF(("equals")=(INDEX(B1:XFD1,((A3)+(1))+(0))),(INDEX(B5:B405,(B4)+(1)))=(B396),IF(("leq")=(INDEX(B1:XFD1,((A3)+(1))+(0))),(INDEX(B5:B405,(B4)+(1)))&lt;=(B396),IF(("greater")=(INDEX(B1:XFD1,((A3)+(1))+(0))),(INDEX(B5:B405,(B4)+(1)))&gt;(B396),IF(("mod")=(INDEX(B1:XFD1,((A3)+(1))+(0))),MOD(INDEX(B5:B405,(B4)+(1)),B396),B396))))))))),B396))</f>
        <v>#VALUE!</v>
      </c>
      <c r="C396" t="e">
        <f ca="1">IF((A1)=(2),1,IF(AND((INDEX(B1:XFD1,((A3)+(1))+(0)))=("writeheap"),(INDEX(B5:B405,(B4)+(1)))=(391)),INDEX(B5:B405,(B4)+(2)),IF((A1)=(2),"",IF((392)=(C4),C396,C396))))</f>
        <v>#VALUE!</v>
      </c>
      <c r="F396" t="e">
        <f ca="1">IF((A1)=(2),"",IF((392)=(F4),IF(IF((INDEX(B1:XFD1,((A3)+(1))+(0)))=("store"),(INDEX(B1:XFD1,((A3)+(1))+(1)))=("F"),"false"),B3,F396),F396))</f>
        <v>#VALUE!</v>
      </c>
      <c r="G396" t="e">
        <f ca="1">IF((A1)=(2),"",IF((392)=(G4),IF(IF((INDEX(B1:XFD1,((A3)+(1))+(0)))=("store"),(INDEX(B1:XFD1,((A3)+(1))+(1)))=("G"),"false"),B3,G396),G396))</f>
        <v>#VALUE!</v>
      </c>
      <c r="H396" t="e">
        <f ca="1">IF((A1)=(2),"",IF((392)=(H4),IF(IF((INDEX(B1:XFD1,((A3)+(1))+(0)))=("store"),(INDEX(B1:XFD1,((A3)+(1))+(1)))=("H"),"false"),B3,H396),H396))</f>
        <v>#VALUE!</v>
      </c>
      <c r="I396" t="e">
        <f ca="1">IF((A1)=(2),"",IF((392)=(I4),IF(IF((INDEX(B1:XFD1,((A3)+(1))+(0)))=("store"),(INDEX(B1:XFD1,((A3)+(1))+(1)))=("I"),"false"),B3,I396),I396))</f>
        <v>#VALUE!</v>
      </c>
      <c r="J396" t="e">
        <f ca="1">IF((A1)=(2),"",IF((392)=(J4),IF(IF((INDEX(B1:XFD1,((A3)+(1))+(0)))=("store"),(INDEX(B1:XFD1,((A3)+(1))+(1)))=("J"),"false"),B3,J396),J396))</f>
        <v>#VALUE!</v>
      </c>
      <c r="K396" t="e">
        <f ca="1">IF((A1)=(2),"",IF((392)=(K4),IF(IF((INDEX(B1:XFD1,((A3)+(1))+(0)))=("store"),(INDEX(B1:XFD1,((A3)+(1))+(1)))=("K"),"false"),B3,K396),K396))</f>
        <v>#VALUE!</v>
      </c>
      <c r="L396" t="e">
        <f ca="1">IF((A1)=(2),"",IF((392)=(L4),IF(IF((INDEX(B1:XFD1,((A3)+(1))+(0)))=("store"),(INDEX(B1:XFD1,((A3)+(1))+(1)))=("L"),"false"),B3,L396),L396))</f>
        <v>#VALUE!</v>
      </c>
      <c r="M396" t="e">
        <f ca="1">IF((A1)=(2),"",IF((392)=(M4),IF(IF((INDEX(B1:XFD1,((A3)+(1))+(0)))=("store"),(INDEX(B1:XFD1,((A3)+(1))+(1)))=("M"),"false"),B3,M396),M396))</f>
        <v>#VALUE!</v>
      </c>
      <c r="N396" t="e">
        <f ca="1">IF((A1)=(2),"",IF((392)=(N4),IF(IF((INDEX(B1:XFD1,((A3)+(1))+(0)))=("store"),(INDEX(B1:XFD1,((A3)+(1))+(1)))=("N"),"false"),B3,N396),N396))</f>
        <v>#VALUE!</v>
      </c>
      <c r="O396" t="e">
        <f ca="1">IF((A1)=(2),"",IF((392)=(O4),IF(IF((INDEX(B1:XFD1,((A3)+(1))+(0)))=("store"),(INDEX(B1:XFD1,((A3)+(1))+(1)))=("O"),"false"),B3,O396),O396))</f>
        <v>#VALUE!</v>
      </c>
      <c r="P396" t="e">
        <f ca="1">IF((A1)=(2),"",IF((392)=(P4),IF(IF((INDEX(B1:XFD1,((A3)+(1))+(0)))=("store"),(INDEX(B1:XFD1,((A3)+(1))+(1)))=("P"),"false"),B3,P396),P396))</f>
        <v>#VALUE!</v>
      </c>
      <c r="Q396" t="e">
        <f ca="1">IF((A1)=(2),"",IF((392)=(Q4),IF(IF((INDEX(B1:XFD1,((A3)+(1))+(0)))=("store"),(INDEX(B1:XFD1,((A3)+(1))+(1)))=("Q"),"false"),B3,Q396),Q396))</f>
        <v>#VALUE!</v>
      </c>
      <c r="R396" t="e">
        <f ca="1">IF((A1)=(2),"",IF((392)=(R4),IF(IF((INDEX(B1:XFD1,((A3)+(1))+(0)))=("store"),(INDEX(B1:XFD1,((A3)+(1))+(1)))=("R"),"false"),B3,R396),R396))</f>
        <v>#VALUE!</v>
      </c>
      <c r="S396" t="e">
        <f ca="1">IF((A1)=(2),"",IF((392)=(S4),IF(IF((INDEX(B1:XFD1,((A3)+(1))+(0)))=("store"),(INDEX(B1:XFD1,((A3)+(1))+(1)))=("S"),"false"),B3,S396),S396))</f>
        <v>#VALUE!</v>
      </c>
      <c r="T396" t="e">
        <f ca="1">IF((A1)=(2),"",IF((392)=(T4),IF(IF((INDEX(B1:XFD1,((A3)+(1))+(0)))=("store"),(INDEX(B1:XFD1,((A3)+(1))+(1)))=("T"),"false"),B3,T396),T396))</f>
        <v>#VALUE!</v>
      </c>
      <c r="U396" t="e">
        <f ca="1">IF((A1)=(2),"",IF((392)=(U4),IF(IF((INDEX(B1:XFD1,((A3)+(1))+(0)))=("store"),(INDEX(B1:XFD1,((A3)+(1))+(1)))=("U"),"false"),B3,U396),U396))</f>
        <v>#VALUE!</v>
      </c>
      <c r="V396" t="e">
        <f ca="1">IF((A1)=(2),"",IF((392)=(V4),IF(IF((INDEX(B1:XFD1,((A3)+(1))+(0)))=("store"),(INDEX(B1:XFD1,((A3)+(1))+(1)))=("V"),"false"),B3,V396),V396))</f>
        <v>#VALUE!</v>
      </c>
      <c r="W396" t="e">
        <f ca="1">IF((A1)=(2),"",IF((392)=(W4),IF(IF((INDEX(B1:XFD1,((A3)+(1))+(0)))=("store"),(INDEX(B1:XFD1,((A3)+(1))+(1)))=("W"),"false"),B3,W396),W396))</f>
        <v>#VALUE!</v>
      </c>
      <c r="X396" t="e">
        <f ca="1">IF((A1)=(2),"",IF((392)=(X4),IF(IF((INDEX(B1:XFD1,((A3)+(1))+(0)))=("store"),(INDEX(B1:XFD1,((A3)+(1))+(1)))=("X"),"false"),B3,X396),X396))</f>
        <v>#VALUE!</v>
      </c>
      <c r="Y396" t="e">
        <f ca="1">IF((A1)=(2),"",IF((392)=(Y4),IF(IF((INDEX(B1:XFD1,((A3)+(1))+(0)))=("store"),(INDEX(B1:XFD1,((A3)+(1))+(1)))=("Y"),"false"),B3,Y396),Y396))</f>
        <v>#VALUE!</v>
      </c>
      <c r="Z396" t="e">
        <f ca="1">IF((A1)=(2),"",IF((392)=(Z4),IF(IF((INDEX(B1:XFD1,((A3)+(1))+(0)))=("store"),(INDEX(B1:XFD1,((A3)+(1))+(1)))=("Z"),"false"),B3,Z396),Z396))</f>
        <v>#VALUE!</v>
      </c>
      <c r="AA396" t="e">
        <f ca="1">IF((A1)=(2),"",IF((392)=(AA4),IF(IF((INDEX(B1:XFD1,((A3)+(1))+(0)))=("store"),(INDEX(B1:XFD1,((A3)+(1))+(1)))=("AA"),"false"),B3,AA396),AA396))</f>
        <v>#VALUE!</v>
      </c>
      <c r="AB396" t="e">
        <f ca="1">IF((A1)=(2),"",IF((392)=(AB4),IF(IF((INDEX(B1:XFD1,((A3)+(1))+(0)))=("store"),(INDEX(B1:XFD1,((A3)+(1))+(1)))=("AB"),"false"),B3,AB396),AB396))</f>
        <v>#VALUE!</v>
      </c>
      <c r="AC396" t="e">
        <f ca="1">IF((A1)=(2),"",IF((392)=(AC4),IF(IF((INDEX(B1:XFD1,((A3)+(1))+(0)))=("store"),(INDEX(B1:XFD1,((A3)+(1))+(1)))=("AC"),"false"),B3,AC396),AC396))</f>
        <v>#VALUE!</v>
      </c>
      <c r="AD396" t="e">
        <f ca="1">IF((A1)=(2),"",IF((392)=(AD4),IF(IF((INDEX(B1:XFD1,((A3)+(1))+(0)))=("store"),(INDEX(B1:XFD1,((A3)+(1))+(1)))=("AD"),"false"),B3,AD396),AD396))</f>
        <v>#VALUE!</v>
      </c>
    </row>
    <row r="397" spans="1:30" x14ac:dyDescent="0.25">
      <c r="A397" t="e">
        <f ca="1">IF((A1)=(2),"",IF((393)=(A4),IF(("call")=(INDEX(B1:XFD1,((A3)+(1))+(0))),(B3)*(2),IF(("goto")=(INDEX(B1:XFD1,((A3)+(1))+(0))),(INDEX(B1:XFD1,((A3)+(1))+(1)))*(2),IF(("gotoiftrue")=(INDEX(B1:XFD1,((A3)+(1))+(0))),IF(B3,(INDEX(B1:XFD1,((A3)+(1))+(1)))*(2),(A397)+(2)),(A397)+(2)))),A397))</f>
        <v>#VALUE!</v>
      </c>
      <c r="B397" t="e">
        <f ca="1">IF((A1)=(2),"",IF((393)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397)+(1)),IF(("add")=(INDEX(B1:XFD1,((A3)+(1))+(0))),(INDEX(B5:B405,(B4)+(1)))+(B397),IF(("equals")=(INDEX(B1:XFD1,((A3)+(1))+(0))),(INDEX(B5:B405,(B4)+(1)))=(B397),IF(("leq")=(INDEX(B1:XFD1,((A3)+(1))+(0))),(INDEX(B5:B405,(B4)+(1)))&lt;=(B397),IF(("greater")=(INDEX(B1:XFD1,((A3)+(1))+(0))),(INDEX(B5:B405,(B4)+(1)))&gt;(B397),IF(("mod")=(INDEX(B1:XFD1,((A3)+(1))+(0))),MOD(INDEX(B5:B405,(B4)+(1)),B397),B397))))))))),B397))</f>
        <v>#VALUE!</v>
      </c>
      <c r="C397" t="e">
        <f ca="1">IF((A1)=(2),1,IF(AND((INDEX(B1:XFD1,((A3)+(1))+(0)))=("writeheap"),(INDEX(B5:B405,(B4)+(1)))=(392)),INDEX(B5:B405,(B4)+(2)),IF((A1)=(2),"",IF((393)=(C4),C397,C397))))</f>
        <v>#VALUE!</v>
      </c>
      <c r="F397" t="e">
        <f ca="1">IF((A1)=(2),"",IF((393)=(F4),IF(IF((INDEX(B1:XFD1,((A3)+(1))+(0)))=("store"),(INDEX(B1:XFD1,((A3)+(1))+(1)))=("F"),"false"),B3,F397),F397))</f>
        <v>#VALUE!</v>
      </c>
      <c r="G397" t="e">
        <f ca="1">IF((A1)=(2),"",IF((393)=(G4),IF(IF((INDEX(B1:XFD1,((A3)+(1))+(0)))=("store"),(INDEX(B1:XFD1,((A3)+(1))+(1)))=("G"),"false"),B3,G397),G397))</f>
        <v>#VALUE!</v>
      </c>
      <c r="H397" t="e">
        <f ca="1">IF((A1)=(2),"",IF((393)=(H4),IF(IF((INDEX(B1:XFD1,((A3)+(1))+(0)))=("store"),(INDEX(B1:XFD1,((A3)+(1))+(1)))=("H"),"false"),B3,H397),H397))</f>
        <v>#VALUE!</v>
      </c>
      <c r="I397" t="e">
        <f ca="1">IF((A1)=(2),"",IF((393)=(I4),IF(IF((INDEX(B1:XFD1,((A3)+(1))+(0)))=("store"),(INDEX(B1:XFD1,((A3)+(1))+(1)))=("I"),"false"),B3,I397),I397))</f>
        <v>#VALUE!</v>
      </c>
      <c r="J397" t="e">
        <f ca="1">IF((A1)=(2),"",IF((393)=(J4),IF(IF((INDEX(B1:XFD1,((A3)+(1))+(0)))=("store"),(INDEX(B1:XFD1,((A3)+(1))+(1)))=("J"),"false"),B3,J397),J397))</f>
        <v>#VALUE!</v>
      </c>
      <c r="K397" t="e">
        <f ca="1">IF((A1)=(2),"",IF((393)=(K4),IF(IF((INDEX(B1:XFD1,((A3)+(1))+(0)))=("store"),(INDEX(B1:XFD1,((A3)+(1))+(1)))=("K"),"false"),B3,K397),K397))</f>
        <v>#VALUE!</v>
      </c>
      <c r="L397" t="e">
        <f ca="1">IF((A1)=(2),"",IF((393)=(L4),IF(IF((INDEX(B1:XFD1,((A3)+(1))+(0)))=("store"),(INDEX(B1:XFD1,((A3)+(1))+(1)))=("L"),"false"),B3,L397),L397))</f>
        <v>#VALUE!</v>
      </c>
      <c r="M397" t="e">
        <f ca="1">IF((A1)=(2),"",IF((393)=(M4),IF(IF((INDEX(B1:XFD1,((A3)+(1))+(0)))=("store"),(INDEX(B1:XFD1,((A3)+(1))+(1)))=("M"),"false"),B3,M397),M397))</f>
        <v>#VALUE!</v>
      </c>
      <c r="N397" t="e">
        <f ca="1">IF((A1)=(2),"",IF((393)=(N4),IF(IF((INDEX(B1:XFD1,((A3)+(1))+(0)))=("store"),(INDEX(B1:XFD1,((A3)+(1))+(1)))=("N"),"false"),B3,N397),N397))</f>
        <v>#VALUE!</v>
      </c>
      <c r="O397" t="e">
        <f ca="1">IF((A1)=(2),"",IF((393)=(O4),IF(IF((INDEX(B1:XFD1,((A3)+(1))+(0)))=("store"),(INDEX(B1:XFD1,((A3)+(1))+(1)))=("O"),"false"),B3,O397),O397))</f>
        <v>#VALUE!</v>
      </c>
      <c r="P397" t="e">
        <f ca="1">IF((A1)=(2),"",IF((393)=(P4),IF(IF((INDEX(B1:XFD1,((A3)+(1))+(0)))=("store"),(INDEX(B1:XFD1,((A3)+(1))+(1)))=("P"),"false"),B3,P397),P397))</f>
        <v>#VALUE!</v>
      </c>
      <c r="Q397" t="e">
        <f ca="1">IF((A1)=(2),"",IF((393)=(Q4),IF(IF((INDEX(B1:XFD1,((A3)+(1))+(0)))=("store"),(INDEX(B1:XFD1,((A3)+(1))+(1)))=("Q"),"false"),B3,Q397),Q397))</f>
        <v>#VALUE!</v>
      </c>
      <c r="R397" t="e">
        <f ca="1">IF((A1)=(2),"",IF((393)=(R4),IF(IF((INDEX(B1:XFD1,((A3)+(1))+(0)))=("store"),(INDEX(B1:XFD1,((A3)+(1))+(1)))=("R"),"false"),B3,R397),R397))</f>
        <v>#VALUE!</v>
      </c>
      <c r="S397" t="e">
        <f ca="1">IF((A1)=(2),"",IF((393)=(S4),IF(IF((INDEX(B1:XFD1,((A3)+(1))+(0)))=("store"),(INDEX(B1:XFD1,((A3)+(1))+(1)))=("S"),"false"),B3,S397),S397))</f>
        <v>#VALUE!</v>
      </c>
      <c r="T397" t="e">
        <f ca="1">IF((A1)=(2),"",IF((393)=(T4),IF(IF((INDEX(B1:XFD1,((A3)+(1))+(0)))=("store"),(INDEX(B1:XFD1,((A3)+(1))+(1)))=("T"),"false"),B3,T397),T397))</f>
        <v>#VALUE!</v>
      </c>
      <c r="U397" t="e">
        <f ca="1">IF((A1)=(2),"",IF((393)=(U4),IF(IF((INDEX(B1:XFD1,((A3)+(1))+(0)))=("store"),(INDEX(B1:XFD1,((A3)+(1))+(1)))=("U"),"false"),B3,U397),U397))</f>
        <v>#VALUE!</v>
      </c>
      <c r="V397" t="e">
        <f ca="1">IF((A1)=(2),"",IF((393)=(V4),IF(IF((INDEX(B1:XFD1,((A3)+(1))+(0)))=("store"),(INDEX(B1:XFD1,((A3)+(1))+(1)))=("V"),"false"),B3,V397),V397))</f>
        <v>#VALUE!</v>
      </c>
      <c r="W397" t="e">
        <f ca="1">IF((A1)=(2),"",IF((393)=(W4),IF(IF((INDEX(B1:XFD1,((A3)+(1))+(0)))=("store"),(INDEX(B1:XFD1,((A3)+(1))+(1)))=("W"),"false"),B3,W397),W397))</f>
        <v>#VALUE!</v>
      </c>
      <c r="X397" t="e">
        <f ca="1">IF((A1)=(2),"",IF((393)=(X4),IF(IF((INDEX(B1:XFD1,((A3)+(1))+(0)))=("store"),(INDEX(B1:XFD1,((A3)+(1))+(1)))=("X"),"false"),B3,X397),X397))</f>
        <v>#VALUE!</v>
      </c>
      <c r="Y397" t="e">
        <f ca="1">IF((A1)=(2),"",IF((393)=(Y4),IF(IF((INDEX(B1:XFD1,((A3)+(1))+(0)))=("store"),(INDEX(B1:XFD1,((A3)+(1))+(1)))=("Y"),"false"),B3,Y397),Y397))</f>
        <v>#VALUE!</v>
      </c>
      <c r="Z397" t="e">
        <f ca="1">IF((A1)=(2),"",IF((393)=(Z4),IF(IF((INDEX(B1:XFD1,((A3)+(1))+(0)))=("store"),(INDEX(B1:XFD1,((A3)+(1))+(1)))=("Z"),"false"),B3,Z397),Z397))</f>
        <v>#VALUE!</v>
      </c>
      <c r="AA397" t="e">
        <f ca="1">IF((A1)=(2),"",IF((393)=(AA4),IF(IF((INDEX(B1:XFD1,((A3)+(1))+(0)))=("store"),(INDEX(B1:XFD1,((A3)+(1))+(1)))=("AA"),"false"),B3,AA397),AA397))</f>
        <v>#VALUE!</v>
      </c>
      <c r="AB397" t="e">
        <f ca="1">IF((A1)=(2),"",IF((393)=(AB4),IF(IF((INDEX(B1:XFD1,((A3)+(1))+(0)))=("store"),(INDEX(B1:XFD1,((A3)+(1))+(1)))=("AB"),"false"),B3,AB397),AB397))</f>
        <v>#VALUE!</v>
      </c>
      <c r="AC397" t="e">
        <f ca="1">IF((A1)=(2),"",IF((393)=(AC4),IF(IF((INDEX(B1:XFD1,((A3)+(1))+(0)))=("store"),(INDEX(B1:XFD1,((A3)+(1))+(1)))=("AC"),"false"),B3,AC397),AC397))</f>
        <v>#VALUE!</v>
      </c>
      <c r="AD397" t="e">
        <f ca="1">IF((A1)=(2),"",IF((393)=(AD4),IF(IF((INDEX(B1:XFD1,((A3)+(1))+(0)))=("store"),(INDEX(B1:XFD1,((A3)+(1))+(1)))=("AD"),"false"),B3,AD397),AD397))</f>
        <v>#VALUE!</v>
      </c>
    </row>
    <row r="398" spans="1:30" x14ac:dyDescent="0.25">
      <c r="A398" t="e">
        <f ca="1">IF((A1)=(2),"",IF((394)=(A4),IF(("call")=(INDEX(B1:XFD1,((A3)+(1))+(0))),(B3)*(2),IF(("goto")=(INDEX(B1:XFD1,((A3)+(1))+(0))),(INDEX(B1:XFD1,((A3)+(1))+(1)))*(2),IF(("gotoiftrue")=(INDEX(B1:XFD1,((A3)+(1))+(0))),IF(B3,(INDEX(B1:XFD1,((A3)+(1))+(1)))*(2),(A398)+(2)),(A398)+(2)))),A398))</f>
        <v>#VALUE!</v>
      </c>
      <c r="B398" t="e">
        <f ca="1">IF((A1)=(2),"",IF((394)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398)+(1)),IF(("add")=(INDEX(B1:XFD1,((A3)+(1))+(0))),(INDEX(B5:B405,(B4)+(1)))+(B398),IF(("equals")=(INDEX(B1:XFD1,((A3)+(1))+(0))),(INDEX(B5:B405,(B4)+(1)))=(B398),IF(("leq")=(INDEX(B1:XFD1,((A3)+(1))+(0))),(INDEX(B5:B405,(B4)+(1)))&lt;=(B398),IF(("greater")=(INDEX(B1:XFD1,((A3)+(1))+(0))),(INDEX(B5:B405,(B4)+(1)))&gt;(B398),IF(("mod")=(INDEX(B1:XFD1,((A3)+(1))+(0))),MOD(INDEX(B5:B405,(B4)+(1)),B398),B398))))))))),B398))</f>
        <v>#VALUE!</v>
      </c>
      <c r="C398" t="e">
        <f ca="1">IF((A1)=(2),1,IF(AND((INDEX(B1:XFD1,((A3)+(1))+(0)))=("writeheap"),(INDEX(B5:B405,(B4)+(1)))=(393)),INDEX(B5:B405,(B4)+(2)),IF((A1)=(2),"",IF((394)=(C4),C398,C398))))</f>
        <v>#VALUE!</v>
      </c>
      <c r="F398" t="e">
        <f ca="1">IF((A1)=(2),"",IF((394)=(F4),IF(IF((INDEX(B1:XFD1,((A3)+(1))+(0)))=("store"),(INDEX(B1:XFD1,((A3)+(1))+(1)))=("F"),"false"),B3,F398),F398))</f>
        <v>#VALUE!</v>
      </c>
      <c r="G398" t="e">
        <f ca="1">IF((A1)=(2),"",IF((394)=(G4),IF(IF((INDEX(B1:XFD1,((A3)+(1))+(0)))=("store"),(INDEX(B1:XFD1,((A3)+(1))+(1)))=("G"),"false"),B3,G398),G398))</f>
        <v>#VALUE!</v>
      </c>
      <c r="H398" t="e">
        <f ca="1">IF((A1)=(2),"",IF((394)=(H4),IF(IF((INDEX(B1:XFD1,((A3)+(1))+(0)))=("store"),(INDEX(B1:XFD1,((A3)+(1))+(1)))=("H"),"false"),B3,H398),H398))</f>
        <v>#VALUE!</v>
      </c>
      <c r="I398" t="e">
        <f ca="1">IF((A1)=(2),"",IF((394)=(I4),IF(IF((INDEX(B1:XFD1,((A3)+(1))+(0)))=("store"),(INDEX(B1:XFD1,((A3)+(1))+(1)))=("I"),"false"),B3,I398),I398))</f>
        <v>#VALUE!</v>
      </c>
      <c r="J398" t="e">
        <f ca="1">IF((A1)=(2),"",IF((394)=(J4),IF(IF((INDEX(B1:XFD1,((A3)+(1))+(0)))=("store"),(INDEX(B1:XFD1,((A3)+(1))+(1)))=("J"),"false"),B3,J398),J398))</f>
        <v>#VALUE!</v>
      </c>
      <c r="K398" t="e">
        <f ca="1">IF((A1)=(2),"",IF((394)=(K4),IF(IF((INDEX(B1:XFD1,((A3)+(1))+(0)))=("store"),(INDEX(B1:XFD1,((A3)+(1))+(1)))=("K"),"false"),B3,K398),K398))</f>
        <v>#VALUE!</v>
      </c>
      <c r="L398" t="e">
        <f ca="1">IF((A1)=(2),"",IF((394)=(L4),IF(IF((INDEX(B1:XFD1,((A3)+(1))+(0)))=("store"),(INDEX(B1:XFD1,((A3)+(1))+(1)))=("L"),"false"),B3,L398),L398))</f>
        <v>#VALUE!</v>
      </c>
      <c r="M398" t="e">
        <f ca="1">IF((A1)=(2),"",IF((394)=(M4),IF(IF((INDEX(B1:XFD1,((A3)+(1))+(0)))=("store"),(INDEX(B1:XFD1,((A3)+(1))+(1)))=("M"),"false"),B3,M398),M398))</f>
        <v>#VALUE!</v>
      </c>
      <c r="N398" t="e">
        <f ca="1">IF((A1)=(2),"",IF((394)=(N4),IF(IF((INDEX(B1:XFD1,((A3)+(1))+(0)))=("store"),(INDEX(B1:XFD1,((A3)+(1))+(1)))=("N"),"false"),B3,N398),N398))</f>
        <v>#VALUE!</v>
      </c>
      <c r="O398" t="e">
        <f ca="1">IF((A1)=(2),"",IF((394)=(O4),IF(IF((INDEX(B1:XFD1,((A3)+(1))+(0)))=("store"),(INDEX(B1:XFD1,((A3)+(1))+(1)))=("O"),"false"),B3,O398),O398))</f>
        <v>#VALUE!</v>
      </c>
      <c r="P398" t="e">
        <f ca="1">IF((A1)=(2),"",IF((394)=(P4),IF(IF((INDEX(B1:XFD1,((A3)+(1))+(0)))=("store"),(INDEX(B1:XFD1,((A3)+(1))+(1)))=("P"),"false"),B3,P398),P398))</f>
        <v>#VALUE!</v>
      </c>
      <c r="Q398" t="e">
        <f ca="1">IF((A1)=(2),"",IF((394)=(Q4),IF(IF((INDEX(B1:XFD1,((A3)+(1))+(0)))=("store"),(INDEX(B1:XFD1,((A3)+(1))+(1)))=("Q"),"false"),B3,Q398),Q398))</f>
        <v>#VALUE!</v>
      </c>
      <c r="R398" t="e">
        <f ca="1">IF((A1)=(2),"",IF((394)=(R4),IF(IF((INDEX(B1:XFD1,((A3)+(1))+(0)))=("store"),(INDEX(B1:XFD1,((A3)+(1))+(1)))=("R"),"false"),B3,R398),R398))</f>
        <v>#VALUE!</v>
      </c>
      <c r="S398" t="e">
        <f ca="1">IF((A1)=(2),"",IF((394)=(S4),IF(IF((INDEX(B1:XFD1,((A3)+(1))+(0)))=("store"),(INDEX(B1:XFD1,((A3)+(1))+(1)))=("S"),"false"),B3,S398),S398))</f>
        <v>#VALUE!</v>
      </c>
      <c r="T398" t="e">
        <f ca="1">IF((A1)=(2),"",IF((394)=(T4),IF(IF((INDEX(B1:XFD1,((A3)+(1))+(0)))=("store"),(INDEX(B1:XFD1,((A3)+(1))+(1)))=("T"),"false"),B3,T398),T398))</f>
        <v>#VALUE!</v>
      </c>
      <c r="U398" t="e">
        <f ca="1">IF((A1)=(2),"",IF((394)=(U4),IF(IF((INDEX(B1:XFD1,((A3)+(1))+(0)))=("store"),(INDEX(B1:XFD1,((A3)+(1))+(1)))=("U"),"false"),B3,U398),U398))</f>
        <v>#VALUE!</v>
      </c>
      <c r="V398" t="e">
        <f ca="1">IF((A1)=(2),"",IF((394)=(V4),IF(IF((INDEX(B1:XFD1,((A3)+(1))+(0)))=("store"),(INDEX(B1:XFD1,((A3)+(1))+(1)))=("V"),"false"),B3,V398),V398))</f>
        <v>#VALUE!</v>
      </c>
      <c r="W398" t="e">
        <f ca="1">IF((A1)=(2),"",IF((394)=(W4),IF(IF((INDEX(B1:XFD1,((A3)+(1))+(0)))=("store"),(INDEX(B1:XFD1,((A3)+(1))+(1)))=("W"),"false"),B3,W398),W398))</f>
        <v>#VALUE!</v>
      </c>
      <c r="X398" t="e">
        <f ca="1">IF((A1)=(2),"",IF((394)=(X4),IF(IF((INDEX(B1:XFD1,((A3)+(1))+(0)))=("store"),(INDEX(B1:XFD1,((A3)+(1))+(1)))=("X"),"false"),B3,X398),X398))</f>
        <v>#VALUE!</v>
      </c>
      <c r="Y398" t="e">
        <f ca="1">IF((A1)=(2),"",IF((394)=(Y4),IF(IF((INDEX(B1:XFD1,((A3)+(1))+(0)))=("store"),(INDEX(B1:XFD1,((A3)+(1))+(1)))=("Y"),"false"),B3,Y398),Y398))</f>
        <v>#VALUE!</v>
      </c>
      <c r="Z398" t="e">
        <f ca="1">IF((A1)=(2),"",IF((394)=(Z4),IF(IF((INDEX(B1:XFD1,((A3)+(1))+(0)))=("store"),(INDEX(B1:XFD1,((A3)+(1))+(1)))=("Z"),"false"),B3,Z398),Z398))</f>
        <v>#VALUE!</v>
      </c>
      <c r="AA398" t="e">
        <f ca="1">IF((A1)=(2),"",IF((394)=(AA4),IF(IF((INDEX(B1:XFD1,((A3)+(1))+(0)))=("store"),(INDEX(B1:XFD1,((A3)+(1))+(1)))=("AA"),"false"),B3,AA398),AA398))</f>
        <v>#VALUE!</v>
      </c>
      <c r="AB398" t="e">
        <f ca="1">IF((A1)=(2),"",IF((394)=(AB4),IF(IF((INDEX(B1:XFD1,((A3)+(1))+(0)))=("store"),(INDEX(B1:XFD1,((A3)+(1))+(1)))=("AB"),"false"),B3,AB398),AB398))</f>
        <v>#VALUE!</v>
      </c>
      <c r="AC398" t="e">
        <f ca="1">IF((A1)=(2),"",IF((394)=(AC4),IF(IF((INDEX(B1:XFD1,((A3)+(1))+(0)))=("store"),(INDEX(B1:XFD1,((A3)+(1))+(1)))=("AC"),"false"),B3,AC398),AC398))</f>
        <v>#VALUE!</v>
      </c>
      <c r="AD398" t="e">
        <f ca="1">IF((A1)=(2),"",IF((394)=(AD4),IF(IF((INDEX(B1:XFD1,((A3)+(1))+(0)))=("store"),(INDEX(B1:XFD1,((A3)+(1))+(1)))=("AD"),"false"),B3,AD398),AD398))</f>
        <v>#VALUE!</v>
      </c>
    </row>
    <row r="399" spans="1:30" x14ac:dyDescent="0.25">
      <c r="A399" t="e">
        <f ca="1">IF((A1)=(2),"",IF((395)=(A4),IF(("call")=(INDEX(B1:XFD1,((A3)+(1))+(0))),(B3)*(2),IF(("goto")=(INDEX(B1:XFD1,((A3)+(1))+(0))),(INDEX(B1:XFD1,((A3)+(1))+(1)))*(2),IF(("gotoiftrue")=(INDEX(B1:XFD1,((A3)+(1))+(0))),IF(B3,(INDEX(B1:XFD1,((A3)+(1))+(1)))*(2),(A399)+(2)),(A399)+(2)))),A399))</f>
        <v>#VALUE!</v>
      </c>
      <c r="B399" t="e">
        <f ca="1">IF((A1)=(2),"",IF((395)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399)+(1)),IF(("add")=(INDEX(B1:XFD1,((A3)+(1))+(0))),(INDEX(B5:B405,(B4)+(1)))+(B399),IF(("equals")=(INDEX(B1:XFD1,((A3)+(1))+(0))),(INDEX(B5:B405,(B4)+(1)))=(B399),IF(("leq")=(INDEX(B1:XFD1,((A3)+(1))+(0))),(INDEX(B5:B405,(B4)+(1)))&lt;=(B399),IF(("greater")=(INDEX(B1:XFD1,((A3)+(1))+(0))),(INDEX(B5:B405,(B4)+(1)))&gt;(B399),IF(("mod")=(INDEX(B1:XFD1,((A3)+(1))+(0))),MOD(INDEX(B5:B405,(B4)+(1)),B399),B399))))))))),B399))</f>
        <v>#VALUE!</v>
      </c>
      <c r="C399" t="e">
        <f ca="1">IF((A1)=(2),1,IF(AND((INDEX(B1:XFD1,((A3)+(1))+(0)))=("writeheap"),(INDEX(B5:B405,(B4)+(1)))=(394)),INDEX(B5:B405,(B4)+(2)),IF((A1)=(2),"",IF((395)=(C4),C399,C399))))</f>
        <v>#VALUE!</v>
      </c>
      <c r="F399" t="e">
        <f ca="1">IF((A1)=(2),"",IF((395)=(F4),IF(IF((INDEX(B1:XFD1,((A3)+(1))+(0)))=("store"),(INDEX(B1:XFD1,((A3)+(1))+(1)))=("F"),"false"),B3,F399),F399))</f>
        <v>#VALUE!</v>
      </c>
      <c r="G399" t="e">
        <f ca="1">IF((A1)=(2),"",IF((395)=(G4),IF(IF((INDEX(B1:XFD1,((A3)+(1))+(0)))=("store"),(INDEX(B1:XFD1,((A3)+(1))+(1)))=("G"),"false"),B3,G399),G399))</f>
        <v>#VALUE!</v>
      </c>
      <c r="H399" t="e">
        <f ca="1">IF((A1)=(2),"",IF((395)=(H4),IF(IF((INDEX(B1:XFD1,((A3)+(1))+(0)))=("store"),(INDEX(B1:XFD1,((A3)+(1))+(1)))=("H"),"false"),B3,H399),H399))</f>
        <v>#VALUE!</v>
      </c>
      <c r="I399" t="e">
        <f ca="1">IF((A1)=(2),"",IF((395)=(I4),IF(IF((INDEX(B1:XFD1,((A3)+(1))+(0)))=("store"),(INDEX(B1:XFD1,((A3)+(1))+(1)))=("I"),"false"),B3,I399),I399))</f>
        <v>#VALUE!</v>
      </c>
      <c r="J399" t="e">
        <f ca="1">IF((A1)=(2),"",IF((395)=(J4),IF(IF((INDEX(B1:XFD1,((A3)+(1))+(0)))=("store"),(INDEX(B1:XFD1,((A3)+(1))+(1)))=("J"),"false"),B3,J399),J399))</f>
        <v>#VALUE!</v>
      </c>
      <c r="K399" t="e">
        <f ca="1">IF((A1)=(2),"",IF((395)=(K4),IF(IF((INDEX(B1:XFD1,((A3)+(1))+(0)))=("store"),(INDEX(B1:XFD1,((A3)+(1))+(1)))=("K"),"false"),B3,K399),K399))</f>
        <v>#VALUE!</v>
      </c>
      <c r="L399" t="e">
        <f ca="1">IF((A1)=(2),"",IF((395)=(L4),IF(IF((INDEX(B1:XFD1,((A3)+(1))+(0)))=("store"),(INDEX(B1:XFD1,((A3)+(1))+(1)))=("L"),"false"),B3,L399),L399))</f>
        <v>#VALUE!</v>
      </c>
      <c r="M399" t="e">
        <f ca="1">IF((A1)=(2),"",IF((395)=(M4),IF(IF((INDEX(B1:XFD1,((A3)+(1))+(0)))=("store"),(INDEX(B1:XFD1,((A3)+(1))+(1)))=("M"),"false"),B3,M399),M399))</f>
        <v>#VALUE!</v>
      </c>
      <c r="N399" t="e">
        <f ca="1">IF((A1)=(2),"",IF((395)=(N4),IF(IF((INDEX(B1:XFD1,((A3)+(1))+(0)))=("store"),(INDEX(B1:XFD1,((A3)+(1))+(1)))=("N"),"false"),B3,N399),N399))</f>
        <v>#VALUE!</v>
      </c>
      <c r="O399" t="e">
        <f ca="1">IF((A1)=(2),"",IF((395)=(O4),IF(IF((INDEX(B1:XFD1,((A3)+(1))+(0)))=("store"),(INDEX(B1:XFD1,((A3)+(1))+(1)))=("O"),"false"),B3,O399),O399))</f>
        <v>#VALUE!</v>
      </c>
      <c r="P399" t="e">
        <f ca="1">IF((A1)=(2),"",IF((395)=(P4),IF(IF((INDEX(B1:XFD1,((A3)+(1))+(0)))=("store"),(INDEX(B1:XFD1,((A3)+(1))+(1)))=("P"),"false"),B3,P399),P399))</f>
        <v>#VALUE!</v>
      </c>
      <c r="Q399" t="e">
        <f ca="1">IF((A1)=(2),"",IF((395)=(Q4),IF(IF((INDEX(B1:XFD1,((A3)+(1))+(0)))=("store"),(INDEX(B1:XFD1,((A3)+(1))+(1)))=("Q"),"false"),B3,Q399),Q399))</f>
        <v>#VALUE!</v>
      </c>
      <c r="R399" t="e">
        <f ca="1">IF((A1)=(2),"",IF((395)=(R4),IF(IF((INDEX(B1:XFD1,((A3)+(1))+(0)))=("store"),(INDEX(B1:XFD1,((A3)+(1))+(1)))=("R"),"false"),B3,R399),R399))</f>
        <v>#VALUE!</v>
      </c>
      <c r="S399" t="e">
        <f ca="1">IF((A1)=(2),"",IF((395)=(S4),IF(IF((INDEX(B1:XFD1,((A3)+(1))+(0)))=("store"),(INDEX(B1:XFD1,((A3)+(1))+(1)))=("S"),"false"),B3,S399),S399))</f>
        <v>#VALUE!</v>
      </c>
      <c r="T399" t="e">
        <f ca="1">IF((A1)=(2),"",IF((395)=(T4),IF(IF((INDEX(B1:XFD1,((A3)+(1))+(0)))=("store"),(INDEX(B1:XFD1,((A3)+(1))+(1)))=("T"),"false"),B3,T399),T399))</f>
        <v>#VALUE!</v>
      </c>
      <c r="U399" t="e">
        <f ca="1">IF((A1)=(2),"",IF((395)=(U4),IF(IF((INDEX(B1:XFD1,((A3)+(1))+(0)))=("store"),(INDEX(B1:XFD1,((A3)+(1))+(1)))=("U"),"false"),B3,U399),U399))</f>
        <v>#VALUE!</v>
      </c>
      <c r="V399" t="e">
        <f ca="1">IF((A1)=(2),"",IF((395)=(V4),IF(IF((INDEX(B1:XFD1,((A3)+(1))+(0)))=("store"),(INDEX(B1:XFD1,((A3)+(1))+(1)))=("V"),"false"),B3,V399),V399))</f>
        <v>#VALUE!</v>
      </c>
      <c r="W399" t="e">
        <f ca="1">IF((A1)=(2),"",IF((395)=(W4),IF(IF((INDEX(B1:XFD1,((A3)+(1))+(0)))=("store"),(INDEX(B1:XFD1,((A3)+(1))+(1)))=("W"),"false"),B3,W399),W399))</f>
        <v>#VALUE!</v>
      </c>
      <c r="X399" t="e">
        <f ca="1">IF((A1)=(2),"",IF((395)=(X4),IF(IF((INDEX(B1:XFD1,((A3)+(1))+(0)))=("store"),(INDEX(B1:XFD1,((A3)+(1))+(1)))=("X"),"false"),B3,X399),X399))</f>
        <v>#VALUE!</v>
      </c>
      <c r="Y399" t="e">
        <f ca="1">IF((A1)=(2),"",IF((395)=(Y4),IF(IF((INDEX(B1:XFD1,((A3)+(1))+(0)))=("store"),(INDEX(B1:XFD1,((A3)+(1))+(1)))=("Y"),"false"),B3,Y399),Y399))</f>
        <v>#VALUE!</v>
      </c>
      <c r="Z399" t="e">
        <f ca="1">IF((A1)=(2),"",IF((395)=(Z4),IF(IF((INDEX(B1:XFD1,((A3)+(1))+(0)))=("store"),(INDEX(B1:XFD1,((A3)+(1))+(1)))=("Z"),"false"),B3,Z399),Z399))</f>
        <v>#VALUE!</v>
      </c>
      <c r="AA399" t="e">
        <f ca="1">IF((A1)=(2),"",IF((395)=(AA4),IF(IF((INDEX(B1:XFD1,((A3)+(1))+(0)))=("store"),(INDEX(B1:XFD1,((A3)+(1))+(1)))=("AA"),"false"),B3,AA399),AA399))</f>
        <v>#VALUE!</v>
      </c>
      <c r="AB399" t="e">
        <f ca="1">IF((A1)=(2),"",IF((395)=(AB4),IF(IF((INDEX(B1:XFD1,((A3)+(1))+(0)))=("store"),(INDEX(B1:XFD1,((A3)+(1))+(1)))=("AB"),"false"),B3,AB399),AB399))</f>
        <v>#VALUE!</v>
      </c>
      <c r="AC399" t="e">
        <f ca="1">IF((A1)=(2),"",IF((395)=(AC4),IF(IF((INDEX(B1:XFD1,((A3)+(1))+(0)))=("store"),(INDEX(B1:XFD1,((A3)+(1))+(1)))=("AC"),"false"),B3,AC399),AC399))</f>
        <v>#VALUE!</v>
      </c>
      <c r="AD399" t="e">
        <f ca="1">IF((A1)=(2),"",IF((395)=(AD4),IF(IF((INDEX(B1:XFD1,((A3)+(1))+(0)))=("store"),(INDEX(B1:XFD1,((A3)+(1))+(1)))=("AD"),"false"),B3,AD399),AD399))</f>
        <v>#VALUE!</v>
      </c>
    </row>
    <row r="400" spans="1:30" x14ac:dyDescent="0.25">
      <c r="A400" t="e">
        <f ca="1">IF((A1)=(2),"",IF((396)=(A4),IF(("call")=(INDEX(B1:XFD1,((A3)+(1))+(0))),(B3)*(2),IF(("goto")=(INDEX(B1:XFD1,((A3)+(1))+(0))),(INDEX(B1:XFD1,((A3)+(1))+(1)))*(2),IF(("gotoiftrue")=(INDEX(B1:XFD1,((A3)+(1))+(0))),IF(B3,(INDEX(B1:XFD1,((A3)+(1))+(1)))*(2),(A400)+(2)),(A400)+(2)))),A400))</f>
        <v>#VALUE!</v>
      </c>
      <c r="B400" t="e">
        <f ca="1">IF((A1)=(2),"",IF((396)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400)+(1)),IF(("add")=(INDEX(B1:XFD1,((A3)+(1))+(0))),(INDEX(B5:B405,(B4)+(1)))+(B400),IF(("equals")=(INDEX(B1:XFD1,((A3)+(1))+(0))),(INDEX(B5:B405,(B4)+(1)))=(B400),IF(("leq")=(INDEX(B1:XFD1,((A3)+(1))+(0))),(INDEX(B5:B405,(B4)+(1)))&lt;=(B400),IF(("greater")=(INDEX(B1:XFD1,((A3)+(1))+(0))),(INDEX(B5:B405,(B4)+(1)))&gt;(B400),IF(("mod")=(INDEX(B1:XFD1,((A3)+(1))+(0))),MOD(INDEX(B5:B405,(B4)+(1)),B400),B400))))))))),B400))</f>
        <v>#VALUE!</v>
      </c>
      <c r="C400" t="e">
        <f ca="1">IF((A1)=(2),1,IF(AND((INDEX(B1:XFD1,((A3)+(1))+(0)))=("writeheap"),(INDEX(B5:B405,(B4)+(1)))=(395)),INDEX(B5:B405,(B4)+(2)),IF((A1)=(2),"",IF((396)=(C4),C400,C400))))</f>
        <v>#VALUE!</v>
      </c>
      <c r="F400" t="e">
        <f ca="1">IF((A1)=(2),"",IF((396)=(F4),IF(IF((INDEX(B1:XFD1,((A3)+(1))+(0)))=("store"),(INDEX(B1:XFD1,((A3)+(1))+(1)))=("F"),"false"),B3,F400),F400))</f>
        <v>#VALUE!</v>
      </c>
      <c r="G400" t="e">
        <f ca="1">IF((A1)=(2),"",IF((396)=(G4),IF(IF((INDEX(B1:XFD1,((A3)+(1))+(0)))=("store"),(INDEX(B1:XFD1,((A3)+(1))+(1)))=("G"),"false"),B3,G400),G400))</f>
        <v>#VALUE!</v>
      </c>
      <c r="H400" t="e">
        <f ca="1">IF((A1)=(2),"",IF((396)=(H4),IF(IF((INDEX(B1:XFD1,((A3)+(1))+(0)))=("store"),(INDEX(B1:XFD1,((A3)+(1))+(1)))=("H"),"false"),B3,H400),H400))</f>
        <v>#VALUE!</v>
      </c>
      <c r="I400" t="e">
        <f ca="1">IF((A1)=(2),"",IF((396)=(I4),IF(IF((INDEX(B1:XFD1,((A3)+(1))+(0)))=("store"),(INDEX(B1:XFD1,((A3)+(1))+(1)))=("I"),"false"),B3,I400),I400))</f>
        <v>#VALUE!</v>
      </c>
      <c r="J400" t="e">
        <f ca="1">IF((A1)=(2),"",IF((396)=(J4),IF(IF((INDEX(B1:XFD1,((A3)+(1))+(0)))=("store"),(INDEX(B1:XFD1,((A3)+(1))+(1)))=("J"),"false"),B3,J400),J400))</f>
        <v>#VALUE!</v>
      </c>
      <c r="K400" t="e">
        <f ca="1">IF((A1)=(2),"",IF((396)=(K4),IF(IF((INDEX(B1:XFD1,((A3)+(1))+(0)))=("store"),(INDEX(B1:XFD1,((A3)+(1))+(1)))=("K"),"false"),B3,K400),K400))</f>
        <v>#VALUE!</v>
      </c>
      <c r="L400" t="e">
        <f ca="1">IF((A1)=(2),"",IF((396)=(L4),IF(IF((INDEX(B1:XFD1,((A3)+(1))+(0)))=("store"),(INDEX(B1:XFD1,((A3)+(1))+(1)))=("L"),"false"),B3,L400),L400))</f>
        <v>#VALUE!</v>
      </c>
      <c r="M400" t="e">
        <f ca="1">IF((A1)=(2),"",IF((396)=(M4),IF(IF((INDEX(B1:XFD1,((A3)+(1))+(0)))=("store"),(INDEX(B1:XFD1,((A3)+(1))+(1)))=("M"),"false"),B3,M400),M400))</f>
        <v>#VALUE!</v>
      </c>
      <c r="N400" t="e">
        <f ca="1">IF((A1)=(2),"",IF((396)=(N4),IF(IF((INDEX(B1:XFD1,((A3)+(1))+(0)))=("store"),(INDEX(B1:XFD1,((A3)+(1))+(1)))=("N"),"false"),B3,N400),N400))</f>
        <v>#VALUE!</v>
      </c>
      <c r="O400" t="e">
        <f ca="1">IF((A1)=(2),"",IF((396)=(O4),IF(IF((INDEX(B1:XFD1,((A3)+(1))+(0)))=("store"),(INDEX(B1:XFD1,((A3)+(1))+(1)))=("O"),"false"),B3,O400),O400))</f>
        <v>#VALUE!</v>
      </c>
      <c r="P400" t="e">
        <f ca="1">IF((A1)=(2),"",IF((396)=(P4),IF(IF((INDEX(B1:XFD1,((A3)+(1))+(0)))=("store"),(INDEX(B1:XFD1,((A3)+(1))+(1)))=("P"),"false"),B3,P400),P400))</f>
        <v>#VALUE!</v>
      </c>
      <c r="Q400" t="e">
        <f ca="1">IF((A1)=(2),"",IF((396)=(Q4),IF(IF((INDEX(B1:XFD1,((A3)+(1))+(0)))=("store"),(INDEX(B1:XFD1,((A3)+(1))+(1)))=("Q"),"false"),B3,Q400),Q400))</f>
        <v>#VALUE!</v>
      </c>
      <c r="R400" t="e">
        <f ca="1">IF((A1)=(2),"",IF((396)=(R4),IF(IF((INDEX(B1:XFD1,((A3)+(1))+(0)))=("store"),(INDEX(B1:XFD1,((A3)+(1))+(1)))=("R"),"false"),B3,R400),R400))</f>
        <v>#VALUE!</v>
      </c>
      <c r="S400" t="e">
        <f ca="1">IF((A1)=(2),"",IF((396)=(S4),IF(IF((INDEX(B1:XFD1,((A3)+(1))+(0)))=("store"),(INDEX(B1:XFD1,((A3)+(1))+(1)))=("S"),"false"),B3,S400),S400))</f>
        <v>#VALUE!</v>
      </c>
      <c r="T400" t="e">
        <f ca="1">IF((A1)=(2),"",IF((396)=(T4),IF(IF((INDEX(B1:XFD1,((A3)+(1))+(0)))=("store"),(INDEX(B1:XFD1,((A3)+(1))+(1)))=("T"),"false"),B3,T400),T400))</f>
        <v>#VALUE!</v>
      </c>
      <c r="U400" t="e">
        <f ca="1">IF((A1)=(2),"",IF((396)=(U4),IF(IF((INDEX(B1:XFD1,((A3)+(1))+(0)))=("store"),(INDEX(B1:XFD1,((A3)+(1))+(1)))=("U"),"false"),B3,U400),U400))</f>
        <v>#VALUE!</v>
      </c>
      <c r="V400" t="e">
        <f ca="1">IF((A1)=(2),"",IF((396)=(V4),IF(IF((INDEX(B1:XFD1,((A3)+(1))+(0)))=("store"),(INDEX(B1:XFD1,((A3)+(1))+(1)))=("V"),"false"),B3,V400),V400))</f>
        <v>#VALUE!</v>
      </c>
      <c r="W400" t="e">
        <f ca="1">IF((A1)=(2),"",IF((396)=(W4),IF(IF((INDEX(B1:XFD1,((A3)+(1))+(0)))=("store"),(INDEX(B1:XFD1,((A3)+(1))+(1)))=("W"),"false"),B3,W400),W400))</f>
        <v>#VALUE!</v>
      </c>
      <c r="X400" t="e">
        <f ca="1">IF((A1)=(2),"",IF((396)=(X4),IF(IF((INDEX(B1:XFD1,((A3)+(1))+(0)))=("store"),(INDEX(B1:XFD1,((A3)+(1))+(1)))=("X"),"false"),B3,X400),X400))</f>
        <v>#VALUE!</v>
      </c>
      <c r="Y400" t="e">
        <f ca="1">IF((A1)=(2),"",IF((396)=(Y4),IF(IF((INDEX(B1:XFD1,((A3)+(1))+(0)))=("store"),(INDEX(B1:XFD1,((A3)+(1))+(1)))=("Y"),"false"),B3,Y400),Y400))</f>
        <v>#VALUE!</v>
      </c>
      <c r="Z400" t="e">
        <f ca="1">IF((A1)=(2),"",IF((396)=(Z4),IF(IF((INDEX(B1:XFD1,((A3)+(1))+(0)))=("store"),(INDEX(B1:XFD1,((A3)+(1))+(1)))=("Z"),"false"),B3,Z400),Z400))</f>
        <v>#VALUE!</v>
      </c>
      <c r="AA400" t="e">
        <f ca="1">IF((A1)=(2),"",IF((396)=(AA4),IF(IF((INDEX(B1:XFD1,((A3)+(1))+(0)))=("store"),(INDEX(B1:XFD1,((A3)+(1))+(1)))=("AA"),"false"),B3,AA400),AA400))</f>
        <v>#VALUE!</v>
      </c>
      <c r="AB400" t="e">
        <f ca="1">IF((A1)=(2),"",IF((396)=(AB4),IF(IF((INDEX(B1:XFD1,((A3)+(1))+(0)))=("store"),(INDEX(B1:XFD1,((A3)+(1))+(1)))=("AB"),"false"),B3,AB400),AB400))</f>
        <v>#VALUE!</v>
      </c>
      <c r="AC400" t="e">
        <f ca="1">IF((A1)=(2),"",IF((396)=(AC4),IF(IF((INDEX(B1:XFD1,((A3)+(1))+(0)))=("store"),(INDEX(B1:XFD1,((A3)+(1))+(1)))=("AC"),"false"),B3,AC400),AC400))</f>
        <v>#VALUE!</v>
      </c>
      <c r="AD400" t="e">
        <f ca="1">IF((A1)=(2),"",IF((396)=(AD4),IF(IF((INDEX(B1:XFD1,((A3)+(1))+(0)))=("store"),(INDEX(B1:XFD1,((A3)+(1))+(1)))=("AD"),"false"),B3,AD400),AD400))</f>
        <v>#VALUE!</v>
      </c>
    </row>
    <row r="401" spans="1:30" x14ac:dyDescent="0.25">
      <c r="A401" t="e">
        <f ca="1">IF((A1)=(2),"",IF((397)=(A4),IF(("call")=(INDEX(B1:XFD1,((A3)+(1))+(0))),(B3)*(2),IF(("goto")=(INDEX(B1:XFD1,((A3)+(1))+(0))),(INDEX(B1:XFD1,((A3)+(1))+(1)))*(2),IF(("gotoiftrue")=(INDEX(B1:XFD1,((A3)+(1))+(0))),IF(B3,(INDEX(B1:XFD1,((A3)+(1))+(1)))*(2),(A401)+(2)),(A401)+(2)))),A401))</f>
        <v>#VALUE!</v>
      </c>
      <c r="B401" t="e">
        <f ca="1">IF((A1)=(2),"",IF((397)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401)+(1)),IF(("add")=(INDEX(B1:XFD1,((A3)+(1))+(0))),(INDEX(B5:B405,(B4)+(1)))+(B401),IF(("equals")=(INDEX(B1:XFD1,((A3)+(1))+(0))),(INDEX(B5:B405,(B4)+(1)))=(B401),IF(("leq")=(INDEX(B1:XFD1,((A3)+(1))+(0))),(INDEX(B5:B405,(B4)+(1)))&lt;=(B401),IF(("greater")=(INDEX(B1:XFD1,((A3)+(1))+(0))),(INDEX(B5:B405,(B4)+(1)))&gt;(B401),IF(("mod")=(INDEX(B1:XFD1,((A3)+(1))+(0))),MOD(INDEX(B5:B405,(B4)+(1)),B401),B401))))))))),B401))</f>
        <v>#VALUE!</v>
      </c>
      <c r="C401" t="e">
        <f ca="1">IF((A1)=(2),1,IF(AND((INDEX(B1:XFD1,((A3)+(1))+(0)))=("writeheap"),(INDEX(B5:B405,(B4)+(1)))=(396)),INDEX(B5:B405,(B4)+(2)),IF((A1)=(2),"",IF((397)=(C4),C401,C401))))</f>
        <v>#VALUE!</v>
      </c>
      <c r="F401" t="e">
        <f ca="1">IF((A1)=(2),"",IF((397)=(F4),IF(IF((INDEX(B1:XFD1,((A3)+(1))+(0)))=("store"),(INDEX(B1:XFD1,((A3)+(1))+(1)))=("F"),"false"),B3,F401),F401))</f>
        <v>#VALUE!</v>
      </c>
      <c r="G401" t="e">
        <f ca="1">IF((A1)=(2),"",IF((397)=(G4),IF(IF((INDEX(B1:XFD1,((A3)+(1))+(0)))=("store"),(INDEX(B1:XFD1,((A3)+(1))+(1)))=("G"),"false"),B3,G401),G401))</f>
        <v>#VALUE!</v>
      </c>
      <c r="H401" t="e">
        <f ca="1">IF((A1)=(2),"",IF((397)=(H4),IF(IF((INDEX(B1:XFD1,((A3)+(1))+(0)))=("store"),(INDEX(B1:XFD1,((A3)+(1))+(1)))=("H"),"false"),B3,H401),H401))</f>
        <v>#VALUE!</v>
      </c>
      <c r="I401" t="e">
        <f ca="1">IF((A1)=(2),"",IF((397)=(I4),IF(IF((INDEX(B1:XFD1,((A3)+(1))+(0)))=("store"),(INDEX(B1:XFD1,((A3)+(1))+(1)))=("I"),"false"),B3,I401),I401))</f>
        <v>#VALUE!</v>
      </c>
      <c r="J401" t="e">
        <f ca="1">IF((A1)=(2),"",IF((397)=(J4),IF(IF((INDEX(B1:XFD1,((A3)+(1))+(0)))=("store"),(INDEX(B1:XFD1,((A3)+(1))+(1)))=("J"),"false"),B3,J401),J401))</f>
        <v>#VALUE!</v>
      </c>
      <c r="K401" t="e">
        <f ca="1">IF((A1)=(2),"",IF((397)=(K4),IF(IF((INDEX(B1:XFD1,((A3)+(1))+(0)))=("store"),(INDEX(B1:XFD1,((A3)+(1))+(1)))=("K"),"false"),B3,K401),K401))</f>
        <v>#VALUE!</v>
      </c>
      <c r="L401" t="e">
        <f ca="1">IF((A1)=(2),"",IF((397)=(L4),IF(IF((INDEX(B1:XFD1,((A3)+(1))+(0)))=("store"),(INDEX(B1:XFD1,((A3)+(1))+(1)))=("L"),"false"),B3,L401),L401))</f>
        <v>#VALUE!</v>
      </c>
      <c r="M401" t="e">
        <f ca="1">IF((A1)=(2),"",IF((397)=(M4),IF(IF((INDEX(B1:XFD1,((A3)+(1))+(0)))=("store"),(INDEX(B1:XFD1,((A3)+(1))+(1)))=("M"),"false"),B3,M401),M401))</f>
        <v>#VALUE!</v>
      </c>
      <c r="N401" t="e">
        <f ca="1">IF((A1)=(2),"",IF((397)=(N4),IF(IF((INDEX(B1:XFD1,((A3)+(1))+(0)))=("store"),(INDEX(B1:XFD1,((A3)+(1))+(1)))=("N"),"false"),B3,N401),N401))</f>
        <v>#VALUE!</v>
      </c>
      <c r="O401" t="e">
        <f ca="1">IF((A1)=(2),"",IF((397)=(O4),IF(IF((INDEX(B1:XFD1,((A3)+(1))+(0)))=("store"),(INDEX(B1:XFD1,((A3)+(1))+(1)))=("O"),"false"),B3,O401),O401))</f>
        <v>#VALUE!</v>
      </c>
      <c r="P401" t="e">
        <f ca="1">IF((A1)=(2),"",IF((397)=(P4),IF(IF((INDEX(B1:XFD1,((A3)+(1))+(0)))=("store"),(INDEX(B1:XFD1,((A3)+(1))+(1)))=("P"),"false"),B3,P401),P401))</f>
        <v>#VALUE!</v>
      </c>
      <c r="Q401" t="e">
        <f ca="1">IF((A1)=(2),"",IF((397)=(Q4),IF(IF((INDEX(B1:XFD1,((A3)+(1))+(0)))=("store"),(INDEX(B1:XFD1,((A3)+(1))+(1)))=("Q"),"false"),B3,Q401),Q401))</f>
        <v>#VALUE!</v>
      </c>
      <c r="R401" t="e">
        <f ca="1">IF((A1)=(2),"",IF((397)=(R4),IF(IF((INDEX(B1:XFD1,((A3)+(1))+(0)))=("store"),(INDEX(B1:XFD1,((A3)+(1))+(1)))=("R"),"false"),B3,R401),R401))</f>
        <v>#VALUE!</v>
      </c>
      <c r="S401" t="e">
        <f ca="1">IF((A1)=(2),"",IF((397)=(S4),IF(IF((INDEX(B1:XFD1,((A3)+(1))+(0)))=("store"),(INDEX(B1:XFD1,((A3)+(1))+(1)))=("S"),"false"),B3,S401),S401))</f>
        <v>#VALUE!</v>
      </c>
      <c r="T401" t="e">
        <f ca="1">IF((A1)=(2),"",IF((397)=(T4),IF(IF((INDEX(B1:XFD1,((A3)+(1))+(0)))=("store"),(INDEX(B1:XFD1,((A3)+(1))+(1)))=("T"),"false"),B3,T401),T401))</f>
        <v>#VALUE!</v>
      </c>
      <c r="U401" t="e">
        <f ca="1">IF((A1)=(2),"",IF((397)=(U4),IF(IF((INDEX(B1:XFD1,((A3)+(1))+(0)))=("store"),(INDEX(B1:XFD1,((A3)+(1))+(1)))=("U"),"false"),B3,U401),U401))</f>
        <v>#VALUE!</v>
      </c>
      <c r="V401" t="e">
        <f ca="1">IF((A1)=(2),"",IF((397)=(V4),IF(IF((INDEX(B1:XFD1,((A3)+(1))+(0)))=("store"),(INDEX(B1:XFD1,((A3)+(1))+(1)))=("V"),"false"),B3,V401),V401))</f>
        <v>#VALUE!</v>
      </c>
      <c r="W401" t="e">
        <f ca="1">IF((A1)=(2),"",IF((397)=(W4),IF(IF((INDEX(B1:XFD1,((A3)+(1))+(0)))=("store"),(INDEX(B1:XFD1,((A3)+(1))+(1)))=("W"),"false"),B3,W401),W401))</f>
        <v>#VALUE!</v>
      </c>
      <c r="X401" t="e">
        <f ca="1">IF((A1)=(2),"",IF((397)=(X4),IF(IF((INDEX(B1:XFD1,((A3)+(1))+(0)))=("store"),(INDEX(B1:XFD1,((A3)+(1))+(1)))=("X"),"false"),B3,X401),X401))</f>
        <v>#VALUE!</v>
      </c>
      <c r="Y401" t="e">
        <f ca="1">IF((A1)=(2),"",IF((397)=(Y4),IF(IF((INDEX(B1:XFD1,((A3)+(1))+(0)))=("store"),(INDEX(B1:XFD1,((A3)+(1))+(1)))=("Y"),"false"),B3,Y401),Y401))</f>
        <v>#VALUE!</v>
      </c>
      <c r="Z401" t="e">
        <f ca="1">IF((A1)=(2),"",IF((397)=(Z4),IF(IF((INDEX(B1:XFD1,((A3)+(1))+(0)))=("store"),(INDEX(B1:XFD1,((A3)+(1))+(1)))=("Z"),"false"),B3,Z401),Z401))</f>
        <v>#VALUE!</v>
      </c>
      <c r="AA401" t="e">
        <f ca="1">IF((A1)=(2),"",IF((397)=(AA4),IF(IF((INDEX(B1:XFD1,((A3)+(1))+(0)))=("store"),(INDEX(B1:XFD1,((A3)+(1))+(1)))=("AA"),"false"),B3,AA401),AA401))</f>
        <v>#VALUE!</v>
      </c>
      <c r="AB401" t="e">
        <f ca="1">IF((A1)=(2),"",IF((397)=(AB4),IF(IF((INDEX(B1:XFD1,((A3)+(1))+(0)))=("store"),(INDEX(B1:XFD1,((A3)+(1))+(1)))=("AB"),"false"),B3,AB401),AB401))</f>
        <v>#VALUE!</v>
      </c>
      <c r="AC401" t="e">
        <f ca="1">IF((A1)=(2),"",IF((397)=(AC4),IF(IF((INDEX(B1:XFD1,((A3)+(1))+(0)))=("store"),(INDEX(B1:XFD1,((A3)+(1))+(1)))=("AC"),"false"),B3,AC401),AC401))</f>
        <v>#VALUE!</v>
      </c>
      <c r="AD401" t="e">
        <f ca="1">IF((A1)=(2),"",IF((397)=(AD4),IF(IF((INDEX(B1:XFD1,((A3)+(1))+(0)))=("store"),(INDEX(B1:XFD1,((A3)+(1))+(1)))=("AD"),"false"),B3,AD401),AD401))</f>
        <v>#VALUE!</v>
      </c>
    </row>
    <row r="402" spans="1:30" x14ac:dyDescent="0.25">
      <c r="A402" t="e">
        <f ca="1">IF((A1)=(2),"",IF((398)=(A4),IF(("call")=(INDEX(B1:XFD1,((A3)+(1))+(0))),(B3)*(2),IF(("goto")=(INDEX(B1:XFD1,((A3)+(1))+(0))),(INDEX(B1:XFD1,((A3)+(1))+(1)))*(2),IF(("gotoiftrue")=(INDEX(B1:XFD1,((A3)+(1))+(0))),IF(B3,(INDEX(B1:XFD1,((A3)+(1))+(1)))*(2),(A402)+(2)),(A402)+(2)))),A402))</f>
        <v>#VALUE!</v>
      </c>
      <c r="B402" t="e">
        <f ca="1">IF((A1)=(2),"",IF((398)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402)+(1)),IF(("add")=(INDEX(B1:XFD1,((A3)+(1))+(0))),(INDEX(B5:B405,(B4)+(1)))+(B402),IF(("equals")=(INDEX(B1:XFD1,((A3)+(1))+(0))),(INDEX(B5:B405,(B4)+(1)))=(B402),IF(("leq")=(INDEX(B1:XFD1,((A3)+(1))+(0))),(INDEX(B5:B405,(B4)+(1)))&lt;=(B402),IF(("greater")=(INDEX(B1:XFD1,((A3)+(1))+(0))),(INDEX(B5:B405,(B4)+(1)))&gt;(B402),IF(("mod")=(INDEX(B1:XFD1,((A3)+(1))+(0))),MOD(INDEX(B5:B405,(B4)+(1)),B402),B402))))))))),B402))</f>
        <v>#VALUE!</v>
      </c>
      <c r="C402" t="e">
        <f ca="1">IF((A1)=(2),1,IF(AND((INDEX(B1:XFD1,((A3)+(1))+(0)))=("writeheap"),(INDEX(B5:B405,(B4)+(1)))=(397)),INDEX(B5:B405,(B4)+(2)),IF((A1)=(2),"",IF((398)=(C4),C402,C402))))</f>
        <v>#VALUE!</v>
      </c>
      <c r="F402" t="e">
        <f ca="1">IF((A1)=(2),"",IF((398)=(F4),IF(IF((INDEX(B1:XFD1,((A3)+(1))+(0)))=("store"),(INDEX(B1:XFD1,((A3)+(1))+(1)))=("F"),"false"),B3,F402),F402))</f>
        <v>#VALUE!</v>
      </c>
      <c r="G402" t="e">
        <f ca="1">IF((A1)=(2),"",IF((398)=(G4),IF(IF((INDEX(B1:XFD1,((A3)+(1))+(0)))=("store"),(INDEX(B1:XFD1,((A3)+(1))+(1)))=("G"),"false"),B3,G402),G402))</f>
        <v>#VALUE!</v>
      </c>
      <c r="H402" t="e">
        <f ca="1">IF((A1)=(2),"",IF((398)=(H4),IF(IF((INDEX(B1:XFD1,((A3)+(1))+(0)))=("store"),(INDEX(B1:XFD1,((A3)+(1))+(1)))=("H"),"false"),B3,H402),H402))</f>
        <v>#VALUE!</v>
      </c>
      <c r="I402" t="e">
        <f ca="1">IF((A1)=(2),"",IF((398)=(I4),IF(IF((INDEX(B1:XFD1,((A3)+(1))+(0)))=("store"),(INDEX(B1:XFD1,((A3)+(1))+(1)))=("I"),"false"),B3,I402),I402))</f>
        <v>#VALUE!</v>
      </c>
      <c r="J402" t="e">
        <f ca="1">IF((A1)=(2),"",IF((398)=(J4),IF(IF((INDEX(B1:XFD1,((A3)+(1))+(0)))=("store"),(INDEX(B1:XFD1,((A3)+(1))+(1)))=("J"),"false"),B3,J402),J402))</f>
        <v>#VALUE!</v>
      </c>
      <c r="K402" t="e">
        <f ca="1">IF((A1)=(2),"",IF((398)=(K4),IF(IF((INDEX(B1:XFD1,((A3)+(1))+(0)))=("store"),(INDEX(B1:XFD1,((A3)+(1))+(1)))=("K"),"false"),B3,K402),K402))</f>
        <v>#VALUE!</v>
      </c>
      <c r="L402" t="e">
        <f ca="1">IF((A1)=(2),"",IF((398)=(L4),IF(IF((INDEX(B1:XFD1,((A3)+(1))+(0)))=("store"),(INDEX(B1:XFD1,((A3)+(1))+(1)))=("L"),"false"),B3,L402),L402))</f>
        <v>#VALUE!</v>
      </c>
      <c r="M402" t="e">
        <f ca="1">IF((A1)=(2),"",IF((398)=(M4),IF(IF((INDEX(B1:XFD1,((A3)+(1))+(0)))=("store"),(INDEX(B1:XFD1,((A3)+(1))+(1)))=("M"),"false"),B3,M402),M402))</f>
        <v>#VALUE!</v>
      </c>
      <c r="N402" t="e">
        <f ca="1">IF((A1)=(2),"",IF((398)=(N4),IF(IF((INDEX(B1:XFD1,((A3)+(1))+(0)))=("store"),(INDEX(B1:XFD1,((A3)+(1))+(1)))=("N"),"false"),B3,N402),N402))</f>
        <v>#VALUE!</v>
      </c>
      <c r="O402" t="e">
        <f ca="1">IF((A1)=(2),"",IF((398)=(O4),IF(IF((INDEX(B1:XFD1,((A3)+(1))+(0)))=("store"),(INDEX(B1:XFD1,((A3)+(1))+(1)))=("O"),"false"),B3,O402),O402))</f>
        <v>#VALUE!</v>
      </c>
      <c r="P402" t="e">
        <f ca="1">IF((A1)=(2),"",IF((398)=(P4),IF(IF((INDEX(B1:XFD1,((A3)+(1))+(0)))=("store"),(INDEX(B1:XFD1,((A3)+(1))+(1)))=("P"),"false"),B3,P402),P402))</f>
        <v>#VALUE!</v>
      </c>
      <c r="Q402" t="e">
        <f ca="1">IF((A1)=(2),"",IF((398)=(Q4),IF(IF((INDEX(B1:XFD1,((A3)+(1))+(0)))=("store"),(INDEX(B1:XFD1,((A3)+(1))+(1)))=("Q"),"false"),B3,Q402),Q402))</f>
        <v>#VALUE!</v>
      </c>
      <c r="R402" t="e">
        <f ca="1">IF((A1)=(2),"",IF((398)=(R4),IF(IF((INDEX(B1:XFD1,((A3)+(1))+(0)))=("store"),(INDEX(B1:XFD1,((A3)+(1))+(1)))=("R"),"false"),B3,R402),R402))</f>
        <v>#VALUE!</v>
      </c>
      <c r="S402" t="e">
        <f ca="1">IF((A1)=(2),"",IF((398)=(S4),IF(IF((INDEX(B1:XFD1,((A3)+(1))+(0)))=("store"),(INDEX(B1:XFD1,((A3)+(1))+(1)))=("S"),"false"),B3,S402),S402))</f>
        <v>#VALUE!</v>
      </c>
      <c r="T402" t="e">
        <f ca="1">IF((A1)=(2),"",IF((398)=(T4),IF(IF((INDEX(B1:XFD1,((A3)+(1))+(0)))=("store"),(INDEX(B1:XFD1,((A3)+(1))+(1)))=("T"),"false"),B3,T402),T402))</f>
        <v>#VALUE!</v>
      </c>
      <c r="U402" t="e">
        <f ca="1">IF((A1)=(2),"",IF((398)=(U4),IF(IF((INDEX(B1:XFD1,((A3)+(1))+(0)))=("store"),(INDEX(B1:XFD1,((A3)+(1))+(1)))=("U"),"false"),B3,U402),U402))</f>
        <v>#VALUE!</v>
      </c>
      <c r="V402" t="e">
        <f ca="1">IF((A1)=(2),"",IF((398)=(V4),IF(IF((INDEX(B1:XFD1,((A3)+(1))+(0)))=("store"),(INDEX(B1:XFD1,((A3)+(1))+(1)))=("V"),"false"),B3,V402),V402))</f>
        <v>#VALUE!</v>
      </c>
      <c r="W402" t="e">
        <f ca="1">IF((A1)=(2),"",IF((398)=(W4),IF(IF((INDEX(B1:XFD1,((A3)+(1))+(0)))=("store"),(INDEX(B1:XFD1,((A3)+(1))+(1)))=("W"),"false"),B3,W402),W402))</f>
        <v>#VALUE!</v>
      </c>
      <c r="X402" t="e">
        <f ca="1">IF((A1)=(2),"",IF((398)=(X4),IF(IF((INDEX(B1:XFD1,((A3)+(1))+(0)))=("store"),(INDEX(B1:XFD1,((A3)+(1))+(1)))=("X"),"false"),B3,X402),X402))</f>
        <v>#VALUE!</v>
      </c>
      <c r="Y402" t="e">
        <f ca="1">IF((A1)=(2),"",IF((398)=(Y4),IF(IF((INDEX(B1:XFD1,((A3)+(1))+(0)))=("store"),(INDEX(B1:XFD1,((A3)+(1))+(1)))=("Y"),"false"),B3,Y402),Y402))</f>
        <v>#VALUE!</v>
      </c>
      <c r="Z402" t="e">
        <f ca="1">IF((A1)=(2),"",IF((398)=(Z4),IF(IF((INDEX(B1:XFD1,((A3)+(1))+(0)))=("store"),(INDEX(B1:XFD1,((A3)+(1))+(1)))=("Z"),"false"),B3,Z402),Z402))</f>
        <v>#VALUE!</v>
      </c>
      <c r="AA402" t="e">
        <f ca="1">IF((A1)=(2),"",IF((398)=(AA4),IF(IF((INDEX(B1:XFD1,((A3)+(1))+(0)))=("store"),(INDEX(B1:XFD1,((A3)+(1))+(1)))=("AA"),"false"),B3,AA402),AA402))</f>
        <v>#VALUE!</v>
      </c>
      <c r="AB402" t="e">
        <f ca="1">IF((A1)=(2),"",IF((398)=(AB4),IF(IF((INDEX(B1:XFD1,((A3)+(1))+(0)))=("store"),(INDEX(B1:XFD1,((A3)+(1))+(1)))=("AB"),"false"),B3,AB402),AB402))</f>
        <v>#VALUE!</v>
      </c>
      <c r="AC402" t="e">
        <f ca="1">IF((A1)=(2),"",IF((398)=(AC4),IF(IF((INDEX(B1:XFD1,((A3)+(1))+(0)))=("store"),(INDEX(B1:XFD1,((A3)+(1))+(1)))=("AC"),"false"),B3,AC402),AC402))</f>
        <v>#VALUE!</v>
      </c>
      <c r="AD402" t="e">
        <f ca="1">IF((A1)=(2),"",IF((398)=(AD4),IF(IF((INDEX(B1:XFD1,((A3)+(1))+(0)))=("store"),(INDEX(B1:XFD1,((A3)+(1))+(1)))=("AD"),"false"),B3,AD402),AD402))</f>
        <v>#VALUE!</v>
      </c>
    </row>
    <row r="403" spans="1:30" x14ac:dyDescent="0.25">
      <c r="A403" t="e">
        <f ca="1">IF((A1)=(2),"",IF((399)=(A4),IF(("call")=(INDEX(B1:XFD1,((A3)+(1))+(0))),(B3)*(2),IF(("goto")=(INDEX(B1:XFD1,((A3)+(1))+(0))),(INDEX(B1:XFD1,((A3)+(1))+(1)))*(2),IF(("gotoiftrue")=(INDEX(B1:XFD1,((A3)+(1))+(0))),IF(B3,(INDEX(B1:XFD1,((A3)+(1))+(1)))*(2),(A403)+(2)),(A403)+(2)))),A403))</f>
        <v>#VALUE!</v>
      </c>
      <c r="B403" t="e">
        <f ca="1">IF((A1)=(2),"",IF((399)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403)+(1)),IF(("add")=(INDEX(B1:XFD1,((A3)+(1))+(0))),(INDEX(B5:B405,(B4)+(1)))+(B403),IF(("equals")=(INDEX(B1:XFD1,((A3)+(1))+(0))),(INDEX(B5:B405,(B4)+(1)))=(B403),IF(("leq")=(INDEX(B1:XFD1,((A3)+(1))+(0))),(INDEX(B5:B405,(B4)+(1)))&lt;=(B403),IF(("greater")=(INDEX(B1:XFD1,((A3)+(1))+(0))),(INDEX(B5:B405,(B4)+(1)))&gt;(B403),IF(("mod")=(INDEX(B1:XFD1,((A3)+(1))+(0))),MOD(INDEX(B5:B405,(B4)+(1)),B403),B403))))))))),B403))</f>
        <v>#VALUE!</v>
      </c>
      <c r="C403" t="e">
        <f ca="1">IF((A1)=(2),1,IF(AND((INDEX(B1:XFD1,((A3)+(1))+(0)))=("writeheap"),(INDEX(B5:B405,(B4)+(1)))=(398)),INDEX(B5:B405,(B4)+(2)),IF((A1)=(2),"",IF((399)=(C4),C403,C403))))</f>
        <v>#VALUE!</v>
      </c>
      <c r="F403" t="e">
        <f ca="1">IF((A1)=(2),"",IF((399)=(F4),IF(IF((INDEX(B1:XFD1,((A3)+(1))+(0)))=("store"),(INDEX(B1:XFD1,((A3)+(1))+(1)))=("F"),"false"),B3,F403),F403))</f>
        <v>#VALUE!</v>
      </c>
      <c r="G403" t="e">
        <f ca="1">IF((A1)=(2),"",IF((399)=(G4),IF(IF((INDEX(B1:XFD1,((A3)+(1))+(0)))=("store"),(INDEX(B1:XFD1,((A3)+(1))+(1)))=("G"),"false"),B3,G403),G403))</f>
        <v>#VALUE!</v>
      </c>
      <c r="H403" t="e">
        <f ca="1">IF((A1)=(2),"",IF((399)=(H4),IF(IF((INDEX(B1:XFD1,((A3)+(1))+(0)))=("store"),(INDEX(B1:XFD1,((A3)+(1))+(1)))=("H"),"false"),B3,H403),H403))</f>
        <v>#VALUE!</v>
      </c>
      <c r="I403" t="e">
        <f ca="1">IF((A1)=(2),"",IF((399)=(I4),IF(IF((INDEX(B1:XFD1,((A3)+(1))+(0)))=("store"),(INDEX(B1:XFD1,((A3)+(1))+(1)))=("I"),"false"),B3,I403),I403))</f>
        <v>#VALUE!</v>
      </c>
      <c r="J403" t="e">
        <f ca="1">IF((A1)=(2),"",IF((399)=(J4),IF(IF((INDEX(B1:XFD1,((A3)+(1))+(0)))=("store"),(INDEX(B1:XFD1,((A3)+(1))+(1)))=("J"),"false"),B3,J403),J403))</f>
        <v>#VALUE!</v>
      </c>
      <c r="K403" t="e">
        <f ca="1">IF((A1)=(2),"",IF((399)=(K4),IF(IF((INDEX(B1:XFD1,((A3)+(1))+(0)))=("store"),(INDEX(B1:XFD1,((A3)+(1))+(1)))=("K"),"false"),B3,K403),K403))</f>
        <v>#VALUE!</v>
      </c>
      <c r="L403" t="e">
        <f ca="1">IF((A1)=(2),"",IF((399)=(L4),IF(IF((INDEX(B1:XFD1,((A3)+(1))+(0)))=("store"),(INDEX(B1:XFD1,((A3)+(1))+(1)))=("L"),"false"),B3,L403),L403))</f>
        <v>#VALUE!</v>
      </c>
      <c r="M403" t="e">
        <f ca="1">IF((A1)=(2),"",IF((399)=(M4),IF(IF((INDEX(B1:XFD1,((A3)+(1))+(0)))=("store"),(INDEX(B1:XFD1,((A3)+(1))+(1)))=("M"),"false"),B3,M403),M403))</f>
        <v>#VALUE!</v>
      </c>
      <c r="N403" t="e">
        <f ca="1">IF((A1)=(2),"",IF((399)=(N4),IF(IF((INDEX(B1:XFD1,((A3)+(1))+(0)))=("store"),(INDEX(B1:XFD1,((A3)+(1))+(1)))=("N"),"false"),B3,N403),N403))</f>
        <v>#VALUE!</v>
      </c>
      <c r="O403" t="e">
        <f ca="1">IF((A1)=(2),"",IF((399)=(O4),IF(IF((INDEX(B1:XFD1,((A3)+(1))+(0)))=("store"),(INDEX(B1:XFD1,((A3)+(1))+(1)))=("O"),"false"),B3,O403),O403))</f>
        <v>#VALUE!</v>
      </c>
      <c r="P403" t="e">
        <f ca="1">IF((A1)=(2),"",IF((399)=(P4),IF(IF((INDEX(B1:XFD1,((A3)+(1))+(0)))=("store"),(INDEX(B1:XFD1,((A3)+(1))+(1)))=("P"),"false"),B3,P403),P403))</f>
        <v>#VALUE!</v>
      </c>
      <c r="Q403" t="e">
        <f ca="1">IF((A1)=(2),"",IF((399)=(Q4),IF(IF((INDEX(B1:XFD1,((A3)+(1))+(0)))=("store"),(INDEX(B1:XFD1,((A3)+(1))+(1)))=("Q"),"false"),B3,Q403),Q403))</f>
        <v>#VALUE!</v>
      </c>
      <c r="R403" t="e">
        <f ca="1">IF((A1)=(2),"",IF((399)=(R4),IF(IF((INDEX(B1:XFD1,((A3)+(1))+(0)))=("store"),(INDEX(B1:XFD1,((A3)+(1))+(1)))=("R"),"false"),B3,R403),R403))</f>
        <v>#VALUE!</v>
      </c>
      <c r="S403" t="e">
        <f ca="1">IF((A1)=(2),"",IF((399)=(S4),IF(IF((INDEX(B1:XFD1,((A3)+(1))+(0)))=("store"),(INDEX(B1:XFD1,((A3)+(1))+(1)))=("S"),"false"),B3,S403),S403))</f>
        <v>#VALUE!</v>
      </c>
      <c r="T403" t="e">
        <f ca="1">IF((A1)=(2),"",IF((399)=(T4),IF(IF((INDEX(B1:XFD1,((A3)+(1))+(0)))=("store"),(INDEX(B1:XFD1,((A3)+(1))+(1)))=("T"),"false"),B3,T403),T403))</f>
        <v>#VALUE!</v>
      </c>
      <c r="U403" t="e">
        <f ca="1">IF((A1)=(2),"",IF((399)=(U4),IF(IF((INDEX(B1:XFD1,((A3)+(1))+(0)))=("store"),(INDEX(B1:XFD1,((A3)+(1))+(1)))=("U"),"false"),B3,U403),U403))</f>
        <v>#VALUE!</v>
      </c>
      <c r="V403" t="e">
        <f ca="1">IF((A1)=(2),"",IF((399)=(V4),IF(IF((INDEX(B1:XFD1,((A3)+(1))+(0)))=("store"),(INDEX(B1:XFD1,((A3)+(1))+(1)))=("V"),"false"),B3,V403),V403))</f>
        <v>#VALUE!</v>
      </c>
      <c r="W403" t="e">
        <f ca="1">IF((A1)=(2),"",IF((399)=(W4),IF(IF((INDEX(B1:XFD1,((A3)+(1))+(0)))=("store"),(INDEX(B1:XFD1,((A3)+(1))+(1)))=("W"),"false"),B3,W403),W403))</f>
        <v>#VALUE!</v>
      </c>
      <c r="X403" t="e">
        <f ca="1">IF((A1)=(2),"",IF((399)=(X4),IF(IF((INDEX(B1:XFD1,((A3)+(1))+(0)))=("store"),(INDEX(B1:XFD1,((A3)+(1))+(1)))=("X"),"false"),B3,X403),X403))</f>
        <v>#VALUE!</v>
      </c>
      <c r="Y403" t="e">
        <f ca="1">IF((A1)=(2),"",IF((399)=(Y4),IF(IF((INDEX(B1:XFD1,((A3)+(1))+(0)))=("store"),(INDEX(B1:XFD1,((A3)+(1))+(1)))=("Y"),"false"),B3,Y403),Y403))</f>
        <v>#VALUE!</v>
      </c>
      <c r="Z403" t="e">
        <f ca="1">IF((A1)=(2),"",IF((399)=(Z4),IF(IF((INDEX(B1:XFD1,((A3)+(1))+(0)))=("store"),(INDEX(B1:XFD1,((A3)+(1))+(1)))=("Z"),"false"),B3,Z403),Z403))</f>
        <v>#VALUE!</v>
      </c>
      <c r="AA403" t="e">
        <f ca="1">IF((A1)=(2),"",IF((399)=(AA4),IF(IF((INDEX(B1:XFD1,((A3)+(1))+(0)))=("store"),(INDEX(B1:XFD1,((A3)+(1))+(1)))=("AA"),"false"),B3,AA403),AA403))</f>
        <v>#VALUE!</v>
      </c>
      <c r="AB403" t="e">
        <f ca="1">IF((A1)=(2),"",IF((399)=(AB4),IF(IF((INDEX(B1:XFD1,((A3)+(1))+(0)))=("store"),(INDEX(B1:XFD1,((A3)+(1))+(1)))=("AB"),"false"),B3,AB403),AB403))</f>
        <v>#VALUE!</v>
      </c>
      <c r="AC403" t="e">
        <f ca="1">IF((A1)=(2),"",IF((399)=(AC4),IF(IF((INDEX(B1:XFD1,((A3)+(1))+(0)))=("store"),(INDEX(B1:XFD1,((A3)+(1))+(1)))=("AC"),"false"),B3,AC403),AC403))</f>
        <v>#VALUE!</v>
      </c>
      <c r="AD403" t="e">
        <f ca="1">IF((A1)=(2),"",IF((399)=(AD4),IF(IF((INDEX(B1:XFD1,((A3)+(1))+(0)))=("store"),(INDEX(B1:XFD1,((A3)+(1))+(1)))=("AD"),"false"),B3,AD403),AD403))</f>
        <v>#VALUE!</v>
      </c>
    </row>
    <row r="404" spans="1:30" x14ac:dyDescent="0.25">
      <c r="A404" t="e">
        <f ca="1">IF((A1)=(2),"",IF((400)=(A4),IF(("call")=(INDEX(B1:XFD1,((A3)+(1))+(0))),(B3)*(2),IF(("goto")=(INDEX(B1:XFD1,((A3)+(1))+(0))),(INDEX(B1:XFD1,((A3)+(1))+(1)))*(2),IF(("gotoiftrue")=(INDEX(B1:XFD1,((A3)+(1))+(0))),IF(B3,(INDEX(B1:XFD1,((A3)+(1))+(1)))*(2),(A404)+(2)),(A404)+(2)))),A404))</f>
        <v>#VALUE!</v>
      </c>
      <c r="B404" t="e">
        <f ca="1">IF((A1)=(2),"",IF((400)=(B4),IF(("push")=(INDEX(B1:XFD1,((A3)+(1))+(0))),INDEX(B1:XFD1,((A3)+(1))+(1)),IF(("load")=(INDEX(B1:XFD1,((A3)+(1))+(0))),INDEX(F3:XFD3,INDEX(B1:XFD1,((A3)+(1))+(1))),IF(("newheap")=(INDEX(B1:XFD1,((A3)+(1))+(0))),(C4)-(2),IF(("getheap")=(INDEX(B1:XFD1,((A3)+(1))+(0))),INDEX(C5:C405,(B404)+(1)),IF(("add")=(INDEX(B1:XFD1,((A3)+(1))+(0))),(INDEX(B5:B405,(B4)+(1)))+(B404),IF(("equals")=(INDEX(B1:XFD1,((A3)+(1))+(0))),(INDEX(B5:B405,(B4)+(1)))=(B404),IF(("leq")=(INDEX(B1:XFD1,((A3)+(1))+(0))),(INDEX(B5:B405,(B4)+(1)))&lt;=(B404),IF(("greater")=(INDEX(B1:XFD1,((A3)+(1))+(0))),(INDEX(B5:B405,(B4)+(1)))&gt;(B404),IF(("mod")=(INDEX(B1:XFD1,((A3)+(1))+(0))),MOD(INDEX(B5:B405,(B4)+(1)),B404),B404))))))))),B404))</f>
        <v>#VALUE!</v>
      </c>
      <c r="C404" t="e">
        <f ca="1">IF((A1)=(2),1,IF(AND((INDEX(B1:XFD1,((A3)+(1))+(0)))=("writeheap"),(INDEX(B5:B405,(B4)+(1)))=(399)),INDEX(B5:B405,(B4)+(2)),IF((A1)=(2),"",IF((400)=(C4),C404,C404))))</f>
        <v>#VALUE!</v>
      </c>
      <c r="F404" t="e">
        <f ca="1">IF((A1)=(2),"",IF((400)=(F4),IF(IF((INDEX(B1:XFD1,((A3)+(1))+(0)))=("store"),(INDEX(B1:XFD1,((A3)+(1))+(1)))=("F"),"false"),B3,F404),F404))</f>
        <v>#VALUE!</v>
      </c>
      <c r="G404" t="e">
        <f ca="1">IF((A1)=(2),"",IF((400)=(G4),IF(IF((INDEX(B1:XFD1,((A3)+(1))+(0)))=("store"),(INDEX(B1:XFD1,((A3)+(1))+(1)))=("G"),"false"),B3,G404),G404))</f>
        <v>#VALUE!</v>
      </c>
      <c r="H404" t="e">
        <f ca="1">IF((A1)=(2),"",IF((400)=(H4),IF(IF((INDEX(B1:XFD1,((A3)+(1))+(0)))=("store"),(INDEX(B1:XFD1,((A3)+(1))+(1)))=("H"),"false"),B3,H404),H404))</f>
        <v>#VALUE!</v>
      </c>
      <c r="I404" t="e">
        <f ca="1">IF((A1)=(2),"",IF((400)=(I4),IF(IF((INDEX(B1:XFD1,((A3)+(1))+(0)))=("store"),(INDEX(B1:XFD1,((A3)+(1))+(1)))=("I"),"false"),B3,I404),I404))</f>
        <v>#VALUE!</v>
      </c>
      <c r="J404" t="e">
        <f ca="1">IF((A1)=(2),"",IF((400)=(J4),IF(IF((INDEX(B1:XFD1,((A3)+(1))+(0)))=("store"),(INDEX(B1:XFD1,((A3)+(1))+(1)))=("J"),"false"),B3,J404),J404))</f>
        <v>#VALUE!</v>
      </c>
      <c r="K404" t="e">
        <f ca="1">IF((A1)=(2),"",IF((400)=(K4),IF(IF((INDEX(B1:XFD1,((A3)+(1))+(0)))=("store"),(INDEX(B1:XFD1,((A3)+(1))+(1)))=("K"),"false"),B3,K404),K404))</f>
        <v>#VALUE!</v>
      </c>
      <c r="L404" t="e">
        <f ca="1">IF((A1)=(2),"",IF((400)=(L4),IF(IF((INDEX(B1:XFD1,((A3)+(1))+(0)))=("store"),(INDEX(B1:XFD1,((A3)+(1))+(1)))=("L"),"false"),B3,L404),L404))</f>
        <v>#VALUE!</v>
      </c>
      <c r="M404" t="e">
        <f ca="1">IF((A1)=(2),"",IF((400)=(M4),IF(IF((INDEX(B1:XFD1,((A3)+(1))+(0)))=("store"),(INDEX(B1:XFD1,((A3)+(1))+(1)))=("M"),"false"),B3,M404),M404))</f>
        <v>#VALUE!</v>
      </c>
      <c r="N404" t="e">
        <f ca="1">IF((A1)=(2),"",IF((400)=(N4),IF(IF((INDEX(B1:XFD1,((A3)+(1))+(0)))=("store"),(INDEX(B1:XFD1,((A3)+(1))+(1)))=("N"),"false"),B3,N404),N404))</f>
        <v>#VALUE!</v>
      </c>
      <c r="O404" t="e">
        <f ca="1">IF((A1)=(2),"",IF((400)=(O4),IF(IF((INDEX(B1:XFD1,((A3)+(1))+(0)))=("store"),(INDEX(B1:XFD1,((A3)+(1))+(1)))=("O"),"false"),B3,O404),O404))</f>
        <v>#VALUE!</v>
      </c>
      <c r="P404" t="e">
        <f ca="1">IF((A1)=(2),"",IF((400)=(P4),IF(IF((INDEX(B1:XFD1,((A3)+(1))+(0)))=("store"),(INDEX(B1:XFD1,((A3)+(1))+(1)))=("P"),"false"),B3,P404),P404))</f>
        <v>#VALUE!</v>
      </c>
      <c r="Q404" t="e">
        <f ca="1">IF((A1)=(2),"",IF((400)=(Q4),IF(IF((INDEX(B1:XFD1,((A3)+(1))+(0)))=("store"),(INDEX(B1:XFD1,((A3)+(1))+(1)))=("Q"),"false"),B3,Q404),Q404))</f>
        <v>#VALUE!</v>
      </c>
      <c r="R404" t="e">
        <f ca="1">IF((A1)=(2),"",IF((400)=(R4),IF(IF((INDEX(B1:XFD1,((A3)+(1))+(0)))=("store"),(INDEX(B1:XFD1,((A3)+(1))+(1)))=("R"),"false"),B3,R404),R404))</f>
        <v>#VALUE!</v>
      </c>
      <c r="S404" t="e">
        <f ca="1">IF((A1)=(2),"",IF((400)=(S4),IF(IF((INDEX(B1:XFD1,((A3)+(1))+(0)))=("store"),(INDEX(B1:XFD1,((A3)+(1))+(1)))=("S"),"false"),B3,S404),S404))</f>
        <v>#VALUE!</v>
      </c>
      <c r="T404" t="e">
        <f ca="1">IF((A1)=(2),"",IF((400)=(T4),IF(IF((INDEX(B1:XFD1,((A3)+(1))+(0)))=("store"),(INDEX(B1:XFD1,((A3)+(1))+(1)))=("T"),"false"),B3,T404),T404))</f>
        <v>#VALUE!</v>
      </c>
      <c r="U404" t="e">
        <f ca="1">IF((A1)=(2),"",IF((400)=(U4),IF(IF((INDEX(B1:XFD1,((A3)+(1))+(0)))=("store"),(INDEX(B1:XFD1,((A3)+(1))+(1)))=("U"),"false"),B3,U404),U404))</f>
        <v>#VALUE!</v>
      </c>
      <c r="V404" t="e">
        <f ca="1">IF((A1)=(2),"",IF((400)=(V4),IF(IF((INDEX(B1:XFD1,((A3)+(1))+(0)))=("store"),(INDEX(B1:XFD1,((A3)+(1))+(1)))=("V"),"false"),B3,V404),V404))</f>
        <v>#VALUE!</v>
      </c>
      <c r="W404" t="e">
        <f ca="1">IF((A1)=(2),"",IF((400)=(W4),IF(IF((INDEX(B1:XFD1,((A3)+(1))+(0)))=("store"),(INDEX(B1:XFD1,((A3)+(1))+(1)))=("W"),"false"),B3,W404),W404))</f>
        <v>#VALUE!</v>
      </c>
      <c r="X404" t="e">
        <f ca="1">IF((A1)=(2),"",IF((400)=(X4),IF(IF((INDEX(B1:XFD1,((A3)+(1))+(0)))=("store"),(INDEX(B1:XFD1,((A3)+(1))+(1)))=("X"),"false"),B3,X404),X404))</f>
        <v>#VALUE!</v>
      </c>
      <c r="Y404" t="e">
        <f ca="1">IF((A1)=(2),"",IF((400)=(Y4),IF(IF((INDEX(B1:XFD1,((A3)+(1))+(0)))=("store"),(INDEX(B1:XFD1,((A3)+(1))+(1)))=("Y"),"false"),B3,Y404),Y404))</f>
        <v>#VALUE!</v>
      </c>
      <c r="Z404" t="e">
        <f ca="1">IF((A1)=(2),"",IF((400)=(Z4),IF(IF((INDEX(B1:XFD1,((A3)+(1))+(0)))=("store"),(INDEX(B1:XFD1,((A3)+(1))+(1)))=("Z"),"false"),B3,Z404),Z404))</f>
        <v>#VALUE!</v>
      </c>
      <c r="AA404" t="e">
        <f ca="1">IF((A1)=(2),"",IF((400)=(AA4),IF(IF((INDEX(B1:XFD1,((A3)+(1))+(0)))=("store"),(INDEX(B1:XFD1,((A3)+(1))+(1)))=("AA"),"false"),B3,AA404),AA404))</f>
        <v>#VALUE!</v>
      </c>
      <c r="AB404" t="e">
        <f ca="1">IF((A1)=(2),"",IF((400)=(AB4),IF(IF((INDEX(B1:XFD1,((A3)+(1))+(0)))=("store"),(INDEX(B1:XFD1,((A3)+(1))+(1)))=("AB"),"false"),B3,AB404),AB404))</f>
        <v>#VALUE!</v>
      </c>
      <c r="AC404" t="e">
        <f ca="1">IF((A1)=(2),"",IF((400)=(AC4),IF(IF((INDEX(B1:XFD1,((A3)+(1))+(0)))=("store"),(INDEX(B1:XFD1,((A3)+(1))+(1)))=("AC"),"false"),B3,AC404),AC404))</f>
        <v>#VALUE!</v>
      </c>
      <c r="AD404" t="e">
        <f ca="1">IF((A1)=(2),"",IF((400)=(AD4),IF(IF((INDEX(B1:XFD1,((A3)+(1))+(0)))=("store"),(INDEX(B1:XFD1,((A3)+(1))+(1)))=("AD"),"false"),B3,AD404),AD404))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2017-03-14T01:36:12Z</dcterms:created>
  <dcterms:modified xsi:type="dcterms:W3CDTF">2017-03-14T01:37:07Z</dcterms:modified>
</cp:coreProperties>
</file>